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SUS\Desktop\empresa industrial\2022\IP 08 Avenida la juventud\"/>
    </mc:Choice>
  </mc:AlternateContent>
  <bookViews>
    <workbookView xWindow="0" yWindow="0" windowWidth="20490" windowHeight="7050" tabRatio="869" firstSheet="15" activeTab="13"/>
  </bookViews>
  <sheets>
    <sheet name="M" sheetId="300" state="hidden" r:id="rId1"/>
    <sheet name="E" sheetId="301" state="hidden" r:id="rId2"/>
    <sheet name="COSTOS INDIRECTOS" sheetId="294" r:id="rId3"/>
    <sheet name="PPTO" sheetId="153" r:id="rId4"/>
    <sheet name="FLUJO" sheetId="319" r:id="rId5"/>
    <sheet name="PAGA" sheetId="296" r:id="rId6"/>
    <sheet name="PMT" sheetId="295" r:id="rId7"/>
    <sheet name="MC" sheetId="189" r:id="rId8"/>
    <sheet name="ACUDT" sheetId="314" r:id="rId9"/>
    <sheet name="POZOS" sheetId="321" r:id="rId10"/>
    <sheet name="CANT ALC" sheetId="320" r:id="rId11"/>
    <sheet name="INTERV" sheetId="159" state="hidden" r:id="rId12"/>
    <sheet name="FM" sheetId="299" state="hidden" r:id="rId13"/>
    <sheet name="FP" sheetId="297" r:id="rId14"/>
    <sheet name="BIO" sheetId="323" r:id="rId15"/>
    <sheet name="1.1" sheetId="115" r:id="rId16"/>
    <sheet name="1.2" sheetId="322" r:id="rId17"/>
    <sheet name="2.1" sheetId="120" r:id="rId18"/>
    <sheet name="2.2" sheetId="121" r:id="rId19"/>
    <sheet name="2.3" sheetId="122" r:id="rId20"/>
    <sheet name="2.4" sheetId="123" r:id="rId21"/>
    <sheet name="2.5" sheetId="256" r:id="rId22"/>
    <sheet name="2.6" sheetId="257" r:id="rId23"/>
    <sheet name="2.7" sheetId="255" r:id="rId24"/>
    <sheet name="3.1" sheetId="89" r:id="rId25"/>
    <sheet name="3.2" sheetId="245" r:id="rId26"/>
    <sheet name="3.3" sheetId="244" r:id="rId27"/>
    <sheet name="3.4" sheetId="309" r:id="rId28"/>
    <sheet name="3.5" sheetId="310" r:id="rId29"/>
    <sheet name="4.1" sheetId="94" r:id="rId30"/>
    <sheet name="4.2" sheetId="242" r:id="rId31"/>
    <sheet name="4.3" sheetId="220" r:id="rId32"/>
    <sheet name="4.4" sheetId="166" r:id="rId33"/>
    <sheet name="4.5" sheetId="240" r:id="rId34"/>
    <sheet name="4.6" sheetId="238" r:id="rId35"/>
    <sheet name="4.7" sheetId="283" r:id="rId36"/>
    <sheet name="4.8" sheetId="284" r:id="rId37"/>
    <sheet name="4.9" sheetId="96" r:id="rId38"/>
    <sheet name="4.10" sheetId="302" r:id="rId39"/>
    <sheet name="5.1" sheetId="98" r:id="rId40"/>
    <sheet name="5.2" sheetId="99" r:id="rId41"/>
    <sheet name="5.3" sheetId="102" r:id="rId42"/>
    <sheet name="5.4" sheetId="254" r:id="rId43"/>
    <sheet name="5.5" sheetId="188" r:id="rId44"/>
    <sheet name="5.6" sheetId="218" r:id="rId45"/>
    <sheet name="5.7" sheetId="281" r:id="rId46"/>
    <sheet name="5.8" sheetId="282" r:id="rId47"/>
    <sheet name="5.9" sheetId="285" r:id="rId48"/>
    <sheet name="5.10" sheetId="286" r:id="rId49"/>
    <sheet name="6.1" sheetId="171" r:id="rId50"/>
    <sheet name="6.2" sheetId="221" r:id="rId51"/>
    <sheet name="6.3" sheetId="222" r:id="rId52"/>
    <sheet name="6.4" sheetId="223" r:id="rId53"/>
    <sheet name="6.5" sheetId="224" r:id="rId54"/>
    <sheet name="6.6" sheetId="225" r:id="rId55"/>
    <sheet name="6.7" sheetId="226" r:id="rId56"/>
    <sheet name="6.8" sheetId="227" r:id="rId57"/>
    <sheet name="6.9" sheetId="228" r:id="rId58"/>
    <sheet name="6.10" sheetId="229" r:id="rId59"/>
    <sheet name="6.11" sheetId="230" r:id="rId60"/>
    <sheet name="6.12" sheetId="231" r:id="rId61"/>
    <sheet name="6.13" sheetId="232" r:id="rId62"/>
    <sheet name="6.14" sheetId="233" r:id="rId63"/>
    <sheet name="6.15" sheetId="234" r:id="rId64"/>
    <sheet name="6.16" sheetId="235" r:id="rId65"/>
    <sheet name="6.17" sheetId="258" r:id="rId66"/>
    <sheet name="6.18" sheetId="259" r:id="rId67"/>
    <sheet name="6.19" sheetId="260" r:id="rId68"/>
    <sheet name="6.20" sheetId="261" r:id="rId69"/>
    <sheet name="6.21" sheetId="262" r:id="rId70"/>
    <sheet name="6.22" sheetId="263" r:id="rId71"/>
    <sheet name="6.23" sheetId="264" r:id="rId72"/>
    <sheet name="6.24" sheetId="265" r:id="rId73"/>
    <sheet name="6.25" sheetId="266" r:id="rId74"/>
    <sheet name="6.26" sheetId="267" r:id="rId75"/>
    <sheet name="6.27" sheetId="268" r:id="rId76"/>
    <sheet name="6.28" sheetId="269" r:id="rId77"/>
    <sheet name="6.29" sheetId="270" r:id="rId78"/>
    <sheet name="6.30" sheetId="271" r:id="rId79"/>
    <sheet name="6.31" sheetId="272" r:id="rId80"/>
    <sheet name="6.32" sheetId="273" r:id="rId81"/>
    <sheet name="6.33" sheetId="274" r:id="rId82"/>
    <sheet name="6.34" sheetId="275" r:id="rId83"/>
    <sheet name="6.35" sheetId="276" r:id="rId84"/>
    <sheet name="6.36" sheetId="277" r:id="rId85"/>
    <sheet name="6.37" sheetId="278" r:id="rId86"/>
    <sheet name="6.38" sheetId="279" r:id="rId87"/>
    <sheet name="6.39" sheetId="280" r:id="rId88"/>
    <sheet name="6.40" sheetId="315" r:id="rId89"/>
    <sheet name="6.41" sheetId="316" r:id="rId90"/>
    <sheet name="6.42" sheetId="317" r:id="rId91"/>
    <sheet name="6.43" sheetId="318" r:id="rId92"/>
    <sheet name="6.44" sheetId="247" r:id="rId93"/>
    <sheet name="6.45" sheetId="248" r:id="rId94"/>
    <sheet name="6.46" sheetId="249" r:id="rId95"/>
    <sheet name="6.47" sheetId="250" r:id="rId96"/>
    <sheet name="6.48" sheetId="251" r:id="rId97"/>
    <sheet name="6.49" sheetId="252" r:id="rId98"/>
    <sheet name="6.50" sheetId="253" r:id="rId99"/>
    <sheet name="6.51" sheetId="287" r:id="rId100"/>
    <sheet name="6.52" sheetId="288" r:id="rId101"/>
    <sheet name="6.53" sheetId="289" r:id="rId102"/>
    <sheet name="6.54" sheetId="311" r:id="rId103"/>
    <sheet name="6.55" sheetId="290" r:id="rId104"/>
    <sheet name="6.56" sheetId="291" r:id="rId105"/>
    <sheet name="6.57" sheetId="292" r:id="rId106"/>
    <sheet name="6.58" sheetId="293" r:id="rId107"/>
    <sheet name="6.59" sheetId="304" r:id="rId108"/>
    <sheet name="6.60" sheetId="305" r:id="rId109"/>
    <sheet name="6.61" sheetId="306" r:id="rId110"/>
    <sheet name="7.1" sheetId="312" r:id="rId111"/>
    <sheet name="7.2" sheetId="313" r:id="rId112"/>
    <sheet name="CONC 3000 PSI" sheetId="107" r:id="rId113"/>
    <sheet name="Solado 2000 PSI" sheetId="303" r:id="rId114"/>
    <sheet name="CONC 4000 PSI " sheetId="217" r:id="rId115"/>
    <sheet name="MORTERO DE PEGA" sheetId="241" r:id="rId116"/>
  </sheets>
  <externalReferences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  <externalReference r:id="rId153"/>
    <externalReference r:id="rId154"/>
    <externalReference r:id="rId155"/>
    <externalReference r:id="rId156"/>
    <externalReference r:id="rId157"/>
    <externalReference r:id="rId158"/>
    <externalReference r:id="rId159"/>
    <externalReference r:id="rId160"/>
    <externalReference r:id="rId161"/>
    <externalReference r:id="rId162"/>
    <externalReference r:id="rId163"/>
    <externalReference r:id="rId164"/>
    <externalReference r:id="rId165"/>
    <externalReference r:id="rId166"/>
    <externalReference r:id="rId167"/>
  </externalReferences>
  <definedNames>
    <definedName name="__________PJ50" localSheetId="16">#REF!</definedName>
    <definedName name="__________PJ50" localSheetId="88">#REF!</definedName>
    <definedName name="__________PJ50" localSheetId="89">#REF!</definedName>
    <definedName name="__________PJ50" localSheetId="90">#REF!</definedName>
    <definedName name="__________PJ50" localSheetId="91">#REF!</definedName>
    <definedName name="__________PJ50" localSheetId="102">#REF!</definedName>
    <definedName name="__________PJ50" localSheetId="110">#REF!</definedName>
    <definedName name="__________PJ50" localSheetId="111">#REF!</definedName>
    <definedName name="__________PJ50" localSheetId="4">#REF!</definedName>
    <definedName name="__________PJ50">#REF!</definedName>
    <definedName name="__________pj51" localSheetId="16">#REF!</definedName>
    <definedName name="__________pj51" localSheetId="88">#REF!</definedName>
    <definedName name="__________pj51" localSheetId="89">#REF!</definedName>
    <definedName name="__________pj51" localSheetId="90">#REF!</definedName>
    <definedName name="__________pj51" localSheetId="91">#REF!</definedName>
    <definedName name="__________pj51" localSheetId="102">#REF!</definedName>
    <definedName name="__________pj51" localSheetId="110">#REF!</definedName>
    <definedName name="__________pj51" localSheetId="111">#REF!</definedName>
    <definedName name="__________pj51" localSheetId="4">#REF!</definedName>
    <definedName name="__________pj51">#REF!</definedName>
    <definedName name="_________PJ50" localSheetId="16">#REF!</definedName>
    <definedName name="_________PJ50" localSheetId="88">#REF!</definedName>
    <definedName name="_________PJ50" localSheetId="89">#REF!</definedName>
    <definedName name="_________PJ50" localSheetId="90">#REF!</definedName>
    <definedName name="_________PJ50" localSheetId="91">#REF!</definedName>
    <definedName name="_________PJ50" localSheetId="102">#REF!</definedName>
    <definedName name="_________PJ50" localSheetId="110">#REF!</definedName>
    <definedName name="_________PJ50" localSheetId="111">#REF!</definedName>
    <definedName name="_________PJ50" localSheetId="4">#REF!</definedName>
    <definedName name="_________PJ50">#REF!</definedName>
    <definedName name="_________pj51" localSheetId="16">#REF!</definedName>
    <definedName name="_________pj51" localSheetId="88">#REF!</definedName>
    <definedName name="_________pj51" localSheetId="89">#REF!</definedName>
    <definedName name="_________pj51" localSheetId="90">#REF!</definedName>
    <definedName name="_________pj51" localSheetId="91">#REF!</definedName>
    <definedName name="_________pj51" localSheetId="102">#REF!</definedName>
    <definedName name="_________pj51" localSheetId="110">#REF!</definedName>
    <definedName name="_________pj51" localSheetId="111">#REF!</definedName>
    <definedName name="_________pj51" localSheetId="4">#REF!</definedName>
    <definedName name="_________pj51">#REF!</definedName>
    <definedName name="________MA2" localSheetId="16">#REF!</definedName>
    <definedName name="________MA2" localSheetId="88">#REF!</definedName>
    <definedName name="________MA2" localSheetId="89">#REF!</definedName>
    <definedName name="________MA2" localSheetId="90">#REF!</definedName>
    <definedName name="________MA2" localSheetId="91">#REF!</definedName>
    <definedName name="________MA2" localSheetId="102">#REF!</definedName>
    <definedName name="________MA2" localSheetId="110">#REF!</definedName>
    <definedName name="________MA2" localSheetId="111">#REF!</definedName>
    <definedName name="________MA2" localSheetId="4">#REF!</definedName>
    <definedName name="________MA2">#REF!</definedName>
    <definedName name="________PJ50" localSheetId="16">#REF!</definedName>
    <definedName name="________PJ50" localSheetId="88">#REF!</definedName>
    <definedName name="________PJ50" localSheetId="89">#REF!</definedName>
    <definedName name="________PJ50" localSheetId="90">#REF!</definedName>
    <definedName name="________PJ50" localSheetId="91">#REF!</definedName>
    <definedName name="________PJ50" localSheetId="102">#REF!</definedName>
    <definedName name="________PJ50" localSheetId="110">#REF!</definedName>
    <definedName name="________PJ50" localSheetId="111">#REF!</definedName>
    <definedName name="________PJ50" localSheetId="4">#REF!</definedName>
    <definedName name="________PJ50">#REF!</definedName>
    <definedName name="________pj51" localSheetId="16">#REF!</definedName>
    <definedName name="________pj51" localSheetId="88">#REF!</definedName>
    <definedName name="________pj51" localSheetId="89">#REF!</definedName>
    <definedName name="________pj51" localSheetId="90">#REF!</definedName>
    <definedName name="________pj51" localSheetId="91">#REF!</definedName>
    <definedName name="________pj51" localSheetId="102">#REF!</definedName>
    <definedName name="________pj51" localSheetId="110">#REF!</definedName>
    <definedName name="________pj51" localSheetId="111">#REF!</definedName>
    <definedName name="________pj51" localSheetId="4">#REF!</definedName>
    <definedName name="________pj51">#REF!</definedName>
    <definedName name="_______AFC1">[1]INV!$A$25:$D$28</definedName>
    <definedName name="_______AFC3">[1]INV!$F$25:$I$28</definedName>
    <definedName name="_______AFC5">[1]INV!$K$25:$N$28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MA2" localSheetId="16">#REF!</definedName>
    <definedName name="_______MA2" localSheetId="88">#REF!</definedName>
    <definedName name="_______MA2" localSheetId="89">#REF!</definedName>
    <definedName name="_______MA2" localSheetId="90">#REF!</definedName>
    <definedName name="_______MA2" localSheetId="91">#REF!</definedName>
    <definedName name="_______MA2" localSheetId="102">#REF!</definedName>
    <definedName name="_______MA2" localSheetId="110">#REF!</definedName>
    <definedName name="_______MA2" localSheetId="111">#REF!</definedName>
    <definedName name="_______MA2" localSheetId="4">#REF!</definedName>
    <definedName name="_______MA2">#REF!</definedName>
    <definedName name="_______PJ50" localSheetId="16">#REF!</definedName>
    <definedName name="_______PJ50" localSheetId="88">#REF!</definedName>
    <definedName name="_______PJ50" localSheetId="89">#REF!</definedName>
    <definedName name="_______PJ50" localSheetId="90">#REF!</definedName>
    <definedName name="_______PJ50" localSheetId="91">#REF!</definedName>
    <definedName name="_______PJ50" localSheetId="102">#REF!</definedName>
    <definedName name="_______PJ50" localSheetId="110">#REF!</definedName>
    <definedName name="_______PJ50" localSheetId="111">#REF!</definedName>
    <definedName name="_______PJ50" localSheetId="4">#REF!</definedName>
    <definedName name="_______PJ50">#REF!</definedName>
    <definedName name="_______pj51" localSheetId="16">#REF!</definedName>
    <definedName name="_______pj51" localSheetId="88">#REF!</definedName>
    <definedName name="_______pj51" localSheetId="89">#REF!</definedName>
    <definedName name="_______pj51" localSheetId="90">#REF!</definedName>
    <definedName name="_______pj51" localSheetId="91">#REF!</definedName>
    <definedName name="_______pj51" localSheetId="102">#REF!</definedName>
    <definedName name="_______pj51" localSheetId="110">#REF!</definedName>
    <definedName name="_______pj51" localSheetId="111">#REF!</definedName>
    <definedName name="_______pj51" localSheetId="4">#REF!</definedName>
    <definedName name="_______pj51">#REF!</definedName>
    <definedName name="_______SBC1">[1]INV!$A$12:$D$15</definedName>
    <definedName name="_______SBC3">[1]INV!$F$12:$I$15</definedName>
    <definedName name="_______SBC5">[1]INV!$K$12:$N$15</definedName>
    <definedName name="______AFC1">[1]INV!$A$25:$D$28</definedName>
    <definedName name="______AFC3">[1]INV!$F$25:$I$28</definedName>
    <definedName name="______AFC5">[1]INV!$K$25:$N$28</definedName>
    <definedName name="______APU221" localSheetId="16">#REF!</definedName>
    <definedName name="______APU221" localSheetId="88">#REF!</definedName>
    <definedName name="______APU221" localSheetId="89">#REF!</definedName>
    <definedName name="______APU221" localSheetId="90">#REF!</definedName>
    <definedName name="______APU221" localSheetId="91">#REF!</definedName>
    <definedName name="______APU221" localSheetId="102">#REF!</definedName>
    <definedName name="______APU221" localSheetId="110">#REF!</definedName>
    <definedName name="______APU221" localSheetId="111">#REF!</definedName>
    <definedName name="______APU221" localSheetId="4">#REF!</definedName>
    <definedName name="______APU221">#REF!</definedName>
    <definedName name="______APU465" localSheetId="16">[2]!absc</definedName>
    <definedName name="______APU465" localSheetId="88">[2]!absc</definedName>
    <definedName name="______APU465" localSheetId="89">[2]!absc</definedName>
    <definedName name="______APU465" localSheetId="90">[2]!absc</definedName>
    <definedName name="______APU465" localSheetId="91">[2]!absc</definedName>
    <definedName name="______APU465" localSheetId="102">[2]!absc</definedName>
    <definedName name="______APU465" localSheetId="110">[2]!absc</definedName>
    <definedName name="______APU465" localSheetId="111">[2]!absc</definedName>
    <definedName name="______APU465" localSheetId="4">[2]!absc</definedName>
    <definedName name="______APU465">[2]!absc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MA2" localSheetId="16">#REF!</definedName>
    <definedName name="______MA2" localSheetId="88">#REF!</definedName>
    <definedName name="______MA2" localSheetId="89">#REF!</definedName>
    <definedName name="______MA2" localSheetId="90">#REF!</definedName>
    <definedName name="______MA2" localSheetId="91">#REF!</definedName>
    <definedName name="______MA2" localSheetId="102">#REF!</definedName>
    <definedName name="______MA2" localSheetId="110">#REF!</definedName>
    <definedName name="______MA2" localSheetId="111">#REF!</definedName>
    <definedName name="______MA2" localSheetId="4">#REF!</definedName>
    <definedName name="______MA2">#REF!</definedName>
    <definedName name="______PJ50" localSheetId="16">#REF!</definedName>
    <definedName name="______PJ50" localSheetId="88">#REF!</definedName>
    <definedName name="______PJ50" localSheetId="89">#REF!</definedName>
    <definedName name="______PJ50" localSheetId="90">#REF!</definedName>
    <definedName name="______PJ50" localSheetId="91">#REF!</definedName>
    <definedName name="______PJ50" localSheetId="102">#REF!</definedName>
    <definedName name="______PJ50" localSheetId="110">#REF!</definedName>
    <definedName name="______PJ50" localSheetId="111">#REF!</definedName>
    <definedName name="______PJ50" localSheetId="4">#REF!</definedName>
    <definedName name="______PJ50">#REF!</definedName>
    <definedName name="______pj51" localSheetId="16">#REF!</definedName>
    <definedName name="______pj51" localSheetId="88">#REF!</definedName>
    <definedName name="______pj51" localSheetId="89">#REF!</definedName>
    <definedName name="______pj51" localSheetId="90">#REF!</definedName>
    <definedName name="______pj51" localSheetId="91">#REF!</definedName>
    <definedName name="______pj51" localSheetId="102">#REF!</definedName>
    <definedName name="______pj51" localSheetId="110">#REF!</definedName>
    <definedName name="______pj51" localSheetId="111">#REF!</definedName>
    <definedName name="______pj51" localSheetId="4">#REF!</definedName>
    <definedName name="______pj51">#REF!</definedName>
    <definedName name="______SBC1">[1]INV!$A$12:$D$15</definedName>
    <definedName name="______SBC3">[1]INV!$F$12:$I$15</definedName>
    <definedName name="______SBC5">[1]INV!$K$12:$N$15</definedName>
    <definedName name="_____AFC1">[1]INV!$A$25:$D$28</definedName>
    <definedName name="_____AFC3">[1]INV!$F$25:$I$28</definedName>
    <definedName name="_____AFC5">[1]INV!$K$25:$N$28</definedName>
    <definedName name="_____APU221" localSheetId="16">#REF!</definedName>
    <definedName name="_____APU221" localSheetId="88">#REF!</definedName>
    <definedName name="_____APU221" localSheetId="89">#REF!</definedName>
    <definedName name="_____APU221" localSheetId="90">#REF!</definedName>
    <definedName name="_____APU221" localSheetId="91">#REF!</definedName>
    <definedName name="_____APU221" localSheetId="102">#REF!</definedName>
    <definedName name="_____APU221" localSheetId="110">#REF!</definedName>
    <definedName name="_____APU221" localSheetId="111">#REF!</definedName>
    <definedName name="_____APU221" localSheetId="4">#REF!</definedName>
    <definedName name="_____APU221">#REF!</definedName>
    <definedName name="_____APU465" localSheetId="16">[2]!absc</definedName>
    <definedName name="_____APU465" localSheetId="88">[2]!absc</definedName>
    <definedName name="_____APU465" localSheetId="89">[2]!absc</definedName>
    <definedName name="_____APU465" localSheetId="90">[2]!absc</definedName>
    <definedName name="_____APU465" localSheetId="91">[2]!absc</definedName>
    <definedName name="_____APU465" localSheetId="102">[2]!absc</definedName>
    <definedName name="_____APU465" localSheetId="110">[2]!absc</definedName>
    <definedName name="_____APU465" localSheetId="111">[2]!absc</definedName>
    <definedName name="_____APU465" localSheetId="4">[2]!absc</definedName>
    <definedName name="_____APU465">[2]!absc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MA2" localSheetId="16">#REF!</definedName>
    <definedName name="_____MA2" localSheetId="88">#REF!</definedName>
    <definedName name="_____MA2" localSheetId="89">#REF!</definedName>
    <definedName name="_____MA2" localSheetId="90">#REF!</definedName>
    <definedName name="_____MA2" localSheetId="91">#REF!</definedName>
    <definedName name="_____MA2" localSheetId="102">#REF!</definedName>
    <definedName name="_____MA2" localSheetId="110">#REF!</definedName>
    <definedName name="_____MA2" localSheetId="111">#REF!</definedName>
    <definedName name="_____MA2" localSheetId="4">#REF!</definedName>
    <definedName name="_____MA2">#REF!</definedName>
    <definedName name="_____PJ50" localSheetId="16">#REF!</definedName>
    <definedName name="_____PJ50" localSheetId="38">#REF!</definedName>
    <definedName name="_____PJ50" localSheetId="88">#REF!</definedName>
    <definedName name="_____PJ50" localSheetId="89">#REF!</definedName>
    <definedName name="_____PJ50" localSheetId="90">#REF!</definedName>
    <definedName name="_____PJ50" localSheetId="91">#REF!</definedName>
    <definedName name="_____PJ50" localSheetId="102">#REF!</definedName>
    <definedName name="_____PJ50" localSheetId="107">#REF!</definedName>
    <definedName name="_____PJ50" localSheetId="108">#REF!</definedName>
    <definedName name="_____PJ50" localSheetId="109">#REF!</definedName>
    <definedName name="_____PJ50" localSheetId="110">#REF!</definedName>
    <definedName name="_____PJ50" localSheetId="111">#REF!</definedName>
    <definedName name="_____PJ50" localSheetId="4">#REF!</definedName>
    <definedName name="_____PJ50" localSheetId="12">#REF!</definedName>
    <definedName name="_____PJ50" localSheetId="13">#REF!</definedName>
    <definedName name="_____PJ50" localSheetId="113">#REF!</definedName>
    <definedName name="_____PJ50">#REF!</definedName>
    <definedName name="_____pj51" localSheetId="16">#REF!</definedName>
    <definedName name="_____pj51" localSheetId="38">#REF!</definedName>
    <definedName name="_____pj51" localSheetId="88">#REF!</definedName>
    <definedName name="_____pj51" localSheetId="89">#REF!</definedName>
    <definedName name="_____pj51" localSheetId="90">#REF!</definedName>
    <definedName name="_____pj51" localSheetId="91">#REF!</definedName>
    <definedName name="_____pj51" localSheetId="102">#REF!</definedName>
    <definedName name="_____pj51" localSheetId="107">#REF!</definedName>
    <definedName name="_____pj51" localSheetId="108">#REF!</definedName>
    <definedName name="_____pj51" localSheetId="109">#REF!</definedName>
    <definedName name="_____pj51" localSheetId="110">#REF!</definedName>
    <definedName name="_____pj51" localSheetId="111">#REF!</definedName>
    <definedName name="_____pj51" localSheetId="4">#REF!</definedName>
    <definedName name="_____pj51" localSheetId="12">#REF!</definedName>
    <definedName name="_____pj51" localSheetId="13">#REF!</definedName>
    <definedName name="_____pj51" localSheetId="113">#REF!</definedName>
    <definedName name="_____pj51">#REF!</definedName>
    <definedName name="_____SBC1">[1]INV!$A$12:$D$15</definedName>
    <definedName name="_____SBC3">[1]INV!$F$12:$I$15</definedName>
    <definedName name="_____SBC5">[1]INV!$K$12:$N$15</definedName>
    <definedName name="____AFC1">[1]INV!$A$25:$D$28</definedName>
    <definedName name="____AFC3">[1]INV!$F$25:$I$28</definedName>
    <definedName name="____AFC5">[1]INV!$K$25:$N$28</definedName>
    <definedName name="____APU221" localSheetId="16">#REF!</definedName>
    <definedName name="____APU221" localSheetId="88">#REF!</definedName>
    <definedName name="____APU221" localSheetId="89">#REF!</definedName>
    <definedName name="____APU221" localSheetId="90">#REF!</definedName>
    <definedName name="____APU221" localSheetId="91">#REF!</definedName>
    <definedName name="____APU221" localSheetId="102">#REF!</definedName>
    <definedName name="____APU221" localSheetId="110">#REF!</definedName>
    <definedName name="____APU221" localSheetId="111">#REF!</definedName>
    <definedName name="____APU221" localSheetId="4">#REF!</definedName>
    <definedName name="____APU221">#REF!</definedName>
    <definedName name="____APU465" localSheetId="16">[2]!absc</definedName>
    <definedName name="____APU465" localSheetId="88">[2]!absc</definedName>
    <definedName name="____APU465" localSheetId="89">[2]!absc</definedName>
    <definedName name="____APU465" localSheetId="90">[2]!absc</definedName>
    <definedName name="____APU465" localSheetId="91">[2]!absc</definedName>
    <definedName name="____APU465" localSheetId="102">[2]!absc</definedName>
    <definedName name="____APU465" localSheetId="110">[2]!absc</definedName>
    <definedName name="____APU465" localSheetId="111">[2]!absc</definedName>
    <definedName name="____APU465" localSheetId="4">[2]!absc</definedName>
    <definedName name="____APU465">[2]!absc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MA2" localSheetId="16">#REF!</definedName>
    <definedName name="____MA2" localSheetId="88">#REF!</definedName>
    <definedName name="____MA2" localSheetId="89">#REF!</definedName>
    <definedName name="____MA2" localSheetId="90">#REF!</definedName>
    <definedName name="____MA2" localSheetId="91">#REF!</definedName>
    <definedName name="____MA2" localSheetId="102">#REF!</definedName>
    <definedName name="____MA2" localSheetId="110">#REF!</definedName>
    <definedName name="____MA2" localSheetId="111">#REF!</definedName>
    <definedName name="____MA2" localSheetId="4">#REF!</definedName>
    <definedName name="____MA2">#REF!</definedName>
    <definedName name="____PJ50" localSheetId="16">#REF!</definedName>
    <definedName name="____PJ50" localSheetId="38">#REF!</definedName>
    <definedName name="____PJ50" localSheetId="88">#REF!</definedName>
    <definedName name="____PJ50" localSheetId="89">#REF!</definedName>
    <definedName name="____PJ50" localSheetId="90">#REF!</definedName>
    <definedName name="____PJ50" localSheetId="91">#REF!</definedName>
    <definedName name="____PJ50" localSheetId="102">#REF!</definedName>
    <definedName name="____PJ50" localSheetId="107">#REF!</definedName>
    <definedName name="____PJ50" localSheetId="108">#REF!</definedName>
    <definedName name="____PJ50" localSheetId="109">#REF!</definedName>
    <definedName name="____PJ50" localSheetId="110">#REF!</definedName>
    <definedName name="____PJ50" localSheetId="111">#REF!</definedName>
    <definedName name="____PJ50" localSheetId="4">#REF!</definedName>
    <definedName name="____PJ50" localSheetId="12">#REF!</definedName>
    <definedName name="____PJ50" localSheetId="13">#REF!</definedName>
    <definedName name="____PJ50" localSheetId="113">#REF!</definedName>
    <definedName name="____PJ50">#REF!</definedName>
    <definedName name="____pj51" localSheetId="16">#REF!</definedName>
    <definedName name="____pj51" localSheetId="38">#REF!</definedName>
    <definedName name="____pj51" localSheetId="88">#REF!</definedName>
    <definedName name="____pj51" localSheetId="89">#REF!</definedName>
    <definedName name="____pj51" localSheetId="90">#REF!</definedName>
    <definedName name="____pj51" localSheetId="91">#REF!</definedName>
    <definedName name="____pj51" localSheetId="102">#REF!</definedName>
    <definedName name="____pj51" localSheetId="107">#REF!</definedName>
    <definedName name="____pj51" localSheetId="108">#REF!</definedName>
    <definedName name="____pj51" localSheetId="109">#REF!</definedName>
    <definedName name="____pj51" localSheetId="110">#REF!</definedName>
    <definedName name="____pj51" localSheetId="111">#REF!</definedName>
    <definedName name="____pj51" localSheetId="4">#REF!</definedName>
    <definedName name="____pj51" localSheetId="12">#REF!</definedName>
    <definedName name="____pj51" localSheetId="13">#REF!</definedName>
    <definedName name="____pj51" localSheetId="113">#REF!</definedName>
    <definedName name="____pj51">#REF!</definedName>
    <definedName name="____SBC1">[1]INV!$A$12:$D$15</definedName>
    <definedName name="____SBC3">[1]INV!$F$12:$I$15</definedName>
    <definedName name="____SBC5">[1]INV!$K$12:$N$15</definedName>
    <definedName name="___AFC1">[1]INV!$A$25:$D$28</definedName>
    <definedName name="___AFC3">[1]INV!$F$25:$I$28</definedName>
    <definedName name="___AFC5">[1]INV!$K$25:$N$28</definedName>
    <definedName name="___APU221" localSheetId="16">#REF!</definedName>
    <definedName name="___APU221" localSheetId="88">#REF!</definedName>
    <definedName name="___APU221" localSheetId="89">#REF!</definedName>
    <definedName name="___APU221" localSheetId="90">#REF!</definedName>
    <definedName name="___APU221" localSheetId="91">#REF!</definedName>
    <definedName name="___APU221" localSheetId="102">#REF!</definedName>
    <definedName name="___APU221" localSheetId="110">#REF!</definedName>
    <definedName name="___APU221" localSheetId="111">#REF!</definedName>
    <definedName name="___APU221" localSheetId="4">#REF!</definedName>
    <definedName name="___APU221">#REF!</definedName>
    <definedName name="___APU465" localSheetId="16">[2]!absc</definedName>
    <definedName name="___APU465" localSheetId="88">[2]!absc</definedName>
    <definedName name="___APU465" localSheetId="89">[2]!absc</definedName>
    <definedName name="___APU465" localSheetId="90">[2]!absc</definedName>
    <definedName name="___APU465" localSheetId="91">[2]!absc</definedName>
    <definedName name="___APU465" localSheetId="102">[2]!absc</definedName>
    <definedName name="___APU465" localSheetId="110">[2]!absc</definedName>
    <definedName name="___APU465" localSheetId="111">[2]!absc</definedName>
    <definedName name="___APU465" localSheetId="4">[2]!absc</definedName>
    <definedName name="___APU465">[2]!absc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MA2" localSheetId="16">#REF!</definedName>
    <definedName name="___MA2" localSheetId="88">#REF!</definedName>
    <definedName name="___MA2" localSheetId="89">#REF!</definedName>
    <definedName name="___MA2" localSheetId="90">#REF!</definedName>
    <definedName name="___MA2" localSheetId="91">#REF!</definedName>
    <definedName name="___MA2" localSheetId="102">#REF!</definedName>
    <definedName name="___MA2" localSheetId="110">#REF!</definedName>
    <definedName name="___MA2" localSheetId="111">#REF!</definedName>
    <definedName name="___MA2" localSheetId="4">#REF!</definedName>
    <definedName name="___MA2">#REF!</definedName>
    <definedName name="___PJ50" localSheetId="16">#REF!</definedName>
    <definedName name="___PJ50" localSheetId="38">#REF!</definedName>
    <definedName name="___PJ50" localSheetId="88">#REF!</definedName>
    <definedName name="___PJ50" localSheetId="89">#REF!</definedName>
    <definedName name="___PJ50" localSheetId="90">#REF!</definedName>
    <definedName name="___PJ50" localSheetId="91">#REF!</definedName>
    <definedName name="___PJ50" localSheetId="102">#REF!</definedName>
    <definedName name="___PJ50" localSheetId="107">#REF!</definedName>
    <definedName name="___PJ50" localSheetId="108">#REF!</definedName>
    <definedName name="___PJ50" localSheetId="109">#REF!</definedName>
    <definedName name="___PJ50" localSheetId="110">#REF!</definedName>
    <definedName name="___PJ50" localSheetId="111">#REF!</definedName>
    <definedName name="___PJ50" localSheetId="4">#REF!</definedName>
    <definedName name="___PJ50" localSheetId="12">#REF!</definedName>
    <definedName name="___PJ50" localSheetId="13">#REF!</definedName>
    <definedName name="___PJ50" localSheetId="113">#REF!</definedName>
    <definedName name="___PJ50">#REF!</definedName>
    <definedName name="___pj51" localSheetId="16">#REF!</definedName>
    <definedName name="___pj51" localSheetId="38">#REF!</definedName>
    <definedName name="___pj51" localSheetId="88">#REF!</definedName>
    <definedName name="___pj51" localSheetId="89">#REF!</definedName>
    <definedName name="___pj51" localSheetId="90">#REF!</definedName>
    <definedName name="___pj51" localSheetId="91">#REF!</definedName>
    <definedName name="___pj51" localSheetId="102">#REF!</definedName>
    <definedName name="___pj51" localSheetId="107">#REF!</definedName>
    <definedName name="___pj51" localSheetId="108">#REF!</definedName>
    <definedName name="___pj51" localSheetId="109">#REF!</definedName>
    <definedName name="___pj51" localSheetId="110">#REF!</definedName>
    <definedName name="___pj51" localSheetId="111">#REF!</definedName>
    <definedName name="___pj51" localSheetId="4">#REF!</definedName>
    <definedName name="___pj51" localSheetId="12">#REF!</definedName>
    <definedName name="___pj51" localSheetId="13">#REF!</definedName>
    <definedName name="___pj51" localSheetId="113">#REF!</definedName>
    <definedName name="___pj51">#REF!</definedName>
    <definedName name="___SBC1">[1]INV!$A$12:$D$15</definedName>
    <definedName name="___SBC3">[1]INV!$F$12:$I$15</definedName>
    <definedName name="___SBC5">[1]INV!$K$12:$N$15</definedName>
    <definedName name="__AFC1">[1]INV!$A$25:$D$28</definedName>
    <definedName name="__AFC3">[1]INV!$F$25:$I$28</definedName>
    <definedName name="__AFC5">[1]INV!$K$25:$N$28</definedName>
    <definedName name="__APU221" localSheetId="16">#REF!</definedName>
    <definedName name="__APU221" localSheetId="88">#REF!</definedName>
    <definedName name="__APU221" localSheetId="89">#REF!</definedName>
    <definedName name="__APU221" localSheetId="90">#REF!</definedName>
    <definedName name="__APU221" localSheetId="91">#REF!</definedName>
    <definedName name="__APU221" localSheetId="102">#REF!</definedName>
    <definedName name="__APU221" localSheetId="110">#REF!</definedName>
    <definedName name="__APU221" localSheetId="111">#REF!</definedName>
    <definedName name="__APU221" localSheetId="4">#REF!</definedName>
    <definedName name="__APU221">#REF!</definedName>
    <definedName name="__APU465" localSheetId="16">[2]!absc</definedName>
    <definedName name="__APU465" localSheetId="88">[2]!absc</definedName>
    <definedName name="__APU465" localSheetId="89">[2]!absc</definedName>
    <definedName name="__APU465" localSheetId="90">[2]!absc</definedName>
    <definedName name="__APU465" localSheetId="91">[2]!absc</definedName>
    <definedName name="__APU465" localSheetId="102">[2]!absc</definedName>
    <definedName name="__APU465" localSheetId="110">[2]!absc</definedName>
    <definedName name="__APU465" localSheetId="111">[2]!absc</definedName>
    <definedName name="__APU465" localSheetId="4">[2]!absc</definedName>
    <definedName name="__APU465">[2]!absc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MA2" localSheetId="16">#REF!</definedName>
    <definedName name="__MA2" localSheetId="88">#REF!</definedName>
    <definedName name="__MA2" localSheetId="89">#REF!</definedName>
    <definedName name="__MA2" localSheetId="90">#REF!</definedName>
    <definedName name="__MA2" localSheetId="91">#REF!</definedName>
    <definedName name="__MA2" localSheetId="102">#REF!</definedName>
    <definedName name="__MA2" localSheetId="110">#REF!</definedName>
    <definedName name="__MA2" localSheetId="111">#REF!</definedName>
    <definedName name="__MA2" localSheetId="4">#REF!</definedName>
    <definedName name="__MA2">#REF!</definedName>
    <definedName name="__PJ50" localSheetId="16">#REF!</definedName>
    <definedName name="__PJ50" localSheetId="38">#REF!</definedName>
    <definedName name="__PJ50" localSheetId="88">#REF!</definedName>
    <definedName name="__PJ50" localSheetId="89">#REF!</definedName>
    <definedName name="__PJ50" localSheetId="90">#REF!</definedName>
    <definedName name="__PJ50" localSheetId="91">#REF!</definedName>
    <definedName name="__PJ50" localSheetId="102">#REF!</definedName>
    <definedName name="__PJ50" localSheetId="107">#REF!</definedName>
    <definedName name="__PJ50" localSheetId="108">#REF!</definedName>
    <definedName name="__PJ50" localSheetId="109">#REF!</definedName>
    <definedName name="__PJ50" localSheetId="110">#REF!</definedName>
    <definedName name="__PJ50" localSheetId="111">#REF!</definedName>
    <definedName name="__PJ50" localSheetId="4">#REF!</definedName>
    <definedName name="__PJ50" localSheetId="12">#REF!</definedName>
    <definedName name="__PJ50" localSheetId="13">#REF!</definedName>
    <definedName name="__PJ50" localSheetId="113">#REF!</definedName>
    <definedName name="__PJ50">#REF!</definedName>
    <definedName name="__pj51" localSheetId="16">#REF!</definedName>
    <definedName name="__pj51" localSheetId="38">#REF!</definedName>
    <definedName name="__pj51" localSheetId="88">#REF!</definedName>
    <definedName name="__pj51" localSheetId="89">#REF!</definedName>
    <definedName name="__pj51" localSheetId="90">#REF!</definedName>
    <definedName name="__pj51" localSheetId="91">#REF!</definedName>
    <definedName name="__pj51" localSheetId="102">#REF!</definedName>
    <definedName name="__pj51" localSheetId="107">#REF!</definedName>
    <definedName name="__pj51" localSheetId="108">#REF!</definedName>
    <definedName name="__pj51" localSheetId="109">#REF!</definedName>
    <definedName name="__pj51" localSheetId="110">#REF!</definedName>
    <definedName name="__pj51" localSheetId="111">#REF!</definedName>
    <definedName name="__pj51" localSheetId="4">#REF!</definedName>
    <definedName name="__pj51" localSheetId="12">#REF!</definedName>
    <definedName name="__pj51" localSheetId="13">#REF!</definedName>
    <definedName name="__pj51" localSheetId="113">#REF!</definedName>
    <definedName name="__pj51">#REF!</definedName>
    <definedName name="__SBC1">[1]INV!$A$12:$D$15</definedName>
    <definedName name="__SBC3">[1]INV!$F$12:$I$15</definedName>
    <definedName name="__SBC5">[1]INV!$K$12:$N$15</definedName>
    <definedName name="_a1" hidden="1">{"TAB1",#N/A,TRUE,"GENERAL";"TAB2",#N/A,TRUE,"GENERAL";"TAB3",#N/A,TRUE,"GENERAL";"TAB4",#N/A,TRUE,"GENERAL";"TAB5",#N/A,TRUE,"GENERAL"}</definedName>
    <definedName name="_A17000" localSheetId="16">#REF!</definedName>
    <definedName name="_A17000" localSheetId="38">#REF!</definedName>
    <definedName name="_A17000" localSheetId="88">#REF!</definedName>
    <definedName name="_A17000" localSheetId="89">#REF!</definedName>
    <definedName name="_A17000" localSheetId="90">#REF!</definedName>
    <definedName name="_A17000" localSheetId="91">#REF!</definedName>
    <definedName name="_A17000" localSheetId="102">#REF!</definedName>
    <definedName name="_A17000" localSheetId="107">#REF!</definedName>
    <definedName name="_A17000" localSheetId="108">#REF!</definedName>
    <definedName name="_A17000" localSheetId="109">#REF!</definedName>
    <definedName name="_A17000" localSheetId="110">#REF!</definedName>
    <definedName name="_A17000" localSheetId="111">#REF!</definedName>
    <definedName name="_A17000" localSheetId="4">#REF!</definedName>
    <definedName name="_A17000" localSheetId="113">#REF!</definedName>
    <definedName name="_A17000">#REF!</definedName>
    <definedName name="_A20000" localSheetId="16">#REF!</definedName>
    <definedName name="_A20000" localSheetId="38">#REF!</definedName>
    <definedName name="_A20000" localSheetId="88">#REF!</definedName>
    <definedName name="_A20000" localSheetId="89">#REF!</definedName>
    <definedName name="_A20000" localSheetId="90">#REF!</definedName>
    <definedName name="_A20000" localSheetId="91">#REF!</definedName>
    <definedName name="_A20000" localSheetId="102">#REF!</definedName>
    <definedName name="_A20000" localSheetId="107">#REF!</definedName>
    <definedName name="_A20000" localSheetId="108">#REF!</definedName>
    <definedName name="_A20000" localSheetId="109">#REF!</definedName>
    <definedName name="_A20000" localSheetId="110">#REF!</definedName>
    <definedName name="_A20000" localSheetId="111">#REF!</definedName>
    <definedName name="_A20000" localSheetId="4">#REF!</definedName>
    <definedName name="_A20000" localSheetId="113">#REF!</definedName>
    <definedName name="_A20000">#REF!</definedName>
    <definedName name="_a3" hidden="1">{"TAB1",#N/A,TRUE,"GENERAL";"TAB2",#N/A,TRUE,"GENERAL";"TAB3",#N/A,TRUE,"GENERAL";"TAB4",#N/A,TRUE,"GENERAL";"TAB5",#N/A,TRUE,"GENERAL"}</definedName>
    <definedName name="_A30000" localSheetId="16">#REF!</definedName>
    <definedName name="_A30000" localSheetId="38">#REF!</definedName>
    <definedName name="_A30000" localSheetId="88">#REF!</definedName>
    <definedName name="_A30000" localSheetId="89">#REF!</definedName>
    <definedName name="_A30000" localSheetId="90">#REF!</definedName>
    <definedName name="_A30000" localSheetId="91">#REF!</definedName>
    <definedName name="_A30000" localSheetId="102">#REF!</definedName>
    <definedName name="_A30000" localSheetId="107">#REF!</definedName>
    <definedName name="_A30000" localSheetId="108">#REF!</definedName>
    <definedName name="_A30000" localSheetId="109">#REF!</definedName>
    <definedName name="_A30000" localSheetId="110">#REF!</definedName>
    <definedName name="_A30000" localSheetId="111">#REF!</definedName>
    <definedName name="_A30000" localSheetId="4">#REF!</definedName>
    <definedName name="_A30000" localSheetId="113">#REF!</definedName>
    <definedName name="_A3000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FC1">[1]INV!$A$25:$D$28</definedName>
    <definedName name="_AFC3">[1]INV!$F$25:$I$28</definedName>
    <definedName name="_AFC5">[1]INV!$K$25:$N$28</definedName>
    <definedName name="_APU221" localSheetId="16">#REF!</definedName>
    <definedName name="_APU221" localSheetId="38">#REF!</definedName>
    <definedName name="_APU221" localSheetId="88">#REF!</definedName>
    <definedName name="_APU221" localSheetId="89">#REF!</definedName>
    <definedName name="_APU221" localSheetId="90">#REF!</definedName>
    <definedName name="_APU221" localSheetId="91">#REF!</definedName>
    <definedName name="_APU221" localSheetId="102">#REF!</definedName>
    <definedName name="_APU221" localSheetId="107">#REF!</definedName>
    <definedName name="_APU221" localSheetId="108">#REF!</definedName>
    <definedName name="_APU221" localSheetId="109">#REF!</definedName>
    <definedName name="_APU221" localSheetId="110">#REF!</definedName>
    <definedName name="_APU221" localSheetId="111">#REF!</definedName>
    <definedName name="_APU221" localSheetId="4">#REF!</definedName>
    <definedName name="_APU221" localSheetId="12">#REF!</definedName>
    <definedName name="_APU221" localSheetId="13">#REF!</definedName>
    <definedName name="_APU221" localSheetId="113">#REF!</definedName>
    <definedName name="_APU221">#REF!</definedName>
    <definedName name="_APU465" localSheetId="16">[2]!absc</definedName>
    <definedName name="_APU465" localSheetId="38">[2]!absc</definedName>
    <definedName name="_APU465" localSheetId="88">[2]!absc</definedName>
    <definedName name="_APU465" localSheetId="89">[2]!absc</definedName>
    <definedName name="_APU465" localSheetId="90">[2]!absc</definedName>
    <definedName name="_APU465" localSheetId="91">[2]!absc</definedName>
    <definedName name="_APU465" localSheetId="102">[2]!absc</definedName>
    <definedName name="_APU465" localSheetId="107">[2]!absc</definedName>
    <definedName name="_APU465" localSheetId="108">[2]!absc</definedName>
    <definedName name="_APU465" localSheetId="109">[2]!absc</definedName>
    <definedName name="_APU465" localSheetId="110">[2]!absc</definedName>
    <definedName name="_APU465" localSheetId="111">[2]!absc</definedName>
    <definedName name="_APU465" localSheetId="4">[2]!absc</definedName>
    <definedName name="_APU465" localSheetId="12">[2]!absc</definedName>
    <definedName name="_APU465" localSheetId="13">[2]!absc</definedName>
    <definedName name="_APU465" localSheetId="113">[2]!absc</definedName>
    <definedName name="_APU465">[2]!absc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EST1" localSheetId="16">#REF!</definedName>
    <definedName name="_EST1" localSheetId="88">#REF!</definedName>
    <definedName name="_EST1" localSheetId="89">#REF!</definedName>
    <definedName name="_EST1" localSheetId="90">#REF!</definedName>
    <definedName name="_EST1" localSheetId="91">#REF!</definedName>
    <definedName name="_EST1" localSheetId="102">#REF!</definedName>
    <definedName name="_EST1" localSheetId="110">#REF!</definedName>
    <definedName name="_EST1" localSheetId="111">#REF!</definedName>
    <definedName name="_EST1" localSheetId="4">#REF!</definedName>
    <definedName name="_EST1">#REF!</definedName>
    <definedName name="_EST10" localSheetId="16">#REF!</definedName>
    <definedName name="_EST10" localSheetId="88">#REF!</definedName>
    <definedName name="_EST10" localSheetId="89">#REF!</definedName>
    <definedName name="_EST10" localSheetId="90">#REF!</definedName>
    <definedName name="_EST10" localSheetId="91">#REF!</definedName>
    <definedName name="_EST10" localSheetId="102">#REF!</definedName>
    <definedName name="_EST10" localSheetId="110">#REF!</definedName>
    <definedName name="_EST10" localSheetId="111">#REF!</definedName>
    <definedName name="_EST10" localSheetId="4">#REF!</definedName>
    <definedName name="_EST10">#REF!</definedName>
    <definedName name="_EST11" localSheetId="16">#REF!</definedName>
    <definedName name="_EST11" localSheetId="88">#REF!</definedName>
    <definedName name="_EST11" localSheetId="89">#REF!</definedName>
    <definedName name="_EST11" localSheetId="90">#REF!</definedName>
    <definedName name="_EST11" localSheetId="91">#REF!</definedName>
    <definedName name="_EST11" localSheetId="102">#REF!</definedName>
    <definedName name="_EST11" localSheetId="110">#REF!</definedName>
    <definedName name="_EST11" localSheetId="111">#REF!</definedName>
    <definedName name="_EST11" localSheetId="4">#REF!</definedName>
    <definedName name="_EST11">#REF!</definedName>
    <definedName name="_EST12" localSheetId="16">#REF!</definedName>
    <definedName name="_EST12" localSheetId="88">#REF!</definedName>
    <definedName name="_EST12" localSheetId="89">#REF!</definedName>
    <definedName name="_EST12" localSheetId="90">#REF!</definedName>
    <definedName name="_EST12" localSheetId="91">#REF!</definedName>
    <definedName name="_EST12" localSheetId="102">#REF!</definedName>
    <definedName name="_EST12" localSheetId="110">#REF!</definedName>
    <definedName name="_EST12" localSheetId="111">#REF!</definedName>
    <definedName name="_EST12" localSheetId="4">#REF!</definedName>
    <definedName name="_EST12">#REF!</definedName>
    <definedName name="_EST13" localSheetId="16">#REF!</definedName>
    <definedName name="_EST13" localSheetId="88">#REF!</definedName>
    <definedName name="_EST13" localSheetId="89">#REF!</definedName>
    <definedName name="_EST13" localSheetId="90">#REF!</definedName>
    <definedName name="_EST13" localSheetId="91">#REF!</definedName>
    <definedName name="_EST13" localSheetId="102">#REF!</definedName>
    <definedName name="_EST13" localSheetId="110">#REF!</definedName>
    <definedName name="_EST13" localSheetId="111">#REF!</definedName>
    <definedName name="_EST13" localSheetId="4">#REF!</definedName>
    <definedName name="_EST13">#REF!</definedName>
    <definedName name="_EST14" localSheetId="16">#REF!</definedName>
    <definedName name="_EST14" localSheetId="88">#REF!</definedName>
    <definedName name="_EST14" localSheetId="89">#REF!</definedName>
    <definedName name="_EST14" localSheetId="90">#REF!</definedName>
    <definedName name="_EST14" localSheetId="91">#REF!</definedName>
    <definedName name="_EST14" localSheetId="102">#REF!</definedName>
    <definedName name="_EST14" localSheetId="110">#REF!</definedName>
    <definedName name="_EST14" localSheetId="111">#REF!</definedName>
    <definedName name="_EST14" localSheetId="4">#REF!</definedName>
    <definedName name="_EST14">#REF!</definedName>
    <definedName name="_EST15" localSheetId="16">#REF!</definedName>
    <definedName name="_EST15" localSheetId="88">#REF!</definedName>
    <definedName name="_EST15" localSheetId="89">#REF!</definedName>
    <definedName name="_EST15" localSheetId="90">#REF!</definedName>
    <definedName name="_EST15" localSheetId="91">#REF!</definedName>
    <definedName name="_EST15" localSheetId="102">#REF!</definedName>
    <definedName name="_EST15" localSheetId="110">#REF!</definedName>
    <definedName name="_EST15" localSheetId="111">#REF!</definedName>
    <definedName name="_EST15" localSheetId="4">#REF!</definedName>
    <definedName name="_EST15">#REF!</definedName>
    <definedName name="_EST16" localSheetId="16">#REF!</definedName>
    <definedName name="_EST16" localSheetId="88">#REF!</definedName>
    <definedName name="_EST16" localSheetId="89">#REF!</definedName>
    <definedName name="_EST16" localSheetId="90">#REF!</definedName>
    <definedName name="_EST16" localSheetId="91">#REF!</definedName>
    <definedName name="_EST16" localSheetId="102">#REF!</definedName>
    <definedName name="_EST16" localSheetId="110">#REF!</definedName>
    <definedName name="_EST16" localSheetId="111">#REF!</definedName>
    <definedName name="_EST16" localSheetId="4">#REF!</definedName>
    <definedName name="_EST16">#REF!</definedName>
    <definedName name="_EST17" localSheetId="16">#REF!</definedName>
    <definedName name="_EST17" localSheetId="88">#REF!</definedName>
    <definedName name="_EST17" localSheetId="89">#REF!</definedName>
    <definedName name="_EST17" localSheetId="90">#REF!</definedName>
    <definedName name="_EST17" localSheetId="91">#REF!</definedName>
    <definedName name="_EST17" localSheetId="102">#REF!</definedName>
    <definedName name="_EST17" localSheetId="110">#REF!</definedName>
    <definedName name="_EST17" localSheetId="111">#REF!</definedName>
    <definedName name="_EST17" localSheetId="4">#REF!</definedName>
    <definedName name="_EST17">#REF!</definedName>
    <definedName name="_EST18" localSheetId="16">#REF!</definedName>
    <definedName name="_EST18" localSheetId="88">#REF!</definedName>
    <definedName name="_EST18" localSheetId="89">#REF!</definedName>
    <definedName name="_EST18" localSheetId="90">#REF!</definedName>
    <definedName name="_EST18" localSheetId="91">#REF!</definedName>
    <definedName name="_EST18" localSheetId="102">#REF!</definedName>
    <definedName name="_EST18" localSheetId="110">#REF!</definedName>
    <definedName name="_EST18" localSheetId="111">#REF!</definedName>
    <definedName name="_EST18" localSheetId="4">#REF!</definedName>
    <definedName name="_EST18">#REF!</definedName>
    <definedName name="_EST19" localSheetId="16">#REF!</definedName>
    <definedName name="_EST19" localSheetId="88">#REF!</definedName>
    <definedName name="_EST19" localSheetId="89">#REF!</definedName>
    <definedName name="_EST19" localSheetId="90">#REF!</definedName>
    <definedName name="_EST19" localSheetId="91">#REF!</definedName>
    <definedName name="_EST19" localSheetId="102">#REF!</definedName>
    <definedName name="_EST19" localSheetId="110">#REF!</definedName>
    <definedName name="_EST19" localSheetId="111">#REF!</definedName>
    <definedName name="_EST19" localSheetId="4">#REF!</definedName>
    <definedName name="_EST19">#REF!</definedName>
    <definedName name="_EST2" localSheetId="16">#REF!</definedName>
    <definedName name="_EST2" localSheetId="88">#REF!</definedName>
    <definedName name="_EST2" localSheetId="89">#REF!</definedName>
    <definedName name="_EST2" localSheetId="90">#REF!</definedName>
    <definedName name="_EST2" localSheetId="91">#REF!</definedName>
    <definedName name="_EST2" localSheetId="102">#REF!</definedName>
    <definedName name="_EST2" localSheetId="110">#REF!</definedName>
    <definedName name="_EST2" localSheetId="111">#REF!</definedName>
    <definedName name="_EST2" localSheetId="4">#REF!</definedName>
    <definedName name="_EST2">#REF!</definedName>
    <definedName name="_EST3" localSheetId="16">#REF!</definedName>
    <definedName name="_EST3" localSheetId="88">#REF!</definedName>
    <definedName name="_EST3" localSheetId="89">#REF!</definedName>
    <definedName name="_EST3" localSheetId="90">#REF!</definedName>
    <definedName name="_EST3" localSheetId="91">#REF!</definedName>
    <definedName name="_EST3" localSheetId="102">#REF!</definedName>
    <definedName name="_EST3" localSheetId="110">#REF!</definedName>
    <definedName name="_EST3" localSheetId="111">#REF!</definedName>
    <definedName name="_EST3" localSheetId="4">#REF!</definedName>
    <definedName name="_EST3">#REF!</definedName>
    <definedName name="_EST4" localSheetId="16">#REF!</definedName>
    <definedName name="_EST4" localSheetId="88">#REF!</definedName>
    <definedName name="_EST4" localSheetId="89">#REF!</definedName>
    <definedName name="_EST4" localSheetId="90">#REF!</definedName>
    <definedName name="_EST4" localSheetId="91">#REF!</definedName>
    <definedName name="_EST4" localSheetId="102">#REF!</definedName>
    <definedName name="_EST4" localSheetId="110">#REF!</definedName>
    <definedName name="_EST4" localSheetId="111">#REF!</definedName>
    <definedName name="_EST4" localSheetId="4">#REF!</definedName>
    <definedName name="_EST4">#REF!</definedName>
    <definedName name="_EST5" localSheetId="16">#REF!</definedName>
    <definedName name="_EST5" localSheetId="88">#REF!</definedName>
    <definedName name="_EST5" localSheetId="89">#REF!</definedName>
    <definedName name="_EST5" localSheetId="90">#REF!</definedName>
    <definedName name="_EST5" localSheetId="91">#REF!</definedName>
    <definedName name="_EST5" localSheetId="102">#REF!</definedName>
    <definedName name="_EST5" localSheetId="110">#REF!</definedName>
    <definedName name="_EST5" localSheetId="111">#REF!</definedName>
    <definedName name="_EST5" localSheetId="4">#REF!</definedName>
    <definedName name="_EST5">#REF!</definedName>
    <definedName name="_EST6" localSheetId="16">#REF!</definedName>
    <definedName name="_EST6" localSheetId="88">#REF!</definedName>
    <definedName name="_EST6" localSheetId="89">#REF!</definedName>
    <definedName name="_EST6" localSheetId="90">#REF!</definedName>
    <definedName name="_EST6" localSheetId="91">#REF!</definedName>
    <definedName name="_EST6" localSheetId="102">#REF!</definedName>
    <definedName name="_EST6" localSheetId="110">#REF!</definedName>
    <definedName name="_EST6" localSheetId="111">#REF!</definedName>
    <definedName name="_EST6" localSheetId="4">#REF!</definedName>
    <definedName name="_EST6">#REF!</definedName>
    <definedName name="_EST7" localSheetId="16">#REF!</definedName>
    <definedName name="_EST7" localSheetId="88">#REF!</definedName>
    <definedName name="_EST7" localSheetId="89">#REF!</definedName>
    <definedName name="_EST7" localSheetId="90">#REF!</definedName>
    <definedName name="_EST7" localSheetId="91">#REF!</definedName>
    <definedName name="_EST7" localSheetId="102">#REF!</definedName>
    <definedName name="_EST7" localSheetId="110">#REF!</definedName>
    <definedName name="_EST7" localSheetId="111">#REF!</definedName>
    <definedName name="_EST7" localSheetId="4">#REF!</definedName>
    <definedName name="_EST7">#REF!</definedName>
    <definedName name="_EST8" localSheetId="16">#REF!</definedName>
    <definedName name="_EST8" localSheetId="88">#REF!</definedName>
    <definedName name="_EST8" localSheetId="89">#REF!</definedName>
    <definedName name="_EST8" localSheetId="90">#REF!</definedName>
    <definedName name="_EST8" localSheetId="91">#REF!</definedName>
    <definedName name="_EST8" localSheetId="102">#REF!</definedName>
    <definedName name="_EST8" localSheetId="110">#REF!</definedName>
    <definedName name="_EST8" localSheetId="111">#REF!</definedName>
    <definedName name="_EST8" localSheetId="4">#REF!</definedName>
    <definedName name="_EST8">#REF!</definedName>
    <definedName name="_EST9" localSheetId="16">#REF!</definedName>
    <definedName name="_EST9" localSheetId="88">#REF!</definedName>
    <definedName name="_EST9" localSheetId="89">#REF!</definedName>
    <definedName name="_EST9" localSheetId="90">#REF!</definedName>
    <definedName name="_EST9" localSheetId="91">#REF!</definedName>
    <definedName name="_EST9" localSheetId="102">#REF!</definedName>
    <definedName name="_EST9" localSheetId="110">#REF!</definedName>
    <definedName name="_EST9" localSheetId="111">#REF!</definedName>
    <definedName name="_EST9" localSheetId="4">#REF!</definedName>
    <definedName name="_EST9">#REF!</definedName>
    <definedName name="_EXC1" localSheetId="16">#REF!</definedName>
    <definedName name="_EXC1" localSheetId="88">#REF!</definedName>
    <definedName name="_EXC1" localSheetId="89">#REF!</definedName>
    <definedName name="_EXC1" localSheetId="90">#REF!</definedName>
    <definedName name="_EXC1" localSheetId="91">#REF!</definedName>
    <definedName name="_EXC1" localSheetId="102">#REF!</definedName>
    <definedName name="_EXC1" localSheetId="110">#REF!</definedName>
    <definedName name="_EXC1" localSheetId="111">#REF!</definedName>
    <definedName name="_EXC1" localSheetId="4">#REF!</definedName>
    <definedName name="_EXC1">#REF!</definedName>
    <definedName name="_EXC10" localSheetId="16">#REF!</definedName>
    <definedName name="_EXC10" localSheetId="88">#REF!</definedName>
    <definedName name="_EXC10" localSheetId="89">#REF!</definedName>
    <definedName name="_EXC10" localSheetId="90">#REF!</definedName>
    <definedName name="_EXC10" localSheetId="91">#REF!</definedName>
    <definedName name="_EXC10" localSheetId="102">#REF!</definedName>
    <definedName name="_EXC10" localSheetId="110">#REF!</definedName>
    <definedName name="_EXC10" localSheetId="111">#REF!</definedName>
    <definedName name="_EXC10" localSheetId="4">#REF!</definedName>
    <definedName name="_EXC10">#REF!</definedName>
    <definedName name="_EXC11" localSheetId="16">#REF!</definedName>
    <definedName name="_EXC11" localSheetId="88">#REF!</definedName>
    <definedName name="_EXC11" localSheetId="89">#REF!</definedName>
    <definedName name="_EXC11" localSheetId="90">#REF!</definedName>
    <definedName name="_EXC11" localSheetId="91">#REF!</definedName>
    <definedName name="_EXC11" localSheetId="102">#REF!</definedName>
    <definedName name="_EXC11" localSheetId="110">#REF!</definedName>
    <definedName name="_EXC11" localSheetId="111">#REF!</definedName>
    <definedName name="_EXC11" localSheetId="4">#REF!</definedName>
    <definedName name="_EXC11">#REF!</definedName>
    <definedName name="_EXC12" localSheetId="16">#REF!</definedName>
    <definedName name="_EXC12" localSheetId="88">#REF!</definedName>
    <definedName name="_EXC12" localSheetId="89">#REF!</definedName>
    <definedName name="_EXC12" localSheetId="90">#REF!</definedName>
    <definedName name="_EXC12" localSheetId="91">#REF!</definedName>
    <definedName name="_EXC12" localSheetId="102">#REF!</definedName>
    <definedName name="_EXC12" localSheetId="110">#REF!</definedName>
    <definedName name="_EXC12" localSheetId="111">#REF!</definedName>
    <definedName name="_EXC12" localSheetId="4">#REF!</definedName>
    <definedName name="_EXC12">#REF!</definedName>
    <definedName name="_EXC2" localSheetId="16">#REF!</definedName>
    <definedName name="_EXC2" localSheetId="88">#REF!</definedName>
    <definedName name="_EXC2" localSheetId="89">#REF!</definedName>
    <definedName name="_EXC2" localSheetId="90">#REF!</definedName>
    <definedName name="_EXC2" localSheetId="91">#REF!</definedName>
    <definedName name="_EXC2" localSheetId="102">#REF!</definedName>
    <definedName name="_EXC2" localSheetId="110">#REF!</definedName>
    <definedName name="_EXC2" localSheetId="111">#REF!</definedName>
    <definedName name="_EXC2" localSheetId="4">#REF!</definedName>
    <definedName name="_EXC2">#REF!</definedName>
    <definedName name="_EXC3" localSheetId="16">#REF!</definedName>
    <definedName name="_EXC3" localSheetId="88">#REF!</definedName>
    <definedName name="_EXC3" localSheetId="89">#REF!</definedName>
    <definedName name="_EXC3" localSheetId="90">#REF!</definedName>
    <definedName name="_EXC3" localSheetId="91">#REF!</definedName>
    <definedName name="_EXC3" localSheetId="102">#REF!</definedName>
    <definedName name="_EXC3" localSheetId="110">#REF!</definedName>
    <definedName name="_EXC3" localSheetId="111">#REF!</definedName>
    <definedName name="_EXC3" localSheetId="4">#REF!</definedName>
    <definedName name="_EXC3">#REF!</definedName>
    <definedName name="_EXC4" localSheetId="16">#REF!</definedName>
    <definedName name="_EXC4" localSheetId="88">#REF!</definedName>
    <definedName name="_EXC4" localSheetId="89">#REF!</definedName>
    <definedName name="_EXC4" localSheetId="90">#REF!</definedName>
    <definedName name="_EXC4" localSheetId="91">#REF!</definedName>
    <definedName name="_EXC4" localSheetId="102">#REF!</definedName>
    <definedName name="_EXC4" localSheetId="110">#REF!</definedName>
    <definedName name="_EXC4" localSheetId="111">#REF!</definedName>
    <definedName name="_EXC4" localSheetId="4">#REF!</definedName>
    <definedName name="_EXC4">#REF!</definedName>
    <definedName name="_EXC5" localSheetId="16">#REF!</definedName>
    <definedName name="_EXC5" localSheetId="88">#REF!</definedName>
    <definedName name="_EXC5" localSheetId="89">#REF!</definedName>
    <definedName name="_EXC5" localSheetId="90">#REF!</definedName>
    <definedName name="_EXC5" localSheetId="91">#REF!</definedName>
    <definedName name="_EXC5" localSheetId="102">#REF!</definedName>
    <definedName name="_EXC5" localSheetId="110">#REF!</definedName>
    <definedName name="_EXC5" localSheetId="111">#REF!</definedName>
    <definedName name="_EXC5" localSheetId="4">#REF!</definedName>
    <definedName name="_EXC5">#REF!</definedName>
    <definedName name="_EXC6" localSheetId="16">#REF!</definedName>
    <definedName name="_EXC6" localSheetId="88">#REF!</definedName>
    <definedName name="_EXC6" localSheetId="89">#REF!</definedName>
    <definedName name="_EXC6" localSheetId="90">#REF!</definedName>
    <definedName name="_EXC6" localSheetId="91">#REF!</definedName>
    <definedName name="_EXC6" localSheetId="102">#REF!</definedName>
    <definedName name="_EXC6" localSheetId="110">#REF!</definedName>
    <definedName name="_EXC6" localSheetId="111">#REF!</definedName>
    <definedName name="_EXC6" localSheetId="4">#REF!</definedName>
    <definedName name="_EXC6">#REF!</definedName>
    <definedName name="_EXC7" localSheetId="16">#REF!</definedName>
    <definedName name="_EXC7" localSheetId="88">#REF!</definedName>
    <definedName name="_EXC7" localSheetId="89">#REF!</definedName>
    <definedName name="_EXC7" localSheetId="90">#REF!</definedName>
    <definedName name="_EXC7" localSheetId="91">#REF!</definedName>
    <definedName name="_EXC7" localSheetId="102">#REF!</definedName>
    <definedName name="_EXC7" localSheetId="110">#REF!</definedName>
    <definedName name="_EXC7" localSheetId="111">#REF!</definedName>
    <definedName name="_EXC7" localSheetId="4">#REF!</definedName>
    <definedName name="_EXC7">#REF!</definedName>
    <definedName name="_EXC8" localSheetId="16">#REF!</definedName>
    <definedName name="_EXC8" localSheetId="88">#REF!</definedName>
    <definedName name="_EXC8" localSheetId="89">#REF!</definedName>
    <definedName name="_EXC8" localSheetId="90">#REF!</definedName>
    <definedName name="_EXC8" localSheetId="91">#REF!</definedName>
    <definedName name="_EXC8" localSheetId="102">#REF!</definedName>
    <definedName name="_EXC8" localSheetId="110">#REF!</definedName>
    <definedName name="_EXC8" localSheetId="111">#REF!</definedName>
    <definedName name="_EXC8" localSheetId="4">#REF!</definedName>
    <definedName name="_EXC8">#REF!</definedName>
    <definedName name="_EXC9" localSheetId="16">#REF!</definedName>
    <definedName name="_EXC9" localSheetId="88">#REF!</definedName>
    <definedName name="_EXC9" localSheetId="89">#REF!</definedName>
    <definedName name="_EXC9" localSheetId="90">#REF!</definedName>
    <definedName name="_EXC9" localSheetId="91">#REF!</definedName>
    <definedName name="_EXC9" localSheetId="102">#REF!</definedName>
    <definedName name="_EXC9" localSheetId="110">#REF!</definedName>
    <definedName name="_EXC9" localSheetId="111">#REF!</definedName>
    <definedName name="_EXC9" localSheetId="4">#REF!</definedName>
    <definedName name="_EXC9">#REF!</definedName>
    <definedName name="_Fill" localSheetId="16" hidden="1">#REF!</definedName>
    <definedName name="_Fill" localSheetId="38" hidden="1">#REF!</definedName>
    <definedName name="_Fill" localSheetId="88" hidden="1">#REF!</definedName>
    <definedName name="_Fill" localSheetId="89" hidden="1">#REF!</definedName>
    <definedName name="_Fill" localSheetId="90" hidden="1">#REF!</definedName>
    <definedName name="_Fill" localSheetId="91" hidden="1">#REF!</definedName>
    <definedName name="_Fill" localSheetId="102" hidden="1">#REF!</definedName>
    <definedName name="_Fill" localSheetId="107" hidden="1">#REF!</definedName>
    <definedName name="_Fill" localSheetId="108" hidden="1">#REF!</definedName>
    <definedName name="_Fill" localSheetId="109" hidden="1">#REF!</definedName>
    <definedName name="_Fill" localSheetId="110" hidden="1">#REF!</definedName>
    <definedName name="_Fill" localSheetId="111" hidden="1">#REF!</definedName>
    <definedName name="_Fill" localSheetId="1" hidden="1">#REF!</definedName>
    <definedName name="_Fill" localSheetId="4" hidden="1">#REF!</definedName>
    <definedName name="_Fill" localSheetId="13" hidden="1">#REF!</definedName>
    <definedName name="_Fill" localSheetId="113" hidden="1">#REF!</definedName>
    <definedName name="_Fill" hidden="1">#REF!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localSheetId="16" hidden="1">#REF!</definedName>
    <definedName name="_Key1" localSheetId="38" hidden="1">#REF!</definedName>
    <definedName name="_Key1" localSheetId="88" hidden="1">#REF!</definedName>
    <definedName name="_Key1" localSheetId="89" hidden="1">#REF!</definedName>
    <definedName name="_Key1" localSheetId="90" hidden="1">#REF!</definedName>
    <definedName name="_Key1" localSheetId="91" hidden="1">#REF!</definedName>
    <definedName name="_Key1" localSheetId="102" hidden="1">#REF!</definedName>
    <definedName name="_Key1" localSheetId="107" hidden="1">#REF!</definedName>
    <definedName name="_Key1" localSheetId="108" hidden="1">#REF!</definedName>
    <definedName name="_Key1" localSheetId="109" hidden="1">#REF!</definedName>
    <definedName name="_Key1" localSheetId="110" hidden="1">#REF!</definedName>
    <definedName name="_Key1" localSheetId="111" hidden="1">#REF!</definedName>
    <definedName name="_Key1" localSheetId="1" hidden="1">#REF!</definedName>
    <definedName name="_Key1" localSheetId="4" hidden="1">#REF!</definedName>
    <definedName name="_Key1" localSheetId="13" hidden="1">#REF!</definedName>
    <definedName name="_Key1" localSheetId="113" hidden="1">#REF!</definedName>
    <definedName name="_Key1" hidden="1">#REF!</definedName>
    <definedName name="_Key2" localSheetId="16" hidden="1">#REF!</definedName>
    <definedName name="_Key2" localSheetId="38" hidden="1">#REF!</definedName>
    <definedName name="_Key2" localSheetId="88" hidden="1">#REF!</definedName>
    <definedName name="_Key2" localSheetId="89" hidden="1">#REF!</definedName>
    <definedName name="_Key2" localSheetId="90" hidden="1">#REF!</definedName>
    <definedName name="_Key2" localSheetId="91" hidden="1">#REF!</definedName>
    <definedName name="_Key2" localSheetId="102" hidden="1">#REF!</definedName>
    <definedName name="_Key2" localSheetId="107" hidden="1">#REF!</definedName>
    <definedName name="_Key2" localSheetId="108" hidden="1">#REF!</definedName>
    <definedName name="_Key2" localSheetId="109" hidden="1">#REF!</definedName>
    <definedName name="_Key2" localSheetId="110" hidden="1">#REF!</definedName>
    <definedName name="_Key2" localSheetId="111" hidden="1">#REF!</definedName>
    <definedName name="_Key2" localSheetId="1" hidden="1">#REF!</definedName>
    <definedName name="_Key2" localSheetId="4" hidden="1">#REF!</definedName>
    <definedName name="_Key2" localSheetId="113" hidden="1">#REF!</definedName>
    <definedName name="_Key2" hidden="1">#REF!</definedName>
    <definedName name="_kjk6" hidden="1">{"TAB1",#N/A,TRUE,"GENERAL";"TAB2",#N/A,TRUE,"GENERAL";"TAB3",#N/A,TRUE,"GENERAL";"TAB4",#N/A,TRUE,"GENERAL";"TAB5",#N/A,TRUE,"GENERAL"}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16">#REF!</definedName>
    <definedName name="_MA2" localSheetId="88">#REF!</definedName>
    <definedName name="_MA2" localSheetId="89">#REF!</definedName>
    <definedName name="_MA2" localSheetId="90">#REF!</definedName>
    <definedName name="_MA2" localSheetId="91">#REF!</definedName>
    <definedName name="_MA2" localSheetId="102">#REF!</definedName>
    <definedName name="_MA2" localSheetId="110">#REF!</definedName>
    <definedName name="_MA2" localSheetId="111">#REF!</definedName>
    <definedName name="_MA2" localSheetId="4">#REF!</definedName>
    <definedName name="_MA2">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rder1" localSheetId="13" hidden="1">255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J50" localSheetId="16">#REF!</definedName>
    <definedName name="_PJ50" localSheetId="38">#REF!</definedName>
    <definedName name="_PJ50" localSheetId="88">#REF!</definedName>
    <definedName name="_PJ50" localSheetId="89">#REF!</definedName>
    <definedName name="_PJ50" localSheetId="90">#REF!</definedName>
    <definedName name="_PJ50" localSheetId="91">#REF!</definedName>
    <definedName name="_PJ50" localSheetId="102">#REF!</definedName>
    <definedName name="_PJ50" localSheetId="107">#REF!</definedName>
    <definedName name="_PJ50" localSheetId="108">#REF!</definedName>
    <definedName name="_PJ50" localSheetId="109">#REF!</definedName>
    <definedName name="_PJ50" localSheetId="110">#REF!</definedName>
    <definedName name="_PJ50" localSheetId="111">#REF!</definedName>
    <definedName name="_PJ50" localSheetId="4">#REF!</definedName>
    <definedName name="_PJ50" localSheetId="12">#REF!</definedName>
    <definedName name="_PJ50" localSheetId="13">#REF!</definedName>
    <definedName name="_PJ50" localSheetId="113">#REF!</definedName>
    <definedName name="_PJ50">#REF!</definedName>
    <definedName name="_pj51" localSheetId="16">#REF!</definedName>
    <definedName name="_pj51" localSheetId="38">#REF!</definedName>
    <definedName name="_pj51" localSheetId="88">#REF!</definedName>
    <definedName name="_pj51" localSheetId="89">#REF!</definedName>
    <definedName name="_pj51" localSheetId="90">#REF!</definedName>
    <definedName name="_pj51" localSheetId="91">#REF!</definedName>
    <definedName name="_pj51" localSheetId="102">#REF!</definedName>
    <definedName name="_pj51" localSheetId="107">#REF!</definedName>
    <definedName name="_pj51" localSheetId="108">#REF!</definedName>
    <definedName name="_pj51" localSheetId="109">#REF!</definedName>
    <definedName name="_pj51" localSheetId="110">#REF!</definedName>
    <definedName name="_pj51" localSheetId="111">#REF!</definedName>
    <definedName name="_pj51" localSheetId="4">#REF!</definedName>
    <definedName name="_pj51" localSheetId="12">#REF!</definedName>
    <definedName name="_pj51" localSheetId="13">#REF!</definedName>
    <definedName name="_pj51" localSheetId="113">#REF!</definedName>
    <definedName name="_pj51">#REF!</definedName>
    <definedName name="_PRE1" localSheetId="16">#REF!</definedName>
    <definedName name="_PRE1" localSheetId="88">#REF!</definedName>
    <definedName name="_PRE1" localSheetId="89">#REF!</definedName>
    <definedName name="_PRE1" localSheetId="90">#REF!</definedName>
    <definedName name="_PRE1" localSheetId="91">#REF!</definedName>
    <definedName name="_PRE1" localSheetId="102">#REF!</definedName>
    <definedName name="_PRE1" localSheetId="110">#REF!</definedName>
    <definedName name="_PRE1" localSheetId="111">#REF!</definedName>
    <definedName name="_PRE1" localSheetId="4">#REF!</definedName>
    <definedName name="_PRE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[1]INV!$A$12:$D$15</definedName>
    <definedName name="_SBC3">[1]INV!$F$12:$I$15</definedName>
    <definedName name="_SBC5">[1]INV!$K$12:$N$15</definedName>
    <definedName name="_Sort" localSheetId="16" hidden="1">#REF!</definedName>
    <definedName name="_Sort" localSheetId="38" hidden="1">#REF!</definedName>
    <definedName name="_Sort" localSheetId="88" hidden="1">#REF!</definedName>
    <definedName name="_Sort" localSheetId="89" hidden="1">#REF!</definedName>
    <definedName name="_Sort" localSheetId="90" hidden="1">#REF!</definedName>
    <definedName name="_Sort" localSheetId="91" hidden="1">#REF!</definedName>
    <definedName name="_Sort" localSheetId="102" hidden="1">#REF!</definedName>
    <definedName name="_Sort" localSheetId="107" hidden="1">#REF!</definedName>
    <definedName name="_Sort" localSheetId="108" hidden="1">#REF!</definedName>
    <definedName name="_Sort" localSheetId="109" hidden="1">#REF!</definedName>
    <definedName name="_Sort" localSheetId="110" hidden="1">#REF!</definedName>
    <definedName name="_Sort" localSheetId="111" hidden="1">#REF!</definedName>
    <definedName name="_Sort" localSheetId="1" hidden="1">#REF!</definedName>
    <definedName name="_Sort" localSheetId="4" hidden="1">#REF!</definedName>
    <definedName name="_Sort" localSheetId="13" hidden="1">#REF!</definedName>
    <definedName name="_Sort" localSheetId="113" hidden="1">#REF!</definedName>
    <definedName name="_Sort" hidden="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 localSheetId="16">#REF!</definedName>
    <definedName name="a" localSheetId="38">#REF!</definedName>
    <definedName name="a" localSheetId="88">#REF!</definedName>
    <definedName name="a" localSheetId="89">#REF!</definedName>
    <definedName name="a" localSheetId="90">#REF!</definedName>
    <definedName name="a" localSheetId="91">#REF!</definedName>
    <definedName name="a" localSheetId="102">#REF!</definedName>
    <definedName name="a" localSheetId="107">#REF!</definedName>
    <definedName name="a" localSheetId="108">#REF!</definedName>
    <definedName name="a" localSheetId="109">#REF!</definedName>
    <definedName name="a" localSheetId="110">#REF!</definedName>
    <definedName name="a" localSheetId="111">#REF!</definedName>
    <definedName name="a" localSheetId="4">#REF!</definedName>
    <definedName name="A" localSheetId="12">#REF!</definedName>
    <definedName name="A" localSheetId="13">#REF!</definedName>
    <definedName name="a" localSheetId="113">#REF!</definedName>
    <definedName name="a">#REF!</definedName>
    <definedName name="A_impresión_IM" localSheetId="16">#REF!</definedName>
    <definedName name="A_impresión_IM" localSheetId="38">#REF!</definedName>
    <definedName name="A_impresión_IM" localSheetId="88">#REF!</definedName>
    <definedName name="A_impresión_IM" localSheetId="89">#REF!</definedName>
    <definedName name="A_impresión_IM" localSheetId="90">#REF!</definedName>
    <definedName name="A_impresión_IM" localSheetId="91">#REF!</definedName>
    <definedName name="A_impresión_IM" localSheetId="102">#REF!</definedName>
    <definedName name="A_impresión_IM" localSheetId="107">#REF!</definedName>
    <definedName name="A_impresión_IM" localSheetId="108">#REF!</definedName>
    <definedName name="A_impresión_IM" localSheetId="109">#REF!</definedName>
    <definedName name="A_impresión_IM" localSheetId="110">#REF!</definedName>
    <definedName name="A_impresión_IM" localSheetId="111">#REF!</definedName>
    <definedName name="A_impresión_IM" localSheetId="4">#REF!</definedName>
    <definedName name="A_impresión_IM" localSheetId="12">#REF!</definedName>
    <definedName name="A_impresión_IM" localSheetId="13">#REF!</definedName>
    <definedName name="A_impresión_IM" localSheetId="113">#REF!</definedName>
    <definedName name="A_impresión_IM">#REF!</definedName>
    <definedName name="a2a" hidden="1">{"TAB1",#N/A,TRUE,"GENERAL";"TAB2",#N/A,TRUE,"GENERAL";"TAB3",#N/A,TRUE,"GENERAL";"TAB4",#N/A,TRUE,"GENERAL";"TAB5",#N/A,TRUE,"GENERAL"}</definedName>
    <definedName name="aa">#N/A</definedName>
    <definedName name="aaaaas" hidden="1">{"TAB1",#N/A,TRUE,"GENERAL";"TAB2",#N/A,TRUE,"GENERAL";"TAB3",#N/A,TRUE,"GENERAL";"TAB4",#N/A,TRUE,"GENERAL";"TAB5",#N/A,TRUE,"GENERAL"}</definedName>
    <definedName name="AAC">[1]AASHTO!$A$14:$F$17</definedName>
    <definedName name="aas" hidden="1">{"TAB1",#N/A,TRUE,"GENERAL";"TAB2",#N/A,TRUE,"GENERAL";"TAB3",#N/A,TRUE,"GENERAL";"TAB4",#N/A,TRUE,"GENERAL";"TAB5",#N/A,TRUE,"GENERAL"}</definedName>
    <definedName name="ABG">[1]AASHTO!$A$2:$F$5</definedName>
    <definedName name="absc">#N/A</definedName>
    <definedName name="absc_" localSheetId="16">[3]!absc</definedName>
    <definedName name="absc_" localSheetId="88">[3]!absc</definedName>
    <definedName name="absc_" localSheetId="89">[3]!absc</definedName>
    <definedName name="absc_" localSheetId="90">[3]!absc</definedName>
    <definedName name="absc_" localSheetId="91">[3]!absc</definedName>
    <definedName name="absc_" localSheetId="102">[3]!absc</definedName>
    <definedName name="absc_" localSheetId="110">[3]!absc</definedName>
    <definedName name="absc_" localSheetId="111">[3]!absc</definedName>
    <definedName name="absc_" localSheetId="4">[3]!absc</definedName>
    <definedName name="absc_">[3]!absc</definedName>
    <definedName name="absc_1" localSheetId="16">[3]!absc</definedName>
    <definedName name="absc_1" localSheetId="88">[3]!absc</definedName>
    <definedName name="absc_1" localSheetId="89">[3]!absc</definedName>
    <definedName name="absc_1" localSheetId="90">[3]!absc</definedName>
    <definedName name="absc_1" localSheetId="91">[3]!absc</definedName>
    <definedName name="absc_1" localSheetId="102">[3]!absc</definedName>
    <definedName name="absc_1" localSheetId="110">[3]!absc</definedName>
    <definedName name="absc_1" localSheetId="111">[3]!absc</definedName>
    <definedName name="absc_1" localSheetId="4">[3]!absc</definedName>
    <definedName name="absc_1">[3]!absc</definedName>
    <definedName name="absc1" localSheetId="16">[4]!absc</definedName>
    <definedName name="absc1" localSheetId="88">[4]!absc</definedName>
    <definedName name="absc1" localSheetId="89">[4]!absc</definedName>
    <definedName name="absc1" localSheetId="90">[4]!absc</definedName>
    <definedName name="absc1" localSheetId="91">[4]!absc</definedName>
    <definedName name="absc1" localSheetId="102">[4]!absc</definedName>
    <definedName name="absc1" localSheetId="110">[4]!absc</definedName>
    <definedName name="absc1" localSheetId="111">[4]!absc</definedName>
    <definedName name="absc1" localSheetId="4">[4]!absc</definedName>
    <definedName name="absc1">[4]!absc</definedName>
    <definedName name="AccessDatabase" hidden="1">"C:\C-314\VOLUMENES\volfin4.mdb"</definedName>
    <definedName name="ADFGSDB" hidden="1">{"via1",#N/A,TRUE,"general";"via2",#N/A,TRUE,"general";"via3",#N/A,TRUE,"general"}</definedName>
    <definedName name="administrador">[5]Informacion!$B$15</definedName>
    <definedName name="adoc1" localSheetId="16">[4]!absc</definedName>
    <definedName name="adoc1" localSheetId="88">[4]!absc</definedName>
    <definedName name="adoc1" localSheetId="89">[4]!absc</definedName>
    <definedName name="adoc1" localSheetId="90">[4]!absc</definedName>
    <definedName name="adoc1" localSheetId="91">[4]!absc</definedName>
    <definedName name="adoc1" localSheetId="102">[4]!absc</definedName>
    <definedName name="adoc1" localSheetId="110">[4]!absc</definedName>
    <definedName name="adoc1" localSheetId="111">[4]!absc</definedName>
    <definedName name="adoc1" localSheetId="4">[4]!absc</definedName>
    <definedName name="adoc1">[4]!absc</definedName>
    <definedName name="adoq" localSheetId="16">[6]!absc</definedName>
    <definedName name="adoq" localSheetId="38">[6]!absc</definedName>
    <definedName name="adoq" localSheetId="88">[6]!absc</definedName>
    <definedName name="adoq" localSheetId="89">[6]!absc</definedName>
    <definedName name="adoq" localSheetId="90">[6]!absc</definedName>
    <definedName name="adoq" localSheetId="91">[6]!absc</definedName>
    <definedName name="adoq" localSheetId="102">[6]!absc</definedName>
    <definedName name="adoq" localSheetId="107">[6]!absc</definedName>
    <definedName name="adoq" localSheetId="108">[6]!absc</definedName>
    <definedName name="adoq" localSheetId="109">[6]!absc</definedName>
    <definedName name="adoq" localSheetId="110">[6]!absc</definedName>
    <definedName name="adoq" localSheetId="111">[6]!absc</definedName>
    <definedName name="adoq" localSheetId="4">[6]!absc</definedName>
    <definedName name="adoq" localSheetId="12">[6]!absc</definedName>
    <definedName name="adoq" localSheetId="13">[6]!absc</definedName>
    <definedName name="adoq" localSheetId="113">[6]!absc</definedName>
    <definedName name="adoq">[6]!absc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justDelAIU" localSheetId="16">#REF!</definedName>
    <definedName name="AjustDelAIU" localSheetId="38">#REF!</definedName>
    <definedName name="AjustDelAIU" localSheetId="88">#REF!</definedName>
    <definedName name="AjustDelAIU" localSheetId="89">#REF!</definedName>
    <definedName name="AjustDelAIU" localSheetId="90">#REF!</definedName>
    <definedName name="AjustDelAIU" localSheetId="91">#REF!</definedName>
    <definedName name="AjustDelAIU" localSheetId="102">#REF!</definedName>
    <definedName name="AjustDelAIU" localSheetId="107">#REF!</definedName>
    <definedName name="AjustDelAIU" localSheetId="108">#REF!</definedName>
    <definedName name="AjustDelAIU" localSheetId="109">#REF!</definedName>
    <definedName name="AjustDelAIU" localSheetId="110">#REF!</definedName>
    <definedName name="AjustDelAIU" localSheetId="111">#REF!</definedName>
    <definedName name="AjustDelAIU" localSheetId="1">#REF!</definedName>
    <definedName name="AjustDelAIU" localSheetId="4">#REF!</definedName>
    <definedName name="AjustDelAIU" localSheetId="113">#REF!</definedName>
    <definedName name="AjustDelAIU">#REF!</definedName>
    <definedName name="AjustDelAIU2" localSheetId="16">#REF!</definedName>
    <definedName name="AjustDelAIU2" localSheetId="38">#REF!</definedName>
    <definedName name="AjustDelAIU2" localSheetId="88">#REF!</definedName>
    <definedName name="AjustDelAIU2" localSheetId="89">#REF!</definedName>
    <definedName name="AjustDelAIU2" localSheetId="90">#REF!</definedName>
    <definedName name="AjustDelAIU2" localSheetId="91">#REF!</definedName>
    <definedName name="AjustDelAIU2" localSheetId="102">#REF!</definedName>
    <definedName name="AjustDelAIU2" localSheetId="107">#REF!</definedName>
    <definedName name="AjustDelAIU2" localSheetId="108">#REF!</definedName>
    <definedName name="AjustDelAIU2" localSheetId="109">#REF!</definedName>
    <definedName name="AjustDelAIU2" localSheetId="110">#REF!</definedName>
    <definedName name="AjustDelAIU2" localSheetId="111">#REF!</definedName>
    <definedName name="AjustDelAIU2" localSheetId="1">#REF!</definedName>
    <definedName name="AjustDelAIU2" localSheetId="4">#REF!</definedName>
    <definedName name="AjustDelAIU2" localSheetId="113">#REF!</definedName>
    <definedName name="AjustDelAIU2">#REF!</definedName>
    <definedName name="alc" localSheetId="16">[7]!absc</definedName>
    <definedName name="alc" localSheetId="38">[7]!absc</definedName>
    <definedName name="alc" localSheetId="88">[7]!absc</definedName>
    <definedName name="alc" localSheetId="89">[7]!absc</definedName>
    <definedName name="alc" localSheetId="90">[7]!absc</definedName>
    <definedName name="alc" localSheetId="91">[7]!absc</definedName>
    <definedName name="alc" localSheetId="102">[7]!absc</definedName>
    <definedName name="alc" localSheetId="107">[7]!absc</definedName>
    <definedName name="alc" localSheetId="108">[7]!absc</definedName>
    <definedName name="alc" localSheetId="109">[7]!absc</definedName>
    <definedName name="alc" localSheetId="110">[7]!absc</definedName>
    <definedName name="alc" localSheetId="111">[7]!absc</definedName>
    <definedName name="alc" localSheetId="4">[7]!absc</definedName>
    <definedName name="alc" localSheetId="12">[7]!absc</definedName>
    <definedName name="alc" localSheetId="13">[7]!absc</definedName>
    <definedName name="alc" localSheetId="113">[7]!absc</definedName>
    <definedName name="alc">[7]!absc</definedName>
    <definedName name="Antic">[8]BASES!$B$33</definedName>
    <definedName name="ANTICIPO">[8]BASES!$B$33</definedName>
    <definedName name="AÑOWUIE">'[9]Res-Accide-10'!$R$2:$R$7</definedName>
    <definedName name="apu" localSheetId="16">#REF!</definedName>
    <definedName name="apu" localSheetId="38">#REF!</definedName>
    <definedName name="apu" localSheetId="88">#REF!</definedName>
    <definedName name="apu" localSheetId="89">#REF!</definedName>
    <definedName name="apu" localSheetId="90">#REF!</definedName>
    <definedName name="apu" localSheetId="91">#REF!</definedName>
    <definedName name="apu" localSheetId="102">#REF!</definedName>
    <definedName name="apu" localSheetId="107">#REF!</definedName>
    <definedName name="apu" localSheetId="108">#REF!</definedName>
    <definedName name="apu" localSheetId="109">#REF!</definedName>
    <definedName name="apu" localSheetId="110">#REF!</definedName>
    <definedName name="apu" localSheetId="111">#REF!</definedName>
    <definedName name="apu" localSheetId="1">#REF!</definedName>
    <definedName name="apu" localSheetId="4">#REF!</definedName>
    <definedName name="APU" localSheetId="12">[10]!absc</definedName>
    <definedName name="APU" localSheetId="13">[10]!absc</definedName>
    <definedName name="apu" localSheetId="113">#REF!</definedName>
    <definedName name="apu">#REF!</definedName>
    <definedName name="APU221.1" localSheetId="16">#REF!</definedName>
    <definedName name="APU221.1" localSheetId="38">#REF!</definedName>
    <definedName name="APU221.1" localSheetId="88">#REF!</definedName>
    <definedName name="APU221.1" localSheetId="89">#REF!</definedName>
    <definedName name="APU221.1" localSheetId="90">#REF!</definedName>
    <definedName name="APU221.1" localSheetId="91">#REF!</definedName>
    <definedName name="APU221.1" localSheetId="102">#REF!</definedName>
    <definedName name="APU221.1" localSheetId="107">#REF!</definedName>
    <definedName name="APU221.1" localSheetId="108">#REF!</definedName>
    <definedName name="APU221.1" localSheetId="109">#REF!</definedName>
    <definedName name="APU221.1" localSheetId="110">#REF!</definedName>
    <definedName name="APU221.1" localSheetId="111">#REF!</definedName>
    <definedName name="APU221.1" localSheetId="4">#REF!</definedName>
    <definedName name="APU221.1" localSheetId="12">#REF!</definedName>
    <definedName name="APU221.1" localSheetId="13">#REF!</definedName>
    <definedName name="APU221.1" localSheetId="113">#REF!</definedName>
    <definedName name="APU221.1">#REF!</definedName>
    <definedName name="APU221.2" localSheetId="16">#REF!</definedName>
    <definedName name="APU221.2" localSheetId="38">#REF!</definedName>
    <definedName name="APU221.2" localSheetId="88">#REF!</definedName>
    <definedName name="APU221.2" localSheetId="89">#REF!</definedName>
    <definedName name="APU221.2" localSheetId="90">#REF!</definedName>
    <definedName name="APU221.2" localSheetId="91">#REF!</definedName>
    <definedName name="APU221.2" localSheetId="102">#REF!</definedName>
    <definedName name="APU221.2" localSheetId="107">#REF!</definedName>
    <definedName name="APU221.2" localSheetId="108">#REF!</definedName>
    <definedName name="APU221.2" localSheetId="109">#REF!</definedName>
    <definedName name="APU221.2" localSheetId="110">#REF!</definedName>
    <definedName name="APU221.2" localSheetId="111">#REF!</definedName>
    <definedName name="APU221.2" localSheetId="4">#REF!</definedName>
    <definedName name="APU221.2" localSheetId="12">#REF!</definedName>
    <definedName name="APU221.2" localSheetId="13">#REF!</definedName>
    <definedName name="APU221.2" localSheetId="113">#REF!</definedName>
    <definedName name="APU221.2">#REF!</definedName>
    <definedName name="aqaq" hidden="1">{"TAB1",#N/A,TRUE,"GENERAL";"TAB2",#N/A,TRUE,"GENERAL";"TAB3",#N/A,TRUE,"GENERAL";"TAB4",#N/A,TRUE,"GENERAL";"TAB5",#N/A,TRUE,"GENERAL"}</definedName>
    <definedName name="_xlnm.Print_Area" localSheetId="15">'1.1'!$A$1:$G$47</definedName>
    <definedName name="_xlnm.Print_Area" localSheetId="16">'1.2'!$A$1:$G$47</definedName>
    <definedName name="_xlnm.Print_Area" localSheetId="17">'2.1'!$A$1:$G$48</definedName>
    <definedName name="_xlnm.Print_Area" localSheetId="18">'2.2'!$A$1:$G$48</definedName>
    <definedName name="_xlnm.Print_Area" localSheetId="19">'2.3'!$A$1:$G$48</definedName>
    <definedName name="_xlnm.Print_Area" localSheetId="20">'2.4'!$A$1:$G$48</definedName>
    <definedName name="_xlnm.Print_Area" localSheetId="21">'2.5'!$A$1:$G$48</definedName>
    <definedName name="_xlnm.Print_Area" localSheetId="22">'2.6'!$A$1:$G$48</definedName>
    <definedName name="_xlnm.Print_Area" localSheetId="23">'2.7'!$A$1:$G$48</definedName>
    <definedName name="_xlnm.Print_Area" localSheetId="24">'3.1'!$A$1:$G$47</definedName>
    <definedName name="_xlnm.Print_Area" localSheetId="25">'3.2'!$A$1:$G$47</definedName>
    <definedName name="_xlnm.Print_Area" localSheetId="26">'3.3'!$A$1:$G$48</definedName>
    <definedName name="_xlnm.Print_Area" localSheetId="27">'3.4'!$A$1:$G$48</definedName>
    <definedName name="_xlnm.Print_Area" localSheetId="28">'3.5'!$A$1:$G$50</definedName>
    <definedName name="_xlnm.Print_Area" localSheetId="29">'4.1'!$A$1:$G$47</definedName>
    <definedName name="_xlnm.Print_Area" localSheetId="38">'4.10'!$A$1:$G$47</definedName>
    <definedName name="_xlnm.Print_Area" localSheetId="30">'4.2'!$A$1:$G$47</definedName>
    <definedName name="_xlnm.Print_Area" localSheetId="31">'4.3'!$A$1:$G$47</definedName>
    <definedName name="_xlnm.Print_Area" localSheetId="32">'4.4'!$A$1:$G$47</definedName>
    <definedName name="_xlnm.Print_Area" localSheetId="33">'4.5'!$A$1:$G$47</definedName>
    <definedName name="_xlnm.Print_Area" localSheetId="34">'4.6'!$A$1:$G$47</definedName>
    <definedName name="_xlnm.Print_Area" localSheetId="35">'4.7'!$A$1:$G$47</definedName>
    <definedName name="_xlnm.Print_Area" localSheetId="36">'4.8'!$A$1:$G$47</definedName>
    <definedName name="_xlnm.Print_Area" localSheetId="37">'4.9'!$A$1:$G$47</definedName>
    <definedName name="_xlnm.Print_Area" localSheetId="39">'5.1'!$A$1:$G$47</definedName>
    <definedName name="_xlnm.Print_Area" localSheetId="48">'5.10'!$A$1:$G$47</definedName>
    <definedName name="_xlnm.Print_Area" localSheetId="40">'5.2'!$A$1:$G$47</definedName>
    <definedName name="_xlnm.Print_Area" localSheetId="41">'5.3'!$A$1:$G$47</definedName>
    <definedName name="_xlnm.Print_Area" localSheetId="42">'5.4'!$A$1:$G$47</definedName>
    <definedName name="_xlnm.Print_Area" localSheetId="43">'5.5'!$A$1:$G$47</definedName>
    <definedName name="_xlnm.Print_Area" localSheetId="44">'5.6'!$A$1:$G$47</definedName>
    <definedName name="_xlnm.Print_Area" localSheetId="45">'5.7'!$A$1:$G$47</definedName>
    <definedName name="_xlnm.Print_Area" localSheetId="46">'5.8'!$A$1:$G$47</definedName>
    <definedName name="_xlnm.Print_Area" localSheetId="47">'5.9'!$A$1:$G$47</definedName>
    <definedName name="_xlnm.Print_Area" localSheetId="49">'6.1'!$A$1:$G$47</definedName>
    <definedName name="_xlnm.Print_Area" localSheetId="58">'6.10'!$A$1:$G$47</definedName>
    <definedName name="_xlnm.Print_Area" localSheetId="59">'6.11'!$A$1:$G$47</definedName>
    <definedName name="_xlnm.Print_Area" localSheetId="60">'6.12'!$A$1:$G$47</definedName>
    <definedName name="_xlnm.Print_Area" localSheetId="61">'6.13'!$A$1:$G$47</definedName>
    <definedName name="_xlnm.Print_Area" localSheetId="62">'6.14'!$A$1:$G$47</definedName>
    <definedName name="_xlnm.Print_Area" localSheetId="63">'6.15'!$A$1:$G$47</definedName>
    <definedName name="_xlnm.Print_Area" localSheetId="64">'6.16'!$A$1:$G$47</definedName>
    <definedName name="_xlnm.Print_Area" localSheetId="65">'6.17'!$A$1:$G$47</definedName>
    <definedName name="_xlnm.Print_Area" localSheetId="66">'6.18'!$A$1:$G$47</definedName>
    <definedName name="_xlnm.Print_Area" localSheetId="67">'6.19'!$A$1:$G$47</definedName>
    <definedName name="_xlnm.Print_Area" localSheetId="50">'6.2'!$A$1:$G$47</definedName>
    <definedName name="_xlnm.Print_Area" localSheetId="68">'6.20'!$A$1:$G$47</definedName>
    <definedName name="_xlnm.Print_Area" localSheetId="69">'6.21'!$A$1:$G$47</definedName>
    <definedName name="_xlnm.Print_Area" localSheetId="70">'6.22'!$A$1:$G$47</definedName>
    <definedName name="_xlnm.Print_Area" localSheetId="71">'6.23'!$A$1:$G$47</definedName>
    <definedName name="_xlnm.Print_Area" localSheetId="72">'6.24'!$A$1:$G$47</definedName>
    <definedName name="_xlnm.Print_Area" localSheetId="73">'6.25'!$A$1:$G$47</definedName>
    <definedName name="_xlnm.Print_Area" localSheetId="74">'6.26'!$A$1:$G$47</definedName>
    <definedName name="_xlnm.Print_Area" localSheetId="75">'6.27'!$A$1:$G$47</definedName>
    <definedName name="_xlnm.Print_Area" localSheetId="76">'6.28'!$A$1:$G$47</definedName>
    <definedName name="_xlnm.Print_Area" localSheetId="77">'6.29'!$A$1:$G$47</definedName>
    <definedName name="_xlnm.Print_Area" localSheetId="51">'6.3'!$A$1:$G$47</definedName>
    <definedName name="_xlnm.Print_Area" localSheetId="78">'6.30'!$A$1:$G$47</definedName>
    <definedName name="_xlnm.Print_Area" localSheetId="79">'6.31'!$A$1:$G$47</definedName>
    <definedName name="_xlnm.Print_Area" localSheetId="80">'6.32'!$A$1:$G$47</definedName>
    <definedName name="_xlnm.Print_Area" localSheetId="81">'6.33'!$A$1:$G$47</definedName>
    <definedName name="_xlnm.Print_Area" localSheetId="82">'6.34'!$A$1:$G$47</definedName>
    <definedName name="_xlnm.Print_Area" localSheetId="83">'6.35'!$A$1:$G$47</definedName>
    <definedName name="_xlnm.Print_Area" localSheetId="84">'6.36'!$A$1:$G$47</definedName>
    <definedName name="_xlnm.Print_Area" localSheetId="85">'6.37'!$A$1:$G$47</definedName>
    <definedName name="_xlnm.Print_Area" localSheetId="86">'6.38'!$A$1:$G$47</definedName>
    <definedName name="_xlnm.Print_Area" localSheetId="87">'6.39'!$A$1:$G$47</definedName>
    <definedName name="_xlnm.Print_Area" localSheetId="52">'6.4'!$A$1:$G$47</definedName>
    <definedName name="_xlnm.Print_Area" localSheetId="88">'6.40'!$A$1:$G$47</definedName>
    <definedName name="_xlnm.Print_Area" localSheetId="89">'6.41'!$A$1:$G$47</definedName>
    <definedName name="_xlnm.Print_Area" localSheetId="90">'6.42'!$A$1:$G$47</definedName>
    <definedName name="_xlnm.Print_Area" localSheetId="91">'6.43'!$A$1:$G$47</definedName>
    <definedName name="_xlnm.Print_Area" localSheetId="92">'6.44'!$A$1:$G$47</definedName>
    <definedName name="_xlnm.Print_Area" localSheetId="93">'6.45'!$A$1:$G$47</definedName>
    <definedName name="_xlnm.Print_Area" localSheetId="94">'6.46'!$A$1:$G$47</definedName>
    <definedName name="_xlnm.Print_Area" localSheetId="95">'6.47'!$A$1:$G$47</definedName>
    <definedName name="_xlnm.Print_Area" localSheetId="96">'6.48'!$A$1:$G$47</definedName>
    <definedName name="_xlnm.Print_Area" localSheetId="97">'6.49'!$A$1:$G$47</definedName>
    <definedName name="_xlnm.Print_Area" localSheetId="53">'6.5'!$A$1:$G$47</definedName>
    <definedName name="_xlnm.Print_Area" localSheetId="98">'6.50'!$A$1:$G$47</definedName>
    <definedName name="_xlnm.Print_Area" localSheetId="99">'6.51'!$A$1:$G$47</definedName>
    <definedName name="_xlnm.Print_Area" localSheetId="100">'6.52'!$A$1:$G$47</definedName>
    <definedName name="_xlnm.Print_Area" localSheetId="101">'6.53'!$A$1:$G$47</definedName>
    <definedName name="_xlnm.Print_Area" localSheetId="102">'6.54'!$A$1:$G$47</definedName>
    <definedName name="_xlnm.Print_Area" localSheetId="103">'6.55'!$A$1:$G$47</definedName>
    <definedName name="_xlnm.Print_Area" localSheetId="104">'6.56'!$A$1:$G$47</definedName>
    <definedName name="_xlnm.Print_Area" localSheetId="105">'6.57'!$A$1:$G$47</definedName>
    <definedName name="_xlnm.Print_Area" localSheetId="106">'6.58'!$A$1:$G$47</definedName>
    <definedName name="_xlnm.Print_Area" localSheetId="107">'6.59'!$A$1:$G$47</definedName>
    <definedName name="_xlnm.Print_Area" localSheetId="54">'6.6'!$A$1:$G$47</definedName>
    <definedName name="_xlnm.Print_Area" localSheetId="108">'6.60'!$A$1:$G$47</definedName>
    <definedName name="_xlnm.Print_Area" localSheetId="109">'6.61'!$A$1:$G$47</definedName>
    <definedName name="_xlnm.Print_Area" localSheetId="55">'6.7'!$A$1:$G$47</definedName>
    <definedName name="_xlnm.Print_Area" localSheetId="56">'6.8'!$A$1:$G$47</definedName>
    <definedName name="_xlnm.Print_Area" localSheetId="57">'6.9'!$A$1:$G$47</definedName>
    <definedName name="_xlnm.Print_Area" localSheetId="110">'7.1'!$A$1:$G$47</definedName>
    <definedName name="_xlnm.Print_Area" localSheetId="111">'7.2'!$A$1:$G$47</definedName>
    <definedName name="_xlnm.Print_Area" localSheetId="14">BIO!$A$2:$F$21</definedName>
    <definedName name="_xlnm.Print_Area" localSheetId="10">'CANT ALC'!$A$1:$S$16</definedName>
    <definedName name="_xlnm.Print_Area" localSheetId="112">'CONC 3000 PSI'!$A$1:$G$48</definedName>
    <definedName name="_xlnm.Print_Area" localSheetId="114">'CONC 4000 PSI '!$A$1:$G$48</definedName>
    <definedName name="_xlnm.Print_Area" localSheetId="2">'COSTOS INDIRECTOS'!$B$1:$K$69</definedName>
    <definedName name="_xlnm.Print_Area" localSheetId="1">E!$B$2:$E$23</definedName>
    <definedName name="_xlnm.Print_Area" localSheetId="4">FLUJO!$D$3:$V$144</definedName>
    <definedName name="_xlnm.Print_Area" localSheetId="12">FM!$A$1:$I$67</definedName>
    <definedName name="_xlnm.Print_Area" localSheetId="13">FP!$A$1:$I$41</definedName>
    <definedName name="_xlnm.Print_Area" localSheetId="11">INTERV!$A$1:$J$49</definedName>
    <definedName name="_xlnm.Print_Area" localSheetId="0">M!$B$2:$E$131</definedName>
    <definedName name="_xlnm.Print_Area" localSheetId="7">MC!$B$1:$D$638</definedName>
    <definedName name="_xlnm.Print_Area" localSheetId="115">'MORTERO DE PEGA'!$A$1:$G$48</definedName>
    <definedName name="_xlnm.Print_Area" localSheetId="5">PAGA!$A$1:$U$34</definedName>
    <definedName name="_xlnm.Print_Area" localSheetId="6">PMT!$A$1:$K$34</definedName>
    <definedName name="_xlnm.Print_Area" localSheetId="3">PPTO!$D$3:$I$136</definedName>
    <definedName name="_xlnm.Print_Area" localSheetId="113">'Solado 2000 PSI'!$A$1:$G$48</definedName>
    <definedName name="_xlnm.Print_Area">#N/A</definedName>
    <definedName name="ARENA" localSheetId="16">#REF!</definedName>
    <definedName name="ARENA" localSheetId="38">#REF!</definedName>
    <definedName name="ARENA" localSheetId="88">#REF!</definedName>
    <definedName name="ARENA" localSheetId="89">#REF!</definedName>
    <definedName name="ARENA" localSheetId="90">#REF!</definedName>
    <definedName name="ARENA" localSheetId="91">#REF!</definedName>
    <definedName name="ARENA" localSheetId="102">#REF!</definedName>
    <definedName name="ARENA" localSheetId="107">#REF!</definedName>
    <definedName name="ARENA" localSheetId="108">#REF!</definedName>
    <definedName name="ARENA" localSheetId="109">#REF!</definedName>
    <definedName name="ARENA" localSheetId="110">#REF!</definedName>
    <definedName name="ARENA" localSheetId="111">#REF!</definedName>
    <definedName name="ARENA" localSheetId="1">#REF!</definedName>
    <definedName name="ARENA" localSheetId="4">#REF!</definedName>
    <definedName name="ARENA" localSheetId="113">#REF!</definedName>
    <definedName name="ARENA">#REF!</definedName>
    <definedName name="ASB">[1]AASHTO!$A$8:$F$11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ñk" localSheetId="16">[11]!absc</definedName>
    <definedName name="asdfñk" localSheetId="38">[11]!absc</definedName>
    <definedName name="asdfñk" localSheetId="88">[11]!absc</definedName>
    <definedName name="asdfñk" localSheetId="89">[11]!absc</definedName>
    <definedName name="asdfñk" localSheetId="90">[11]!absc</definedName>
    <definedName name="asdfñk" localSheetId="91">[11]!absc</definedName>
    <definedName name="asdfñk" localSheetId="102">[11]!absc</definedName>
    <definedName name="asdfñk" localSheetId="107">[11]!absc</definedName>
    <definedName name="asdfñk" localSheetId="108">[11]!absc</definedName>
    <definedName name="asdfñk" localSheetId="109">[11]!absc</definedName>
    <definedName name="asdfñk" localSheetId="110">[11]!absc</definedName>
    <definedName name="asdfñk" localSheetId="111">[11]!absc</definedName>
    <definedName name="asdfñk" localSheetId="4">[11]!absc</definedName>
    <definedName name="asdfñk" localSheetId="12">[11]!absc</definedName>
    <definedName name="asdfñk" localSheetId="13">[11]!absc</definedName>
    <definedName name="asdfñk" localSheetId="113">[11]!absc</definedName>
    <definedName name="asdfñk">[11]!absc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U" localSheetId="16">#REF!</definedName>
    <definedName name="AU" localSheetId="88">#REF!</definedName>
    <definedName name="AU" localSheetId="89">#REF!</definedName>
    <definedName name="AU" localSheetId="90">#REF!</definedName>
    <definedName name="AU" localSheetId="91">#REF!</definedName>
    <definedName name="AU" localSheetId="102">#REF!</definedName>
    <definedName name="AU" localSheetId="110">#REF!</definedName>
    <definedName name="AU" localSheetId="111">#REF!</definedName>
    <definedName name="AU" localSheetId="4">#REF!</definedName>
    <definedName name="AU">#REF!</definedName>
    <definedName name="AUIlimpio" localSheetId="16">#REF!</definedName>
    <definedName name="AUIlimpio" localSheetId="88">#REF!</definedName>
    <definedName name="AUIlimpio" localSheetId="89">#REF!</definedName>
    <definedName name="AUIlimpio" localSheetId="90">#REF!</definedName>
    <definedName name="AUIlimpio" localSheetId="91">#REF!</definedName>
    <definedName name="AUIlimpio" localSheetId="102">#REF!</definedName>
    <definedName name="AUIlimpio" localSheetId="110">#REF!</definedName>
    <definedName name="AUIlimpio" localSheetId="111">#REF!</definedName>
    <definedName name="AUIlimpio" localSheetId="4">#REF!</definedName>
    <definedName name="AUIlimpio">#REF!</definedName>
    <definedName name="auto1" localSheetId="16">#REF!</definedName>
    <definedName name="auto1" localSheetId="38">#REF!</definedName>
    <definedName name="auto1" localSheetId="88">#REF!</definedName>
    <definedName name="auto1" localSheetId="89">#REF!</definedName>
    <definedName name="auto1" localSheetId="90">#REF!</definedName>
    <definedName name="auto1" localSheetId="91">#REF!</definedName>
    <definedName name="auto1" localSheetId="102">#REF!</definedName>
    <definedName name="auto1" localSheetId="107">#REF!</definedName>
    <definedName name="auto1" localSheetId="108">#REF!</definedName>
    <definedName name="auto1" localSheetId="109">#REF!</definedName>
    <definedName name="auto1" localSheetId="110">#REF!</definedName>
    <definedName name="auto1" localSheetId="111">#REF!</definedName>
    <definedName name="auto1" localSheetId="4">#REF!</definedName>
    <definedName name="auto1" localSheetId="12">#REF!</definedName>
    <definedName name="auto1" localSheetId="13">#REF!</definedName>
    <definedName name="auto1" localSheetId="113">#REF!</definedName>
    <definedName name="auto1">#REF!</definedName>
    <definedName name="auto2" localSheetId="16">#REF!</definedName>
    <definedName name="auto2" localSheetId="38">#REF!</definedName>
    <definedName name="auto2" localSheetId="88">#REF!</definedName>
    <definedName name="auto2" localSheetId="89">#REF!</definedName>
    <definedName name="auto2" localSheetId="90">#REF!</definedName>
    <definedName name="auto2" localSheetId="91">#REF!</definedName>
    <definedName name="auto2" localSheetId="102">#REF!</definedName>
    <definedName name="auto2" localSheetId="107">#REF!</definedName>
    <definedName name="auto2" localSheetId="108">#REF!</definedName>
    <definedName name="auto2" localSheetId="109">#REF!</definedName>
    <definedName name="auto2" localSheetId="110">#REF!</definedName>
    <definedName name="auto2" localSheetId="111">#REF!</definedName>
    <definedName name="auto2" localSheetId="4">#REF!</definedName>
    <definedName name="auto2" localSheetId="12">#REF!</definedName>
    <definedName name="auto2" localSheetId="13">#REF!</definedName>
    <definedName name="auto2" localSheetId="113">#REF!</definedName>
    <definedName name="auto2">#REF!</definedName>
    <definedName name="ayp">'[12]2.1'!$B$37</definedName>
    <definedName name="azaz" hidden="1">{"TAB1",#N/A,TRUE,"GENERAL";"TAB2",#N/A,TRUE,"GENERAL";"TAB3",#N/A,TRUE,"GENERAL";"TAB4",#N/A,TRUE,"GENERAL";"TAB5",#N/A,TRUE,"GENERAL"}</definedName>
    <definedName name="azul" localSheetId="16">#REF!</definedName>
    <definedName name="azul" localSheetId="38">#REF!</definedName>
    <definedName name="azul" localSheetId="88">#REF!</definedName>
    <definedName name="azul" localSheetId="89">#REF!</definedName>
    <definedName name="azul" localSheetId="90">#REF!</definedName>
    <definedName name="azul" localSheetId="91">#REF!</definedName>
    <definedName name="azul" localSheetId="102">#REF!</definedName>
    <definedName name="azul" localSheetId="107">#REF!</definedName>
    <definedName name="azul" localSheetId="108">#REF!</definedName>
    <definedName name="azul" localSheetId="109">#REF!</definedName>
    <definedName name="azul" localSheetId="110">#REF!</definedName>
    <definedName name="azul" localSheetId="111">#REF!</definedName>
    <definedName name="azul" localSheetId="4">#REF!</definedName>
    <definedName name="azul" localSheetId="113">#REF!</definedName>
    <definedName name="azul">#REF!</definedName>
    <definedName name="b" localSheetId="16">#REF!</definedName>
    <definedName name="b" localSheetId="38">#REF!</definedName>
    <definedName name="b" localSheetId="88">#REF!</definedName>
    <definedName name="b" localSheetId="89">#REF!</definedName>
    <definedName name="b" localSheetId="90">#REF!</definedName>
    <definedName name="b" localSheetId="91">#REF!</definedName>
    <definedName name="b" localSheetId="102">#REF!</definedName>
    <definedName name="b" localSheetId="107">#REF!</definedName>
    <definedName name="b" localSheetId="108">#REF!</definedName>
    <definedName name="b" localSheetId="109">#REF!</definedName>
    <definedName name="b" localSheetId="110">#REF!</definedName>
    <definedName name="b" localSheetId="111">#REF!</definedName>
    <definedName name="b" localSheetId="4">#REF!</definedName>
    <definedName name="b" localSheetId="12">#REF!</definedName>
    <definedName name="b" localSheetId="13">#REF!</definedName>
    <definedName name="b" localSheetId="113">#REF!</definedName>
    <definedName name="b">#REF!</definedName>
    <definedName name="base">[13]BaseDatos!$A$2:$F$505</definedName>
    <definedName name="_xlnm.Database" localSheetId="16">#REF!</definedName>
    <definedName name="_xlnm.Database" localSheetId="38">#REF!</definedName>
    <definedName name="_xlnm.Database" localSheetId="88">#REF!</definedName>
    <definedName name="_xlnm.Database" localSheetId="89">#REF!</definedName>
    <definedName name="_xlnm.Database" localSheetId="90">#REF!</definedName>
    <definedName name="_xlnm.Database" localSheetId="91">#REF!</definedName>
    <definedName name="_xlnm.Database" localSheetId="102">#REF!</definedName>
    <definedName name="_xlnm.Database" localSheetId="107">#REF!</definedName>
    <definedName name="_xlnm.Database" localSheetId="108">#REF!</definedName>
    <definedName name="_xlnm.Database" localSheetId="109">#REF!</definedName>
    <definedName name="_xlnm.Database" localSheetId="110">#REF!</definedName>
    <definedName name="_xlnm.Database" localSheetId="111">#REF!</definedName>
    <definedName name="_xlnm.Database" localSheetId="4">#REF!</definedName>
    <definedName name="_xlnm.Database" localSheetId="12">#REF!</definedName>
    <definedName name="_xlnm.Database" localSheetId="13">#REF!</definedName>
    <definedName name="_xlnm.Database" localSheetId="113">#REF!</definedName>
    <definedName name="_xlnm.Database">#REF!</definedName>
    <definedName name="bb">'[14]Base de Datos'!$B$14:$B$29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neficios">[15]Listado!$AH$2:$AH$3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vfcdx" hidden="1">{"via1",#N/A,TRUE,"general";"via2",#N/A,TRUE,"general";"via3",#N/A,TRUE,"general"}</definedName>
    <definedName name="BOB">FP!$C$12</definedName>
    <definedName name="BOF">FP!$C$11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RRO" localSheetId="16">#REF!</definedName>
    <definedName name="BURRO" localSheetId="38">#REF!</definedName>
    <definedName name="BURRO" localSheetId="88">#REF!</definedName>
    <definedName name="BURRO" localSheetId="89">#REF!</definedName>
    <definedName name="BURRO" localSheetId="90">#REF!</definedName>
    <definedName name="BURRO" localSheetId="91">#REF!</definedName>
    <definedName name="BURRO" localSheetId="102">#REF!</definedName>
    <definedName name="BURRO" localSheetId="107">#REF!</definedName>
    <definedName name="BURRO" localSheetId="108">#REF!</definedName>
    <definedName name="BURRO" localSheetId="109">#REF!</definedName>
    <definedName name="BURRO" localSheetId="110">#REF!</definedName>
    <definedName name="BURRO" localSheetId="111">#REF!</definedName>
    <definedName name="BURRO" localSheetId="1">#REF!</definedName>
    <definedName name="BURRO" localSheetId="4">#REF!</definedName>
    <definedName name="BURRO" localSheetId="113">#REF!</definedName>
    <definedName name="BURRO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_" localSheetId="16">#REF!</definedName>
    <definedName name="C_" localSheetId="38">#REF!</definedName>
    <definedName name="C_" localSheetId="88">#REF!</definedName>
    <definedName name="C_" localSheetId="89">#REF!</definedName>
    <definedName name="C_" localSheetId="90">#REF!</definedName>
    <definedName name="C_" localSheetId="91">#REF!</definedName>
    <definedName name="C_" localSheetId="102">#REF!</definedName>
    <definedName name="C_" localSheetId="107">#REF!</definedName>
    <definedName name="C_" localSheetId="108">#REF!</definedName>
    <definedName name="C_" localSheetId="109">#REF!</definedName>
    <definedName name="C_" localSheetId="110">#REF!</definedName>
    <definedName name="C_" localSheetId="111">#REF!</definedName>
    <definedName name="C_" localSheetId="4">#REF!</definedName>
    <definedName name="C_" localSheetId="12">#REF!</definedName>
    <definedName name="C_" localSheetId="13">#REF!</definedName>
    <definedName name="C_" localSheetId="113">#REF!</definedName>
    <definedName name="C_">#REF!</definedName>
    <definedName name="CAD">FP!$H$10</definedName>
    <definedName name="CANT" localSheetId="16">#REF!</definedName>
    <definedName name="CANT" localSheetId="38">#REF!</definedName>
    <definedName name="CANT" localSheetId="88">#REF!</definedName>
    <definedName name="CANT" localSheetId="89">#REF!</definedName>
    <definedName name="CANT" localSheetId="90">#REF!</definedName>
    <definedName name="CANT" localSheetId="91">#REF!</definedName>
    <definedName name="CANT" localSheetId="102">#REF!</definedName>
    <definedName name="CANT" localSheetId="107">#REF!</definedName>
    <definedName name="CANT" localSheetId="108">#REF!</definedName>
    <definedName name="CANT" localSheetId="109">#REF!</definedName>
    <definedName name="CANT" localSheetId="110">#REF!</definedName>
    <definedName name="CANT" localSheetId="111">#REF!</definedName>
    <definedName name="CANT" localSheetId="4">#REF!</definedName>
    <definedName name="CANT" localSheetId="12">#REF!</definedName>
    <definedName name="CANT" localSheetId="13">#REF!</definedName>
    <definedName name="CANT" localSheetId="113">#REF!</definedName>
    <definedName name="CANT">#REF!</definedName>
    <definedName name="ccccc" hidden="1">{"TAB1",#N/A,TRUE,"GENERAL";"TAB2",#N/A,TRUE,"GENERAL";"TAB3",#N/A,TRUE,"GENERAL";"TAB4",#N/A,TRUE,"GENERAL";"TAB5",#N/A,TRUE,"GENERAL"}</definedName>
    <definedName name="CCCCCC" localSheetId="16">'[16]A. P. U.'!#REF!</definedName>
    <definedName name="CCCCCC" localSheetId="38">'[16]A. P. U.'!#REF!</definedName>
    <definedName name="CCCCCC" localSheetId="88">'[16]A. P. U.'!#REF!</definedName>
    <definedName name="CCCCCC" localSheetId="89">'[16]A. P. U.'!#REF!</definedName>
    <definedName name="CCCCCC" localSheetId="90">'[16]A. P. U.'!#REF!</definedName>
    <definedName name="CCCCCC" localSheetId="91">'[16]A. P. U.'!#REF!</definedName>
    <definedName name="CCCCCC" localSheetId="102">'[16]A. P. U.'!#REF!</definedName>
    <definedName name="CCCCCC" localSheetId="107">'[16]A. P. U.'!#REF!</definedName>
    <definedName name="CCCCCC" localSheetId="108">'[16]A. P. U.'!#REF!</definedName>
    <definedName name="CCCCCC" localSheetId="109">'[16]A. P. U.'!#REF!</definedName>
    <definedName name="CCCCCC" localSheetId="110">'[16]A. P. U.'!#REF!</definedName>
    <definedName name="CCCCCC" localSheetId="111">'[16]A. P. U.'!#REF!</definedName>
    <definedName name="CCCCCC" localSheetId="4">'[16]A. P. U.'!#REF!</definedName>
    <definedName name="CCCCCC" localSheetId="12">'[16]A. P. U.'!#REF!</definedName>
    <definedName name="CCCCCC" localSheetId="13">'[16]A. P. U.'!#REF!</definedName>
    <definedName name="CCCCCC" localSheetId="113">'[16]A. P. U.'!#REF!</definedName>
    <definedName name="CCCCCC">'[16]A. P. U.'!#REF!</definedName>
    <definedName name="ccto210" localSheetId="16">#REF!</definedName>
    <definedName name="ccto210" localSheetId="38">#REF!</definedName>
    <definedName name="ccto210" localSheetId="88">#REF!</definedName>
    <definedName name="ccto210" localSheetId="89">#REF!</definedName>
    <definedName name="ccto210" localSheetId="90">#REF!</definedName>
    <definedName name="ccto210" localSheetId="91">#REF!</definedName>
    <definedName name="ccto210" localSheetId="102">#REF!</definedName>
    <definedName name="ccto210" localSheetId="107">#REF!</definedName>
    <definedName name="ccto210" localSheetId="108">#REF!</definedName>
    <definedName name="ccto210" localSheetId="109">#REF!</definedName>
    <definedName name="ccto210" localSheetId="110">#REF!</definedName>
    <definedName name="ccto210" localSheetId="111">#REF!</definedName>
    <definedName name="ccto210" localSheetId="4">#REF!</definedName>
    <definedName name="ccto210" localSheetId="12">#REF!</definedName>
    <definedName name="ccto210" localSheetId="13">#REF!</definedName>
    <definedName name="ccto210" localSheetId="113">#REF!</definedName>
    <definedName name="ccto210">#REF!</definedName>
    <definedName name="CD" localSheetId="16">#REF!</definedName>
    <definedName name="CD" localSheetId="38">#REF!</definedName>
    <definedName name="CD" localSheetId="88">#REF!</definedName>
    <definedName name="CD" localSheetId="89">#REF!</definedName>
    <definedName name="CD" localSheetId="90">#REF!</definedName>
    <definedName name="CD" localSheetId="91">#REF!</definedName>
    <definedName name="CD" localSheetId="102">#REF!</definedName>
    <definedName name="CD" localSheetId="107">#REF!</definedName>
    <definedName name="CD" localSheetId="108">#REF!</definedName>
    <definedName name="CD" localSheetId="109">#REF!</definedName>
    <definedName name="CD" localSheetId="110">#REF!</definedName>
    <definedName name="CD" localSheetId="111">#REF!</definedName>
    <definedName name="CD" localSheetId="2">'COSTOS INDIRECTOS'!$D$8</definedName>
    <definedName name="CD" localSheetId="4">#REF!</definedName>
    <definedName name="CD" localSheetId="113">#REF!</definedName>
    <definedName name="CD">#REF!</definedName>
    <definedName name="cdcdc" hidden="1">{"via1",#N/A,TRUE,"general";"via2",#N/A,TRUE,"general";"via3",#N/A,TRUE,"general"}</definedName>
    <definedName name="CDctrl">[8]CDItem!$G$8</definedName>
    <definedName name="ceerf" hidden="1">{"TAB1",#N/A,TRUE,"GENERAL";"TAB2",#N/A,TRUE,"GENERAL";"TAB3",#N/A,TRUE,"GENERAL";"TAB4",#N/A,TRUE,"GENERAL";"TAB5",#N/A,TRUE,"GENERAL"}</definedName>
    <definedName name="CEMENTO" localSheetId="16">#REF!</definedName>
    <definedName name="CEMENTO" localSheetId="38">#REF!</definedName>
    <definedName name="CEMENTO" localSheetId="88">#REF!</definedName>
    <definedName name="CEMENTO" localSheetId="89">#REF!</definedName>
    <definedName name="CEMENTO" localSheetId="90">#REF!</definedName>
    <definedName name="CEMENTO" localSheetId="91">#REF!</definedName>
    <definedName name="CEMENTO" localSheetId="102">#REF!</definedName>
    <definedName name="CEMENTO" localSheetId="107">#REF!</definedName>
    <definedName name="CEMENTO" localSheetId="108">#REF!</definedName>
    <definedName name="CEMENTO" localSheetId="109">#REF!</definedName>
    <definedName name="CEMENTO" localSheetId="110">#REF!</definedName>
    <definedName name="CEMENTO" localSheetId="111">#REF!</definedName>
    <definedName name="CEMENTO" localSheetId="1">#REF!</definedName>
    <definedName name="CEMENTO" localSheetId="4">#REF!</definedName>
    <definedName name="CEMENTO" localSheetId="113">#REF!</definedName>
    <definedName name="CEMENTO">#REF!</definedName>
    <definedName name="concreto" localSheetId="16">#REF!</definedName>
    <definedName name="concreto" localSheetId="38">#REF!</definedName>
    <definedName name="concreto" localSheetId="88">#REF!</definedName>
    <definedName name="concreto" localSheetId="89">#REF!</definedName>
    <definedName name="concreto" localSheetId="90">#REF!</definedName>
    <definedName name="concreto" localSheetId="91">#REF!</definedName>
    <definedName name="concreto" localSheetId="102">#REF!</definedName>
    <definedName name="concreto" localSheetId="107">#REF!</definedName>
    <definedName name="concreto" localSheetId="108">#REF!</definedName>
    <definedName name="concreto" localSheetId="109">#REF!</definedName>
    <definedName name="concreto" localSheetId="110">#REF!</definedName>
    <definedName name="concreto" localSheetId="111">#REF!</definedName>
    <definedName name="concreto" localSheetId="4">#REF!</definedName>
    <definedName name="concreto" localSheetId="113">#REF!</definedName>
    <definedName name="concreto">#REF!</definedName>
    <definedName name="Criticos" localSheetId="16">#REF!</definedName>
    <definedName name="Criticos" localSheetId="38">#REF!</definedName>
    <definedName name="Criticos" localSheetId="88">#REF!</definedName>
    <definedName name="Criticos" localSheetId="89">#REF!</definedName>
    <definedName name="Criticos" localSheetId="90">#REF!</definedName>
    <definedName name="Criticos" localSheetId="91">#REF!</definedName>
    <definedName name="Criticos" localSheetId="102">#REF!</definedName>
    <definedName name="Criticos" localSheetId="107">#REF!</definedName>
    <definedName name="Criticos" localSheetId="108">#REF!</definedName>
    <definedName name="Criticos" localSheetId="109">#REF!</definedName>
    <definedName name="Criticos" localSheetId="110">#REF!</definedName>
    <definedName name="Criticos" localSheetId="111">#REF!</definedName>
    <definedName name="Criticos" localSheetId="4">#REF!</definedName>
    <definedName name="Criticos" localSheetId="113">#REF!</definedName>
    <definedName name="Criticos">#REF!</definedName>
    <definedName name="CT" localSheetId="16">#REF!</definedName>
    <definedName name="CT" localSheetId="38">#REF!</definedName>
    <definedName name="CT" localSheetId="88">#REF!</definedName>
    <definedName name="CT" localSheetId="89">#REF!</definedName>
    <definedName name="CT" localSheetId="90">#REF!</definedName>
    <definedName name="CT" localSheetId="91">#REF!</definedName>
    <definedName name="CT" localSheetId="102">#REF!</definedName>
    <definedName name="CT" localSheetId="107">#REF!</definedName>
    <definedName name="CT" localSheetId="108">#REF!</definedName>
    <definedName name="CT" localSheetId="109">#REF!</definedName>
    <definedName name="CT" localSheetId="110">#REF!</definedName>
    <definedName name="CT" localSheetId="111">#REF!</definedName>
    <definedName name="CT" localSheetId="2">'COSTOS INDIRECTOS'!$D$9</definedName>
    <definedName name="CT" localSheetId="4">#REF!</definedName>
    <definedName name="CT" localSheetId="113">#REF!</definedName>
    <definedName name="CT">#REF!</definedName>
    <definedName name="CUBS">[17]Hoja4!$1:$1048576</definedName>
    <definedName name="CUNET" hidden="1">{"via1",#N/A,TRUE,"general";"via2",#N/A,TRUE,"general";"via3",#N/A,TRUE,"general"}</definedName>
    <definedName name="cv" hidden="1">{"TAB1",#N/A,TRUE,"GENERAL";"TAB2",#N/A,TRUE,"GENERAL";"TAB3",#N/A,TRUE,"GENERAL";"TAB4",#N/A,TRUE,"GENERAL";"TAB5",#N/A,TRUE,"GENERAL"}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CSDCTV" hidden="1">{"via1",#N/A,TRUE,"general";"via2",#N/A,TRUE,"general";"via3",#N/A,TRUE,"general"}</definedName>
    <definedName name="DD" localSheetId="16">#REF!</definedName>
    <definedName name="DD" localSheetId="38">#REF!</definedName>
    <definedName name="DD" localSheetId="88">#REF!</definedName>
    <definedName name="DD" localSheetId="89">#REF!</definedName>
    <definedName name="DD" localSheetId="90">#REF!</definedName>
    <definedName name="DD" localSheetId="91">#REF!</definedName>
    <definedName name="DD" localSheetId="102">#REF!</definedName>
    <definedName name="DD" localSheetId="107">#REF!</definedName>
    <definedName name="DD" localSheetId="108">#REF!</definedName>
    <definedName name="DD" localSheetId="109">#REF!</definedName>
    <definedName name="DD" localSheetId="110">#REF!</definedName>
    <definedName name="DD" localSheetId="111">#REF!</definedName>
    <definedName name="DD" localSheetId="4">#REF!</definedName>
    <definedName name="DD" localSheetId="12">#REF!</definedName>
    <definedName name="DD" localSheetId="13">#REF!</definedName>
    <definedName name="DD" localSheetId="113">#REF!</definedName>
    <definedName name="DD">#REF!</definedName>
    <definedName name="ddd" hidden="1">{"via1",#N/A,TRUE,"general";"via2",#N/A,TRUE,"general";"via3",#N/A,TRUE,"general"}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X" localSheetId="16">#REF!</definedName>
    <definedName name="DEX" localSheetId="38">#REF!</definedName>
    <definedName name="DEX" localSheetId="88">#REF!</definedName>
    <definedName name="DEX" localSheetId="89">#REF!</definedName>
    <definedName name="DEX" localSheetId="90">#REF!</definedName>
    <definedName name="DEX" localSheetId="91">#REF!</definedName>
    <definedName name="DEX" localSheetId="102">#REF!</definedName>
    <definedName name="DEX" localSheetId="107">#REF!</definedName>
    <definedName name="DEX" localSheetId="108">#REF!</definedName>
    <definedName name="DEX" localSheetId="109">#REF!</definedName>
    <definedName name="DEX" localSheetId="110">#REF!</definedName>
    <definedName name="DEX" localSheetId="111">#REF!</definedName>
    <definedName name="DEX" localSheetId="4">#REF!</definedName>
    <definedName name="DEX" localSheetId="113">#REF!</definedName>
    <definedName name="DEX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s">[18]INSERTAR!$G$7:$G$37</definedName>
    <definedName name="diego" localSheetId="16">#REF!</definedName>
    <definedName name="diego" localSheetId="38">#REF!</definedName>
    <definedName name="diego" localSheetId="88">#REF!</definedName>
    <definedName name="diego" localSheetId="89">#REF!</definedName>
    <definedName name="diego" localSheetId="90">#REF!</definedName>
    <definedName name="diego" localSheetId="91">#REF!</definedName>
    <definedName name="diego" localSheetId="102">#REF!</definedName>
    <definedName name="diego" localSheetId="107">#REF!</definedName>
    <definedName name="diego" localSheetId="108">#REF!</definedName>
    <definedName name="diego" localSheetId="109">#REF!</definedName>
    <definedName name="diego" localSheetId="110">#REF!</definedName>
    <definedName name="diego" localSheetId="111">#REF!</definedName>
    <definedName name="diego" localSheetId="4">#REF!</definedName>
    <definedName name="diego" localSheetId="12">#REF!</definedName>
    <definedName name="diego" localSheetId="13">#REF!</definedName>
    <definedName name="diego" localSheetId="113">#REF!</definedName>
    <definedName name="diego">#REF!</definedName>
    <definedName name="diego1" localSheetId="16">#REF!</definedName>
    <definedName name="diego1" localSheetId="38">#REF!</definedName>
    <definedName name="diego1" localSheetId="88">#REF!</definedName>
    <definedName name="diego1" localSheetId="89">#REF!</definedName>
    <definedName name="diego1" localSheetId="90">#REF!</definedName>
    <definedName name="diego1" localSheetId="91">#REF!</definedName>
    <definedName name="diego1" localSheetId="102">#REF!</definedName>
    <definedName name="diego1" localSheetId="107">#REF!</definedName>
    <definedName name="diego1" localSheetId="108">#REF!</definedName>
    <definedName name="diego1" localSheetId="109">#REF!</definedName>
    <definedName name="diego1" localSheetId="110">#REF!</definedName>
    <definedName name="diego1" localSheetId="111">#REF!</definedName>
    <definedName name="diego1" localSheetId="4">#REF!</definedName>
    <definedName name="diego1" localSheetId="12">#REF!</definedName>
    <definedName name="diego1" localSheetId="13">#REF!</definedName>
    <definedName name="diego1" localSheetId="113">#REF!</definedName>
    <definedName name="diego1">#REF!</definedName>
    <definedName name="djdytj" hidden="1">{"TAB1",#N/A,TRUE,"GENERAL";"TAB2",#N/A,TRUE,"GENERAL";"TAB3",#N/A,TRUE,"GENERAL";"TAB4",#N/A,TRUE,"GENERAL";"TAB5",#N/A,TRUE,"GENERAL"}</definedName>
    <definedName name="dry" hidden="1">{"via1",#N/A,TRUE,"general";"via2",#N/A,TRUE,"general";"via3",#N/A,TRUE,"general"}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 localSheetId="16">#REF!</definedName>
    <definedName name="e" localSheetId="38">#REF!</definedName>
    <definedName name="e" localSheetId="88">#REF!</definedName>
    <definedName name="e" localSheetId="89">#REF!</definedName>
    <definedName name="e" localSheetId="90">#REF!</definedName>
    <definedName name="e" localSheetId="91">#REF!</definedName>
    <definedName name="e" localSheetId="102">#REF!</definedName>
    <definedName name="e" localSheetId="107">#REF!</definedName>
    <definedName name="e" localSheetId="108">#REF!</definedName>
    <definedName name="e" localSheetId="109">#REF!</definedName>
    <definedName name="e" localSheetId="110">#REF!</definedName>
    <definedName name="e" localSheetId="111">#REF!</definedName>
    <definedName name="e" localSheetId="4">#REF!</definedName>
    <definedName name="e" localSheetId="113">#REF!</definedName>
    <definedName name="e">#REF!</definedName>
    <definedName name="e3e33" hidden="1">{"via1",#N/A,TRUE,"general";"via2",#N/A,TRUE,"general";"via3",#N/A,TRUE,"general"}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E" localSheetId="16">#REF!</definedName>
    <definedName name="EEE" localSheetId="38">#REF!</definedName>
    <definedName name="EEE" localSheetId="88">#REF!</definedName>
    <definedName name="EEE" localSheetId="89">#REF!</definedName>
    <definedName name="EEE" localSheetId="90">#REF!</definedName>
    <definedName name="EEE" localSheetId="91">#REF!</definedName>
    <definedName name="EEE" localSheetId="102">#REF!</definedName>
    <definedName name="EEE" localSheetId="107">#REF!</definedName>
    <definedName name="EEE" localSheetId="108">#REF!</definedName>
    <definedName name="EEE" localSheetId="109">#REF!</definedName>
    <definedName name="EEE" localSheetId="110">#REF!</definedName>
    <definedName name="EEE" localSheetId="111">#REF!</definedName>
    <definedName name="EEE" localSheetId="1">#REF!</definedName>
    <definedName name="EEE" localSheetId="4">#REF!</definedName>
    <definedName name="EEE" localSheetId="113">#REF!</definedName>
    <definedName name="EEE">#REF!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QUI">[19]EQUIPO!$B$2:$B$36</definedName>
    <definedName name="EQUIPO" localSheetId="12">#REF!</definedName>
    <definedName name="EQUIPO" localSheetId="13">#REF!</definedName>
    <definedName name="equipo">[20]Equipo!$A$7:$A$65536</definedName>
    <definedName name="EQUIPO_1">[19]EQUIPO!$B$2:$D$36</definedName>
    <definedName name="EQUIPO_2">[21]Equipo!$A$7:$A$65536</definedName>
    <definedName name="Equipos">[22]B.D!$B$15:$D$34</definedName>
    <definedName name="eqw" hidden="1">{"via1",#N/A,TRUE,"general";"via2",#N/A,TRUE,"general";"via3",#N/A,TRUE,"general"}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P201.15">'[23]201.15'!$H$49</definedName>
    <definedName name="ESP201.21">'[23]201.21'!$H$50</definedName>
    <definedName name="ESP201.7">'[23]201.7'!$H$52</definedName>
    <definedName name="ESP201.8">'[23]201.8'!$H$53</definedName>
    <definedName name="ESP210.2.2" localSheetId="16">#REF!</definedName>
    <definedName name="ESP210.2.2" localSheetId="38">#REF!</definedName>
    <definedName name="ESP210.2.2" localSheetId="88">#REF!</definedName>
    <definedName name="ESP210.2.2" localSheetId="89">#REF!</definedName>
    <definedName name="ESP210.2.2" localSheetId="90">#REF!</definedName>
    <definedName name="ESP210.2.2" localSheetId="91">#REF!</definedName>
    <definedName name="ESP210.2.2" localSheetId="102">#REF!</definedName>
    <definedName name="ESP210.2.2" localSheetId="107">#REF!</definedName>
    <definedName name="ESP210.2.2" localSheetId="108">#REF!</definedName>
    <definedName name="ESP210.2.2" localSheetId="109">#REF!</definedName>
    <definedName name="ESP210.2.2" localSheetId="110">#REF!</definedName>
    <definedName name="ESP210.2.2" localSheetId="111">#REF!</definedName>
    <definedName name="ESP210.2.2" localSheetId="4">#REF!</definedName>
    <definedName name="ESP210.2.2" localSheetId="113">#REF!</definedName>
    <definedName name="ESP210.2.2">#REF!</definedName>
    <definedName name="ESP225P" localSheetId="16">#REF!</definedName>
    <definedName name="ESP225P" localSheetId="38">#REF!</definedName>
    <definedName name="ESP225P" localSheetId="88">#REF!</definedName>
    <definedName name="ESP225P" localSheetId="89">#REF!</definedName>
    <definedName name="ESP225P" localSheetId="90">#REF!</definedName>
    <definedName name="ESP225P" localSheetId="91">#REF!</definedName>
    <definedName name="ESP225P" localSheetId="102">#REF!</definedName>
    <definedName name="ESP225P" localSheetId="107">#REF!</definedName>
    <definedName name="ESP225P" localSheetId="108">#REF!</definedName>
    <definedName name="ESP225P" localSheetId="109">#REF!</definedName>
    <definedName name="ESP225P" localSheetId="110">#REF!</definedName>
    <definedName name="ESP225P" localSheetId="111">#REF!</definedName>
    <definedName name="ESP225P" localSheetId="4">#REF!</definedName>
    <definedName name="ESP225P" localSheetId="113">#REF!</definedName>
    <definedName name="ESP225P">#REF!</definedName>
    <definedName name="ESP330.1P">'[23]330.1P (7801)'!$H$50</definedName>
    <definedName name="ESP632.1P">'[23]632.1P '!$H$57</definedName>
    <definedName name="ESP632.4P">'[23]632.4P'!$H$51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el_BuiltIn_Print_Area" localSheetId="16">#REF!</definedName>
    <definedName name="Excel_BuiltIn_Print_Area" localSheetId="88">#REF!</definedName>
    <definedName name="Excel_BuiltIn_Print_Area" localSheetId="89">#REF!</definedName>
    <definedName name="Excel_BuiltIn_Print_Area" localSheetId="90">#REF!</definedName>
    <definedName name="Excel_BuiltIn_Print_Area" localSheetId="91">#REF!</definedName>
    <definedName name="Excel_BuiltIn_Print_Area" localSheetId="102">#REF!</definedName>
    <definedName name="Excel_BuiltIn_Print_Area" localSheetId="110">#REF!</definedName>
    <definedName name="Excel_BuiltIn_Print_Area" localSheetId="111">#REF!</definedName>
    <definedName name="Excel_BuiltIn_Print_Area" localSheetId="4">#REF!</definedName>
    <definedName name="Excel_BuiltIn_Print_Area">#REF!</definedName>
    <definedName name="EXCROC">'[24]Análisis de precios'!$H$52</definedName>
    <definedName name="FALTANTES1">'[25]CANT OBRA'!$A:$IV</definedName>
    <definedName name="fd" localSheetId="16">'[16]A. P. U.'!#REF!</definedName>
    <definedName name="fd" localSheetId="38">'[16]A. P. U.'!#REF!</definedName>
    <definedName name="fd" localSheetId="88">'[16]A. P. U.'!#REF!</definedName>
    <definedName name="fd" localSheetId="89">'[16]A. P. U.'!#REF!</definedName>
    <definedName name="fd" localSheetId="90">'[16]A. P. U.'!#REF!</definedName>
    <definedName name="fd" localSheetId="91">'[16]A. P. U.'!#REF!</definedName>
    <definedName name="fd" localSheetId="102">'[16]A. P. U.'!#REF!</definedName>
    <definedName name="fd" localSheetId="107">'[16]A. P. U.'!#REF!</definedName>
    <definedName name="fd" localSheetId="108">'[16]A. P. U.'!#REF!</definedName>
    <definedName name="fd" localSheetId="109">'[16]A. P. U.'!#REF!</definedName>
    <definedName name="fd" localSheetId="110">'[16]A. P. U.'!#REF!</definedName>
    <definedName name="fd" localSheetId="111">'[16]A. P. U.'!#REF!</definedName>
    <definedName name="fd" localSheetId="4">'[16]A. P. U.'!#REF!</definedName>
    <definedName name="fd" localSheetId="12">'[16]A. P. U.'!#REF!</definedName>
    <definedName name="fd" localSheetId="13">'[16]A. P. U.'!#REF!</definedName>
    <definedName name="fd" localSheetId="113">'[16]A. P. U.'!#REF!</definedName>
    <definedName name="fd">'[16]A. P. U.'!#REF!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 localSheetId="16">#REF!</definedName>
    <definedName name="fdsafd" localSheetId="38">#REF!</definedName>
    <definedName name="fdsafd" localSheetId="88">#REF!</definedName>
    <definedName name="fdsafd" localSheetId="89">#REF!</definedName>
    <definedName name="fdsafd" localSheetId="90">#REF!</definedName>
    <definedName name="fdsafd" localSheetId="91">#REF!</definedName>
    <definedName name="fdsafd" localSheetId="102">#REF!</definedName>
    <definedName name="fdsafd" localSheetId="107">#REF!</definedName>
    <definedName name="fdsafd" localSheetId="108">#REF!</definedName>
    <definedName name="fdsafd" localSheetId="109">#REF!</definedName>
    <definedName name="fdsafd" localSheetId="110">#REF!</definedName>
    <definedName name="fdsafd" localSheetId="111">#REF!</definedName>
    <definedName name="fdsafd" localSheetId="4">#REF!</definedName>
    <definedName name="fdsafd" localSheetId="113">#REF!</definedName>
    <definedName name="fdsafd">#REF!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cha" localSheetId="16">#REF!</definedName>
    <definedName name="fecha" localSheetId="38">#REF!</definedName>
    <definedName name="fecha" localSheetId="88">#REF!</definedName>
    <definedName name="fecha" localSheetId="89">#REF!</definedName>
    <definedName name="fecha" localSheetId="90">#REF!</definedName>
    <definedName name="fecha" localSheetId="91">#REF!</definedName>
    <definedName name="fecha" localSheetId="102">#REF!</definedName>
    <definedName name="fecha" localSheetId="107">#REF!</definedName>
    <definedName name="fecha" localSheetId="108">#REF!</definedName>
    <definedName name="fecha" localSheetId="109">#REF!</definedName>
    <definedName name="fecha" localSheetId="110">#REF!</definedName>
    <definedName name="fecha" localSheetId="111">#REF!</definedName>
    <definedName name="fecha" localSheetId="1">#REF!</definedName>
    <definedName name="fecha" localSheetId="4">#REF!</definedName>
    <definedName name="fecha" localSheetId="113">#REF!</definedName>
    <definedName name="fecha">#REF!</definedName>
    <definedName name="ferfer" hidden="1">{"via1",#N/A,TRUE,"general";"via2",#N/A,TRUE,"general";"via3",#N/A,TRUE,"general"}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fpp">FP!$D$5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P">[12]FP!$I$32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'[14]Base de Datos'!$B$36:$B$55</definedName>
    <definedName name="gbbfghghj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'[14]Base de Datos'!$B$36:$B$55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 localSheetId="16">#REF!</definedName>
    <definedName name="GRAF2" localSheetId="88">#REF!</definedName>
    <definedName name="GRAF2" localSheetId="89">#REF!</definedName>
    <definedName name="GRAF2" localSheetId="90">#REF!</definedName>
    <definedName name="GRAF2" localSheetId="91">#REF!</definedName>
    <definedName name="GRAF2" localSheetId="102">#REF!</definedName>
    <definedName name="GRAF2" localSheetId="110">#REF!</definedName>
    <definedName name="GRAF2" localSheetId="111">#REF!</definedName>
    <definedName name="GRAF2" localSheetId="4">#REF!</definedName>
    <definedName name="GRAF2">#REF!</definedName>
    <definedName name="GRAF3" localSheetId="16">#REF!</definedName>
    <definedName name="GRAF3" localSheetId="88">#REF!</definedName>
    <definedName name="GRAF3" localSheetId="89">#REF!</definedName>
    <definedName name="GRAF3" localSheetId="90">#REF!</definedName>
    <definedName name="GRAF3" localSheetId="91">#REF!</definedName>
    <definedName name="GRAF3" localSheetId="102">#REF!</definedName>
    <definedName name="GRAF3" localSheetId="110">#REF!</definedName>
    <definedName name="GRAF3" localSheetId="111">#REF!</definedName>
    <definedName name="GRAF3" localSheetId="4">#REF!</definedName>
    <definedName name="GRAF3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tyerh" hidden="1">{"TAB1",#N/A,TRUE,"GENERAL";"TAB2",#N/A,TRUE,"GENERAL";"TAB3",#N/A,TRUE,"GENERAL";"TAB4",#N/A,TRUE,"GENERAL";"TAB5",#N/A,TRUE,"GENERAL"}</definedName>
    <definedName name="GRUPO1" localSheetId="16">#REF!</definedName>
    <definedName name="GRUPO1" localSheetId="38">#REF!</definedName>
    <definedName name="GRUPO1" localSheetId="88">#REF!</definedName>
    <definedName name="GRUPO1" localSheetId="89">#REF!</definedName>
    <definedName name="GRUPO1" localSheetId="90">#REF!</definedName>
    <definedName name="GRUPO1" localSheetId="91">#REF!</definedName>
    <definedName name="GRUPO1" localSheetId="102">#REF!</definedName>
    <definedName name="GRUPO1" localSheetId="107">#REF!</definedName>
    <definedName name="GRUPO1" localSheetId="108">#REF!</definedName>
    <definedName name="GRUPO1" localSheetId="109">#REF!</definedName>
    <definedName name="GRUPO1" localSheetId="110">#REF!</definedName>
    <definedName name="GRUPO1" localSheetId="111">#REF!</definedName>
    <definedName name="GRUPO1" localSheetId="4">#REF!</definedName>
    <definedName name="GRUPO1" localSheetId="12">#REF!</definedName>
    <definedName name="GRUPO1" localSheetId="13">#REF!</definedName>
    <definedName name="GRUPO1" localSheetId="113">#REF!</definedName>
    <definedName name="GRUPO1">#REF!</definedName>
    <definedName name="GRUPO2" localSheetId="16">#REF!</definedName>
    <definedName name="GRUPO2" localSheetId="38">#REF!</definedName>
    <definedName name="GRUPO2" localSheetId="88">#REF!</definedName>
    <definedName name="GRUPO2" localSheetId="89">#REF!</definedName>
    <definedName name="GRUPO2" localSheetId="90">#REF!</definedName>
    <definedName name="GRUPO2" localSheetId="91">#REF!</definedName>
    <definedName name="GRUPO2" localSheetId="102">#REF!</definedName>
    <definedName name="GRUPO2" localSheetId="107">#REF!</definedName>
    <definedName name="GRUPO2" localSheetId="108">#REF!</definedName>
    <definedName name="GRUPO2" localSheetId="109">#REF!</definedName>
    <definedName name="GRUPO2" localSheetId="110">#REF!</definedName>
    <definedName name="GRUPO2" localSheetId="111">#REF!</definedName>
    <definedName name="GRUPO2" localSheetId="4">#REF!</definedName>
    <definedName name="GRUPO2" localSheetId="12">#REF!</definedName>
    <definedName name="GRUPO2" localSheetId="13">#REF!</definedName>
    <definedName name="GRUPO2" localSheetId="113">#REF!</definedName>
    <definedName name="GRUPO2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h9h" hidden="1">{"via1",#N/A,TRUE,"general";"via2",#N/A,TRUE,"general";"via3",#N/A,TRUE,"general"}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EE">'[26]RR-HH-EE'!$B$3:$B$25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n" hidden="1">{"TAB1",#N/A,TRUE,"GENERAL";"TAB2",#N/A,TRUE,"GENERAL";"TAB3",#N/A,TRUE,"GENERAL";"TAB4",#N/A,TRUE,"GENERAL";"TAB5",#N/A,TRUE,"GENERAL"}</definedName>
    <definedName name="HOJA1" localSheetId="16">#REF!</definedName>
    <definedName name="HOJA1" localSheetId="38">#REF!</definedName>
    <definedName name="HOJA1" localSheetId="88">#REF!</definedName>
    <definedName name="HOJA1" localSheetId="89">#REF!</definedName>
    <definedName name="HOJA1" localSheetId="90">#REF!</definedName>
    <definedName name="HOJA1" localSheetId="91">#REF!</definedName>
    <definedName name="HOJA1" localSheetId="102">#REF!</definedName>
    <definedName name="HOJA1" localSheetId="107">#REF!</definedName>
    <definedName name="HOJA1" localSheetId="108">#REF!</definedName>
    <definedName name="HOJA1" localSheetId="109">#REF!</definedName>
    <definedName name="HOJA1" localSheetId="110">#REF!</definedName>
    <definedName name="HOJA1" localSheetId="111">#REF!</definedName>
    <definedName name="HOJA1" localSheetId="4">#REF!</definedName>
    <definedName name="HOJA1" localSheetId="12">#REF!</definedName>
    <definedName name="HOJA1" localSheetId="13">#REF!</definedName>
    <definedName name="HOJA1" localSheetId="113">#REF!</definedName>
    <definedName name="HOJA1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 localSheetId="16">#REF!</definedName>
    <definedName name="I" localSheetId="38">#REF!</definedName>
    <definedName name="I" localSheetId="88">#REF!</definedName>
    <definedName name="I" localSheetId="89">#REF!</definedName>
    <definedName name="I" localSheetId="90">#REF!</definedName>
    <definedName name="I" localSheetId="91">#REF!</definedName>
    <definedName name="I" localSheetId="102">#REF!</definedName>
    <definedName name="I" localSheetId="107">#REF!</definedName>
    <definedName name="I" localSheetId="108">#REF!</definedName>
    <definedName name="I" localSheetId="109">#REF!</definedName>
    <definedName name="I" localSheetId="110">#REF!</definedName>
    <definedName name="I" localSheetId="111">#REF!</definedName>
    <definedName name="I" localSheetId="4">#REF!</definedName>
    <definedName name="I" localSheetId="12">#REF!</definedName>
    <definedName name="I" localSheetId="13">#REF!</definedName>
    <definedName name="I" localSheetId="113">#REF!</definedName>
    <definedName name="I">#REF!</definedName>
    <definedName name="i8i" hidden="1">{"TAB1",#N/A,TRUE,"GENERAL";"TAB2",#N/A,TRUE,"GENERAL";"TAB3",#N/A,TRUE,"GENERAL";"TAB4",#N/A,TRUE,"GENERAL";"TAB5",#N/A,TRUE,"GENERAL"}</definedName>
    <definedName name="IF" localSheetId="16">'[16]A. P. U.'!#REF!</definedName>
    <definedName name="IF" localSheetId="38">'[16]A. P. U.'!#REF!</definedName>
    <definedName name="IF" localSheetId="88">'[16]A. P. U.'!#REF!</definedName>
    <definedName name="IF" localSheetId="89">'[16]A. P. U.'!#REF!</definedName>
    <definedName name="IF" localSheetId="90">'[16]A. P. U.'!#REF!</definedName>
    <definedName name="IF" localSheetId="91">'[16]A. P. U.'!#REF!</definedName>
    <definedName name="IF" localSheetId="102">'[16]A. P. U.'!#REF!</definedName>
    <definedName name="IF" localSheetId="107">'[16]A. P. U.'!#REF!</definedName>
    <definedName name="IF" localSheetId="108">'[16]A. P. U.'!#REF!</definedName>
    <definedName name="IF" localSheetId="109">'[16]A. P. U.'!#REF!</definedName>
    <definedName name="IF" localSheetId="110">'[16]A. P. U.'!#REF!</definedName>
    <definedName name="IF" localSheetId="111">'[16]A. P. U.'!#REF!</definedName>
    <definedName name="IF" localSheetId="4">'[16]A. P. U.'!#REF!</definedName>
    <definedName name="IF" localSheetId="12">'[16]A. P. U.'!#REF!</definedName>
    <definedName name="IF" localSheetId="13">'[16]A. P. U.'!#REF!</definedName>
    <definedName name="IF" localSheetId="113">'[16]A. P. U.'!#REF!</definedName>
    <definedName name="IF">'[16]A. P. U.'!#REF!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NDI">[27]Indice!$1:$1048576</definedName>
    <definedName name="inf" localSheetId="16">#REF!</definedName>
    <definedName name="inf" localSheetId="38">#REF!</definedName>
    <definedName name="inf" localSheetId="88">#REF!</definedName>
    <definedName name="inf" localSheetId="89">#REF!</definedName>
    <definedName name="inf" localSheetId="90">#REF!</definedName>
    <definedName name="inf" localSheetId="91">#REF!</definedName>
    <definedName name="inf" localSheetId="102">#REF!</definedName>
    <definedName name="inf" localSheetId="107">#REF!</definedName>
    <definedName name="inf" localSheetId="108">#REF!</definedName>
    <definedName name="inf" localSheetId="109">#REF!</definedName>
    <definedName name="inf" localSheetId="110">#REF!</definedName>
    <definedName name="inf" localSheetId="111">#REF!</definedName>
    <definedName name="inf" localSheetId="1">#REF!</definedName>
    <definedName name="inf" localSheetId="4">#REF!</definedName>
    <definedName name="inf" localSheetId="12">#REF!</definedName>
    <definedName name="inf" localSheetId="13">#REF!</definedName>
    <definedName name="inf" localSheetId="113">#REF!</definedName>
    <definedName name="inf">#REF!</definedName>
    <definedName name="INFG" localSheetId="16">#REF!</definedName>
    <definedName name="INFG" localSheetId="38">#REF!</definedName>
    <definedName name="INFG" localSheetId="88">#REF!</definedName>
    <definedName name="INFG" localSheetId="89">#REF!</definedName>
    <definedName name="INFG" localSheetId="90">#REF!</definedName>
    <definedName name="INFG" localSheetId="91">#REF!</definedName>
    <definedName name="INFG" localSheetId="102">#REF!</definedName>
    <definedName name="INFG" localSheetId="107">#REF!</definedName>
    <definedName name="INFG" localSheetId="108">#REF!</definedName>
    <definedName name="INFG" localSheetId="109">#REF!</definedName>
    <definedName name="INFG" localSheetId="110">#REF!</definedName>
    <definedName name="INFG" localSheetId="111">#REF!</definedName>
    <definedName name="INFG" localSheetId="4">#REF!</definedName>
    <definedName name="INFG" localSheetId="12">#REF!</definedName>
    <definedName name="INFG" localSheetId="13">#REF!</definedName>
    <definedName name="INFG" localSheetId="113">#REF!</definedName>
    <definedName name="INFG">#REF!</definedName>
    <definedName name="Inicio">[8]BASES!$E$26</definedName>
    <definedName name="INV" localSheetId="16">#REF!</definedName>
    <definedName name="INV" localSheetId="88">#REF!</definedName>
    <definedName name="INV" localSheetId="89">#REF!</definedName>
    <definedName name="INV" localSheetId="90">#REF!</definedName>
    <definedName name="INV" localSheetId="91">#REF!</definedName>
    <definedName name="INV" localSheetId="102">#REF!</definedName>
    <definedName name="INV" localSheetId="110">#REF!</definedName>
    <definedName name="INV" localSheetId="111">#REF!</definedName>
    <definedName name="INV" localSheetId="4">#REF!</definedName>
    <definedName name="INV">#REF!</definedName>
    <definedName name="INV_11" localSheetId="12">'[28]PR 1'!$A$2:$N$655</definedName>
    <definedName name="INV_11" localSheetId="13">'[28]PR 1'!$A$2:$N$655</definedName>
    <definedName name="INV_11">'[29]PR 1'!$A$2:$N$655</definedName>
    <definedName name="IPC" localSheetId="16">'1.2'!$J$1</definedName>
    <definedName name="IPC">'1.1'!$J$1</definedName>
    <definedName name="item" localSheetId="1">#REF!</definedName>
    <definedName name="ITEM" localSheetId="12">#REF!</definedName>
    <definedName name="ITEM" localSheetId="13">#REF!</definedName>
    <definedName name="ITEM">[30]BASE!$C$4:$H$255</definedName>
    <definedName name="ITEM1" localSheetId="16">#REF!</definedName>
    <definedName name="ITEM1" localSheetId="38">#REF!</definedName>
    <definedName name="ITEM1" localSheetId="88">#REF!</definedName>
    <definedName name="ITEM1" localSheetId="89">#REF!</definedName>
    <definedName name="ITEM1" localSheetId="90">#REF!</definedName>
    <definedName name="ITEM1" localSheetId="91">#REF!</definedName>
    <definedName name="ITEM1" localSheetId="102">#REF!</definedName>
    <definedName name="ITEM1" localSheetId="107">#REF!</definedName>
    <definedName name="ITEM1" localSheetId="108">#REF!</definedName>
    <definedName name="ITEM1" localSheetId="109">#REF!</definedName>
    <definedName name="ITEM1" localSheetId="110">#REF!</definedName>
    <definedName name="ITEM1" localSheetId="111">#REF!</definedName>
    <definedName name="ITEM1" localSheetId="4">#REF!</definedName>
    <definedName name="ITEM1" localSheetId="113">#REF!</definedName>
    <definedName name="ITEM1">#REF!</definedName>
    <definedName name="ITEM15" localSheetId="16">#REF!</definedName>
    <definedName name="ITEM15" localSheetId="88">#REF!</definedName>
    <definedName name="ITEM15" localSheetId="89">#REF!</definedName>
    <definedName name="ITEM15" localSheetId="90">#REF!</definedName>
    <definedName name="ITEM15" localSheetId="91">#REF!</definedName>
    <definedName name="ITEM15" localSheetId="102">#REF!</definedName>
    <definedName name="ITEM15" localSheetId="110">#REF!</definedName>
    <definedName name="ITEM15" localSheetId="111">#REF!</definedName>
    <definedName name="ITEM15" localSheetId="4">#REF!</definedName>
    <definedName name="ITEM15">#REF!</definedName>
    <definedName name="ITEM2" localSheetId="16">#REF!</definedName>
    <definedName name="ITEM2" localSheetId="38">#REF!</definedName>
    <definedName name="ITEM2" localSheetId="88">#REF!</definedName>
    <definedName name="ITEM2" localSheetId="89">#REF!</definedName>
    <definedName name="ITEM2" localSheetId="90">#REF!</definedName>
    <definedName name="ITEM2" localSheetId="91">#REF!</definedName>
    <definedName name="ITEM2" localSheetId="102">#REF!</definedName>
    <definedName name="ITEM2" localSheetId="107">#REF!</definedName>
    <definedName name="ITEM2" localSheetId="108">#REF!</definedName>
    <definedName name="ITEM2" localSheetId="109">#REF!</definedName>
    <definedName name="ITEM2" localSheetId="110">#REF!</definedName>
    <definedName name="ITEM2" localSheetId="111">#REF!</definedName>
    <definedName name="ITEM2" localSheetId="4">#REF!</definedName>
    <definedName name="ITEM2" localSheetId="113">#REF!</definedName>
    <definedName name="ITEM2">#REF!</definedName>
    <definedName name="ITEM3" localSheetId="16">#REF!</definedName>
    <definedName name="ITEM3" localSheetId="38">#REF!</definedName>
    <definedName name="ITEM3" localSheetId="88">#REF!</definedName>
    <definedName name="ITEM3" localSheetId="89">#REF!</definedName>
    <definedName name="ITEM3" localSheetId="90">#REF!</definedName>
    <definedName name="ITEM3" localSheetId="91">#REF!</definedName>
    <definedName name="ITEM3" localSheetId="102">#REF!</definedName>
    <definedName name="ITEM3" localSheetId="107">#REF!</definedName>
    <definedName name="ITEM3" localSheetId="108">#REF!</definedName>
    <definedName name="ITEM3" localSheetId="109">#REF!</definedName>
    <definedName name="ITEM3" localSheetId="110">#REF!</definedName>
    <definedName name="ITEM3" localSheetId="111">#REF!</definedName>
    <definedName name="ITEM3" localSheetId="4">#REF!</definedName>
    <definedName name="ITEM3" localSheetId="113">#REF!</definedName>
    <definedName name="ITEM3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 localSheetId="16">#REF!</definedName>
    <definedName name="IVA" localSheetId="38">#REF!</definedName>
    <definedName name="IVA" localSheetId="88">#REF!</definedName>
    <definedName name="IVA" localSheetId="89">#REF!</definedName>
    <definedName name="IVA" localSheetId="90">#REF!</definedName>
    <definedName name="IVA" localSheetId="91">#REF!</definedName>
    <definedName name="IVA" localSheetId="102">#REF!</definedName>
    <definedName name="IVA" localSheetId="107">#REF!</definedName>
    <definedName name="IVA" localSheetId="108">#REF!</definedName>
    <definedName name="IVA" localSheetId="109">#REF!</definedName>
    <definedName name="IVA" localSheetId="110">#REF!</definedName>
    <definedName name="IVA" localSheetId="111">#REF!</definedName>
    <definedName name="IVA" localSheetId="1">#REF!</definedName>
    <definedName name="IVA" localSheetId="4">#REF!</definedName>
    <definedName name="IVA" localSheetId="113">#REF!</definedName>
    <definedName name="IVA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16">#REF!</definedName>
    <definedName name="K0F1" localSheetId="88">#REF!</definedName>
    <definedName name="K0F1" localSheetId="89">#REF!</definedName>
    <definedName name="K0F1" localSheetId="90">#REF!</definedName>
    <definedName name="K0F1" localSheetId="91">#REF!</definedName>
    <definedName name="K0F1" localSheetId="102">#REF!</definedName>
    <definedName name="K0F1" localSheetId="110">#REF!</definedName>
    <definedName name="K0F1" localSheetId="111">#REF!</definedName>
    <definedName name="K0F1" localSheetId="4">#REF!</definedName>
    <definedName name="K0F1">#REF!</definedName>
    <definedName name="K0F2" localSheetId="16">#REF!</definedName>
    <definedName name="K0F2" localSheetId="88">#REF!</definedName>
    <definedName name="K0F2" localSheetId="89">#REF!</definedName>
    <definedName name="K0F2" localSheetId="90">#REF!</definedName>
    <definedName name="K0F2" localSheetId="91">#REF!</definedName>
    <definedName name="K0F2" localSheetId="102">#REF!</definedName>
    <definedName name="K0F2" localSheetId="110">#REF!</definedName>
    <definedName name="K0F2" localSheetId="111">#REF!</definedName>
    <definedName name="K0F2" localSheetId="4">#REF!</definedName>
    <definedName name="K0F2">#REF!</definedName>
    <definedName name="K10ALO" localSheetId="16">#REF!</definedName>
    <definedName name="K10ALO" localSheetId="88">#REF!</definedName>
    <definedName name="K10ALO" localSheetId="89">#REF!</definedName>
    <definedName name="K10ALO" localSheetId="90">#REF!</definedName>
    <definedName name="K10ALO" localSheetId="91">#REF!</definedName>
    <definedName name="K10ALO" localSheetId="102">#REF!</definedName>
    <definedName name="K10ALO" localSheetId="110">#REF!</definedName>
    <definedName name="K10ALO" localSheetId="111">#REF!</definedName>
    <definedName name="K10ALO" localSheetId="4">#REF!</definedName>
    <definedName name="K10ALO">#REF!</definedName>
    <definedName name="K11ALO" localSheetId="16">#REF!</definedName>
    <definedName name="K11ALO" localSheetId="88">#REF!</definedName>
    <definedName name="K11ALO" localSheetId="89">#REF!</definedName>
    <definedName name="K11ALO" localSheetId="90">#REF!</definedName>
    <definedName name="K11ALO" localSheetId="91">#REF!</definedName>
    <definedName name="K11ALO" localSheetId="102">#REF!</definedName>
    <definedName name="K11ALO" localSheetId="110">#REF!</definedName>
    <definedName name="K11ALO" localSheetId="111">#REF!</definedName>
    <definedName name="K11ALO" localSheetId="4">#REF!</definedName>
    <definedName name="K11ALO">#REF!</definedName>
    <definedName name="K1F1" localSheetId="16">#REF!</definedName>
    <definedName name="K1F1" localSheetId="88">#REF!</definedName>
    <definedName name="K1F1" localSheetId="89">#REF!</definedName>
    <definedName name="K1F1" localSheetId="90">#REF!</definedName>
    <definedName name="K1F1" localSheetId="91">#REF!</definedName>
    <definedName name="K1F1" localSheetId="102">#REF!</definedName>
    <definedName name="K1F1" localSheetId="110">#REF!</definedName>
    <definedName name="K1F1" localSheetId="111">#REF!</definedName>
    <definedName name="K1F1" localSheetId="4">#REF!</definedName>
    <definedName name="K1F1">#REF!</definedName>
    <definedName name="K1F2" localSheetId="16">#REF!</definedName>
    <definedName name="K1F2" localSheetId="88">#REF!</definedName>
    <definedName name="K1F2" localSheetId="89">#REF!</definedName>
    <definedName name="K1F2" localSheetId="90">#REF!</definedName>
    <definedName name="K1F2" localSheetId="91">#REF!</definedName>
    <definedName name="K1F2" localSheetId="102">#REF!</definedName>
    <definedName name="K1F2" localSheetId="110">#REF!</definedName>
    <definedName name="K1F2" localSheetId="111">#REF!</definedName>
    <definedName name="K1F2" localSheetId="4">#REF!</definedName>
    <definedName name="K1F2">#REF!</definedName>
    <definedName name="K2F1" localSheetId="16">#REF!</definedName>
    <definedName name="K2F1" localSheetId="88">#REF!</definedName>
    <definedName name="K2F1" localSheetId="89">#REF!</definedName>
    <definedName name="K2F1" localSheetId="90">#REF!</definedName>
    <definedName name="K2F1" localSheetId="91">#REF!</definedName>
    <definedName name="K2F1" localSheetId="102">#REF!</definedName>
    <definedName name="K2F1" localSheetId="110">#REF!</definedName>
    <definedName name="K2F1" localSheetId="111">#REF!</definedName>
    <definedName name="K2F1" localSheetId="4">#REF!</definedName>
    <definedName name="K2F1">#REF!</definedName>
    <definedName name="K2F2" localSheetId="16">#REF!</definedName>
    <definedName name="K2F2" localSheetId="88">#REF!</definedName>
    <definedName name="K2F2" localSheetId="89">#REF!</definedName>
    <definedName name="K2F2" localSheetId="90">#REF!</definedName>
    <definedName name="K2F2" localSheetId="91">#REF!</definedName>
    <definedName name="K2F2" localSheetId="102">#REF!</definedName>
    <definedName name="K2F2" localSheetId="110">#REF!</definedName>
    <definedName name="K2F2" localSheetId="111">#REF!</definedName>
    <definedName name="K2F2" localSheetId="4">#REF!</definedName>
    <definedName name="K2F2">#REF!</definedName>
    <definedName name="K3F1" localSheetId="16">#REF!</definedName>
    <definedName name="K3F1" localSheetId="88">#REF!</definedName>
    <definedName name="K3F1" localSheetId="89">#REF!</definedName>
    <definedName name="K3F1" localSheetId="90">#REF!</definedName>
    <definedName name="K3F1" localSheetId="91">#REF!</definedName>
    <definedName name="K3F1" localSheetId="102">#REF!</definedName>
    <definedName name="K3F1" localSheetId="110">#REF!</definedName>
    <definedName name="K3F1" localSheetId="111">#REF!</definedName>
    <definedName name="K3F1" localSheetId="4">#REF!</definedName>
    <definedName name="K3F1">#REF!</definedName>
    <definedName name="K3F2" localSheetId="16">#REF!</definedName>
    <definedName name="K3F2" localSheetId="88">#REF!</definedName>
    <definedName name="K3F2" localSheetId="89">#REF!</definedName>
    <definedName name="K3F2" localSheetId="90">#REF!</definedName>
    <definedName name="K3F2" localSheetId="91">#REF!</definedName>
    <definedName name="K3F2" localSheetId="102">#REF!</definedName>
    <definedName name="K3F2" localSheetId="110">#REF!</definedName>
    <definedName name="K3F2" localSheetId="111">#REF!</definedName>
    <definedName name="K3F2" localSheetId="4">#REF!</definedName>
    <definedName name="K3F2">#REF!</definedName>
    <definedName name="K4F1" localSheetId="16">#REF!</definedName>
    <definedName name="K4F1" localSheetId="88">#REF!</definedName>
    <definedName name="K4F1" localSheetId="89">#REF!</definedName>
    <definedName name="K4F1" localSheetId="90">#REF!</definedName>
    <definedName name="K4F1" localSheetId="91">#REF!</definedName>
    <definedName name="K4F1" localSheetId="102">#REF!</definedName>
    <definedName name="K4F1" localSheetId="110">#REF!</definedName>
    <definedName name="K4F1" localSheetId="111">#REF!</definedName>
    <definedName name="K4F1" localSheetId="4">#REF!</definedName>
    <definedName name="K4F1">#REF!</definedName>
    <definedName name="K4F2" localSheetId="16">#REF!</definedName>
    <definedName name="K4F2" localSheetId="88">#REF!</definedName>
    <definedName name="K4F2" localSheetId="89">#REF!</definedName>
    <definedName name="K4F2" localSheetId="90">#REF!</definedName>
    <definedName name="K4F2" localSheetId="91">#REF!</definedName>
    <definedName name="K4F2" localSheetId="102">#REF!</definedName>
    <definedName name="K4F2" localSheetId="110">#REF!</definedName>
    <definedName name="K4F2" localSheetId="111">#REF!</definedName>
    <definedName name="K4F2" localSheetId="4">#REF!</definedName>
    <definedName name="K4F2">#REF!</definedName>
    <definedName name="K5F1" localSheetId="16">#REF!</definedName>
    <definedName name="K5F1" localSheetId="88">#REF!</definedName>
    <definedName name="K5F1" localSheetId="89">#REF!</definedName>
    <definedName name="K5F1" localSheetId="90">#REF!</definedName>
    <definedName name="K5F1" localSheetId="91">#REF!</definedName>
    <definedName name="K5F1" localSheetId="102">#REF!</definedName>
    <definedName name="K5F1" localSheetId="110">#REF!</definedName>
    <definedName name="K5F1" localSheetId="111">#REF!</definedName>
    <definedName name="K5F1" localSheetId="4">#REF!</definedName>
    <definedName name="K5F1">#REF!</definedName>
    <definedName name="K5F2" localSheetId="16">#REF!</definedName>
    <definedName name="K5F2" localSheetId="88">#REF!</definedName>
    <definedName name="K5F2" localSheetId="89">#REF!</definedName>
    <definedName name="K5F2" localSheetId="90">#REF!</definedName>
    <definedName name="K5F2" localSheetId="91">#REF!</definedName>
    <definedName name="K5F2" localSheetId="102">#REF!</definedName>
    <definedName name="K5F2" localSheetId="110">#REF!</definedName>
    <definedName name="K5F2" localSheetId="111">#REF!</definedName>
    <definedName name="K5F2" localSheetId="4">#REF!</definedName>
    <definedName name="K5F2">#REF!</definedName>
    <definedName name="K6F1" localSheetId="16">#REF!</definedName>
    <definedName name="K6F1" localSheetId="88">#REF!</definedName>
    <definedName name="K6F1" localSheetId="89">#REF!</definedName>
    <definedName name="K6F1" localSheetId="90">#REF!</definedName>
    <definedName name="K6F1" localSheetId="91">#REF!</definedName>
    <definedName name="K6F1" localSheetId="102">#REF!</definedName>
    <definedName name="K6F1" localSheetId="110">#REF!</definedName>
    <definedName name="K6F1" localSheetId="111">#REF!</definedName>
    <definedName name="K6F1" localSheetId="4">#REF!</definedName>
    <definedName name="K6F1">#REF!</definedName>
    <definedName name="K6F2" localSheetId="16">#REF!</definedName>
    <definedName name="K6F2" localSheetId="88">#REF!</definedName>
    <definedName name="K6F2" localSheetId="89">#REF!</definedName>
    <definedName name="K6F2" localSheetId="90">#REF!</definedName>
    <definedName name="K6F2" localSheetId="91">#REF!</definedName>
    <definedName name="K6F2" localSheetId="102">#REF!</definedName>
    <definedName name="K6F2" localSheetId="110">#REF!</definedName>
    <definedName name="K6F2" localSheetId="111">#REF!</definedName>
    <definedName name="K6F2" localSheetId="4">#REF!</definedName>
    <definedName name="K6F2">#REF!</definedName>
    <definedName name="K7F1" localSheetId="16">#REF!</definedName>
    <definedName name="K7F1" localSheetId="88">#REF!</definedName>
    <definedName name="K7F1" localSheetId="89">#REF!</definedName>
    <definedName name="K7F1" localSheetId="90">#REF!</definedName>
    <definedName name="K7F1" localSheetId="91">#REF!</definedName>
    <definedName name="K7F1" localSheetId="102">#REF!</definedName>
    <definedName name="K7F1" localSheetId="110">#REF!</definedName>
    <definedName name="K7F1" localSheetId="111">#REF!</definedName>
    <definedName name="K7F1" localSheetId="4">#REF!</definedName>
    <definedName name="K7F1">#REF!</definedName>
    <definedName name="K7F2" localSheetId="16">#REF!</definedName>
    <definedName name="K7F2" localSheetId="88">#REF!</definedName>
    <definedName name="K7F2" localSheetId="89">#REF!</definedName>
    <definedName name="K7F2" localSheetId="90">#REF!</definedName>
    <definedName name="K7F2" localSheetId="91">#REF!</definedName>
    <definedName name="K7F2" localSheetId="102">#REF!</definedName>
    <definedName name="K7F2" localSheetId="110">#REF!</definedName>
    <definedName name="K7F2" localSheetId="111">#REF!</definedName>
    <definedName name="K7F2" localSheetId="4">#REF!</definedName>
    <definedName name="K7F2">#REF!</definedName>
    <definedName name="K8ALO" localSheetId="16">#REF!</definedName>
    <definedName name="K8ALO" localSheetId="88">#REF!</definedName>
    <definedName name="K8ALO" localSheetId="89">#REF!</definedName>
    <definedName name="K8ALO" localSheetId="90">#REF!</definedName>
    <definedName name="K8ALO" localSheetId="91">#REF!</definedName>
    <definedName name="K8ALO" localSheetId="102">#REF!</definedName>
    <definedName name="K8ALO" localSheetId="110">#REF!</definedName>
    <definedName name="K8ALO" localSheetId="111">#REF!</definedName>
    <definedName name="K8ALO" localSheetId="4">#REF!</definedName>
    <definedName name="K8ALO">#REF!</definedName>
    <definedName name="K8F1" localSheetId="16">#REF!</definedName>
    <definedName name="K8F1" localSheetId="88">#REF!</definedName>
    <definedName name="K8F1" localSheetId="89">#REF!</definedName>
    <definedName name="K8F1" localSheetId="90">#REF!</definedName>
    <definedName name="K8F1" localSheetId="91">#REF!</definedName>
    <definedName name="K8F1" localSheetId="102">#REF!</definedName>
    <definedName name="K8F1" localSheetId="110">#REF!</definedName>
    <definedName name="K8F1" localSheetId="111">#REF!</definedName>
    <definedName name="K8F1" localSheetId="4">#REF!</definedName>
    <definedName name="K8F1">#REF!</definedName>
    <definedName name="K8F2" localSheetId="16">#REF!</definedName>
    <definedName name="K8F2" localSheetId="88">#REF!</definedName>
    <definedName name="K8F2" localSheetId="89">#REF!</definedName>
    <definedName name="K8F2" localSheetId="90">#REF!</definedName>
    <definedName name="K8F2" localSheetId="91">#REF!</definedName>
    <definedName name="K8F2" localSheetId="102">#REF!</definedName>
    <definedName name="K8F2" localSheetId="110">#REF!</definedName>
    <definedName name="K8F2" localSheetId="111">#REF!</definedName>
    <definedName name="K8F2" localSheetId="4">#REF!</definedName>
    <definedName name="K8F2">#REF!</definedName>
    <definedName name="K9ALO" localSheetId="16">#REF!</definedName>
    <definedName name="K9ALO" localSheetId="88">#REF!</definedName>
    <definedName name="K9ALO" localSheetId="89">#REF!</definedName>
    <definedName name="K9ALO" localSheetId="90">#REF!</definedName>
    <definedName name="K9ALO" localSheetId="91">#REF!</definedName>
    <definedName name="K9ALO" localSheetId="102">#REF!</definedName>
    <definedName name="K9ALO" localSheetId="110">#REF!</definedName>
    <definedName name="K9ALO" localSheetId="111">#REF!</definedName>
    <definedName name="K9ALO" localSheetId="4">#REF!</definedName>
    <definedName name="K9ALO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'[14]Base de Datos'!$B$14:$D$29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m">'[14]Base de Datos'!$B$14:$B$29</definedName>
    <definedName name="krtrk" hidden="1">{"via1",#N/A,TRUE,"general";"via2",#N/A,TRUE,"general";"via3",#N/A,TRUE,"general"}</definedName>
    <definedName name="kyr" hidden="1">{"TAB1",#N/A,TRUE,"GENERAL";"TAB2",#N/A,TRUE,"GENERAL";"TAB3",#N/A,TRUE,"GENERAL";"TAB4",#N/A,TRUE,"GENERAL";"TAB5",#N/A,TRUE,"GENERAL"}</definedName>
    <definedName name="LICITACION" localSheetId="16">#REF!</definedName>
    <definedName name="LICITACION" localSheetId="38">#REF!</definedName>
    <definedName name="LICITACION" localSheetId="88">#REF!</definedName>
    <definedName name="LICITACION" localSheetId="89">#REF!</definedName>
    <definedName name="LICITACION" localSheetId="90">#REF!</definedName>
    <definedName name="LICITACION" localSheetId="91">#REF!</definedName>
    <definedName name="LICITACION" localSheetId="102">#REF!</definedName>
    <definedName name="LICITACION" localSheetId="107">#REF!</definedName>
    <definedName name="LICITACION" localSheetId="108">#REF!</definedName>
    <definedName name="LICITACION" localSheetId="109">#REF!</definedName>
    <definedName name="LICITACION" localSheetId="110">#REF!</definedName>
    <definedName name="LICITACION" localSheetId="111">#REF!</definedName>
    <definedName name="LICITACION" localSheetId="4">#REF!</definedName>
    <definedName name="LICITACION" localSheetId="12">#REF!</definedName>
    <definedName name="LICITACION" localSheetId="13">#REF!</definedName>
    <definedName name="LICITACION" localSheetId="113">#REF!</definedName>
    <definedName name="LICITACION">#REF!</definedName>
    <definedName name="LISTA_MATERIALES">'[31]RH&amp;H'!$B$4:$B$136</definedName>
    <definedName name="ListadoM">[32]Materiales!$C$6:$C$194</definedName>
    <definedName name="LISTMHE" localSheetId="16">#REF!</definedName>
    <definedName name="LISTMHE" localSheetId="88">#REF!</definedName>
    <definedName name="LISTMHE" localSheetId="89">#REF!</definedName>
    <definedName name="LISTMHE" localSheetId="90">#REF!</definedName>
    <definedName name="LISTMHE" localSheetId="91">#REF!</definedName>
    <definedName name="LISTMHE" localSheetId="102">#REF!</definedName>
    <definedName name="LISTMHE" localSheetId="110">#REF!</definedName>
    <definedName name="LISTMHE" localSheetId="111">#REF!</definedName>
    <definedName name="LISTMHE" localSheetId="4">#REF!</definedName>
    <definedName name="LISTMHE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L" localSheetId="16">[33]!absc</definedName>
    <definedName name="LLL" localSheetId="88">[33]!absc</definedName>
    <definedName name="LLL" localSheetId="89">[33]!absc</definedName>
    <definedName name="LLL" localSheetId="90">[33]!absc</definedName>
    <definedName name="LLL" localSheetId="91">[33]!absc</definedName>
    <definedName name="LLL" localSheetId="102">[33]!absc</definedName>
    <definedName name="LLL" localSheetId="110">[33]!absc</definedName>
    <definedName name="LLL" localSheetId="111">[33]!absc</definedName>
    <definedName name="LLL" localSheetId="4">[33]!absc</definedName>
    <definedName name="LLL">[33]!absc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CA" localSheetId="16">[34]!absc</definedName>
    <definedName name="LOCA" localSheetId="38">[34]!absc</definedName>
    <definedName name="LOCA" localSheetId="88">[34]!absc</definedName>
    <definedName name="LOCA" localSheetId="89">[34]!absc</definedName>
    <definedName name="LOCA" localSheetId="90">[34]!absc</definedName>
    <definedName name="LOCA" localSheetId="91">[34]!absc</definedName>
    <definedName name="LOCA" localSheetId="102">[34]!absc</definedName>
    <definedName name="LOCA" localSheetId="107">[34]!absc</definedName>
    <definedName name="LOCA" localSheetId="108">[34]!absc</definedName>
    <definedName name="LOCA" localSheetId="109">[34]!absc</definedName>
    <definedName name="LOCA" localSheetId="110">[34]!absc</definedName>
    <definedName name="LOCA" localSheetId="111">[34]!absc</definedName>
    <definedName name="LOCA" localSheetId="4">[34]!absc</definedName>
    <definedName name="LOCA" localSheetId="12">[34]!absc</definedName>
    <definedName name="LOCA" localSheetId="13">[34]!absc</definedName>
    <definedName name="LOCA" localSheetId="113">[34]!absc</definedName>
    <definedName name="LOCA">[34]!absc</definedName>
    <definedName name="LOCA1" localSheetId="16">[10]!absc</definedName>
    <definedName name="LOCA1" localSheetId="38">[10]!absc</definedName>
    <definedName name="LOCA1" localSheetId="88">[10]!absc</definedName>
    <definedName name="LOCA1" localSheetId="89">[10]!absc</definedName>
    <definedName name="LOCA1" localSheetId="90">[10]!absc</definedName>
    <definedName name="LOCA1" localSheetId="91">[10]!absc</definedName>
    <definedName name="LOCA1" localSheetId="102">[10]!absc</definedName>
    <definedName name="LOCA1" localSheetId="107">[10]!absc</definedName>
    <definedName name="LOCA1" localSheetId="108">[10]!absc</definedName>
    <definedName name="LOCA1" localSheetId="109">[10]!absc</definedName>
    <definedName name="LOCA1" localSheetId="110">[10]!absc</definedName>
    <definedName name="LOCA1" localSheetId="111">[10]!absc</definedName>
    <definedName name="LOCA1" localSheetId="4">[10]!absc</definedName>
    <definedName name="LOCA1" localSheetId="12">[10]!absc</definedName>
    <definedName name="LOCA1" localSheetId="13">[10]!absc</definedName>
    <definedName name="LOCA1" localSheetId="113">[10]!absc</definedName>
    <definedName name="LOCA1">[10]!absc</definedName>
    <definedName name="lolol" hidden="1">{"TAB1",#N/A,TRUE,"GENERAL";"TAB2",#N/A,TRUE,"GENERAL";"TAB3",#N/A,TRUE,"GENERAL";"TAB4",#N/A,TRUE,"GENERAL";"TAB5",#N/A,TRUE,"GENERAL"}</definedName>
    <definedName name="lplpl" hidden="1">{"via1",#N/A,TRUE,"general";"via2",#N/A,TRUE,"general";"via3",#N/A,TRUE,"general"}</definedName>
    <definedName name="LUGCOMPRA" localSheetId="16">#REF!</definedName>
    <definedName name="LUGCOMPRA" localSheetId="88">#REF!</definedName>
    <definedName name="LUGCOMPRA" localSheetId="89">#REF!</definedName>
    <definedName name="LUGCOMPRA" localSheetId="90">#REF!</definedName>
    <definedName name="LUGCOMPRA" localSheetId="91">#REF!</definedName>
    <definedName name="LUGCOMPRA" localSheetId="102">#REF!</definedName>
    <definedName name="LUGCOMPRA" localSheetId="110">#REF!</definedName>
    <definedName name="LUGCOMPRA" localSheetId="111">#REF!</definedName>
    <definedName name="LUGCOMPRA" localSheetId="4">#REF!</definedName>
    <definedName name="LUGCOMPRA">#REF!</definedName>
    <definedName name="M62_" localSheetId="16">#REF!</definedName>
    <definedName name="M62_" localSheetId="38">#REF!</definedName>
    <definedName name="M62_" localSheetId="88">#REF!</definedName>
    <definedName name="M62_" localSheetId="89">#REF!</definedName>
    <definedName name="M62_" localSheetId="90">#REF!</definedName>
    <definedName name="M62_" localSheetId="91">#REF!</definedName>
    <definedName name="M62_" localSheetId="102">#REF!</definedName>
    <definedName name="M62_" localSheetId="107">#REF!</definedName>
    <definedName name="M62_" localSheetId="108">#REF!</definedName>
    <definedName name="M62_" localSheetId="109">#REF!</definedName>
    <definedName name="M62_" localSheetId="110">#REF!</definedName>
    <definedName name="M62_" localSheetId="111">#REF!</definedName>
    <definedName name="M62_" localSheetId="1">#REF!</definedName>
    <definedName name="M62_" localSheetId="4">#REF!</definedName>
    <definedName name="M62_" localSheetId="113">#REF!</definedName>
    <definedName name="M62_">#REF!</definedName>
    <definedName name="MA" localSheetId="16" hidden="1">#REF!</definedName>
    <definedName name="MA" localSheetId="38" hidden="1">#REF!</definedName>
    <definedName name="MA" localSheetId="88" hidden="1">#REF!</definedName>
    <definedName name="MA" localSheetId="89" hidden="1">#REF!</definedName>
    <definedName name="MA" localSheetId="90" hidden="1">#REF!</definedName>
    <definedName name="MA" localSheetId="91" hidden="1">#REF!</definedName>
    <definedName name="MA" localSheetId="102" hidden="1">#REF!</definedName>
    <definedName name="MA" localSheetId="107" hidden="1">#REF!</definedName>
    <definedName name="MA" localSheetId="108" hidden="1">#REF!</definedName>
    <definedName name="MA" localSheetId="109" hidden="1">#REF!</definedName>
    <definedName name="MA" localSheetId="110" hidden="1">#REF!</definedName>
    <definedName name="MA" localSheetId="111" hidden="1">#REF!</definedName>
    <definedName name="MA" localSheetId="1" hidden="1">#REF!</definedName>
    <definedName name="MA" localSheetId="4" hidden="1">#REF!</definedName>
    <definedName name="MA" localSheetId="113" hidden="1">#REF!</definedName>
    <definedName name="MA" hidden="1">#REF!</definedName>
    <definedName name="mafdsf" hidden="1">{"via1",#N/A,TRUE,"general";"via2",#N/A,TRUE,"general";"via3",#N/A,TRUE,"general"}</definedName>
    <definedName name="MAL" localSheetId="16">'[35]Estado Resumen'!#REF!&lt;2.5</definedName>
    <definedName name="MAL" localSheetId="38">'[35]Estado Resumen'!#REF!&lt;2.5</definedName>
    <definedName name="MAL" localSheetId="88">'[35]Estado Resumen'!#REF!&lt;2.5</definedName>
    <definedName name="MAL" localSheetId="89">'[35]Estado Resumen'!#REF!&lt;2.5</definedName>
    <definedName name="MAL" localSheetId="90">'[35]Estado Resumen'!#REF!&lt;2.5</definedName>
    <definedName name="MAL" localSheetId="91">'[35]Estado Resumen'!#REF!&lt;2.5</definedName>
    <definedName name="MAL" localSheetId="102">'[35]Estado Resumen'!#REF!&lt;2.5</definedName>
    <definedName name="MAL" localSheetId="107">'[35]Estado Resumen'!#REF!&lt;2.5</definedName>
    <definedName name="MAL" localSheetId="108">'[35]Estado Resumen'!#REF!&lt;2.5</definedName>
    <definedName name="MAL" localSheetId="109">'[35]Estado Resumen'!#REF!&lt;2.5</definedName>
    <definedName name="MAL" localSheetId="110">'[35]Estado Resumen'!#REF!&lt;2.5</definedName>
    <definedName name="MAL" localSheetId="111">'[35]Estado Resumen'!#REF!&lt;2.5</definedName>
    <definedName name="MAL" localSheetId="4">'[35]Estado Resumen'!#REF!&lt;2.5</definedName>
    <definedName name="MAL" localSheetId="12">'[35]Estado Resumen'!#REF!&lt;2.5</definedName>
    <definedName name="MAL" localSheetId="13">'[35]Estado Resumen'!#REF!&lt;2.5</definedName>
    <definedName name="MAL" localSheetId="113">'[35]Estado Resumen'!#REF!&lt;2.5</definedName>
    <definedName name="MAL">'[35]Estado Resumen'!#REF!&lt;2.5</definedName>
    <definedName name="MALO" localSheetId="16">'[36]ESTADO VÍA-CRIT.TECNICO'!#REF!&lt;2.5</definedName>
    <definedName name="MALO" localSheetId="38">'[36]ESTADO VÍA-CRIT.TECNICO'!#REF!&lt;2.5</definedName>
    <definedName name="MALO" localSheetId="88">'[36]ESTADO VÍA-CRIT.TECNICO'!#REF!&lt;2.5</definedName>
    <definedName name="MALO" localSheetId="89">'[36]ESTADO VÍA-CRIT.TECNICO'!#REF!&lt;2.5</definedName>
    <definedName name="MALO" localSheetId="90">'[36]ESTADO VÍA-CRIT.TECNICO'!#REF!&lt;2.5</definedName>
    <definedName name="MALO" localSheetId="91">'[36]ESTADO VÍA-CRIT.TECNICO'!#REF!&lt;2.5</definedName>
    <definedName name="MALO" localSheetId="102">'[36]ESTADO VÍA-CRIT.TECNICO'!#REF!&lt;2.5</definedName>
    <definedName name="MALO" localSheetId="107">'[36]ESTADO VÍA-CRIT.TECNICO'!#REF!&lt;2.5</definedName>
    <definedName name="MALO" localSheetId="108">'[36]ESTADO VÍA-CRIT.TECNICO'!#REF!&lt;2.5</definedName>
    <definedName name="MALO" localSheetId="109">'[36]ESTADO VÍA-CRIT.TECNICO'!#REF!&lt;2.5</definedName>
    <definedName name="MALO" localSheetId="110">'[36]ESTADO VÍA-CRIT.TECNICO'!#REF!&lt;2.5</definedName>
    <definedName name="MALO" localSheetId="111">'[36]ESTADO VÍA-CRIT.TECNICO'!#REF!&lt;2.5</definedName>
    <definedName name="MALO" localSheetId="4">'[36]ESTADO VÍA-CRIT.TECNICO'!#REF!&lt;2.5</definedName>
    <definedName name="MALO" localSheetId="12">'[37]ESTADO VÍA-CRIT.TECNICO'!#REF!&lt;2.5</definedName>
    <definedName name="MALO" localSheetId="13">'[37]ESTADO VÍA-CRIT.TECNICO'!#REF!&lt;2.5</definedName>
    <definedName name="MALO" localSheetId="113">'[36]ESTADO VÍA-CRIT.TECNICO'!#REF!&lt;2.5</definedName>
    <definedName name="MALO">'[36]ESTADO VÍA-CRIT.TECNICO'!#REF!&lt;2.5</definedName>
    <definedName name="MANO">'[38]MANO '!$A:$IV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" localSheetId="16" hidden="1">#REF!</definedName>
    <definedName name="MAQUINA" localSheetId="38" hidden="1">#REF!</definedName>
    <definedName name="MAQUINA" localSheetId="88" hidden="1">#REF!</definedName>
    <definedName name="MAQUINA" localSheetId="89" hidden="1">#REF!</definedName>
    <definedName name="MAQUINA" localSheetId="90" hidden="1">#REF!</definedName>
    <definedName name="MAQUINA" localSheetId="91" hidden="1">#REF!</definedName>
    <definedName name="MAQUINA" localSheetId="102" hidden="1">#REF!</definedName>
    <definedName name="MAQUINA" localSheetId="107" hidden="1">#REF!</definedName>
    <definedName name="MAQUINA" localSheetId="108" hidden="1">#REF!</definedName>
    <definedName name="MAQUINA" localSheetId="109" hidden="1">#REF!</definedName>
    <definedName name="MAQUINA" localSheetId="110" hidden="1">#REF!</definedName>
    <definedName name="MAQUINA" localSheetId="111" hidden="1">#REF!</definedName>
    <definedName name="MAQUINA" localSheetId="1" hidden="1">#REF!</definedName>
    <definedName name="MAQUINA" localSheetId="4" hidden="1">#REF!</definedName>
    <definedName name="MAQUINA" localSheetId="113" hidden="1">#REF!</definedName>
    <definedName name="MAQUINA" hidden="1">#REF!</definedName>
    <definedName name="masor" hidden="1">{"via1",#N/A,TRUE,"general";"via2",#N/A,TRUE,"general";"via3",#N/A,TRUE,"general"}</definedName>
    <definedName name="MAT" localSheetId="16">#REF!</definedName>
    <definedName name="MAT" localSheetId="38">#REF!</definedName>
    <definedName name="MAT" localSheetId="88">#REF!</definedName>
    <definedName name="MAT" localSheetId="89">#REF!</definedName>
    <definedName name="MAT" localSheetId="90">#REF!</definedName>
    <definedName name="MAT" localSheetId="91">#REF!</definedName>
    <definedName name="MAT" localSheetId="102">#REF!</definedName>
    <definedName name="MAT" localSheetId="107">#REF!</definedName>
    <definedName name="MAT" localSheetId="108">#REF!</definedName>
    <definedName name="MAT" localSheetId="109">#REF!</definedName>
    <definedName name="MAT" localSheetId="110">#REF!</definedName>
    <definedName name="MAT" localSheetId="111">#REF!</definedName>
    <definedName name="MAT" localSheetId="4">#REF!</definedName>
    <definedName name="MAT" localSheetId="12">#REF!</definedName>
    <definedName name="MAT" localSheetId="13">#REF!</definedName>
    <definedName name="MAT" localSheetId="113">#REF!</definedName>
    <definedName name="MAT">#REF!</definedName>
    <definedName name="MATER">[19]MATERIAL!$B$3:$B$580</definedName>
    <definedName name="materiales">[20]materiales!$A$7:$A$1317</definedName>
    <definedName name="MATERIALES_2">[21]materiales!$A$7:$A$1317</definedName>
    <definedName name="materiales1">[39]Materiales!$C$6:$C$178</definedName>
    <definedName name="materiales2">[39]Materiales!$C$6:$E$178</definedName>
    <definedName name="matriz" localSheetId="16">#REF!,#REF!</definedName>
    <definedName name="matriz" localSheetId="38">#REF!,#REF!</definedName>
    <definedName name="matriz" localSheetId="88">#REF!,#REF!</definedName>
    <definedName name="matriz" localSheetId="89">#REF!,#REF!</definedName>
    <definedName name="matriz" localSheetId="90">#REF!,#REF!</definedName>
    <definedName name="matriz" localSheetId="91">#REF!,#REF!</definedName>
    <definedName name="matriz" localSheetId="102">#REF!,#REF!</definedName>
    <definedName name="matriz" localSheetId="107">#REF!,#REF!</definedName>
    <definedName name="matriz" localSheetId="108">#REF!,#REF!</definedName>
    <definedName name="matriz" localSheetId="109">#REF!,#REF!</definedName>
    <definedName name="matriz" localSheetId="110">#REF!,#REF!</definedName>
    <definedName name="matriz" localSheetId="111">#REF!,#REF!</definedName>
    <definedName name="matriz" localSheetId="4">#REF!,#REF!</definedName>
    <definedName name="matriz" localSheetId="113">#REF!,#REF!</definedName>
    <definedName name="matriz">#REF!,#REF!</definedName>
    <definedName name="MATRIZGASTOS" localSheetId="16">#REF!</definedName>
    <definedName name="MATRIZGASTOS" localSheetId="88">#REF!</definedName>
    <definedName name="MATRIZGASTOS" localSheetId="89">#REF!</definedName>
    <definedName name="MATRIZGASTOS" localSheetId="90">#REF!</definedName>
    <definedName name="MATRIZGASTOS" localSheetId="91">#REF!</definedName>
    <definedName name="MATRIZGASTOS" localSheetId="102">#REF!</definedName>
    <definedName name="MATRIZGASTOS" localSheetId="110">#REF!</definedName>
    <definedName name="MATRIZGASTOS" localSheetId="111">#REF!</definedName>
    <definedName name="MATRIZGASTOS" localSheetId="4">#REF!</definedName>
    <definedName name="MATRIZGASTOS">#REF!</definedName>
    <definedName name="MATRIZMHE" localSheetId="16">#REF!</definedName>
    <definedName name="MATRIZMHE" localSheetId="88">#REF!</definedName>
    <definedName name="MATRIZMHE" localSheetId="89">#REF!</definedName>
    <definedName name="MATRIZMHE" localSheetId="90">#REF!</definedName>
    <definedName name="MATRIZMHE" localSheetId="91">#REF!</definedName>
    <definedName name="MATRIZMHE" localSheetId="102">#REF!</definedName>
    <definedName name="MATRIZMHE" localSheetId="110">#REF!</definedName>
    <definedName name="MATRIZMHE" localSheetId="111">#REF!</definedName>
    <definedName name="MATRIZMHE" localSheetId="4">#REF!</definedName>
    <definedName name="MATRIZMHE">#REF!</definedName>
    <definedName name="mdd" hidden="1">{"via1",#N/A,TRUE,"general";"via2",#N/A,TRUE,"general";"via3",#N/A,TRUE,"general"}</definedName>
    <definedName name="meg" hidden="1">{"TAB1",#N/A,TRUE,"GENERAL";"TAB2",#N/A,TRUE,"GENERAL";"TAB3",#N/A,TRUE,"GENERAL";"TAB4",#N/A,TRUE,"GENERAL";"TAB5",#N/A,TRUE,"GENERAL"}</definedName>
    <definedName name="MEJORA" localSheetId="16">#REF!</definedName>
    <definedName name="MEJORA" localSheetId="38">#REF!</definedName>
    <definedName name="MEJORA" localSheetId="88">#REF!</definedName>
    <definedName name="MEJORA" localSheetId="89">#REF!</definedName>
    <definedName name="MEJORA" localSheetId="90">#REF!</definedName>
    <definedName name="MEJORA" localSheetId="91">#REF!</definedName>
    <definedName name="MEJORA" localSheetId="102">#REF!</definedName>
    <definedName name="MEJORA" localSheetId="107">#REF!</definedName>
    <definedName name="MEJORA" localSheetId="108">#REF!</definedName>
    <definedName name="MEJORA" localSheetId="109">#REF!</definedName>
    <definedName name="MEJORA" localSheetId="110">#REF!</definedName>
    <definedName name="MEJORA" localSheetId="111">#REF!</definedName>
    <definedName name="MEJORA" localSheetId="4">#REF!</definedName>
    <definedName name="MEJORA" localSheetId="113">#REF!</definedName>
    <definedName name="MEJORA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E" localSheetId="16">#REF!</definedName>
    <definedName name="MHE" localSheetId="88">#REF!</definedName>
    <definedName name="MHE" localSheetId="89">#REF!</definedName>
    <definedName name="MHE" localSheetId="90">#REF!</definedName>
    <definedName name="MHE" localSheetId="91">#REF!</definedName>
    <definedName name="MHE" localSheetId="102">#REF!</definedName>
    <definedName name="MHE" localSheetId="110">#REF!</definedName>
    <definedName name="MHE" localSheetId="111">#REF!</definedName>
    <definedName name="MHE" localSheetId="4">#REF!</definedName>
    <definedName name="MHE">#REF!</definedName>
    <definedName name="MIO">[17]INDICE!$1:$1048576</definedName>
    <definedName name="mj">'[14]Base de Datos'!$B$14:$D$29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m">'[14]Base de Datos'!$B$36:$B$55</definedName>
    <definedName name="mmjmjh" hidden="1">{"TAB1",#N/A,TRUE,"GENERAL";"TAB2",#N/A,TRUE,"GENERAL";"TAB3",#N/A,TRUE,"GENERAL";"TAB4",#N/A,TRUE,"GENERAL";"TAB5",#N/A,TRUE,"GENERAL"}</definedName>
    <definedName name="MMM">'[26]RR-HH-EE'!$B$28:$B$44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pio" localSheetId="16">#REF!</definedName>
    <definedName name="mpio" localSheetId="38">#REF!</definedName>
    <definedName name="mpio" localSheetId="88">#REF!</definedName>
    <definedName name="mpio" localSheetId="89">#REF!</definedName>
    <definedName name="mpio" localSheetId="90">#REF!</definedName>
    <definedName name="mpio" localSheetId="91">#REF!</definedName>
    <definedName name="mpio" localSheetId="102">#REF!</definedName>
    <definedName name="mpio" localSheetId="107">#REF!</definedName>
    <definedName name="mpio" localSheetId="108">#REF!</definedName>
    <definedName name="mpio" localSheetId="109">#REF!</definedName>
    <definedName name="mpio" localSheetId="110">#REF!</definedName>
    <definedName name="mpio" localSheetId="111">#REF!</definedName>
    <definedName name="mpio" localSheetId="1">#REF!</definedName>
    <definedName name="mpio" localSheetId="4">#REF!</definedName>
    <definedName name="mpio" localSheetId="113">#REF!</definedName>
    <definedName name="mpio">#REF!</definedName>
    <definedName name="n">'[14]Base de Datos'!$B$14:$D$29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M" localSheetId="12">#REF!</definedName>
    <definedName name="NM" localSheetId="13">#REF!</definedName>
    <definedName name="nm">'[14]Base de Datos'!$B$14:$D$29</definedName>
    <definedName name="nmmmm" hidden="1">{"via1",#N/A,TRUE,"general";"via2",#N/A,TRUE,"general";"via3",#N/A,TRUE,"general"}</definedName>
    <definedName name="nn">'[14]Base de Datos'!$B$61:$B$233</definedName>
    <definedName name="nndng" hidden="1">{"TAB1",#N/A,TRUE,"GENERAL";"TAB2",#N/A,TRUE,"GENERAL";"TAB3",#N/A,TRUE,"GENERAL";"TAB4",#N/A,TRUE,"GENERAL";"TAB5",#N/A,TRUE,"GENERAL"}</definedName>
    <definedName name="NNN" localSheetId="12">[2]!absc</definedName>
    <definedName name="NNN" localSheetId="13">[2]!absc</definedName>
    <definedName name="nnn">'[14]Base de Datos'!$B$36:$B$55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mbre" localSheetId="16">#REF!</definedName>
    <definedName name="nombre" localSheetId="38">#REF!</definedName>
    <definedName name="nombre" localSheetId="88">#REF!</definedName>
    <definedName name="nombre" localSheetId="89">#REF!</definedName>
    <definedName name="nombre" localSheetId="90">#REF!</definedName>
    <definedName name="nombre" localSheetId="91">#REF!</definedName>
    <definedName name="nombre" localSheetId="102">#REF!</definedName>
    <definedName name="nombre" localSheetId="107">#REF!</definedName>
    <definedName name="nombre" localSheetId="108">#REF!</definedName>
    <definedName name="nombre" localSheetId="109">#REF!</definedName>
    <definedName name="nombre" localSheetId="110">#REF!</definedName>
    <definedName name="nombre" localSheetId="111">#REF!</definedName>
    <definedName name="nombre" localSheetId="1">#REF!</definedName>
    <definedName name="nombre" localSheetId="4">#REF!</definedName>
    <definedName name="NOMBRE" localSheetId="12">#REF!</definedName>
    <definedName name="NOMBRE" localSheetId="13">#REF!</definedName>
    <definedName name="nombre" localSheetId="113">#REF!</definedName>
    <definedName name="nombre">#REF!</definedName>
    <definedName name="NUEVO" localSheetId="16">#REF!</definedName>
    <definedName name="NUEVO" localSheetId="88">#REF!</definedName>
    <definedName name="NUEVO" localSheetId="89">#REF!</definedName>
    <definedName name="NUEVO" localSheetId="90">#REF!</definedName>
    <definedName name="NUEVO" localSheetId="91">#REF!</definedName>
    <definedName name="NUEVO" localSheetId="102">#REF!</definedName>
    <definedName name="NUEVO" localSheetId="110">#REF!</definedName>
    <definedName name="NUEVO" localSheetId="111">#REF!</definedName>
    <definedName name="NUEVO" localSheetId="4">#REF!</definedName>
    <definedName name="NUEVO">#REF!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o9o9" hidden="1">{"via1",#N/A,TRUE,"general";"via2",#N/A,TRUE,"general";"via3",#N/A,TRUE,"general"}</definedName>
    <definedName name="OB">FP!$H$12</definedName>
    <definedName name="obra" localSheetId="16">#REF!</definedName>
    <definedName name="obra" localSheetId="38">#REF!</definedName>
    <definedName name="obra" localSheetId="88">#REF!</definedName>
    <definedName name="obra" localSheetId="89">#REF!</definedName>
    <definedName name="obra" localSheetId="90">#REF!</definedName>
    <definedName name="obra" localSheetId="91">#REF!</definedName>
    <definedName name="obra" localSheetId="102">#REF!</definedName>
    <definedName name="obra" localSheetId="107">#REF!</definedName>
    <definedName name="obra" localSheetId="108">#REF!</definedName>
    <definedName name="obra" localSheetId="109">#REF!</definedName>
    <definedName name="obra" localSheetId="110">#REF!</definedName>
    <definedName name="obra" localSheetId="111">#REF!</definedName>
    <definedName name="obra" localSheetId="1">#REF!</definedName>
    <definedName name="obra" localSheetId="4">#REF!</definedName>
    <definedName name="obra" localSheetId="113">#REF!</definedName>
    <definedName name="obra">#REF!</definedName>
    <definedName name="OF">FP!$H$11</definedName>
    <definedName name="ofp" localSheetId="16">#REF!</definedName>
    <definedName name="ofp" localSheetId="88">#REF!</definedName>
    <definedName name="ofp" localSheetId="89">#REF!</definedName>
    <definedName name="ofp" localSheetId="90">#REF!</definedName>
    <definedName name="ofp" localSheetId="91">#REF!</definedName>
    <definedName name="ofp" localSheetId="102">#REF!</definedName>
    <definedName name="ofp" localSheetId="110">#REF!</definedName>
    <definedName name="ofp" localSheetId="111">#REF!</definedName>
    <definedName name="ofp" localSheetId="4">#REF!</definedName>
    <definedName name="ofp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JO" localSheetId="16">#REF!</definedName>
    <definedName name="OJO" localSheetId="38">#REF!</definedName>
    <definedName name="OJO" localSheetId="88">#REF!</definedName>
    <definedName name="OJO" localSheetId="89">#REF!</definedName>
    <definedName name="OJO" localSheetId="90">#REF!</definedName>
    <definedName name="OJO" localSheetId="91">#REF!</definedName>
    <definedName name="OJO" localSheetId="102">#REF!</definedName>
    <definedName name="OJO" localSheetId="107">#REF!</definedName>
    <definedName name="OJO" localSheetId="108">#REF!</definedName>
    <definedName name="OJO" localSheetId="109">#REF!</definedName>
    <definedName name="OJO" localSheetId="110">#REF!</definedName>
    <definedName name="OJO" localSheetId="111">#REF!</definedName>
    <definedName name="OJO" localSheetId="4">#REF!</definedName>
    <definedName name="OJO" localSheetId="113">#REF!</definedName>
    <definedName name="OJO">#REF!</definedName>
    <definedName name="ooo" localSheetId="16">#REF!</definedName>
    <definedName name="ooo" localSheetId="38">#REF!</definedName>
    <definedName name="ooo" localSheetId="88">#REF!</definedName>
    <definedName name="ooo" localSheetId="89">#REF!</definedName>
    <definedName name="ooo" localSheetId="90">#REF!</definedName>
    <definedName name="ooo" localSheetId="91">#REF!</definedName>
    <definedName name="ooo" localSheetId="102">#REF!</definedName>
    <definedName name="ooo" localSheetId="107">#REF!</definedName>
    <definedName name="ooo" localSheetId="108">#REF!</definedName>
    <definedName name="ooo" localSheetId="109">#REF!</definedName>
    <definedName name="ooo" localSheetId="110">#REF!</definedName>
    <definedName name="ooo" localSheetId="111">#REF!</definedName>
    <definedName name="ooo" localSheetId="4">#REF!</definedName>
    <definedName name="ooo" localSheetId="12">#REF!</definedName>
    <definedName name="ooo" localSheetId="13">#REF!</definedName>
    <definedName name="ooo" localSheetId="113">#REF!</definedName>
    <definedName name="ooo">#REF!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tros">[20]otros!$A$6:$A$1235</definedName>
    <definedName name="OTROS_2">[21]otros!$A$6:$A$1235</definedName>
    <definedName name="p0p0" hidden="1">{"via1",#N/A,TRUE,"general";"via2",#N/A,TRUE,"general";"via3",#N/A,TRUE,"general"}</definedName>
    <definedName name="PERS" localSheetId="16" hidden="1">#REF!</definedName>
    <definedName name="PERS" localSheetId="38" hidden="1">#REF!</definedName>
    <definedName name="PERS" localSheetId="88" hidden="1">#REF!</definedName>
    <definedName name="PERS" localSheetId="89" hidden="1">#REF!</definedName>
    <definedName name="PERS" localSheetId="90" hidden="1">#REF!</definedName>
    <definedName name="PERS" localSheetId="91" hidden="1">#REF!</definedName>
    <definedName name="PERS" localSheetId="102" hidden="1">#REF!</definedName>
    <definedName name="PERS" localSheetId="107" hidden="1">#REF!</definedName>
    <definedName name="PERS" localSheetId="108" hidden="1">#REF!</definedName>
    <definedName name="PERS" localSheetId="109" hidden="1">#REF!</definedName>
    <definedName name="PERS" localSheetId="110" hidden="1">#REF!</definedName>
    <definedName name="PERS" localSheetId="111" hidden="1">#REF!</definedName>
    <definedName name="PERS" localSheetId="1" hidden="1">#REF!</definedName>
    <definedName name="PERS" localSheetId="4" hidden="1">#REF!</definedName>
    <definedName name="PERS" localSheetId="113" hidden="1">#REF!</definedName>
    <definedName name="PERS" hidden="1">#REF!</definedName>
    <definedName name="PERSONAL" localSheetId="16" hidden="1">#REF!</definedName>
    <definedName name="PERSONAL" localSheetId="38" hidden="1">#REF!</definedName>
    <definedName name="PERSONAL" localSheetId="88" hidden="1">#REF!</definedName>
    <definedName name="PERSONAL" localSheetId="89" hidden="1">#REF!</definedName>
    <definedName name="PERSONAL" localSheetId="90" hidden="1">#REF!</definedName>
    <definedName name="PERSONAL" localSheetId="91" hidden="1">#REF!</definedName>
    <definedName name="PERSONAL" localSheetId="102" hidden="1">#REF!</definedName>
    <definedName name="PERSONAL" localSheetId="107" hidden="1">#REF!</definedName>
    <definedName name="PERSONAL" localSheetId="108" hidden="1">#REF!</definedName>
    <definedName name="PERSONAL" localSheetId="109" hidden="1">#REF!</definedName>
    <definedName name="PERSONAL" localSheetId="110" hidden="1">#REF!</definedName>
    <definedName name="PERSONAL" localSheetId="111" hidden="1">#REF!</definedName>
    <definedName name="PERSONAL" localSheetId="1" hidden="1">#REF!</definedName>
    <definedName name="PERSONAL" localSheetId="4" hidden="1">#REF!</definedName>
    <definedName name="PERSONAL" localSheetId="113" hidden="1">#REF!</definedName>
    <definedName name="PERSONAL" hidden="1">#REF!</definedName>
    <definedName name="personalito" localSheetId="16" hidden="1">#REF!</definedName>
    <definedName name="personalito" localSheetId="38" hidden="1">#REF!</definedName>
    <definedName name="personalito" localSheetId="88" hidden="1">#REF!</definedName>
    <definedName name="personalito" localSheetId="89" hidden="1">#REF!</definedName>
    <definedName name="personalito" localSheetId="90" hidden="1">#REF!</definedName>
    <definedName name="personalito" localSheetId="91" hidden="1">#REF!</definedName>
    <definedName name="personalito" localSheetId="102" hidden="1">#REF!</definedName>
    <definedName name="personalito" localSheetId="107" hidden="1">#REF!</definedName>
    <definedName name="personalito" localSheetId="108" hidden="1">#REF!</definedName>
    <definedName name="personalito" localSheetId="109" hidden="1">#REF!</definedName>
    <definedName name="personalito" localSheetId="110" hidden="1">#REF!</definedName>
    <definedName name="personalito" localSheetId="111" hidden="1">#REF!</definedName>
    <definedName name="personalito" localSheetId="1" hidden="1">#REF!</definedName>
    <definedName name="personalito" localSheetId="4" hidden="1">#REF!</definedName>
    <definedName name="personalito" localSheetId="113" hidden="1">#REF!</definedName>
    <definedName name="personalito" hidden="1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zo">[8]BASES!$E$27</definedName>
    <definedName name="PlazoAIU" localSheetId="16">#REF!</definedName>
    <definedName name="PlazoAIU" localSheetId="38">#REF!</definedName>
    <definedName name="PlazoAIU" localSheetId="88">#REF!</definedName>
    <definedName name="PlazoAIU" localSheetId="89">#REF!</definedName>
    <definedName name="PlazoAIU" localSheetId="90">#REF!</definedName>
    <definedName name="PlazoAIU" localSheetId="91">#REF!</definedName>
    <definedName name="PlazoAIU" localSheetId="102">#REF!</definedName>
    <definedName name="PlazoAIU" localSheetId="107">#REF!</definedName>
    <definedName name="PlazoAIU" localSheetId="108">#REF!</definedName>
    <definedName name="PlazoAIU" localSheetId="109">#REF!</definedName>
    <definedName name="PlazoAIU" localSheetId="110">#REF!</definedName>
    <definedName name="PlazoAIU" localSheetId="111">#REF!</definedName>
    <definedName name="PlazoAIU" localSheetId="1">#REF!</definedName>
    <definedName name="PlazoAIU" localSheetId="4">#REF!</definedName>
    <definedName name="PlazoAIU" localSheetId="113">#REF!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vds" hidden="1">{"TAB1",#N/A,TRUE,"GENERAL";"TAB2",#N/A,TRUE,"GENERAL";"TAB3",#N/A,TRUE,"GENERAL";"TAB4",#N/A,TRUE,"GENERAL";"TAB5",#N/A,TRUE,"GENERAL"}</definedName>
    <definedName name="PORCE">[8]BASES!$E$26</definedName>
    <definedName name="pouig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qroj" hidden="1">{"via1",#N/A,TRUE,"general";"via2",#N/A,TRUE,"general";"via3",#N/A,TRUE,"general"}</definedName>
    <definedName name="PRE" localSheetId="16">#REF!</definedName>
    <definedName name="PRE" localSheetId="38">#REF!</definedName>
    <definedName name="PRE" localSheetId="88">#REF!</definedName>
    <definedName name="PRE" localSheetId="89">#REF!</definedName>
    <definedName name="PRE" localSheetId="90">#REF!</definedName>
    <definedName name="PRE" localSheetId="91">#REF!</definedName>
    <definedName name="PRE" localSheetId="102">#REF!</definedName>
    <definedName name="PRE" localSheetId="107">#REF!</definedName>
    <definedName name="PRE" localSheetId="108">#REF!</definedName>
    <definedName name="PRE" localSheetId="109">#REF!</definedName>
    <definedName name="PRE" localSheetId="110">#REF!</definedName>
    <definedName name="PRE" localSheetId="111">#REF!</definedName>
    <definedName name="PRE" localSheetId="4">#REF!</definedName>
    <definedName name="PRE" localSheetId="12">#REF!</definedName>
    <definedName name="PRE" localSheetId="13">#REF!</definedName>
    <definedName name="PRE" localSheetId="113">#REF!</definedName>
    <definedName name="PRE">#REF!</definedName>
    <definedName name="PRECIO">[40]PRECIOS!$A$5:$M$143</definedName>
    <definedName name="Prestaciones_sociales">[41]P.S.!$C$33</definedName>
    <definedName name="PRIMER" hidden="1">{"via1",#N/A,TRUE,"general";"via2",#N/A,TRUE,"general";"via3",#N/A,TRUE,"general"}</definedName>
    <definedName name="PRIMET" hidden="1">{"TAB1",#N/A,TRUE,"GENERAL";"TAB2",#N/A,TRUE,"GENERAL";"TAB3",#N/A,TRUE,"GENERAL";"TAB4",#N/A,TRUE,"GENERAL";"TAB5",#N/A,TRUE,"GENERAL"}</definedName>
    <definedName name="Print_Area_MI" localSheetId="16">#REF!</definedName>
    <definedName name="Print_Area_MI" localSheetId="38">#REF!</definedName>
    <definedName name="Print_Area_MI" localSheetId="88">#REF!</definedName>
    <definedName name="Print_Area_MI" localSheetId="89">#REF!</definedName>
    <definedName name="Print_Area_MI" localSheetId="90">#REF!</definedName>
    <definedName name="Print_Area_MI" localSheetId="91">#REF!</definedName>
    <definedName name="Print_Area_MI" localSheetId="102">#REF!</definedName>
    <definedName name="Print_Area_MI" localSheetId="107">#REF!</definedName>
    <definedName name="Print_Area_MI" localSheetId="108">#REF!</definedName>
    <definedName name="Print_Area_MI" localSheetId="109">#REF!</definedName>
    <definedName name="Print_Area_MI" localSheetId="110">#REF!</definedName>
    <definedName name="Print_Area_MI" localSheetId="111">#REF!</definedName>
    <definedName name="Print_Area_MI" localSheetId="4">#REF!</definedName>
    <definedName name="Print_Area_MI" localSheetId="12">#REF!</definedName>
    <definedName name="Print_Area_MI" localSheetId="13">#REF!</definedName>
    <definedName name="Print_Area_MI" localSheetId="113">#REF!</definedName>
    <definedName name="Print_Area_MI">#REF!</definedName>
    <definedName name="PRINT_TITLES_MI">#N/A</definedName>
    <definedName name="Print_Titles2">#N/A</definedName>
    <definedName name="PrOfic">[8]BASES!$B$31</definedName>
    <definedName name="PROG">[42]FLUJO!$A$1:$A$3</definedName>
    <definedName name="Prov" localSheetId="16">#REF!</definedName>
    <definedName name="Prov" localSheetId="38">#REF!</definedName>
    <definedName name="Prov" localSheetId="88">#REF!</definedName>
    <definedName name="Prov" localSheetId="89">#REF!</definedName>
    <definedName name="Prov" localSheetId="90">#REF!</definedName>
    <definedName name="Prov" localSheetId="91">#REF!</definedName>
    <definedName name="Prov" localSheetId="102">#REF!</definedName>
    <definedName name="Prov" localSheetId="107">#REF!</definedName>
    <definedName name="Prov" localSheetId="108">#REF!</definedName>
    <definedName name="Prov" localSheetId="109">#REF!</definedName>
    <definedName name="Prov" localSheetId="110">#REF!</definedName>
    <definedName name="Prov" localSheetId="111">#REF!</definedName>
    <definedName name="Prov" localSheetId="4">#REF!</definedName>
    <definedName name="Prov" localSheetId="113">#REF!</definedName>
    <definedName name="Prov">#REF!</definedName>
    <definedName name="prueba1" localSheetId="16">[43]!absc</definedName>
    <definedName name="prueba1" localSheetId="88">[43]!absc</definedName>
    <definedName name="prueba1" localSheetId="89">[43]!absc</definedName>
    <definedName name="prueba1" localSheetId="90">[43]!absc</definedName>
    <definedName name="prueba1" localSheetId="91">[43]!absc</definedName>
    <definedName name="prueba1" localSheetId="102">[43]!absc</definedName>
    <definedName name="prueba1" localSheetId="110">[43]!absc</definedName>
    <definedName name="prueba1" localSheetId="111">[43]!absc</definedName>
    <definedName name="prueba1" localSheetId="4">[43]!absc</definedName>
    <definedName name="prueba1">[43]!absc</definedName>
    <definedName name="PRUEBA2" localSheetId="16">#REF!</definedName>
    <definedName name="PRUEBA2" localSheetId="38">#REF!</definedName>
    <definedName name="PRUEBA2" localSheetId="88">#REF!</definedName>
    <definedName name="PRUEBA2" localSheetId="89">#REF!</definedName>
    <definedName name="PRUEBA2" localSheetId="90">#REF!</definedName>
    <definedName name="PRUEBA2" localSheetId="91">#REF!</definedName>
    <definedName name="PRUEBA2" localSheetId="102">#REF!</definedName>
    <definedName name="PRUEBA2" localSheetId="107">#REF!</definedName>
    <definedName name="PRUEBA2" localSheetId="108">#REF!</definedName>
    <definedName name="PRUEBA2" localSheetId="109">#REF!</definedName>
    <definedName name="PRUEBA2" localSheetId="110">#REF!</definedName>
    <definedName name="PRUEBA2" localSheetId="111">#REF!</definedName>
    <definedName name="PRUEBA2" localSheetId="4">#REF!</definedName>
    <definedName name="PRUEBA2" localSheetId="12">#REF!</definedName>
    <definedName name="PRUEBA2" localSheetId="13">#REF!</definedName>
    <definedName name="PRUEBA2" localSheetId="113">#REF!</definedName>
    <definedName name="PRUEBA2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q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qqqqw" hidden="1">{"via1",#N/A,TRUE,"general";"via2",#N/A,TRUE,"general";"via3",#N/A,TRUE,"general"}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EG">'[35]Estado Resumen'!XFC1&gt;2.5</definedName>
    <definedName name="rege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 localSheetId="12">'[37]ESTADO VÍA-CRIT.TECNICO'!XFC1&gt;2.5</definedName>
    <definedName name="REGULAR" localSheetId="13">'[37]ESTADO VÍA-CRIT.TECNICO'!XFC1&gt;2.5</definedName>
    <definedName name="REGULAR">'[36]ESTADO VÍA-CRIT.TECNICO'!XFC1&gt;2.5</definedName>
    <definedName name="REJHE" hidden="1">{"via1",#N/A,TRUE,"general";"via2",#N/A,TRUE,"general";"via3",#N/A,TRUE,"general"}</definedName>
    <definedName name="rell" localSheetId="16">#REF!</definedName>
    <definedName name="rell" localSheetId="38">#REF!</definedName>
    <definedName name="rell" localSheetId="88">#REF!</definedName>
    <definedName name="rell" localSheetId="89">#REF!</definedName>
    <definedName name="rell" localSheetId="90">#REF!</definedName>
    <definedName name="rell" localSheetId="91">#REF!</definedName>
    <definedName name="rell" localSheetId="102">#REF!</definedName>
    <definedName name="rell" localSheetId="107">#REF!</definedName>
    <definedName name="rell" localSheetId="108">#REF!</definedName>
    <definedName name="rell" localSheetId="109">#REF!</definedName>
    <definedName name="rell" localSheetId="110">#REF!</definedName>
    <definedName name="rell" localSheetId="111">#REF!</definedName>
    <definedName name="rell" localSheetId="4">#REF!</definedName>
    <definedName name="rell" localSheetId="12">#REF!</definedName>
    <definedName name="rell" localSheetId="13">#REF!</definedName>
    <definedName name="rell" localSheetId="113">#REF!</definedName>
    <definedName name="rell">#REF!</definedName>
    <definedName name="RELLG" localSheetId="16">#REF!</definedName>
    <definedName name="RELLG" localSheetId="38">#REF!</definedName>
    <definedName name="RELLG" localSheetId="88">#REF!</definedName>
    <definedName name="RELLG" localSheetId="89">#REF!</definedName>
    <definedName name="RELLG" localSheetId="90">#REF!</definedName>
    <definedName name="RELLG" localSheetId="91">#REF!</definedName>
    <definedName name="RELLG" localSheetId="102">#REF!</definedName>
    <definedName name="RELLG" localSheetId="107">#REF!</definedName>
    <definedName name="RELLG" localSheetId="108">#REF!</definedName>
    <definedName name="RELLG" localSheetId="109">#REF!</definedName>
    <definedName name="RELLG" localSheetId="110">#REF!</definedName>
    <definedName name="RELLG" localSheetId="111">#REF!</definedName>
    <definedName name="RELLG" localSheetId="4">#REF!</definedName>
    <definedName name="RELLG" localSheetId="12">#REF!</definedName>
    <definedName name="RELLG" localSheetId="13">#REF!</definedName>
    <definedName name="RELLG" localSheetId="113">#REF!</definedName>
    <definedName name="RELLG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tenc">[8]BASES!$E$31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rr" hidden="1">{"via1",#N/A,TRUE,"general";"via2",#N/A,TRUE,"general";"via3",#N/A,TRUE,"general"}</definedName>
    <definedName name="RRRR" localSheetId="16">#REF!</definedName>
    <definedName name="RRRR" localSheetId="38">#REF!</definedName>
    <definedName name="RRRR" localSheetId="88">#REF!</definedName>
    <definedName name="RRRR" localSheetId="89">#REF!</definedName>
    <definedName name="RRRR" localSheetId="90">#REF!</definedName>
    <definedName name="RRRR" localSheetId="91">#REF!</definedName>
    <definedName name="RRRR" localSheetId="102">#REF!</definedName>
    <definedName name="RRRR" localSheetId="107">#REF!</definedName>
    <definedName name="RRRR" localSheetId="108">#REF!</definedName>
    <definedName name="RRRR" localSheetId="109">#REF!</definedName>
    <definedName name="RRRR" localSheetId="110">#REF!</definedName>
    <definedName name="RRRR" localSheetId="111">#REF!</definedName>
    <definedName name="RRRR" localSheetId="1">#REF!</definedName>
    <definedName name="RRRR" localSheetId="4">#REF!</definedName>
    <definedName name="RRRR" localSheetId="113">#REF!</definedName>
    <definedName name="RRRR">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adf" localSheetId="16">#REF!</definedName>
    <definedName name="rsadf" localSheetId="38">#REF!</definedName>
    <definedName name="rsadf" localSheetId="88">#REF!</definedName>
    <definedName name="rsadf" localSheetId="89">#REF!</definedName>
    <definedName name="rsadf" localSheetId="90">#REF!</definedName>
    <definedName name="rsadf" localSheetId="91">#REF!</definedName>
    <definedName name="rsadf" localSheetId="102">#REF!</definedName>
    <definedName name="rsadf" localSheetId="107">#REF!</definedName>
    <definedName name="rsadf" localSheetId="108">#REF!</definedName>
    <definedName name="rsadf" localSheetId="109">#REF!</definedName>
    <definedName name="rsadf" localSheetId="110">#REF!</definedName>
    <definedName name="rsadf" localSheetId="111">#REF!</definedName>
    <definedName name="rsadf" localSheetId="4">#REF!</definedName>
    <definedName name="rsadf" localSheetId="113">#REF!</definedName>
    <definedName name="rsadf">#REF!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Minimo">[8]BASES!$E$41</definedName>
    <definedName name="sbgfbgdr" hidden="1">{"via1",#N/A,TRUE,"general";"via2",#N/A,TRUE,"general";"via3",#N/A,TRUE,"general"}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ECTOR" localSheetId="16">#REF!</definedName>
    <definedName name="SECTOR" localSheetId="88">#REF!</definedName>
    <definedName name="SECTOR" localSheetId="89">#REF!</definedName>
    <definedName name="SECTOR" localSheetId="90">#REF!</definedName>
    <definedName name="SECTOR" localSheetId="91">#REF!</definedName>
    <definedName name="SECTOR" localSheetId="102">#REF!</definedName>
    <definedName name="SECTOR" localSheetId="110">#REF!</definedName>
    <definedName name="SECTOR" localSheetId="111">#REF!</definedName>
    <definedName name="SECTOR" localSheetId="4">#REF!</definedName>
    <definedName name="SECTOR">#REF!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ITIO" localSheetId="16">#REF!</definedName>
    <definedName name="SITIO" localSheetId="38">#REF!</definedName>
    <definedName name="SITIO" localSheetId="88">#REF!</definedName>
    <definedName name="SITIO" localSheetId="89">#REF!</definedName>
    <definedName name="SITIO" localSheetId="90">#REF!</definedName>
    <definedName name="SITIO" localSheetId="91">#REF!</definedName>
    <definedName name="SITIO" localSheetId="102">#REF!</definedName>
    <definedName name="SITIO" localSheetId="107">#REF!</definedName>
    <definedName name="SITIO" localSheetId="108">#REF!</definedName>
    <definedName name="SITIO" localSheetId="109">#REF!</definedName>
    <definedName name="SITIO" localSheetId="110">#REF!</definedName>
    <definedName name="SITIO" localSheetId="111">#REF!</definedName>
    <definedName name="SITIO" localSheetId="1">#REF!</definedName>
    <definedName name="SITIO" localSheetId="4">#REF!</definedName>
    <definedName name="SITIO" localSheetId="113">#REF!</definedName>
    <definedName name="SITIO">#REF!</definedName>
    <definedName name="srwrwr" hidden="1">{"TAB1",#N/A,TRUE,"GENERAL";"TAB2",#N/A,TRUE,"GENERAL";"TAB3",#N/A,TRUE,"GENERAL";"TAB4",#N/A,TRUE,"GENERAL";"TAB5",#N/A,TRUE,"GENERAL"}</definedName>
    <definedName name="ss" localSheetId="16">#REF!</definedName>
    <definedName name="ss" localSheetId="88">#REF!</definedName>
    <definedName name="ss" localSheetId="89">#REF!</definedName>
    <definedName name="ss" localSheetId="90">#REF!</definedName>
    <definedName name="ss" localSheetId="91">#REF!</definedName>
    <definedName name="ss" localSheetId="102">#REF!</definedName>
    <definedName name="ss" localSheetId="110">#REF!</definedName>
    <definedName name="ss" localSheetId="111">#REF!</definedName>
    <definedName name="ss" localSheetId="4">#REF!</definedName>
    <definedName name="ss">#REF!</definedName>
    <definedName name="ssss" localSheetId="16">#REF!</definedName>
    <definedName name="ssss" localSheetId="38">#REF!</definedName>
    <definedName name="ssss" localSheetId="88">#REF!</definedName>
    <definedName name="ssss" localSheetId="89">#REF!</definedName>
    <definedName name="ssss" localSheetId="90">#REF!</definedName>
    <definedName name="ssss" localSheetId="91">#REF!</definedName>
    <definedName name="ssss" localSheetId="102">#REF!</definedName>
    <definedName name="ssss" localSheetId="107">#REF!</definedName>
    <definedName name="ssss" localSheetId="108">#REF!</definedName>
    <definedName name="ssss" localSheetId="109">#REF!</definedName>
    <definedName name="ssss" localSheetId="110">#REF!</definedName>
    <definedName name="ssss" localSheetId="111">#REF!</definedName>
    <definedName name="ssss" localSheetId="4">#REF!</definedName>
    <definedName name="ssss" localSheetId="113">#REF!</definedName>
    <definedName name="ssss">#REF!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UBA">'[44]SUB APU'!$A$1:$D$65536</definedName>
    <definedName name="Subbase2" localSheetId="16">#REF!</definedName>
    <definedName name="Subbase2" localSheetId="38">#REF!</definedName>
    <definedName name="Subbase2" localSheetId="88">#REF!</definedName>
    <definedName name="Subbase2" localSheetId="89">#REF!</definedName>
    <definedName name="Subbase2" localSheetId="90">#REF!</definedName>
    <definedName name="Subbase2" localSheetId="91">#REF!</definedName>
    <definedName name="Subbase2" localSheetId="102">#REF!</definedName>
    <definedName name="Subbase2" localSheetId="107">#REF!</definedName>
    <definedName name="Subbase2" localSheetId="108">#REF!</definedName>
    <definedName name="Subbase2" localSheetId="109">#REF!</definedName>
    <definedName name="Subbase2" localSheetId="110">#REF!</definedName>
    <definedName name="Subbase2" localSheetId="111">#REF!</definedName>
    <definedName name="Subbase2" localSheetId="4">#REF!</definedName>
    <definedName name="Subbase2" localSheetId="113">#REF!</definedName>
    <definedName name="Subbase2">#REF!</definedName>
    <definedName name="suma">[45]Hoja1!$F$60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12">[2]!absc</definedName>
    <definedName name="t" localSheetId="13">[2]!absc</definedName>
    <definedName name="T">'[14]Base de Datos'!$B$36:$B$55</definedName>
    <definedName name="t5t5" hidden="1">{"TAB1",#N/A,TRUE,"GENERAL";"TAB2",#N/A,TRUE,"GENERAL";"TAB3",#N/A,TRUE,"GENERAL";"TAB4",#N/A,TRUE,"GENERAL";"TAB5",#N/A,TRUE,"GENERAL"}</definedName>
    <definedName name="TABLA" localSheetId="16">#REF!</definedName>
    <definedName name="TABLA" localSheetId="38">#REF!</definedName>
    <definedName name="TABLA" localSheetId="88">#REF!</definedName>
    <definedName name="TABLA" localSheetId="89">#REF!</definedName>
    <definedName name="TABLA" localSheetId="90">#REF!</definedName>
    <definedName name="TABLA" localSheetId="91">#REF!</definedName>
    <definedName name="TABLA" localSheetId="102">#REF!</definedName>
    <definedName name="TABLA" localSheetId="107">#REF!</definedName>
    <definedName name="TABLA" localSheetId="108">#REF!</definedName>
    <definedName name="TABLA" localSheetId="109">#REF!</definedName>
    <definedName name="TABLA" localSheetId="110">#REF!</definedName>
    <definedName name="TABLA" localSheetId="111">#REF!</definedName>
    <definedName name="TABLA" localSheetId="4">#REF!</definedName>
    <definedName name="TABLA" localSheetId="12">#REF!</definedName>
    <definedName name="TABLA" localSheetId="13">#REF!</definedName>
    <definedName name="TABLA" localSheetId="113">#REF!</definedName>
    <definedName name="TABLA">#REF!</definedName>
    <definedName name="TABLA1.2.2" localSheetId="16">[46]A.P.U!#REF!</definedName>
    <definedName name="TABLA1.2.2" localSheetId="38">[46]A.P.U!#REF!</definedName>
    <definedName name="TABLA1.2.2" localSheetId="88">[46]A.P.U!#REF!</definedName>
    <definedName name="TABLA1.2.2" localSheetId="89">[46]A.P.U!#REF!</definedName>
    <definedName name="TABLA1.2.2" localSheetId="90">[46]A.P.U!#REF!</definedName>
    <definedName name="TABLA1.2.2" localSheetId="91">[46]A.P.U!#REF!</definedName>
    <definedName name="TABLA1.2.2" localSheetId="102">[46]A.P.U!#REF!</definedName>
    <definedName name="TABLA1.2.2" localSheetId="107">[46]A.P.U!#REF!</definedName>
    <definedName name="TABLA1.2.2" localSheetId="108">[46]A.P.U!#REF!</definedName>
    <definedName name="TABLA1.2.2" localSheetId="109">[46]A.P.U!#REF!</definedName>
    <definedName name="TABLA1.2.2" localSheetId="110">[46]A.P.U!#REF!</definedName>
    <definedName name="TABLA1.2.2" localSheetId="111">[46]A.P.U!#REF!</definedName>
    <definedName name="TABLA1.2.2" localSheetId="4">[46]A.P.U!#REF!</definedName>
    <definedName name="TABLA1.2.2" localSheetId="113">[46]A.P.U!#REF!</definedName>
    <definedName name="TABLA1.2.2">[46]A.P.U!#REF!</definedName>
    <definedName name="tdy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IEMPO">[8]BASES!$E$27</definedName>
    <definedName name="tipocontrato">'[39]PLANEACION MM1'!$O$191:$O$192</definedName>
    <definedName name="TITULO" localSheetId="16">#REF!</definedName>
    <definedName name="TITULO" localSheetId="38">#REF!</definedName>
    <definedName name="TITULO" localSheetId="88">#REF!</definedName>
    <definedName name="TITULO" localSheetId="89">#REF!</definedName>
    <definedName name="TITULO" localSheetId="90">#REF!</definedName>
    <definedName name="TITULO" localSheetId="91">#REF!</definedName>
    <definedName name="TITULO" localSheetId="102">#REF!</definedName>
    <definedName name="TITULO" localSheetId="107">#REF!</definedName>
    <definedName name="TITULO" localSheetId="108">#REF!</definedName>
    <definedName name="TITULO" localSheetId="109">#REF!</definedName>
    <definedName name="TITULO" localSheetId="110">#REF!</definedName>
    <definedName name="TITULO" localSheetId="111">#REF!</definedName>
    <definedName name="TITULO" localSheetId="4">#REF!</definedName>
    <definedName name="TITULO" localSheetId="12">#REF!</definedName>
    <definedName name="TITULO" localSheetId="13">#REF!</definedName>
    <definedName name="TITULO" localSheetId="113">#REF!</definedName>
    <definedName name="TITULO">#REF!</definedName>
    <definedName name="_xlnm.Print_Titles" localSheetId="4">FLUJO!$3:$11</definedName>
    <definedName name="_xlnm.Print_Titles" localSheetId="12">FM!$1:$14</definedName>
    <definedName name="_xlnm.Print_Titles" localSheetId="0">M!$3:$3</definedName>
    <definedName name="_xlnm.Print_Titles" localSheetId="7">MC!$2:$3</definedName>
    <definedName name="_xlnm.Print_Titles" localSheetId="9">POZOS!$4:$5</definedName>
    <definedName name="_xlnm.Print_Titles" localSheetId="3">PPTO!$3:$9</definedName>
    <definedName name="_xlnm.Print_Titles">#N/A</definedName>
    <definedName name="Títulos_a_imprimir_IM" localSheetId="16">#REF!</definedName>
    <definedName name="Títulos_a_imprimir_IM" localSheetId="88">#REF!</definedName>
    <definedName name="Títulos_a_imprimir_IM" localSheetId="89">#REF!</definedName>
    <definedName name="Títulos_a_imprimir_IM" localSheetId="90">#REF!</definedName>
    <definedName name="Títulos_a_imprimir_IM" localSheetId="91">#REF!</definedName>
    <definedName name="Títulos_a_imprimir_IM" localSheetId="102">#REF!</definedName>
    <definedName name="Títulos_a_imprimir_IM" localSheetId="110">#REF!</definedName>
    <definedName name="Títulos_a_imprimir_IM" localSheetId="111">#REF!</definedName>
    <definedName name="Títulos_a_imprimir_IM" localSheetId="4">#REF!</definedName>
    <definedName name="Títulos_a_imprimir_IM">#REF!</definedName>
    <definedName name="TOP">FP!$H$9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AL" localSheetId="16">#REF!</definedName>
    <definedName name="TOTAL" localSheetId="38">#REF!</definedName>
    <definedName name="TOTAL" localSheetId="88">#REF!</definedName>
    <definedName name="TOTAL" localSheetId="89">#REF!</definedName>
    <definedName name="TOTAL" localSheetId="90">#REF!</definedName>
    <definedName name="TOTAL" localSheetId="91">#REF!</definedName>
    <definedName name="TOTAL" localSheetId="102">#REF!</definedName>
    <definedName name="TOTAL" localSheetId="107">#REF!</definedName>
    <definedName name="TOTAL" localSheetId="108">#REF!</definedName>
    <definedName name="TOTAL" localSheetId="109">#REF!</definedName>
    <definedName name="TOTAL" localSheetId="110">#REF!</definedName>
    <definedName name="TOTAL" localSheetId="111">#REF!</definedName>
    <definedName name="TOTAL" localSheetId="4">#REF!</definedName>
    <definedName name="TOTAL" localSheetId="12">#REF!</definedName>
    <definedName name="TOTAL" localSheetId="13">#REF!</definedName>
    <definedName name="TOTAL" localSheetId="113">#REF!</definedName>
    <definedName name="TOTAL">#REF!</definedName>
    <definedName name="TOTALITEM1.1" localSheetId="16">[46]A.P.U!#REF!</definedName>
    <definedName name="TOTALITEM1.1" localSheetId="38">[46]A.P.U!#REF!</definedName>
    <definedName name="TOTALITEM1.1" localSheetId="88">[46]A.P.U!#REF!</definedName>
    <definedName name="TOTALITEM1.1" localSheetId="89">[46]A.P.U!#REF!</definedName>
    <definedName name="TOTALITEM1.1" localSheetId="90">[46]A.P.U!#REF!</definedName>
    <definedName name="TOTALITEM1.1" localSheetId="91">[46]A.P.U!#REF!</definedName>
    <definedName name="TOTALITEM1.1" localSheetId="102">[46]A.P.U!#REF!</definedName>
    <definedName name="TOTALITEM1.1" localSheetId="107">[46]A.P.U!#REF!</definedName>
    <definedName name="TOTALITEM1.1" localSheetId="108">[46]A.P.U!#REF!</definedName>
    <definedName name="TOTALITEM1.1" localSheetId="109">[46]A.P.U!#REF!</definedName>
    <definedName name="TOTALITEM1.1" localSheetId="110">[46]A.P.U!#REF!</definedName>
    <definedName name="TOTALITEM1.1" localSheetId="111">[46]A.P.U!#REF!</definedName>
    <definedName name="TOTALITEM1.1" localSheetId="4">[46]A.P.U!#REF!</definedName>
    <definedName name="TOTALITEM1.1" localSheetId="113">[46]A.P.U!#REF!</definedName>
    <definedName name="TOTALITEM1.1">[46]A.P.U!#REF!</definedName>
    <definedName name="TOTALITEM1.1.1" localSheetId="16">[46]A.P.U!#REF!</definedName>
    <definedName name="TOTALITEM1.1.1" localSheetId="38">[46]A.P.U!#REF!</definedName>
    <definedName name="TOTALITEM1.1.1" localSheetId="88">[46]A.P.U!#REF!</definedName>
    <definedName name="TOTALITEM1.1.1" localSheetId="89">[46]A.P.U!#REF!</definedName>
    <definedName name="TOTALITEM1.1.1" localSheetId="90">[46]A.P.U!#REF!</definedName>
    <definedName name="TOTALITEM1.1.1" localSheetId="91">[46]A.P.U!#REF!</definedName>
    <definedName name="TOTALITEM1.1.1" localSheetId="102">[46]A.P.U!#REF!</definedName>
    <definedName name="TOTALITEM1.1.1" localSheetId="107">[46]A.P.U!#REF!</definedName>
    <definedName name="TOTALITEM1.1.1" localSheetId="108">[46]A.P.U!#REF!</definedName>
    <definedName name="TOTALITEM1.1.1" localSheetId="109">[46]A.P.U!#REF!</definedName>
    <definedName name="TOTALITEM1.1.1" localSheetId="110">[46]A.P.U!#REF!</definedName>
    <definedName name="TOTALITEM1.1.1" localSheetId="111">[46]A.P.U!#REF!</definedName>
    <definedName name="TOTALITEM1.1.1" localSheetId="4">[46]A.P.U!#REF!</definedName>
    <definedName name="TOTALITEM1.1.1" localSheetId="113">[46]A.P.U!#REF!</definedName>
    <definedName name="TOTALITEM1.1.1">[46]A.P.U!#REF!</definedName>
    <definedName name="TOTALITEM1.1.2" localSheetId="16">[46]A.P.U!#REF!</definedName>
    <definedName name="TOTALITEM1.1.2" localSheetId="38">[46]A.P.U!#REF!</definedName>
    <definedName name="TOTALITEM1.1.2" localSheetId="88">[46]A.P.U!#REF!</definedName>
    <definedName name="TOTALITEM1.1.2" localSheetId="89">[46]A.P.U!#REF!</definedName>
    <definedName name="TOTALITEM1.1.2" localSheetId="90">[46]A.P.U!#REF!</definedName>
    <definedName name="TOTALITEM1.1.2" localSheetId="91">[46]A.P.U!#REF!</definedName>
    <definedName name="TOTALITEM1.1.2" localSheetId="102">[46]A.P.U!#REF!</definedName>
    <definedName name="TOTALITEM1.1.2" localSheetId="107">[46]A.P.U!#REF!</definedName>
    <definedName name="TOTALITEM1.1.2" localSheetId="108">[46]A.P.U!#REF!</definedName>
    <definedName name="TOTALITEM1.1.2" localSheetId="109">[46]A.P.U!#REF!</definedName>
    <definedName name="TOTALITEM1.1.2" localSheetId="110">[46]A.P.U!#REF!</definedName>
    <definedName name="TOTALITEM1.1.2" localSheetId="111">[46]A.P.U!#REF!</definedName>
    <definedName name="TOTALITEM1.1.2" localSheetId="4">[46]A.P.U!#REF!</definedName>
    <definedName name="TOTALITEM1.1.2" localSheetId="113">[46]A.P.U!#REF!</definedName>
    <definedName name="TOTALITEM1.1.2">[46]A.P.U!#REF!</definedName>
    <definedName name="TOTALITEM1.1.3" localSheetId="16">[46]A.P.U!#REF!</definedName>
    <definedName name="TOTALITEM1.1.3" localSheetId="38">[46]A.P.U!#REF!</definedName>
    <definedName name="TOTALITEM1.1.3" localSheetId="88">[46]A.P.U!#REF!</definedName>
    <definedName name="TOTALITEM1.1.3" localSheetId="89">[46]A.P.U!#REF!</definedName>
    <definedName name="TOTALITEM1.1.3" localSheetId="90">[46]A.P.U!#REF!</definedName>
    <definedName name="TOTALITEM1.1.3" localSheetId="91">[46]A.P.U!#REF!</definedName>
    <definedName name="TOTALITEM1.1.3" localSheetId="102">[46]A.P.U!#REF!</definedName>
    <definedName name="TOTALITEM1.1.3" localSheetId="107">[46]A.P.U!#REF!</definedName>
    <definedName name="TOTALITEM1.1.3" localSheetId="108">[46]A.P.U!#REF!</definedName>
    <definedName name="TOTALITEM1.1.3" localSheetId="109">[46]A.P.U!#REF!</definedName>
    <definedName name="TOTALITEM1.1.3" localSheetId="110">[46]A.P.U!#REF!</definedName>
    <definedName name="TOTALITEM1.1.3" localSheetId="111">[46]A.P.U!#REF!</definedName>
    <definedName name="TOTALITEM1.1.3" localSheetId="4">[46]A.P.U!#REF!</definedName>
    <definedName name="TOTALITEM1.1.3" localSheetId="113">[46]A.P.U!#REF!</definedName>
    <definedName name="TOTALITEM1.1.3">[46]A.P.U!#REF!</definedName>
    <definedName name="TOTALITEM1.1.4" localSheetId="16">[46]A.P.U!#REF!</definedName>
    <definedName name="TOTALITEM1.1.4" localSheetId="38">[46]A.P.U!#REF!</definedName>
    <definedName name="TOTALITEM1.1.4" localSheetId="88">[46]A.P.U!#REF!</definedName>
    <definedName name="TOTALITEM1.1.4" localSheetId="89">[46]A.P.U!#REF!</definedName>
    <definedName name="TOTALITEM1.1.4" localSheetId="90">[46]A.P.U!#REF!</definedName>
    <definedName name="TOTALITEM1.1.4" localSheetId="91">[46]A.P.U!#REF!</definedName>
    <definedName name="TOTALITEM1.1.4" localSheetId="102">[46]A.P.U!#REF!</definedName>
    <definedName name="TOTALITEM1.1.4" localSheetId="107">[46]A.P.U!#REF!</definedName>
    <definedName name="TOTALITEM1.1.4" localSheetId="108">[46]A.P.U!#REF!</definedName>
    <definedName name="TOTALITEM1.1.4" localSheetId="109">[46]A.P.U!#REF!</definedName>
    <definedName name="TOTALITEM1.1.4" localSheetId="110">[46]A.P.U!#REF!</definedName>
    <definedName name="TOTALITEM1.1.4" localSheetId="111">[46]A.P.U!#REF!</definedName>
    <definedName name="TOTALITEM1.1.4" localSheetId="4">[46]A.P.U!#REF!</definedName>
    <definedName name="TOTALITEM1.1.4" localSheetId="113">[46]A.P.U!#REF!</definedName>
    <definedName name="TOTALITEM1.1.4">[46]A.P.U!#REF!</definedName>
    <definedName name="TOTALITEM1.2.1" localSheetId="16">[46]A.P.U!#REF!</definedName>
    <definedName name="TOTALITEM1.2.1" localSheetId="38">[46]A.P.U!#REF!</definedName>
    <definedName name="TOTALITEM1.2.1" localSheetId="88">[46]A.P.U!#REF!</definedName>
    <definedName name="TOTALITEM1.2.1" localSheetId="89">[46]A.P.U!#REF!</definedName>
    <definedName name="TOTALITEM1.2.1" localSheetId="90">[46]A.P.U!#REF!</definedName>
    <definedName name="TOTALITEM1.2.1" localSheetId="91">[46]A.P.U!#REF!</definedName>
    <definedName name="TOTALITEM1.2.1" localSheetId="102">[46]A.P.U!#REF!</definedName>
    <definedName name="TOTALITEM1.2.1" localSheetId="107">[46]A.P.U!#REF!</definedName>
    <definedName name="TOTALITEM1.2.1" localSheetId="108">[46]A.P.U!#REF!</definedName>
    <definedName name="TOTALITEM1.2.1" localSheetId="109">[46]A.P.U!#REF!</definedName>
    <definedName name="TOTALITEM1.2.1" localSheetId="110">[46]A.P.U!#REF!</definedName>
    <definedName name="TOTALITEM1.2.1" localSheetId="111">[46]A.P.U!#REF!</definedName>
    <definedName name="TOTALITEM1.2.1" localSheetId="4">[46]A.P.U!#REF!</definedName>
    <definedName name="TOTALITEM1.2.1" localSheetId="113">[46]A.P.U!#REF!</definedName>
    <definedName name="TOTALITEM1.2.1">[46]A.P.U!#REF!</definedName>
    <definedName name="TOTALITEM1.2.2" localSheetId="16">[46]A.P.U!#REF!</definedName>
    <definedName name="TOTALITEM1.2.2" localSheetId="38">[46]A.P.U!#REF!</definedName>
    <definedName name="TOTALITEM1.2.2" localSheetId="88">[46]A.P.U!#REF!</definedName>
    <definedName name="TOTALITEM1.2.2" localSheetId="89">[46]A.P.U!#REF!</definedName>
    <definedName name="TOTALITEM1.2.2" localSheetId="90">[46]A.P.U!#REF!</definedName>
    <definedName name="TOTALITEM1.2.2" localSheetId="91">[46]A.P.U!#REF!</definedName>
    <definedName name="TOTALITEM1.2.2" localSheetId="102">[46]A.P.U!#REF!</definedName>
    <definedName name="TOTALITEM1.2.2" localSheetId="107">[46]A.P.U!#REF!</definedName>
    <definedName name="TOTALITEM1.2.2" localSheetId="108">[46]A.P.U!#REF!</definedName>
    <definedName name="TOTALITEM1.2.2" localSheetId="109">[46]A.P.U!#REF!</definedName>
    <definedName name="TOTALITEM1.2.2" localSheetId="110">[46]A.P.U!#REF!</definedName>
    <definedName name="TOTALITEM1.2.2" localSheetId="111">[46]A.P.U!#REF!</definedName>
    <definedName name="TOTALITEM1.2.2" localSheetId="4">[46]A.P.U!#REF!</definedName>
    <definedName name="TOTALITEM1.2.2" localSheetId="113">[46]A.P.U!#REF!</definedName>
    <definedName name="TOTALITEM1.2.2">[46]A.P.U!#REF!</definedName>
    <definedName name="TOTALITEM1.2.3" localSheetId="16">[46]A.P.U!#REF!</definedName>
    <definedName name="TOTALITEM1.2.3" localSheetId="38">[46]A.P.U!#REF!</definedName>
    <definedName name="TOTALITEM1.2.3" localSheetId="88">[46]A.P.U!#REF!</definedName>
    <definedName name="TOTALITEM1.2.3" localSheetId="89">[46]A.P.U!#REF!</definedName>
    <definedName name="TOTALITEM1.2.3" localSheetId="90">[46]A.P.U!#REF!</definedName>
    <definedName name="TOTALITEM1.2.3" localSheetId="91">[46]A.P.U!#REF!</definedName>
    <definedName name="TOTALITEM1.2.3" localSheetId="102">[46]A.P.U!#REF!</definedName>
    <definedName name="TOTALITEM1.2.3" localSheetId="107">[46]A.P.U!#REF!</definedName>
    <definedName name="TOTALITEM1.2.3" localSheetId="108">[46]A.P.U!#REF!</definedName>
    <definedName name="TOTALITEM1.2.3" localSheetId="109">[46]A.P.U!#REF!</definedName>
    <definedName name="TOTALITEM1.2.3" localSheetId="110">[46]A.P.U!#REF!</definedName>
    <definedName name="TOTALITEM1.2.3" localSheetId="111">[46]A.P.U!#REF!</definedName>
    <definedName name="TOTALITEM1.2.3" localSheetId="4">[46]A.P.U!#REF!</definedName>
    <definedName name="TOTALITEM1.2.3" localSheetId="113">[46]A.P.U!#REF!</definedName>
    <definedName name="TOTALITEM1.2.3">[46]A.P.U!#REF!</definedName>
    <definedName name="TOTALITEM1.2.4" localSheetId="16">[46]A.P.U!#REF!</definedName>
    <definedName name="TOTALITEM1.2.4" localSheetId="38">[46]A.P.U!#REF!</definedName>
    <definedName name="TOTALITEM1.2.4" localSheetId="88">[46]A.P.U!#REF!</definedName>
    <definedName name="TOTALITEM1.2.4" localSheetId="89">[46]A.P.U!#REF!</definedName>
    <definedName name="TOTALITEM1.2.4" localSheetId="90">[46]A.P.U!#REF!</definedName>
    <definedName name="TOTALITEM1.2.4" localSheetId="91">[46]A.P.U!#REF!</definedName>
    <definedName name="TOTALITEM1.2.4" localSheetId="102">[46]A.P.U!#REF!</definedName>
    <definedName name="TOTALITEM1.2.4" localSheetId="107">[46]A.P.U!#REF!</definedName>
    <definedName name="TOTALITEM1.2.4" localSheetId="108">[46]A.P.U!#REF!</definedName>
    <definedName name="TOTALITEM1.2.4" localSheetId="109">[46]A.P.U!#REF!</definedName>
    <definedName name="TOTALITEM1.2.4" localSheetId="110">[46]A.P.U!#REF!</definedName>
    <definedName name="TOTALITEM1.2.4" localSheetId="111">[46]A.P.U!#REF!</definedName>
    <definedName name="TOTALITEM1.2.4" localSheetId="4">[46]A.P.U!#REF!</definedName>
    <definedName name="TOTALITEM1.2.4" localSheetId="113">[46]A.P.U!#REF!</definedName>
    <definedName name="TOTALITEM1.2.4">[46]A.P.U!#REF!</definedName>
    <definedName name="TOTALITEM1.2.5" localSheetId="16">[46]A.P.U!#REF!</definedName>
    <definedName name="TOTALITEM1.2.5" localSheetId="38">[46]A.P.U!#REF!</definedName>
    <definedName name="TOTALITEM1.2.5" localSheetId="88">[46]A.P.U!#REF!</definedName>
    <definedName name="TOTALITEM1.2.5" localSheetId="89">[46]A.P.U!#REF!</definedName>
    <definedName name="TOTALITEM1.2.5" localSheetId="90">[46]A.P.U!#REF!</definedName>
    <definedName name="TOTALITEM1.2.5" localSheetId="91">[46]A.P.U!#REF!</definedName>
    <definedName name="TOTALITEM1.2.5" localSheetId="102">[46]A.P.U!#REF!</definedName>
    <definedName name="TOTALITEM1.2.5" localSheetId="107">[46]A.P.U!#REF!</definedName>
    <definedName name="TOTALITEM1.2.5" localSheetId="108">[46]A.P.U!#REF!</definedName>
    <definedName name="TOTALITEM1.2.5" localSheetId="109">[46]A.P.U!#REF!</definedName>
    <definedName name="TOTALITEM1.2.5" localSheetId="110">[46]A.P.U!#REF!</definedName>
    <definedName name="TOTALITEM1.2.5" localSheetId="111">[46]A.P.U!#REF!</definedName>
    <definedName name="TOTALITEM1.2.5" localSheetId="4">[46]A.P.U!#REF!</definedName>
    <definedName name="TOTALITEM1.2.5" localSheetId="113">[46]A.P.U!#REF!</definedName>
    <definedName name="TOTALITEM1.2.5">[46]A.P.U!#REF!</definedName>
    <definedName name="TOTALITEM1.2.6" localSheetId="16">[46]A.P.U!#REF!</definedName>
    <definedName name="TOTALITEM1.2.6" localSheetId="38">[46]A.P.U!#REF!</definedName>
    <definedName name="TOTALITEM1.2.6" localSheetId="88">[46]A.P.U!#REF!</definedName>
    <definedName name="TOTALITEM1.2.6" localSheetId="89">[46]A.P.U!#REF!</definedName>
    <definedName name="TOTALITEM1.2.6" localSheetId="90">[46]A.P.U!#REF!</definedName>
    <definedName name="TOTALITEM1.2.6" localSheetId="91">[46]A.P.U!#REF!</definedName>
    <definedName name="TOTALITEM1.2.6" localSheetId="102">[46]A.P.U!#REF!</definedName>
    <definedName name="TOTALITEM1.2.6" localSheetId="107">[46]A.P.U!#REF!</definedName>
    <definedName name="TOTALITEM1.2.6" localSheetId="108">[46]A.P.U!#REF!</definedName>
    <definedName name="TOTALITEM1.2.6" localSheetId="109">[46]A.P.U!#REF!</definedName>
    <definedName name="TOTALITEM1.2.6" localSheetId="110">[46]A.P.U!#REF!</definedName>
    <definedName name="TOTALITEM1.2.6" localSheetId="111">[46]A.P.U!#REF!</definedName>
    <definedName name="TOTALITEM1.2.6" localSheetId="4">[46]A.P.U!#REF!</definedName>
    <definedName name="TOTALITEM1.2.6" localSheetId="113">[46]A.P.U!#REF!</definedName>
    <definedName name="TOTALITEM1.2.6">[46]A.P.U!#REF!</definedName>
    <definedName name="TOTALITEM1.3.1" localSheetId="16">[46]A.P.U!#REF!</definedName>
    <definedName name="TOTALITEM1.3.1" localSheetId="38">[46]A.P.U!#REF!</definedName>
    <definedName name="TOTALITEM1.3.1" localSheetId="88">[46]A.P.U!#REF!</definedName>
    <definedName name="TOTALITEM1.3.1" localSheetId="89">[46]A.P.U!#REF!</definedName>
    <definedName name="TOTALITEM1.3.1" localSheetId="90">[46]A.P.U!#REF!</definedName>
    <definedName name="TOTALITEM1.3.1" localSheetId="91">[46]A.P.U!#REF!</definedName>
    <definedName name="TOTALITEM1.3.1" localSheetId="102">[46]A.P.U!#REF!</definedName>
    <definedName name="TOTALITEM1.3.1" localSheetId="107">[46]A.P.U!#REF!</definedName>
    <definedName name="TOTALITEM1.3.1" localSheetId="108">[46]A.P.U!#REF!</definedName>
    <definedName name="TOTALITEM1.3.1" localSheetId="109">[46]A.P.U!#REF!</definedName>
    <definedName name="TOTALITEM1.3.1" localSheetId="110">[46]A.P.U!#REF!</definedName>
    <definedName name="TOTALITEM1.3.1" localSheetId="111">[46]A.P.U!#REF!</definedName>
    <definedName name="TOTALITEM1.3.1" localSheetId="4">[46]A.P.U!#REF!</definedName>
    <definedName name="TOTALITEM1.3.1" localSheetId="113">[46]A.P.U!#REF!</definedName>
    <definedName name="TOTALITEM1.3.1">[46]A.P.U!#REF!</definedName>
    <definedName name="TOTALITEM1.4" localSheetId="16">[46]A.P.U!#REF!</definedName>
    <definedName name="TOTALITEM1.4" localSheetId="38">[46]A.P.U!#REF!</definedName>
    <definedName name="TOTALITEM1.4" localSheetId="88">[46]A.P.U!#REF!</definedName>
    <definedName name="TOTALITEM1.4" localSheetId="89">[46]A.P.U!#REF!</definedName>
    <definedName name="TOTALITEM1.4" localSheetId="90">[46]A.P.U!#REF!</definedName>
    <definedName name="TOTALITEM1.4" localSheetId="91">[46]A.P.U!#REF!</definedName>
    <definedName name="TOTALITEM1.4" localSheetId="102">[46]A.P.U!#REF!</definedName>
    <definedName name="TOTALITEM1.4" localSheetId="107">[46]A.P.U!#REF!</definedName>
    <definedName name="TOTALITEM1.4" localSheetId="108">[46]A.P.U!#REF!</definedName>
    <definedName name="TOTALITEM1.4" localSheetId="109">[46]A.P.U!#REF!</definedName>
    <definedName name="TOTALITEM1.4" localSheetId="110">[46]A.P.U!#REF!</definedName>
    <definedName name="TOTALITEM1.4" localSheetId="111">[46]A.P.U!#REF!</definedName>
    <definedName name="TOTALITEM1.4" localSheetId="4">[46]A.P.U!#REF!</definedName>
    <definedName name="TOTALITEM1.4" localSheetId="113">[46]A.P.U!#REF!</definedName>
    <definedName name="TOTALITEM1.4">[46]A.P.U!#REF!</definedName>
    <definedName name="TOTALITEM1.5" localSheetId="16">[46]A.P.U!#REF!</definedName>
    <definedName name="TOTALITEM1.5" localSheetId="38">[46]A.P.U!#REF!</definedName>
    <definedName name="TOTALITEM1.5" localSheetId="88">[46]A.P.U!#REF!</definedName>
    <definedName name="TOTALITEM1.5" localSheetId="89">[46]A.P.U!#REF!</definedName>
    <definedName name="TOTALITEM1.5" localSheetId="90">[46]A.P.U!#REF!</definedName>
    <definedName name="TOTALITEM1.5" localSheetId="91">[46]A.P.U!#REF!</definedName>
    <definedName name="TOTALITEM1.5" localSheetId="102">[46]A.P.U!#REF!</definedName>
    <definedName name="TOTALITEM1.5" localSheetId="107">[46]A.P.U!#REF!</definedName>
    <definedName name="TOTALITEM1.5" localSheetId="108">[46]A.P.U!#REF!</definedName>
    <definedName name="TOTALITEM1.5" localSheetId="109">[46]A.P.U!#REF!</definedName>
    <definedName name="TOTALITEM1.5" localSheetId="110">[46]A.P.U!#REF!</definedName>
    <definedName name="TOTALITEM1.5" localSheetId="111">[46]A.P.U!#REF!</definedName>
    <definedName name="TOTALITEM1.5" localSheetId="4">[46]A.P.U!#REF!</definedName>
    <definedName name="TOTALITEM1.5" localSheetId="113">[46]A.P.U!#REF!</definedName>
    <definedName name="TOTALITEM1.5">[46]A.P.U!#REF!</definedName>
    <definedName name="TOTALITEM1.6" localSheetId="16">[46]A.P.U!#REF!</definedName>
    <definedName name="TOTALITEM1.6" localSheetId="38">[46]A.P.U!#REF!</definedName>
    <definedName name="TOTALITEM1.6" localSheetId="88">[46]A.P.U!#REF!</definedName>
    <definedName name="TOTALITEM1.6" localSheetId="89">[46]A.P.U!#REF!</definedName>
    <definedName name="TOTALITEM1.6" localSheetId="90">[46]A.P.U!#REF!</definedName>
    <definedName name="TOTALITEM1.6" localSheetId="91">[46]A.P.U!#REF!</definedName>
    <definedName name="TOTALITEM1.6" localSheetId="102">[46]A.P.U!#REF!</definedName>
    <definedName name="TOTALITEM1.6" localSheetId="107">[46]A.P.U!#REF!</definedName>
    <definedName name="TOTALITEM1.6" localSheetId="108">[46]A.P.U!#REF!</definedName>
    <definedName name="TOTALITEM1.6" localSheetId="109">[46]A.P.U!#REF!</definedName>
    <definedName name="TOTALITEM1.6" localSheetId="110">[46]A.P.U!#REF!</definedName>
    <definedName name="TOTALITEM1.6" localSheetId="111">[46]A.P.U!#REF!</definedName>
    <definedName name="TOTALITEM1.6" localSheetId="4">[46]A.P.U!#REF!</definedName>
    <definedName name="TOTALITEM1.6" localSheetId="113">[46]A.P.U!#REF!</definedName>
    <definedName name="TOTALITEM1.6">[46]A.P.U!#REF!</definedName>
    <definedName name="TOTALITEM1.7" localSheetId="16">[46]A.P.U!#REF!</definedName>
    <definedName name="TOTALITEM1.7" localSheetId="38">[46]A.P.U!#REF!</definedName>
    <definedName name="TOTALITEM1.7" localSheetId="88">[46]A.P.U!#REF!</definedName>
    <definedName name="TOTALITEM1.7" localSheetId="89">[46]A.P.U!#REF!</definedName>
    <definedName name="TOTALITEM1.7" localSheetId="90">[46]A.P.U!#REF!</definedName>
    <definedName name="TOTALITEM1.7" localSheetId="91">[46]A.P.U!#REF!</definedName>
    <definedName name="TOTALITEM1.7" localSheetId="102">[46]A.P.U!#REF!</definedName>
    <definedName name="TOTALITEM1.7" localSheetId="107">[46]A.P.U!#REF!</definedName>
    <definedName name="TOTALITEM1.7" localSheetId="108">[46]A.P.U!#REF!</definedName>
    <definedName name="TOTALITEM1.7" localSheetId="109">[46]A.P.U!#REF!</definedName>
    <definedName name="TOTALITEM1.7" localSheetId="110">[46]A.P.U!#REF!</definedName>
    <definedName name="TOTALITEM1.7" localSheetId="111">[46]A.P.U!#REF!</definedName>
    <definedName name="TOTALITEM1.7" localSheetId="4">[46]A.P.U!#REF!</definedName>
    <definedName name="TOTALITEM1.7" localSheetId="113">[46]A.P.U!#REF!</definedName>
    <definedName name="TOTALITEM1.7">[46]A.P.U!#REF!</definedName>
    <definedName name="TOTALITEM1.8" localSheetId="16">[46]A.P.U!#REF!</definedName>
    <definedName name="TOTALITEM1.8" localSheetId="38">[46]A.P.U!#REF!</definedName>
    <definedName name="TOTALITEM1.8" localSheetId="88">[46]A.P.U!#REF!</definedName>
    <definedName name="TOTALITEM1.8" localSheetId="89">[46]A.P.U!#REF!</definedName>
    <definedName name="TOTALITEM1.8" localSheetId="90">[46]A.P.U!#REF!</definedName>
    <definedName name="TOTALITEM1.8" localSheetId="91">[46]A.P.U!#REF!</definedName>
    <definedName name="TOTALITEM1.8" localSheetId="102">[46]A.P.U!#REF!</definedName>
    <definedName name="TOTALITEM1.8" localSheetId="107">[46]A.P.U!#REF!</definedName>
    <definedName name="TOTALITEM1.8" localSheetId="108">[46]A.P.U!#REF!</definedName>
    <definedName name="TOTALITEM1.8" localSheetId="109">[46]A.P.U!#REF!</definedName>
    <definedName name="TOTALITEM1.8" localSheetId="110">[46]A.P.U!#REF!</definedName>
    <definedName name="TOTALITEM1.8" localSheetId="111">[46]A.P.U!#REF!</definedName>
    <definedName name="TOTALITEM1.8" localSheetId="4">[46]A.P.U!#REF!</definedName>
    <definedName name="TOTALITEM1.8" localSheetId="113">[46]A.P.U!#REF!</definedName>
    <definedName name="TOTALITEM1.8">[46]A.P.U!#REF!</definedName>
    <definedName name="TOTALITEM10.1" localSheetId="16">[46]A.P.U!#REF!</definedName>
    <definedName name="TOTALITEM10.1" localSheetId="38">[46]A.P.U!#REF!</definedName>
    <definedName name="TOTALITEM10.1" localSheetId="88">[46]A.P.U!#REF!</definedName>
    <definedName name="TOTALITEM10.1" localSheetId="89">[46]A.P.U!#REF!</definedName>
    <definedName name="TOTALITEM10.1" localSheetId="90">[46]A.P.U!#REF!</definedName>
    <definedName name="TOTALITEM10.1" localSheetId="91">[46]A.P.U!#REF!</definedName>
    <definedName name="TOTALITEM10.1" localSheetId="102">[46]A.P.U!#REF!</definedName>
    <definedName name="TOTALITEM10.1" localSheetId="107">[46]A.P.U!#REF!</definedName>
    <definedName name="TOTALITEM10.1" localSheetId="108">[46]A.P.U!#REF!</definedName>
    <definedName name="TOTALITEM10.1" localSheetId="109">[46]A.P.U!#REF!</definedName>
    <definedName name="TOTALITEM10.1" localSheetId="110">[46]A.P.U!#REF!</definedName>
    <definedName name="TOTALITEM10.1" localSheetId="111">[46]A.P.U!#REF!</definedName>
    <definedName name="TOTALITEM10.1" localSheetId="4">[46]A.P.U!#REF!</definedName>
    <definedName name="TOTALITEM10.1" localSheetId="113">[46]A.P.U!#REF!</definedName>
    <definedName name="TOTALITEM10.1">[46]A.P.U!#REF!</definedName>
    <definedName name="TOTALITEM11.1" localSheetId="16">[46]A.P.U!#REF!</definedName>
    <definedName name="TOTALITEM11.1" localSheetId="38">[46]A.P.U!#REF!</definedName>
    <definedName name="TOTALITEM11.1" localSheetId="88">[46]A.P.U!#REF!</definedName>
    <definedName name="TOTALITEM11.1" localSheetId="89">[46]A.P.U!#REF!</definedName>
    <definedName name="TOTALITEM11.1" localSheetId="90">[46]A.P.U!#REF!</definedName>
    <definedName name="TOTALITEM11.1" localSheetId="91">[46]A.P.U!#REF!</definedName>
    <definedName name="TOTALITEM11.1" localSheetId="102">[46]A.P.U!#REF!</definedName>
    <definedName name="TOTALITEM11.1" localSheetId="107">[46]A.P.U!#REF!</definedName>
    <definedName name="TOTALITEM11.1" localSheetId="108">[46]A.P.U!#REF!</definedName>
    <definedName name="TOTALITEM11.1" localSheetId="109">[46]A.P.U!#REF!</definedName>
    <definedName name="TOTALITEM11.1" localSheetId="110">[46]A.P.U!#REF!</definedName>
    <definedName name="TOTALITEM11.1" localSheetId="111">[46]A.P.U!#REF!</definedName>
    <definedName name="TOTALITEM11.1" localSheetId="4">[46]A.P.U!#REF!</definedName>
    <definedName name="TOTALITEM11.1" localSheetId="113">[46]A.P.U!#REF!</definedName>
    <definedName name="TOTALITEM11.1">[46]A.P.U!#REF!</definedName>
    <definedName name="TOTALITEM11.2" localSheetId="16">[46]A.P.U!#REF!</definedName>
    <definedName name="TOTALITEM11.2" localSheetId="38">[46]A.P.U!#REF!</definedName>
    <definedName name="TOTALITEM11.2" localSheetId="88">[46]A.P.U!#REF!</definedName>
    <definedName name="TOTALITEM11.2" localSheetId="89">[46]A.P.U!#REF!</definedName>
    <definedName name="TOTALITEM11.2" localSheetId="90">[46]A.P.U!#REF!</definedName>
    <definedName name="TOTALITEM11.2" localSheetId="91">[46]A.P.U!#REF!</definedName>
    <definedName name="TOTALITEM11.2" localSheetId="102">[46]A.P.U!#REF!</definedName>
    <definedName name="TOTALITEM11.2" localSheetId="107">[46]A.P.U!#REF!</definedName>
    <definedName name="TOTALITEM11.2" localSheetId="108">[46]A.P.U!#REF!</definedName>
    <definedName name="TOTALITEM11.2" localSheetId="109">[46]A.P.U!#REF!</definedName>
    <definedName name="TOTALITEM11.2" localSheetId="110">[46]A.P.U!#REF!</definedName>
    <definedName name="TOTALITEM11.2" localSheetId="111">[46]A.P.U!#REF!</definedName>
    <definedName name="TOTALITEM11.2" localSheetId="4">[46]A.P.U!#REF!</definedName>
    <definedName name="TOTALITEM11.2" localSheetId="113">[46]A.P.U!#REF!</definedName>
    <definedName name="TOTALITEM11.2">[46]A.P.U!#REF!</definedName>
    <definedName name="TOTALITEM11.3" localSheetId="16">[46]A.P.U!#REF!</definedName>
    <definedName name="TOTALITEM11.3" localSheetId="38">[46]A.P.U!#REF!</definedName>
    <definedName name="TOTALITEM11.3" localSheetId="88">[46]A.P.U!#REF!</definedName>
    <definedName name="TOTALITEM11.3" localSheetId="89">[46]A.P.U!#REF!</definedName>
    <definedName name="TOTALITEM11.3" localSheetId="90">[46]A.P.U!#REF!</definedName>
    <definedName name="TOTALITEM11.3" localSheetId="91">[46]A.P.U!#REF!</definedName>
    <definedName name="TOTALITEM11.3" localSheetId="102">[46]A.P.U!#REF!</definedName>
    <definedName name="TOTALITEM11.3" localSheetId="107">[46]A.P.U!#REF!</definedName>
    <definedName name="TOTALITEM11.3" localSheetId="108">[46]A.P.U!#REF!</definedName>
    <definedName name="TOTALITEM11.3" localSheetId="109">[46]A.P.U!#REF!</definedName>
    <definedName name="TOTALITEM11.3" localSheetId="110">[46]A.P.U!#REF!</definedName>
    <definedName name="TOTALITEM11.3" localSheetId="111">[46]A.P.U!#REF!</definedName>
    <definedName name="TOTALITEM11.3" localSheetId="4">[46]A.P.U!#REF!</definedName>
    <definedName name="TOTALITEM11.3" localSheetId="113">[46]A.P.U!#REF!</definedName>
    <definedName name="TOTALITEM11.3">[46]A.P.U!#REF!</definedName>
    <definedName name="TOTALITEM11.4" localSheetId="16">[46]A.P.U!#REF!</definedName>
    <definedName name="TOTALITEM11.4" localSheetId="38">[46]A.P.U!#REF!</definedName>
    <definedName name="TOTALITEM11.4" localSheetId="88">[46]A.P.U!#REF!</definedName>
    <definedName name="TOTALITEM11.4" localSheetId="89">[46]A.P.U!#REF!</definedName>
    <definedName name="TOTALITEM11.4" localSheetId="90">[46]A.P.U!#REF!</definedName>
    <definedName name="TOTALITEM11.4" localSheetId="91">[46]A.P.U!#REF!</definedName>
    <definedName name="TOTALITEM11.4" localSheetId="102">[46]A.P.U!#REF!</definedName>
    <definedName name="TOTALITEM11.4" localSheetId="107">[46]A.P.U!#REF!</definedName>
    <definedName name="TOTALITEM11.4" localSheetId="108">[46]A.P.U!#REF!</definedName>
    <definedName name="TOTALITEM11.4" localSheetId="109">[46]A.P.U!#REF!</definedName>
    <definedName name="TOTALITEM11.4" localSheetId="110">[46]A.P.U!#REF!</definedName>
    <definedName name="TOTALITEM11.4" localSheetId="111">[46]A.P.U!#REF!</definedName>
    <definedName name="TOTALITEM11.4" localSheetId="4">[46]A.P.U!#REF!</definedName>
    <definedName name="TOTALITEM11.4" localSheetId="113">[46]A.P.U!#REF!</definedName>
    <definedName name="TOTALITEM11.4">[46]A.P.U!#REF!</definedName>
    <definedName name="TOTALITEM11.5" localSheetId="16">[46]A.P.U!#REF!</definedName>
    <definedName name="TOTALITEM11.5" localSheetId="38">[46]A.P.U!#REF!</definedName>
    <definedName name="TOTALITEM11.5" localSheetId="88">[46]A.P.U!#REF!</definedName>
    <definedName name="TOTALITEM11.5" localSheetId="89">[46]A.P.U!#REF!</definedName>
    <definedName name="TOTALITEM11.5" localSheetId="90">[46]A.P.U!#REF!</definedName>
    <definedName name="TOTALITEM11.5" localSheetId="91">[46]A.P.U!#REF!</definedName>
    <definedName name="TOTALITEM11.5" localSheetId="102">[46]A.P.U!#REF!</definedName>
    <definedName name="TOTALITEM11.5" localSheetId="107">[46]A.P.U!#REF!</definedName>
    <definedName name="TOTALITEM11.5" localSheetId="108">[46]A.P.U!#REF!</definedName>
    <definedName name="TOTALITEM11.5" localSheetId="109">[46]A.P.U!#REF!</definedName>
    <definedName name="TOTALITEM11.5" localSheetId="110">[46]A.P.U!#REF!</definedName>
    <definedName name="TOTALITEM11.5" localSheetId="111">[46]A.P.U!#REF!</definedName>
    <definedName name="TOTALITEM11.5" localSheetId="4">[46]A.P.U!#REF!</definedName>
    <definedName name="TOTALITEM11.5" localSheetId="113">[46]A.P.U!#REF!</definedName>
    <definedName name="TOTALITEM11.5">[46]A.P.U!#REF!</definedName>
    <definedName name="TOTALITEM11.6" localSheetId="16">[46]A.P.U!#REF!</definedName>
    <definedName name="TOTALITEM11.6" localSheetId="38">[46]A.P.U!#REF!</definedName>
    <definedName name="TOTALITEM11.6" localSheetId="88">[46]A.P.U!#REF!</definedName>
    <definedName name="TOTALITEM11.6" localSheetId="89">[46]A.P.U!#REF!</definedName>
    <definedName name="TOTALITEM11.6" localSheetId="90">[46]A.P.U!#REF!</definedName>
    <definedName name="TOTALITEM11.6" localSheetId="91">[46]A.P.U!#REF!</definedName>
    <definedName name="TOTALITEM11.6" localSheetId="102">[46]A.P.U!#REF!</definedName>
    <definedName name="TOTALITEM11.6" localSheetId="107">[46]A.P.U!#REF!</definedName>
    <definedName name="TOTALITEM11.6" localSheetId="108">[46]A.P.U!#REF!</definedName>
    <definedName name="TOTALITEM11.6" localSheetId="109">[46]A.P.U!#REF!</definedName>
    <definedName name="TOTALITEM11.6" localSheetId="110">[46]A.P.U!#REF!</definedName>
    <definedName name="TOTALITEM11.6" localSheetId="111">[46]A.P.U!#REF!</definedName>
    <definedName name="TOTALITEM11.6" localSheetId="4">[46]A.P.U!#REF!</definedName>
    <definedName name="TOTALITEM11.6" localSheetId="113">[46]A.P.U!#REF!</definedName>
    <definedName name="TOTALITEM11.6">[46]A.P.U!#REF!</definedName>
    <definedName name="TOTALITEM12.1" localSheetId="16">[46]A.P.U!#REF!</definedName>
    <definedName name="TOTALITEM12.1" localSheetId="38">[46]A.P.U!#REF!</definedName>
    <definedName name="TOTALITEM12.1" localSheetId="88">[46]A.P.U!#REF!</definedName>
    <definedName name="TOTALITEM12.1" localSheetId="89">[46]A.P.U!#REF!</definedName>
    <definedName name="TOTALITEM12.1" localSheetId="90">[46]A.P.U!#REF!</definedName>
    <definedName name="TOTALITEM12.1" localSheetId="91">[46]A.P.U!#REF!</definedName>
    <definedName name="TOTALITEM12.1" localSheetId="102">[46]A.P.U!#REF!</definedName>
    <definedName name="TOTALITEM12.1" localSheetId="107">[46]A.P.U!#REF!</definedName>
    <definedName name="TOTALITEM12.1" localSheetId="108">[46]A.P.U!#REF!</definedName>
    <definedName name="TOTALITEM12.1" localSheetId="109">[46]A.P.U!#REF!</definedName>
    <definedName name="TOTALITEM12.1" localSheetId="110">[46]A.P.U!#REF!</definedName>
    <definedName name="TOTALITEM12.1" localSheetId="111">[46]A.P.U!#REF!</definedName>
    <definedName name="TOTALITEM12.1" localSheetId="4">[46]A.P.U!#REF!</definedName>
    <definedName name="TOTALITEM12.1" localSheetId="113">[46]A.P.U!#REF!</definedName>
    <definedName name="TOTALITEM12.1">[46]A.P.U!#REF!</definedName>
    <definedName name="TOTALITEM12.10" localSheetId="16">[46]A.P.U!#REF!</definedName>
    <definedName name="TOTALITEM12.10" localSheetId="38">[46]A.P.U!#REF!</definedName>
    <definedName name="TOTALITEM12.10" localSheetId="88">[46]A.P.U!#REF!</definedName>
    <definedName name="TOTALITEM12.10" localSheetId="89">[46]A.P.U!#REF!</definedName>
    <definedName name="TOTALITEM12.10" localSheetId="90">[46]A.P.U!#REF!</definedName>
    <definedName name="TOTALITEM12.10" localSheetId="91">[46]A.P.U!#REF!</definedName>
    <definedName name="TOTALITEM12.10" localSheetId="102">[46]A.P.U!#REF!</definedName>
    <definedName name="TOTALITEM12.10" localSheetId="107">[46]A.P.U!#REF!</definedName>
    <definedName name="TOTALITEM12.10" localSheetId="108">[46]A.P.U!#REF!</definedName>
    <definedName name="TOTALITEM12.10" localSheetId="109">[46]A.P.U!#REF!</definedName>
    <definedName name="TOTALITEM12.10" localSheetId="110">[46]A.P.U!#REF!</definedName>
    <definedName name="TOTALITEM12.10" localSheetId="111">[46]A.P.U!#REF!</definedName>
    <definedName name="TOTALITEM12.10" localSheetId="4">[46]A.P.U!#REF!</definedName>
    <definedName name="TOTALITEM12.10" localSheetId="113">[46]A.P.U!#REF!</definedName>
    <definedName name="TOTALITEM12.10">[46]A.P.U!#REF!</definedName>
    <definedName name="TOTALITEM12.2" localSheetId="16">[46]A.P.U!#REF!</definedName>
    <definedName name="TOTALITEM12.2" localSheetId="38">[46]A.P.U!#REF!</definedName>
    <definedName name="TOTALITEM12.2" localSheetId="88">[46]A.P.U!#REF!</definedName>
    <definedName name="TOTALITEM12.2" localSheetId="89">[46]A.P.U!#REF!</definedName>
    <definedName name="TOTALITEM12.2" localSheetId="90">[46]A.P.U!#REF!</definedName>
    <definedName name="TOTALITEM12.2" localSheetId="91">[46]A.P.U!#REF!</definedName>
    <definedName name="TOTALITEM12.2" localSheetId="102">[46]A.P.U!#REF!</definedName>
    <definedName name="TOTALITEM12.2" localSheetId="107">[46]A.P.U!#REF!</definedName>
    <definedName name="TOTALITEM12.2" localSheetId="108">[46]A.P.U!#REF!</definedName>
    <definedName name="TOTALITEM12.2" localSheetId="109">[46]A.P.U!#REF!</definedName>
    <definedName name="TOTALITEM12.2" localSheetId="110">[46]A.P.U!#REF!</definedName>
    <definedName name="TOTALITEM12.2" localSheetId="111">[46]A.P.U!#REF!</definedName>
    <definedName name="TOTALITEM12.2" localSheetId="4">[46]A.P.U!#REF!</definedName>
    <definedName name="TOTALITEM12.2" localSheetId="113">[46]A.P.U!#REF!</definedName>
    <definedName name="TOTALITEM12.2">[46]A.P.U!#REF!</definedName>
    <definedName name="TOTALITEM12.3" localSheetId="16">[46]A.P.U!#REF!</definedName>
    <definedName name="TOTALITEM12.3" localSheetId="38">[46]A.P.U!#REF!</definedName>
    <definedName name="TOTALITEM12.3" localSheetId="88">[46]A.P.U!#REF!</definedName>
    <definedName name="TOTALITEM12.3" localSheetId="89">[46]A.P.U!#REF!</definedName>
    <definedName name="TOTALITEM12.3" localSheetId="90">[46]A.P.U!#REF!</definedName>
    <definedName name="TOTALITEM12.3" localSheetId="91">[46]A.P.U!#REF!</definedName>
    <definedName name="TOTALITEM12.3" localSheetId="102">[46]A.P.U!#REF!</definedName>
    <definedName name="TOTALITEM12.3" localSheetId="107">[46]A.P.U!#REF!</definedName>
    <definedName name="TOTALITEM12.3" localSheetId="108">[46]A.P.U!#REF!</definedName>
    <definedName name="TOTALITEM12.3" localSheetId="109">[46]A.P.U!#REF!</definedName>
    <definedName name="TOTALITEM12.3" localSheetId="110">[46]A.P.U!#REF!</definedName>
    <definedName name="TOTALITEM12.3" localSheetId="111">[46]A.P.U!#REF!</definedName>
    <definedName name="TOTALITEM12.3" localSheetId="4">[46]A.P.U!#REF!</definedName>
    <definedName name="TOTALITEM12.3" localSheetId="113">[46]A.P.U!#REF!</definedName>
    <definedName name="TOTALITEM12.3">[46]A.P.U!#REF!</definedName>
    <definedName name="TOTALITEM12.4" localSheetId="16">[46]A.P.U!#REF!</definedName>
    <definedName name="TOTALITEM12.4" localSheetId="38">[46]A.P.U!#REF!</definedName>
    <definedName name="TOTALITEM12.4" localSheetId="88">[46]A.P.U!#REF!</definedName>
    <definedName name="TOTALITEM12.4" localSheetId="89">[46]A.P.U!#REF!</definedName>
    <definedName name="TOTALITEM12.4" localSheetId="90">[46]A.P.U!#REF!</definedName>
    <definedName name="TOTALITEM12.4" localSheetId="91">[46]A.P.U!#REF!</definedName>
    <definedName name="TOTALITEM12.4" localSheetId="102">[46]A.P.U!#REF!</definedName>
    <definedName name="TOTALITEM12.4" localSheetId="107">[46]A.P.U!#REF!</definedName>
    <definedName name="TOTALITEM12.4" localSheetId="108">[46]A.P.U!#REF!</definedName>
    <definedName name="TOTALITEM12.4" localSheetId="109">[46]A.P.U!#REF!</definedName>
    <definedName name="TOTALITEM12.4" localSheetId="110">[46]A.P.U!#REF!</definedName>
    <definedName name="TOTALITEM12.4" localSheetId="111">[46]A.P.U!#REF!</definedName>
    <definedName name="TOTALITEM12.4" localSheetId="4">[46]A.P.U!#REF!</definedName>
    <definedName name="TOTALITEM12.4" localSheetId="113">[46]A.P.U!#REF!</definedName>
    <definedName name="TOTALITEM12.4">[46]A.P.U!#REF!</definedName>
    <definedName name="TOTALITEM12.5" localSheetId="16">[46]A.P.U!#REF!</definedName>
    <definedName name="TOTALITEM12.5" localSheetId="38">[46]A.P.U!#REF!</definedName>
    <definedName name="TOTALITEM12.5" localSheetId="88">[46]A.P.U!#REF!</definedName>
    <definedName name="TOTALITEM12.5" localSheetId="89">[46]A.P.U!#REF!</definedName>
    <definedName name="TOTALITEM12.5" localSheetId="90">[46]A.P.U!#REF!</definedName>
    <definedName name="TOTALITEM12.5" localSheetId="91">[46]A.P.U!#REF!</definedName>
    <definedName name="TOTALITEM12.5" localSheetId="102">[46]A.P.U!#REF!</definedName>
    <definedName name="TOTALITEM12.5" localSheetId="107">[46]A.P.U!#REF!</definedName>
    <definedName name="TOTALITEM12.5" localSheetId="108">[46]A.P.U!#REF!</definedName>
    <definedName name="TOTALITEM12.5" localSheetId="109">[46]A.P.U!#REF!</definedName>
    <definedName name="TOTALITEM12.5" localSheetId="110">[46]A.P.U!#REF!</definedName>
    <definedName name="TOTALITEM12.5" localSheetId="111">[46]A.P.U!#REF!</definedName>
    <definedName name="TOTALITEM12.5" localSheetId="4">[46]A.P.U!#REF!</definedName>
    <definedName name="TOTALITEM12.5" localSheetId="113">[46]A.P.U!#REF!</definedName>
    <definedName name="TOTALITEM12.5">[46]A.P.U!#REF!</definedName>
    <definedName name="TOTALITEM12.6" localSheetId="16">[46]A.P.U!#REF!</definedName>
    <definedName name="TOTALITEM12.6" localSheetId="38">[46]A.P.U!#REF!</definedName>
    <definedName name="TOTALITEM12.6" localSheetId="88">[46]A.P.U!#REF!</definedName>
    <definedName name="TOTALITEM12.6" localSheetId="89">[46]A.P.U!#REF!</definedName>
    <definedName name="TOTALITEM12.6" localSheetId="90">[46]A.P.U!#REF!</definedName>
    <definedName name="TOTALITEM12.6" localSheetId="91">[46]A.P.U!#REF!</definedName>
    <definedName name="TOTALITEM12.6" localSheetId="102">[46]A.P.U!#REF!</definedName>
    <definedName name="TOTALITEM12.6" localSheetId="107">[46]A.P.U!#REF!</definedName>
    <definedName name="TOTALITEM12.6" localSheetId="108">[46]A.P.U!#REF!</definedName>
    <definedName name="TOTALITEM12.6" localSheetId="109">[46]A.P.U!#REF!</definedName>
    <definedName name="TOTALITEM12.6" localSheetId="110">[46]A.P.U!#REF!</definedName>
    <definedName name="TOTALITEM12.6" localSheetId="111">[46]A.P.U!#REF!</definedName>
    <definedName name="TOTALITEM12.6" localSheetId="4">[46]A.P.U!#REF!</definedName>
    <definedName name="TOTALITEM12.6" localSheetId="113">[46]A.P.U!#REF!</definedName>
    <definedName name="TOTALITEM12.6">[46]A.P.U!#REF!</definedName>
    <definedName name="TOTALITEM12.7" localSheetId="16">[46]A.P.U!#REF!</definedName>
    <definedName name="TOTALITEM12.7" localSheetId="38">[46]A.P.U!#REF!</definedName>
    <definedName name="TOTALITEM12.7" localSheetId="88">[46]A.P.U!#REF!</definedName>
    <definedName name="TOTALITEM12.7" localSheetId="89">[46]A.P.U!#REF!</definedName>
    <definedName name="TOTALITEM12.7" localSheetId="90">[46]A.P.U!#REF!</definedName>
    <definedName name="TOTALITEM12.7" localSheetId="91">[46]A.P.U!#REF!</definedName>
    <definedName name="TOTALITEM12.7" localSheetId="102">[46]A.P.U!#REF!</definedName>
    <definedName name="TOTALITEM12.7" localSheetId="107">[46]A.P.U!#REF!</definedName>
    <definedName name="TOTALITEM12.7" localSheetId="108">[46]A.P.U!#REF!</definedName>
    <definedName name="TOTALITEM12.7" localSheetId="109">[46]A.P.U!#REF!</definedName>
    <definedName name="TOTALITEM12.7" localSheetId="110">[46]A.P.U!#REF!</definedName>
    <definedName name="TOTALITEM12.7" localSheetId="111">[46]A.P.U!#REF!</definedName>
    <definedName name="TOTALITEM12.7" localSheetId="4">[46]A.P.U!#REF!</definedName>
    <definedName name="TOTALITEM12.7" localSheetId="113">[46]A.P.U!#REF!</definedName>
    <definedName name="TOTALITEM12.7">[46]A.P.U!#REF!</definedName>
    <definedName name="TOTALITEM12.8" localSheetId="16">[46]A.P.U!#REF!</definedName>
    <definedName name="TOTALITEM12.8" localSheetId="38">[46]A.P.U!#REF!</definedName>
    <definedName name="TOTALITEM12.8" localSheetId="88">[46]A.P.U!#REF!</definedName>
    <definedName name="TOTALITEM12.8" localSheetId="89">[46]A.P.U!#REF!</definedName>
    <definedName name="TOTALITEM12.8" localSheetId="90">[46]A.P.U!#REF!</definedName>
    <definedName name="TOTALITEM12.8" localSheetId="91">[46]A.P.U!#REF!</definedName>
    <definedName name="TOTALITEM12.8" localSheetId="102">[46]A.P.U!#REF!</definedName>
    <definedName name="TOTALITEM12.8" localSheetId="107">[46]A.P.U!#REF!</definedName>
    <definedName name="TOTALITEM12.8" localSheetId="108">[46]A.P.U!#REF!</definedName>
    <definedName name="TOTALITEM12.8" localSheetId="109">[46]A.P.U!#REF!</definedName>
    <definedName name="TOTALITEM12.8" localSheetId="110">[46]A.P.U!#REF!</definedName>
    <definedName name="TOTALITEM12.8" localSheetId="111">[46]A.P.U!#REF!</definedName>
    <definedName name="TOTALITEM12.8" localSheetId="4">[46]A.P.U!#REF!</definedName>
    <definedName name="TOTALITEM12.8" localSheetId="113">[46]A.P.U!#REF!</definedName>
    <definedName name="TOTALITEM12.8">[46]A.P.U!#REF!</definedName>
    <definedName name="TOTALITEM12.9" localSheetId="16">[46]A.P.U!#REF!</definedName>
    <definedName name="TOTALITEM12.9" localSheetId="38">[46]A.P.U!#REF!</definedName>
    <definedName name="TOTALITEM12.9" localSheetId="88">[46]A.P.U!#REF!</definedName>
    <definedName name="TOTALITEM12.9" localSheetId="89">[46]A.P.U!#REF!</definedName>
    <definedName name="TOTALITEM12.9" localSheetId="90">[46]A.P.U!#REF!</definedName>
    <definedName name="TOTALITEM12.9" localSheetId="91">[46]A.P.U!#REF!</definedName>
    <definedName name="TOTALITEM12.9" localSheetId="102">[46]A.P.U!#REF!</definedName>
    <definedName name="TOTALITEM12.9" localSheetId="107">[46]A.P.U!#REF!</definedName>
    <definedName name="TOTALITEM12.9" localSheetId="108">[46]A.P.U!#REF!</definedName>
    <definedName name="TOTALITEM12.9" localSheetId="109">[46]A.P.U!#REF!</definedName>
    <definedName name="TOTALITEM12.9" localSheetId="110">[46]A.P.U!#REF!</definedName>
    <definedName name="TOTALITEM12.9" localSheetId="111">[46]A.P.U!#REF!</definedName>
    <definedName name="TOTALITEM12.9" localSheetId="4">[46]A.P.U!#REF!</definedName>
    <definedName name="TOTALITEM12.9" localSheetId="113">[46]A.P.U!#REF!</definedName>
    <definedName name="TOTALITEM12.9">[46]A.P.U!#REF!</definedName>
    <definedName name="TOTALITEM13.1.1" localSheetId="16">[46]A.P.U!#REF!</definedName>
    <definedName name="TOTALITEM13.1.1" localSheetId="38">[46]A.P.U!#REF!</definedName>
    <definedName name="TOTALITEM13.1.1" localSheetId="88">[46]A.P.U!#REF!</definedName>
    <definedName name="TOTALITEM13.1.1" localSheetId="89">[46]A.P.U!#REF!</definedName>
    <definedName name="TOTALITEM13.1.1" localSheetId="90">[46]A.P.U!#REF!</definedName>
    <definedName name="TOTALITEM13.1.1" localSheetId="91">[46]A.P.U!#REF!</definedName>
    <definedName name="TOTALITEM13.1.1" localSheetId="102">[46]A.P.U!#REF!</definedName>
    <definedName name="TOTALITEM13.1.1" localSheetId="107">[46]A.P.U!#REF!</definedName>
    <definedName name="TOTALITEM13.1.1" localSheetId="108">[46]A.P.U!#REF!</definedName>
    <definedName name="TOTALITEM13.1.1" localSheetId="109">[46]A.P.U!#REF!</definedName>
    <definedName name="TOTALITEM13.1.1" localSheetId="110">[46]A.P.U!#REF!</definedName>
    <definedName name="TOTALITEM13.1.1" localSheetId="111">[46]A.P.U!#REF!</definedName>
    <definedName name="TOTALITEM13.1.1" localSheetId="4">[46]A.P.U!#REF!</definedName>
    <definedName name="TOTALITEM13.1.1" localSheetId="113">[46]A.P.U!#REF!</definedName>
    <definedName name="TOTALITEM13.1.1">[46]A.P.U!#REF!</definedName>
    <definedName name="TOTALITEM13.1.2" localSheetId="16">[46]A.P.U!#REF!</definedName>
    <definedName name="TOTALITEM13.1.2" localSheetId="38">[46]A.P.U!#REF!</definedName>
    <definedName name="TOTALITEM13.1.2" localSheetId="88">[46]A.P.U!#REF!</definedName>
    <definedName name="TOTALITEM13.1.2" localSheetId="89">[46]A.P.U!#REF!</definedName>
    <definedName name="TOTALITEM13.1.2" localSheetId="90">[46]A.P.U!#REF!</definedName>
    <definedName name="TOTALITEM13.1.2" localSheetId="91">[46]A.P.U!#REF!</definedName>
    <definedName name="TOTALITEM13.1.2" localSheetId="102">[46]A.P.U!#REF!</definedName>
    <definedName name="TOTALITEM13.1.2" localSheetId="107">[46]A.P.U!#REF!</definedName>
    <definedName name="TOTALITEM13.1.2" localSheetId="108">[46]A.P.U!#REF!</definedName>
    <definedName name="TOTALITEM13.1.2" localSheetId="109">[46]A.P.U!#REF!</definedName>
    <definedName name="TOTALITEM13.1.2" localSheetId="110">[46]A.P.U!#REF!</definedName>
    <definedName name="TOTALITEM13.1.2" localSheetId="111">[46]A.P.U!#REF!</definedName>
    <definedName name="TOTALITEM13.1.2" localSheetId="4">[46]A.P.U!#REF!</definedName>
    <definedName name="TOTALITEM13.1.2" localSheetId="113">[46]A.P.U!#REF!</definedName>
    <definedName name="TOTALITEM13.1.2">[46]A.P.U!#REF!</definedName>
    <definedName name="TOTALITEM13.1.3" localSheetId="16">[46]A.P.U!#REF!</definedName>
    <definedName name="TOTALITEM13.1.3" localSheetId="38">[46]A.P.U!#REF!</definedName>
    <definedName name="TOTALITEM13.1.3" localSheetId="88">[46]A.P.U!#REF!</definedName>
    <definedName name="TOTALITEM13.1.3" localSheetId="89">[46]A.P.U!#REF!</definedName>
    <definedName name="TOTALITEM13.1.3" localSheetId="90">[46]A.P.U!#REF!</definedName>
    <definedName name="TOTALITEM13.1.3" localSheetId="91">[46]A.P.U!#REF!</definedName>
    <definedName name="TOTALITEM13.1.3" localSheetId="102">[46]A.P.U!#REF!</definedName>
    <definedName name="TOTALITEM13.1.3" localSheetId="107">[46]A.P.U!#REF!</definedName>
    <definedName name="TOTALITEM13.1.3" localSheetId="108">[46]A.P.U!#REF!</definedName>
    <definedName name="TOTALITEM13.1.3" localSheetId="109">[46]A.P.U!#REF!</definedName>
    <definedName name="TOTALITEM13.1.3" localSheetId="110">[46]A.P.U!#REF!</definedName>
    <definedName name="TOTALITEM13.1.3" localSheetId="111">[46]A.P.U!#REF!</definedName>
    <definedName name="TOTALITEM13.1.3" localSheetId="4">[46]A.P.U!#REF!</definedName>
    <definedName name="TOTALITEM13.1.3" localSheetId="113">[46]A.P.U!#REF!</definedName>
    <definedName name="TOTALITEM13.1.3">[46]A.P.U!#REF!</definedName>
    <definedName name="TOTALITEM13.2.2" localSheetId="16">[46]A.P.U!#REF!</definedName>
    <definedName name="TOTALITEM13.2.2" localSheetId="38">[46]A.P.U!#REF!</definedName>
    <definedName name="TOTALITEM13.2.2" localSheetId="88">[46]A.P.U!#REF!</definedName>
    <definedName name="TOTALITEM13.2.2" localSheetId="89">[46]A.P.U!#REF!</definedName>
    <definedName name="TOTALITEM13.2.2" localSheetId="90">[46]A.P.U!#REF!</definedName>
    <definedName name="TOTALITEM13.2.2" localSheetId="91">[46]A.P.U!#REF!</definedName>
    <definedName name="TOTALITEM13.2.2" localSheetId="102">[46]A.P.U!#REF!</definedName>
    <definedName name="TOTALITEM13.2.2" localSheetId="107">[46]A.P.U!#REF!</definedName>
    <definedName name="TOTALITEM13.2.2" localSheetId="108">[46]A.P.U!#REF!</definedName>
    <definedName name="TOTALITEM13.2.2" localSheetId="109">[46]A.P.U!#REF!</definedName>
    <definedName name="TOTALITEM13.2.2" localSheetId="110">[46]A.P.U!#REF!</definedName>
    <definedName name="TOTALITEM13.2.2" localSheetId="111">[46]A.P.U!#REF!</definedName>
    <definedName name="TOTALITEM13.2.2" localSheetId="4">[46]A.P.U!#REF!</definedName>
    <definedName name="TOTALITEM13.2.2" localSheetId="113">[46]A.P.U!#REF!</definedName>
    <definedName name="TOTALITEM13.2.2">[46]A.P.U!#REF!</definedName>
    <definedName name="TOTALITEM14.2" localSheetId="16">[46]A.P.U!#REF!</definedName>
    <definedName name="TOTALITEM14.2" localSheetId="38">[46]A.P.U!#REF!</definedName>
    <definedName name="TOTALITEM14.2" localSheetId="88">[46]A.P.U!#REF!</definedName>
    <definedName name="TOTALITEM14.2" localSheetId="89">[46]A.P.U!#REF!</definedName>
    <definedName name="TOTALITEM14.2" localSheetId="90">[46]A.P.U!#REF!</definedName>
    <definedName name="TOTALITEM14.2" localSheetId="91">[46]A.P.U!#REF!</definedName>
    <definedName name="TOTALITEM14.2" localSheetId="102">[46]A.P.U!#REF!</definedName>
    <definedName name="TOTALITEM14.2" localSheetId="107">[46]A.P.U!#REF!</definedName>
    <definedName name="TOTALITEM14.2" localSheetId="108">[46]A.P.U!#REF!</definedName>
    <definedName name="TOTALITEM14.2" localSheetId="109">[46]A.P.U!#REF!</definedName>
    <definedName name="TOTALITEM14.2" localSheetId="110">[46]A.P.U!#REF!</definedName>
    <definedName name="TOTALITEM14.2" localSheetId="111">[46]A.P.U!#REF!</definedName>
    <definedName name="TOTALITEM14.2" localSheetId="4">[46]A.P.U!#REF!</definedName>
    <definedName name="TOTALITEM14.2" localSheetId="113">[46]A.P.U!#REF!</definedName>
    <definedName name="TOTALITEM14.2">[46]A.P.U!#REF!</definedName>
    <definedName name="TOTALITEM14.3" localSheetId="16">[46]A.P.U!#REF!</definedName>
    <definedName name="TOTALITEM14.3" localSheetId="38">[46]A.P.U!#REF!</definedName>
    <definedName name="TOTALITEM14.3" localSheetId="88">[46]A.P.U!#REF!</definedName>
    <definedName name="TOTALITEM14.3" localSheetId="89">[46]A.P.U!#REF!</definedName>
    <definedName name="TOTALITEM14.3" localSheetId="90">[46]A.P.U!#REF!</definedName>
    <definedName name="TOTALITEM14.3" localSheetId="91">[46]A.P.U!#REF!</definedName>
    <definedName name="TOTALITEM14.3" localSheetId="102">[46]A.P.U!#REF!</definedName>
    <definedName name="TOTALITEM14.3" localSheetId="107">[46]A.P.U!#REF!</definedName>
    <definedName name="TOTALITEM14.3" localSheetId="108">[46]A.P.U!#REF!</definedName>
    <definedName name="TOTALITEM14.3" localSheetId="109">[46]A.P.U!#REF!</definedName>
    <definedName name="TOTALITEM14.3" localSheetId="110">[46]A.P.U!#REF!</definedName>
    <definedName name="TOTALITEM14.3" localSheetId="111">[46]A.P.U!#REF!</definedName>
    <definedName name="TOTALITEM14.3" localSheetId="4">[46]A.P.U!#REF!</definedName>
    <definedName name="TOTALITEM14.3" localSheetId="113">[46]A.P.U!#REF!</definedName>
    <definedName name="TOTALITEM14.3">[46]A.P.U!#REF!</definedName>
    <definedName name="TOTALITEM14.4" localSheetId="16">[46]A.P.U!#REF!</definedName>
    <definedName name="TOTALITEM14.4" localSheetId="38">[46]A.P.U!#REF!</definedName>
    <definedName name="TOTALITEM14.4" localSheetId="88">[46]A.P.U!#REF!</definedName>
    <definedName name="TOTALITEM14.4" localSheetId="89">[46]A.P.U!#REF!</definedName>
    <definedName name="TOTALITEM14.4" localSheetId="90">[46]A.P.U!#REF!</definedName>
    <definedName name="TOTALITEM14.4" localSheetId="91">[46]A.P.U!#REF!</definedName>
    <definedName name="TOTALITEM14.4" localSheetId="102">[46]A.P.U!#REF!</definedName>
    <definedName name="TOTALITEM14.4" localSheetId="107">[46]A.P.U!#REF!</definedName>
    <definedName name="TOTALITEM14.4" localSheetId="108">[46]A.P.U!#REF!</definedName>
    <definedName name="TOTALITEM14.4" localSheetId="109">[46]A.P.U!#REF!</definedName>
    <definedName name="TOTALITEM14.4" localSheetId="110">[46]A.P.U!#REF!</definedName>
    <definedName name="TOTALITEM14.4" localSheetId="111">[46]A.P.U!#REF!</definedName>
    <definedName name="TOTALITEM14.4" localSheetId="4">[46]A.P.U!#REF!</definedName>
    <definedName name="TOTALITEM14.4" localSheetId="113">[46]A.P.U!#REF!</definedName>
    <definedName name="TOTALITEM14.4">[46]A.P.U!#REF!</definedName>
    <definedName name="TOTALITEM14.5" localSheetId="16">[46]A.P.U!#REF!</definedName>
    <definedName name="TOTALITEM14.5" localSheetId="38">[46]A.P.U!#REF!</definedName>
    <definedName name="TOTALITEM14.5" localSheetId="88">[46]A.P.U!#REF!</definedName>
    <definedName name="TOTALITEM14.5" localSheetId="89">[46]A.P.U!#REF!</definedName>
    <definedName name="TOTALITEM14.5" localSheetId="90">[46]A.P.U!#REF!</definedName>
    <definedName name="TOTALITEM14.5" localSheetId="91">[46]A.P.U!#REF!</definedName>
    <definedName name="TOTALITEM14.5" localSheetId="102">[46]A.P.U!#REF!</definedName>
    <definedName name="TOTALITEM14.5" localSheetId="107">[46]A.P.U!#REF!</definedName>
    <definedName name="TOTALITEM14.5" localSheetId="108">[46]A.P.U!#REF!</definedName>
    <definedName name="TOTALITEM14.5" localSheetId="109">[46]A.P.U!#REF!</definedName>
    <definedName name="TOTALITEM14.5" localSheetId="110">[46]A.P.U!#REF!</definedName>
    <definedName name="TOTALITEM14.5" localSheetId="111">[46]A.P.U!#REF!</definedName>
    <definedName name="TOTALITEM14.5" localSheetId="4">[46]A.P.U!#REF!</definedName>
    <definedName name="TOTALITEM14.5" localSheetId="113">[46]A.P.U!#REF!</definedName>
    <definedName name="TOTALITEM14.5">[46]A.P.U!#REF!</definedName>
    <definedName name="TOTALITEM14.6" localSheetId="16">[46]A.P.U!#REF!</definedName>
    <definedName name="TOTALITEM14.6" localSheetId="38">[46]A.P.U!#REF!</definedName>
    <definedName name="TOTALITEM14.6" localSheetId="88">[46]A.P.U!#REF!</definedName>
    <definedName name="TOTALITEM14.6" localSheetId="89">[46]A.P.U!#REF!</definedName>
    <definedName name="TOTALITEM14.6" localSheetId="90">[46]A.P.U!#REF!</definedName>
    <definedName name="TOTALITEM14.6" localSheetId="91">[46]A.P.U!#REF!</definedName>
    <definedName name="TOTALITEM14.6" localSheetId="102">[46]A.P.U!#REF!</definedName>
    <definedName name="TOTALITEM14.6" localSheetId="107">[46]A.P.U!#REF!</definedName>
    <definedName name="TOTALITEM14.6" localSheetId="108">[46]A.P.U!#REF!</definedName>
    <definedName name="TOTALITEM14.6" localSheetId="109">[46]A.P.U!#REF!</definedName>
    <definedName name="TOTALITEM14.6" localSheetId="110">[46]A.P.U!#REF!</definedName>
    <definedName name="TOTALITEM14.6" localSheetId="111">[46]A.P.U!#REF!</definedName>
    <definedName name="TOTALITEM14.6" localSheetId="4">[46]A.P.U!#REF!</definedName>
    <definedName name="TOTALITEM14.6" localSheetId="113">[46]A.P.U!#REF!</definedName>
    <definedName name="TOTALITEM14.6">[46]A.P.U!#REF!</definedName>
    <definedName name="TOTALITEM15" localSheetId="16">[46]A.P.U!#REF!</definedName>
    <definedName name="TOTALITEM15" localSheetId="38">[46]A.P.U!#REF!</definedName>
    <definedName name="TOTALITEM15" localSheetId="88">[46]A.P.U!#REF!</definedName>
    <definedName name="TOTALITEM15" localSheetId="89">[46]A.P.U!#REF!</definedName>
    <definedName name="TOTALITEM15" localSheetId="90">[46]A.P.U!#REF!</definedName>
    <definedName name="TOTALITEM15" localSheetId="91">[46]A.P.U!#REF!</definedName>
    <definedName name="TOTALITEM15" localSheetId="102">[46]A.P.U!#REF!</definedName>
    <definedName name="TOTALITEM15" localSheetId="107">[46]A.P.U!#REF!</definedName>
    <definedName name="TOTALITEM15" localSheetId="108">[46]A.P.U!#REF!</definedName>
    <definedName name="TOTALITEM15" localSheetId="109">[46]A.P.U!#REF!</definedName>
    <definedName name="TOTALITEM15" localSheetId="110">[46]A.P.U!#REF!</definedName>
    <definedName name="TOTALITEM15" localSheetId="111">[46]A.P.U!#REF!</definedName>
    <definedName name="TOTALITEM15" localSheetId="4">[46]A.P.U!#REF!</definedName>
    <definedName name="TOTALITEM15" localSheetId="113">[46]A.P.U!#REF!</definedName>
    <definedName name="TOTALITEM15">[46]A.P.U!#REF!</definedName>
    <definedName name="TOTALITEM16" localSheetId="16">[46]A.P.U!#REF!</definedName>
    <definedName name="TOTALITEM16" localSheetId="38">[46]A.P.U!#REF!</definedName>
    <definedName name="TOTALITEM16" localSheetId="88">[46]A.P.U!#REF!</definedName>
    <definedName name="TOTALITEM16" localSheetId="89">[46]A.P.U!#REF!</definedName>
    <definedName name="TOTALITEM16" localSheetId="90">[46]A.P.U!#REF!</definedName>
    <definedName name="TOTALITEM16" localSheetId="91">[46]A.P.U!#REF!</definedName>
    <definedName name="TOTALITEM16" localSheetId="102">[46]A.P.U!#REF!</definedName>
    <definedName name="TOTALITEM16" localSheetId="107">[46]A.P.U!#REF!</definedName>
    <definedName name="TOTALITEM16" localSheetId="108">[46]A.P.U!#REF!</definedName>
    <definedName name="TOTALITEM16" localSheetId="109">[46]A.P.U!#REF!</definedName>
    <definedName name="TOTALITEM16" localSheetId="110">[46]A.P.U!#REF!</definedName>
    <definedName name="TOTALITEM16" localSheetId="111">[46]A.P.U!#REF!</definedName>
    <definedName name="TOTALITEM16" localSheetId="4">[46]A.P.U!#REF!</definedName>
    <definedName name="TOTALITEM16" localSheetId="113">[46]A.P.U!#REF!</definedName>
    <definedName name="TOTALITEM16">[46]A.P.U!#REF!</definedName>
    <definedName name="TOTALITEM2.1" localSheetId="16">[46]A.P.U!#REF!</definedName>
    <definedName name="TOTALITEM2.1" localSheetId="38">[46]A.P.U!#REF!</definedName>
    <definedName name="TOTALITEM2.1" localSheetId="88">[46]A.P.U!#REF!</definedName>
    <definedName name="TOTALITEM2.1" localSheetId="89">[46]A.P.U!#REF!</definedName>
    <definedName name="TOTALITEM2.1" localSheetId="90">[46]A.P.U!#REF!</definedName>
    <definedName name="TOTALITEM2.1" localSheetId="91">[46]A.P.U!#REF!</definedName>
    <definedName name="TOTALITEM2.1" localSheetId="102">[46]A.P.U!#REF!</definedName>
    <definedName name="TOTALITEM2.1" localSheetId="107">[46]A.P.U!#REF!</definedName>
    <definedName name="TOTALITEM2.1" localSheetId="108">[46]A.P.U!#REF!</definedName>
    <definedName name="TOTALITEM2.1" localSheetId="109">[46]A.P.U!#REF!</definedName>
    <definedName name="TOTALITEM2.1" localSheetId="110">[46]A.P.U!#REF!</definedName>
    <definedName name="TOTALITEM2.1" localSheetId="111">[46]A.P.U!#REF!</definedName>
    <definedName name="TOTALITEM2.1" localSheetId="4">[46]A.P.U!#REF!</definedName>
    <definedName name="TOTALITEM2.1" localSheetId="113">[46]A.P.U!#REF!</definedName>
    <definedName name="TOTALITEM2.1">[46]A.P.U!#REF!</definedName>
    <definedName name="TOTALITEM2.10" localSheetId="16">[46]A.P.U!#REF!</definedName>
    <definedName name="TOTALITEM2.10" localSheetId="38">[46]A.P.U!#REF!</definedName>
    <definedName name="TOTALITEM2.10" localSheetId="88">[46]A.P.U!#REF!</definedName>
    <definedName name="TOTALITEM2.10" localSheetId="89">[46]A.P.U!#REF!</definedName>
    <definedName name="TOTALITEM2.10" localSheetId="90">[46]A.P.U!#REF!</definedName>
    <definedName name="TOTALITEM2.10" localSheetId="91">[46]A.P.U!#REF!</definedName>
    <definedName name="TOTALITEM2.10" localSheetId="102">[46]A.P.U!#REF!</definedName>
    <definedName name="TOTALITEM2.10" localSheetId="107">[46]A.P.U!#REF!</definedName>
    <definedName name="TOTALITEM2.10" localSheetId="108">[46]A.P.U!#REF!</definedName>
    <definedName name="TOTALITEM2.10" localSheetId="109">[46]A.P.U!#REF!</definedName>
    <definedName name="TOTALITEM2.10" localSheetId="110">[46]A.P.U!#REF!</definedName>
    <definedName name="TOTALITEM2.10" localSheetId="111">[46]A.P.U!#REF!</definedName>
    <definedName name="TOTALITEM2.10" localSheetId="4">[46]A.P.U!#REF!</definedName>
    <definedName name="TOTALITEM2.10" localSheetId="113">[46]A.P.U!#REF!</definedName>
    <definedName name="TOTALITEM2.10">[46]A.P.U!#REF!</definedName>
    <definedName name="TOTALITEM2.11.1" localSheetId="16">[46]A.P.U!#REF!</definedName>
    <definedName name="TOTALITEM2.11.1" localSheetId="38">[46]A.P.U!#REF!</definedName>
    <definedName name="TOTALITEM2.11.1" localSheetId="88">[46]A.P.U!#REF!</definedName>
    <definedName name="TOTALITEM2.11.1" localSheetId="89">[46]A.P.U!#REF!</definedName>
    <definedName name="TOTALITEM2.11.1" localSheetId="90">[46]A.P.U!#REF!</definedName>
    <definedName name="TOTALITEM2.11.1" localSheetId="91">[46]A.P.U!#REF!</definedName>
    <definedName name="TOTALITEM2.11.1" localSheetId="102">[46]A.P.U!#REF!</definedName>
    <definedName name="TOTALITEM2.11.1" localSheetId="107">[46]A.P.U!#REF!</definedName>
    <definedName name="TOTALITEM2.11.1" localSheetId="108">[46]A.P.U!#REF!</definedName>
    <definedName name="TOTALITEM2.11.1" localSheetId="109">[46]A.P.U!#REF!</definedName>
    <definedName name="TOTALITEM2.11.1" localSheetId="110">[46]A.P.U!#REF!</definedName>
    <definedName name="TOTALITEM2.11.1" localSheetId="111">[46]A.P.U!#REF!</definedName>
    <definedName name="TOTALITEM2.11.1" localSheetId="4">[46]A.P.U!#REF!</definedName>
    <definedName name="TOTALITEM2.11.1" localSheetId="113">[46]A.P.U!#REF!</definedName>
    <definedName name="TOTALITEM2.11.1">[46]A.P.U!#REF!</definedName>
    <definedName name="TOTALITEM2.11.2" localSheetId="16">[46]A.P.U!#REF!</definedName>
    <definedName name="TOTALITEM2.11.2" localSheetId="38">[46]A.P.U!#REF!</definedName>
    <definedName name="TOTALITEM2.11.2" localSheetId="88">[46]A.P.U!#REF!</definedName>
    <definedName name="TOTALITEM2.11.2" localSheetId="89">[46]A.P.U!#REF!</definedName>
    <definedName name="TOTALITEM2.11.2" localSheetId="90">[46]A.P.U!#REF!</definedName>
    <definedName name="TOTALITEM2.11.2" localSheetId="91">[46]A.P.U!#REF!</definedName>
    <definedName name="TOTALITEM2.11.2" localSheetId="102">[46]A.P.U!#REF!</definedName>
    <definedName name="TOTALITEM2.11.2" localSheetId="107">[46]A.P.U!#REF!</definedName>
    <definedName name="TOTALITEM2.11.2" localSheetId="108">[46]A.P.U!#REF!</definedName>
    <definedName name="TOTALITEM2.11.2" localSheetId="109">[46]A.P.U!#REF!</definedName>
    <definedName name="TOTALITEM2.11.2" localSheetId="110">[46]A.P.U!#REF!</definedName>
    <definedName name="TOTALITEM2.11.2" localSheetId="111">[46]A.P.U!#REF!</definedName>
    <definedName name="TOTALITEM2.11.2" localSheetId="4">[46]A.P.U!#REF!</definedName>
    <definedName name="TOTALITEM2.11.2" localSheetId="113">[46]A.P.U!#REF!</definedName>
    <definedName name="TOTALITEM2.11.2">[46]A.P.U!#REF!</definedName>
    <definedName name="TOTALITEM2.12.1" localSheetId="16">[46]A.P.U!#REF!</definedName>
    <definedName name="TOTALITEM2.12.1" localSheetId="38">[46]A.P.U!#REF!</definedName>
    <definedName name="TOTALITEM2.12.1" localSheetId="88">[46]A.P.U!#REF!</definedName>
    <definedName name="TOTALITEM2.12.1" localSheetId="89">[46]A.P.U!#REF!</definedName>
    <definedName name="TOTALITEM2.12.1" localSheetId="90">[46]A.P.U!#REF!</definedName>
    <definedName name="TOTALITEM2.12.1" localSheetId="91">[46]A.P.U!#REF!</definedName>
    <definedName name="TOTALITEM2.12.1" localSheetId="102">[46]A.P.U!#REF!</definedName>
    <definedName name="TOTALITEM2.12.1" localSheetId="107">[46]A.P.U!#REF!</definedName>
    <definedName name="TOTALITEM2.12.1" localSheetId="108">[46]A.P.U!#REF!</definedName>
    <definedName name="TOTALITEM2.12.1" localSheetId="109">[46]A.P.U!#REF!</definedName>
    <definedName name="TOTALITEM2.12.1" localSheetId="110">[46]A.P.U!#REF!</definedName>
    <definedName name="TOTALITEM2.12.1" localSheetId="111">[46]A.P.U!#REF!</definedName>
    <definedName name="TOTALITEM2.12.1" localSheetId="4">[46]A.P.U!#REF!</definedName>
    <definedName name="TOTALITEM2.12.1" localSheetId="113">[46]A.P.U!#REF!</definedName>
    <definedName name="TOTALITEM2.12.1">[46]A.P.U!#REF!</definedName>
    <definedName name="TOTALITEM2.2" localSheetId="16">[46]A.P.U!#REF!</definedName>
    <definedName name="TOTALITEM2.2" localSheetId="38">[46]A.P.U!#REF!</definedName>
    <definedName name="TOTALITEM2.2" localSheetId="88">[46]A.P.U!#REF!</definedName>
    <definedName name="TOTALITEM2.2" localSheetId="89">[46]A.P.U!#REF!</definedName>
    <definedName name="TOTALITEM2.2" localSheetId="90">[46]A.P.U!#REF!</definedName>
    <definedName name="TOTALITEM2.2" localSheetId="91">[46]A.P.U!#REF!</definedName>
    <definedName name="TOTALITEM2.2" localSheetId="102">[46]A.P.U!#REF!</definedName>
    <definedName name="TOTALITEM2.2" localSheetId="107">[46]A.P.U!#REF!</definedName>
    <definedName name="TOTALITEM2.2" localSheetId="108">[46]A.P.U!#REF!</definedName>
    <definedName name="TOTALITEM2.2" localSheetId="109">[46]A.P.U!#REF!</definedName>
    <definedName name="TOTALITEM2.2" localSheetId="110">[46]A.P.U!#REF!</definedName>
    <definedName name="TOTALITEM2.2" localSheetId="111">[46]A.P.U!#REF!</definedName>
    <definedName name="TOTALITEM2.2" localSheetId="4">[46]A.P.U!#REF!</definedName>
    <definedName name="TOTALITEM2.2" localSheetId="113">[46]A.P.U!#REF!</definedName>
    <definedName name="TOTALITEM2.2">[46]A.P.U!#REF!</definedName>
    <definedName name="TOTALITEM2.3" localSheetId="16">[46]A.P.U!#REF!</definedName>
    <definedName name="TOTALITEM2.3" localSheetId="38">[46]A.P.U!#REF!</definedName>
    <definedName name="TOTALITEM2.3" localSheetId="88">[46]A.P.U!#REF!</definedName>
    <definedName name="TOTALITEM2.3" localSheetId="89">[46]A.P.U!#REF!</definedName>
    <definedName name="TOTALITEM2.3" localSheetId="90">[46]A.P.U!#REF!</definedName>
    <definedName name="TOTALITEM2.3" localSheetId="91">[46]A.P.U!#REF!</definedName>
    <definedName name="TOTALITEM2.3" localSheetId="102">[46]A.P.U!#REF!</definedName>
    <definedName name="TOTALITEM2.3" localSheetId="107">[46]A.P.U!#REF!</definedName>
    <definedName name="TOTALITEM2.3" localSheetId="108">[46]A.P.U!#REF!</definedName>
    <definedName name="TOTALITEM2.3" localSheetId="109">[46]A.P.U!#REF!</definedName>
    <definedName name="TOTALITEM2.3" localSheetId="110">[46]A.P.U!#REF!</definedName>
    <definedName name="TOTALITEM2.3" localSheetId="111">[46]A.P.U!#REF!</definedName>
    <definedName name="TOTALITEM2.3" localSheetId="4">[46]A.P.U!#REF!</definedName>
    <definedName name="TOTALITEM2.3" localSheetId="113">[46]A.P.U!#REF!</definedName>
    <definedName name="TOTALITEM2.3">[46]A.P.U!#REF!</definedName>
    <definedName name="TOTALITEM2.4" localSheetId="16">[46]A.P.U!#REF!</definedName>
    <definedName name="TOTALITEM2.4" localSheetId="38">[46]A.P.U!#REF!</definedName>
    <definedName name="TOTALITEM2.4" localSheetId="88">[46]A.P.U!#REF!</definedName>
    <definedName name="TOTALITEM2.4" localSheetId="89">[46]A.P.U!#REF!</definedName>
    <definedName name="TOTALITEM2.4" localSheetId="90">[46]A.P.U!#REF!</definedName>
    <definedName name="TOTALITEM2.4" localSheetId="91">[46]A.P.U!#REF!</definedName>
    <definedName name="TOTALITEM2.4" localSheetId="102">[46]A.P.U!#REF!</definedName>
    <definedName name="TOTALITEM2.4" localSheetId="107">[46]A.P.U!#REF!</definedName>
    <definedName name="TOTALITEM2.4" localSheetId="108">[46]A.P.U!#REF!</definedName>
    <definedName name="TOTALITEM2.4" localSheetId="109">[46]A.P.U!#REF!</definedName>
    <definedName name="TOTALITEM2.4" localSheetId="110">[46]A.P.U!#REF!</definedName>
    <definedName name="TOTALITEM2.4" localSheetId="111">[46]A.P.U!#REF!</definedName>
    <definedName name="TOTALITEM2.4" localSheetId="4">[46]A.P.U!#REF!</definedName>
    <definedName name="TOTALITEM2.4" localSheetId="113">[46]A.P.U!#REF!</definedName>
    <definedName name="TOTALITEM2.4">[46]A.P.U!#REF!</definedName>
    <definedName name="TOTALITEM2.5" localSheetId="16">[46]A.P.U!#REF!</definedName>
    <definedName name="TOTALITEM2.5" localSheetId="38">[46]A.P.U!#REF!</definedName>
    <definedName name="TOTALITEM2.5" localSheetId="88">[46]A.P.U!#REF!</definedName>
    <definedName name="TOTALITEM2.5" localSheetId="89">[46]A.P.U!#REF!</definedName>
    <definedName name="TOTALITEM2.5" localSheetId="90">[46]A.P.U!#REF!</definedName>
    <definedName name="TOTALITEM2.5" localSheetId="91">[46]A.P.U!#REF!</definedName>
    <definedName name="TOTALITEM2.5" localSheetId="102">[46]A.P.U!#REF!</definedName>
    <definedName name="TOTALITEM2.5" localSheetId="107">[46]A.P.U!#REF!</definedName>
    <definedName name="TOTALITEM2.5" localSheetId="108">[46]A.P.U!#REF!</definedName>
    <definedName name="TOTALITEM2.5" localSheetId="109">[46]A.P.U!#REF!</definedName>
    <definedName name="TOTALITEM2.5" localSheetId="110">[46]A.P.U!#REF!</definedName>
    <definedName name="TOTALITEM2.5" localSheetId="111">[46]A.P.U!#REF!</definedName>
    <definedName name="TOTALITEM2.5" localSheetId="4">[46]A.P.U!#REF!</definedName>
    <definedName name="TOTALITEM2.5" localSheetId="113">[46]A.P.U!#REF!</definedName>
    <definedName name="TOTALITEM2.5">[46]A.P.U!#REF!</definedName>
    <definedName name="TOTALITEM2.6" localSheetId="16">[46]A.P.U!#REF!</definedName>
    <definedName name="TOTALITEM2.6" localSheetId="38">[46]A.P.U!#REF!</definedName>
    <definedName name="TOTALITEM2.6" localSheetId="88">[46]A.P.U!#REF!</definedName>
    <definedName name="TOTALITEM2.6" localSheetId="89">[46]A.P.U!#REF!</definedName>
    <definedName name="TOTALITEM2.6" localSheetId="90">[46]A.P.U!#REF!</definedName>
    <definedName name="TOTALITEM2.6" localSheetId="91">[46]A.P.U!#REF!</definedName>
    <definedName name="TOTALITEM2.6" localSheetId="102">[46]A.P.U!#REF!</definedName>
    <definedName name="TOTALITEM2.6" localSheetId="107">[46]A.P.U!#REF!</definedName>
    <definedName name="TOTALITEM2.6" localSheetId="108">[46]A.P.U!#REF!</definedName>
    <definedName name="TOTALITEM2.6" localSheetId="109">[46]A.P.U!#REF!</definedName>
    <definedName name="TOTALITEM2.6" localSheetId="110">[46]A.P.U!#REF!</definedName>
    <definedName name="TOTALITEM2.6" localSheetId="111">[46]A.P.U!#REF!</definedName>
    <definedName name="TOTALITEM2.6" localSheetId="4">[46]A.P.U!#REF!</definedName>
    <definedName name="TOTALITEM2.6" localSheetId="113">[46]A.P.U!#REF!</definedName>
    <definedName name="TOTALITEM2.6">[46]A.P.U!#REF!</definedName>
    <definedName name="TOTALITEM2.7" localSheetId="16">[46]A.P.U!#REF!</definedName>
    <definedName name="TOTALITEM2.7" localSheetId="38">[46]A.P.U!#REF!</definedName>
    <definedName name="TOTALITEM2.7" localSheetId="88">[46]A.P.U!#REF!</definedName>
    <definedName name="TOTALITEM2.7" localSheetId="89">[46]A.P.U!#REF!</definedName>
    <definedName name="TOTALITEM2.7" localSheetId="90">[46]A.P.U!#REF!</definedName>
    <definedName name="TOTALITEM2.7" localSheetId="91">[46]A.P.U!#REF!</definedName>
    <definedName name="TOTALITEM2.7" localSheetId="102">[46]A.P.U!#REF!</definedName>
    <definedName name="TOTALITEM2.7" localSheetId="107">[46]A.P.U!#REF!</definedName>
    <definedName name="TOTALITEM2.7" localSheetId="108">[46]A.P.U!#REF!</definedName>
    <definedName name="TOTALITEM2.7" localSheetId="109">[46]A.P.U!#REF!</definedName>
    <definedName name="TOTALITEM2.7" localSheetId="110">[46]A.P.U!#REF!</definedName>
    <definedName name="TOTALITEM2.7" localSheetId="111">[46]A.P.U!#REF!</definedName>
    <definedName name="TOTALITEM2.7" localSheetId="4">[46]A.P.U!#REF!</definedName>
    <definedName name="TOTALITEM2.7" localSheetId="113">[46]A.P.U!#REF!</definedName>
    <definedName name="TOTALITEM2.7">[46]A.P.U!#REF!</definedName>
    <definedName name="TOTALITEM3.1.1" localSheetId="16">[46]A.P.U!#REF!</definedName>
    <definedName name="TOTALITEM3.1.1" localSheetId="38">[46]A.P.U!#REF!</definedName>
    <definedName name="TOTALITEM3.1.1" localSheetId="88">[46]A.P.U!#REF!</definedName>
    <definedName name="TOTALITEM3.1.1" localSheetId="89">[46]A.P.U!#REF!</definedName>
    <definedName name="TOTALITEM3.1.1" localSheetId="90">[46]A.P.U!#REF!</definedName>
    <definedName name="TOTALITEM3.1.1" localSheetId="91">[46]A.P.U!#REF!</definedName>
    <definedName name="TOTALITEM3.1.1" localSheetId="102">[46]A.P.U!#REF!</definedName>
    <definedName name="TOTALITEM3.1.1" localSheetId="107">[46]A.P.U!#REF!</definedName>
    <definedName name="TOTALITEM3.1.1" localSheetId="108">[46]A.P.U!#REF!</definedName>
    <definedName name="TOTALITEM3.1.1" localSheetId="109">[46]A.P.U!#REF!</definedName>
    <definedName name="TOTALITEM3.1.1" localSheetId="110">[46]A.P.U!#REF!</definedName>
    <definedName name="TOTALITEM3.1.1" localSheetId="111">[46]A.P.U!#REF!</definedName>
    <definedName name="TOTALITEM3.1.1" localSheetId="4">[46]A.P.U!#REF!</definedName>
    <definedName name="TOTALITEM3.1.1" localSheetId="113">[46]A.P.U!#REF!</definedName>
    <definedName name="TOTALITEM3.1.1">[46]A.P.U!#REF!</definedName>
    <definedName name="TOTALITEM3.1.2" localSheetId="16">[46]A.P.U!#REF!</definedName>
    <definedName name="TOTALITEM3.1.2" localSheetId="38">[46]A.P.U!#REF!</definedName>
    <definedName name="TOTALITEM3.1.2" localSheetId="88">[46]A.P.U!#REF!</definedName>
    <definedName name="TOTALITEM3.1.2" localSheetId="89">[46]A.P.U!#REF!</definedName>
    <definedName name="TOTALITEM3.1.2" localSheetId="90">[46]A.P.U!#REF!</definedName>
    <definedName name="TOTALITEM3.1.2" localSheetId="91">[46]A.P.U!#REF!</definedName>
    <definedName name="TOTALITEM3.1.2" localSheetId="102">[46]A.P.U!#REF!</definedName>
    <definedName name="TOTALITEM3.1.2" localSheetId="107">[46]A.P.U!#REF!</definedName>
    <definedName name="TOTALITEM3.1.2" localSheetId="108">[46]A.P.U!#REF!</definedName>
    <definedName name="TOTALITEM3.1.2" localSheetId="109">[46]A.P.U!#REF!</definedName>
    <definedName name="TOTALITEM3.1.2" localSheetId="110">[46]A.P.U!#REF!</definedName>
    <definedName name="TOTALITEM3.1.2" localSheetId="111">[46]A.P.U!#REF!</definedName>
    <definedName name="TOTALITEM3.1.2" localSheetId="4">[46]A.P.U!#REF!</definedName>
    <definedName name="TOTALITEM3.1.2" localSheetId="113">[46]A.P.U!#REF!</definedName>
    <definedName name="TOTALITEM3.1.2">[46]A.P.U!#REF!</definedName>
    <definedName name="TOTALITEM3.2" localSheetId="16">[46]A.P.U!#REF!</definedName>
    <definedName name="TOTALITEM3.2" localSheetId="38">[46]A.P.U!#REF!</definedName>
    <definedName name="TOTALITEM3.2" localSheetId="88">[46]A.P.U!#REF!</definedName>
    <definedName name="TOTALITEM3.2" localSheetId="89">[46]A.P.U!#REF!</definedName>
    <definedName name="TOTALITEM3.2" localSheetId="90">[46]A.P.U!#REF!</definedName>
    <definedName name="TOTALITEM3.2" localSheetId="91">[46]A.P.U!#REF!</definedName>
    <definedName name="TOTALITEM3.2" localSheetId="102">[46]A.P.U!#REF!</definedName>
    <definedName name="TOTALITEM3.2" localSheetId="107">[46]A.P.U!#REF!</definedName>
    <definedName name="TOTALITEM3.2" localSheetId="108">[46]A.P.U!#REF!</definedName>
    <definedName name="TOTALITEM3.2" localSheetId="109">[46]A.P.U!#REF!</definedName>
    <definedName name="TOTALITEM3.2" localSheetId="110">[46]A.P.U!#REF!</definedName>
    <definedName name="TOTALITEM3.2" localSheetId="111">[46]A.P.U!#REF!</definedName>
    <definedName name="TOTALITEM3.2" localSheetId="4">[46]A.P.U!#REF!</definedName>
    <definedName name="TOTALITEM3.2" localSheetId="113">[46]A.P.U!#REF!</definedName>
    <definedName name="TOTALITEM3.2">[46]A.P.U!#REF!</definedName>
    <definedName name="TOTALITEM3.3" localSheetId="16">[46]A.P.U!#REF!</definedName>
    <definedName name="TOTALITEM3.3" localSheetId="38">[46]A.P.U!#REF!</definedName>
    <definedName name="TOTALITEM3.3" localSheetId="88">[46]A.P.U!#REF!</definedName>
    <definedName name="TOTALITEM3.3" localSheetId="89">[46]A.P.U!#REF!</definedName>
    <definedName name="TOTALITEM3.3" localSheetId="90">[46]A.P.U!#REF!</definedName>
    <definedName name="TOTALITEM3.3" localSheetId="91">[46]A.P.U!#REF!</definedName>
    <definedName name="TOTALITEM3.3" localSheetId="102">[46]A.P.U!#REF!</definedName>
    <definedName name="TOTALITEM3.3" localSheetId="107">[46]A.P.U!#REF!</definedName>
    <definedName name="TOTALITEM3.3" localSheetId="108">[46]A.P.U!#REF!</definedName>
    <definedName name="TOTALITEM3.3" localSheetId="109">[46]A.P.U!#REF!</definedName>
    <definedName name="TOTALITEM3.3" localSheetId="110">[46]A.P.U!#REF!</definedName>
    <definedName name="TOTALITEM3.3" localSheetId="111">[46]A.P.U!#REF!</definedName>
    <definedName name="TOTALITEM3.3" localSheetId="4">[46]A.P.U!#REF!</definedName>
    <definedName name="TOTALITEM3.3" localSheetId="113">[46]A.P.U!#REF!</definedName>
    <definedName name="TOTALITEM3.3">[46]A.P.U!#REF!</definedName>
    <definedName name="TOTALITEM3.4.1" localSheetId="16">[46]A.P.U!#REF!</definedName>
    <definedName name="TOTALITEM3.4.1" localSheetId="38">[46]A.P.U!#REF!</definedName>
    <definedName name="TOTALITEM3.4.1" localSheetId="88">[46]A.P.U!#REF!</definedName>
    <definedName name="TOTALITEM3.4.1" localSheetId="89">[46]A.P.U!#REF!</definedName>
    <definedName name="TOTALITEM3.4.1" localSheetId="90">[46]A.P.U!#REF!</definedName>
    <definedName name="TOTALITEM3.4.1" localSheetId="91">[46]A.P.U!#REF!</definedName>
    <definedName name="TOTALITEM3.4.1" localSheetId="102">[46]A.P.U!#REF!</definedName>
    <definedName name="TOTALITEM3.4.1" localSheetId="107">[46]A.P.U!#REF!</definedName>
    <definedName name="TOTALITEM3.4.1" localSheetId="108">[46]A.P.U!#REF!</definedName>
    <definedName name="TOTALITEM3.4.1" localSheetId="109">[46]A.P.U!#REF!</definedName>
    <definedName name="TOTALITEM3.4.1" localSheetId="110">[46]A.P.U!#REF!</definedName>
    <definedName name="TOTALITEM3.4.1" localSheetId="111">[46]A.P.U!#REF!</definedName>
    <definedName name="TOTALITEM3.4.1" localSheetId="4">[46]A.P.U!#REF!</definedName>
    <definedName name="TOTALITEM3.4.1" localSheetId="113">[46]A.P.U!#REF!</definedName>
    <definedName name="TOTALITEM3.4.1">[46]A.P.U!#REF!</definedName>
    <definedName name="TOTALITEM3.4.2" localSheetId="16">[46]A.P.U!#REF!</definedName>
    <definedName name="TOTALITEM3.4.2" localSheetId="38">[46]A.P.U!#REF!</definedName>
    <definedName name="TOTALITEM3.4.2" localSheetId="88">[46]A.P.U!#REF!</definedName>
    <definedName name="TOTALITEM3.4.2" localSheetId="89">[46]A.P.U!#REF!</definedName>
    <definedName name="TOTALITEM3.4.2" localSheetId="90">[46]A.P.U!#REF!</definedName>
    <definedName name="TOTALITEM3.4.2" localSheetId="91">[46]A.P.U!#REF!</definedName>
    <definedName name="TOTALITEM3.4.2" localSheetId="102">[46]A.P.U!#REF!</definedName>
    <definedName name="TOTALITEM3.4.2" localSheetId="107">[46]A.P.U!#REF!</definedName>
    <definedName name="TOTALITEM3.4.2" localSheetId="108">[46]A.P.U!#REF!</definedName>
    <definedName name="TOTALITEM3.4.2" localSheetId="109">[46]A.P.U!#REF!</definedName>
    <definedName name="TOTALITEM3.4.2" localSheetId="110">[46]A.P.U!#REF!</definedName>
    <definedName name="TOTALITEM3.4.2" localSheetId="111">[46]A.P.U!#REF!</definedName>
    <definedName name="TOTALITEM3.4.2" localSheetId="4">[46]A.P.U!#REF!</definedName>
    <definedName name="TOTALITEM3.4.2" localSheetId="113">[46]A.P.U!#REF!</definedName>
    <definedName name="TOTALITEM3.4.2">[46]A.P.U!#REF!</definedName>
    <definedName name="TOTALITEM3.4.3" localSheetId="16">[46]A.P.U!#REF!</definedName>
    <definedName name="TOTALITEM3.4.3" localSheetId="38">[46]A.P.U!#REF!</definedName>
    <definedName name="TOTALITEM3.4.3" localSheetId="88">[46]A.P.U!#REF!</definedName>
    <definedName name="TOTALITEM3.4.3" localSheetId="89">[46]A.P.U!#REF!</definedName>
    <definedName name="TOTALITEM3.4.3" localSheetId="90">[46]A.P.U!#REF!</definedName>
    <definedName name="TOTALITEM3.4.3" localSheetId="91">[46]A.P.U!#REF!</definedName>
    <definedName name="TOTALITEM3.4.3" localSheetId="102">[46]A.P.U!#REF!</definedName>
    <definedName name="TOTALITEM3.4.3" localSheetId="107">[46]A.P.U!#REF!</definedName>
    <definedName name="TOTALITEM3.4.3" localSheetId="108">[46]A.P.U!#REF!</definedName>
    <definedName name="TOTALITEM3.4.3" localSheetId="109">[46]A.P.U!#REF!</definedName>
    <definedName name="TOTALITEM3.4.3" localSheetId="110">[46]A.P.U!#REF!</definedName>
    <definedName name="TOTALITEM3.4.3" localSheetId="111">[46]A.P.U!#REF!</definedName>
    <definedName name="TOTALITEM3.4.3" localSheetId="4">[46]A.P.U!#REF!</definedName>
    <definedName name="TOTALITEM3.4.3" localSheetId="113">[46]A.P.U!#REF!</definedName>
    <definedName name="TOTALITEM3.4.3">[46]A.P.U!#REF!</definedName>
    <definedName name="TOTALITEM3.5.1" localSheetId="16">[46]A.P.U!#REF!</definedName>
    <definedName name="TOTALITEM3.5.1" localSheetId="38">[46]A.P.U!#REF!</definedName>
    <definedName name="TOTALITEM3.5.1" localSheetId="88">[46]A.P.U!#REF!</definedName>
    <definedName name="TOTALITEM3.5.1" localSheetId="89">[46]A.P.U!#REF!</definedName>
    <definedName name="TOTALITEM3.5.1" localSheetId="90">[46]A.P.U!#REF!</definedName>
    <definedName name="TOTALITEM3.5.1" localSheetId="91">[46]A.P.U!#REF!</definedName>
    <definedName name="TOTALITEM3.5.1" localSheetId="102">[46]A.P.U!#REF!</definedName>
    <definedName name="TOTALITEM3.5.1" localSheetId="107">[46]A.P.U!#REF!</definedName>
    <definedName name="TOTALITEM3.5.1" localSheetId="108">[46]A.P.U!#REF!</definedName>
    <definedName name="TOTALITEM3.5.1" localSheetId="109">[46]A.P.U!#REF!</definedName>
    <definedName name="TOTALITEM3.5.1" localSheetId="110">[46]A.P.U!#REF!</definedName>
    <definedName name="TOTALITEM3.5.1" localSheetId="111">[46]A.P.U!#REF!</definedName>
    <definedName name="TOTALITEM3.5.1" localSheetId="4">[46]A.P.U!#REF!</definedName>
    <definedName name="TOTALITEM3.5.1" localSheetId="113">[46]A.P.U!#REF!</definedName>
    <definedName name="TOTALITEM3.5.1">[46]A.P.U!#REF!</definedName>
    <definedName name="TOTALITEM3.5.2" localSheetId="16">[46]A.P.U!#REF!</definedName>
    <definedName name="TOTALITEM3.5.2" localSheetId="38">[46]A.P.U!#REF!</definedName>
    <definedName name="TOTALITEM3.5.2" localSheetId="88">[46]A.P.U!#REF!</definedName>
    <definedName name="TOTALITEM3.5.2" localSheetId="89">[46]A.P.U!#REF!</definedName>
    <definedName name="TOTALITEM3.5.2" localSheetId="90">[46]A.P.U!#REF!</definedName>
    <definedName name="TOTALITEM3.5.2" localSheetId="91">[46]A.P.U!#REF!</definedName>
    <definedName name="TOTALITEM3.5.2" localSheetId="102">[46]A.P.U!#REF!</definedName>
    <definedName name="TOTALITEM3.5.2" localSheetId="107">[46]A.P.U!#REF!</definedName>
    <definedName name="TOTALITEM3.5.2" localSheetId="108">[46]A.P.U!#REF!</definedName>
    <definedName name="TOTALITEM3.5.2" localSheetId="109">[46]A.P.U!#REF!</definedName>
    <definedName name="TOTALITEM3.5.2" localSheetId="110">[46]A.P.U!#REF!</definedName>
    <definedName name="TOTALITEM3.5.2" localSheetId="111">[46]A.P.U!#REF!</definedName>
    <definedName name="TOTALITEM3.5.2" localSheetId="4">[46]A.P.U!#REF!</definedName>
    <definedName name="TOTALITEM3.5.2" localSheetId="113">[46]A.P.U!#REF!</definedName>
    <definedName name="TOTALITEM3.5.2">[46]A.P.U!#REF!</definedName>
    <definedName name="TOTALITEM3.5.3" localSheetId="16">[46]A.P.U!#REF!</definedName>
    <definedName name="TOTALITEM3.5.3" localSheetId="38">[46]A.P.U!#REF!</definedName>
    <definedName name="TOTALITEM3.5.3" localSheetId="88">[46]A.P.U!#REF!</definedName>
    <definedName name="TOTALITEM3.5.3" localSheetId="89">[46]A.P.U!#REF!</definedName>
    <definedName name="TOTALITEM3.5.3" localSheetId="90">[46]A.P.U!#REF!</definedName>
    <definedName name="TOTALITEM3.5.3" localSheetId="91">[46]A.P.U!#REF!</definedName>
    <definedName name="TOTALITEM3.5.3" localSheetId="102">[46]A.P.U!#REF!</definedName>
    <definedName name="TOTALITEM3.5.3" localSheetId="107">[46]A.P.U!#REF!</definedName>
    <definedName name="TOTALITEM3.5.3" localSheetId="108">[46]A.P.U!#REF!</definedName>
    <definedName name="TOTALITEM3.5.3" localSheetId="109">[46]A.P.U!#REF!</definedName>
    <definedName name="TOTALITEM3.5.3" localSheetId="110">[46]A.P.U!#REF!</definedName>
    <definedName name="TOTALITEM3.5.3" localSheetId="111">[46]A.P.U!#REF!</definedName>
    <definedName name="TOTALITEM3.5.3" localSheetId="4">[46]A.P.U!#REF!</definedName>
    <definedName name="TOTALITEM3.5.3" localSheetId="113">[46]A.P.U!#REF!</definedName>
    <definedName name="TOTALITEM3.5.3">[46]A.P.U!#REF!</definedName>
    <definedName name="TOTALITEM4.1.2" localSheetId="16">[46]A.P.U!#REF!</definedName>
    <definedName name="TOTALITEM4.1.2" localSheetId="38">[46]A.P.U!#REF!</definedName>
    <definedName name="TOTALITEM4.1.2" localSheetId="88">[46]A.P.U!#REF!</definedName>
    <definedName name="TOTALITEM4.1.2" localSheetId="89">[46]A.P.U!#REF!</definedName>
    <definedName name="TOTALITEM4.1.2" localSheetId="90">[46]A.P.U!#REF!</definedName>
    <definedName name="TOTALITEM4.1.2" localSheetId="91">[46]A.P.U!#REF!</definedName>
    <definedName name="TOTALITEM4.1.2" localSheetId="102">[46]A.P.U!#REF!</definedName>
    <definedName name="TOTALITEM4.1.2" localSheetId="107">[46]A.P.U!#REF!</definedName>
    <definedName name="TOTALITEM4.1.2" localSheetId="108">[46]A.P.U!#REF!</definedName>
    <definedName name="TOTALITEM4.1.2" localSheetId="109">[46]A.P.U!#REF!</definedName>
    <definedName name="TOTALITEM4.1.2" localSheetId="110">[46]A.P.U!#REF!</definedName>
    <definedName name="TOTALITEM4.1.2" localSheetId="111">[46]A.P.U!#REF!</definedName>
    <definedName name="TOTALITEM4.1.2" localSheetId="4">[46]A.P.U!#REF!</definedName>
    <definedName name="TOTALITEM4.1.2" localSheetId="113">[46]A.P.U!#REF!</definedName>
    <definedName name="TOTALITEM4.1.2">[46]A.P.U!#REF!</definedName>
    <definedName name="TOTALITEM4.1.3" localSheetId="16">[46]A.P.U!#REF!</definedName>
    <definedName name="TOTALITEM4.1.3" localSheetId="38">[46]A.P.U!#REF!</definedName>
    <definedName name="TOTALITEM4.1.3" localSheetId="88">[46]A.P.U!#REF!</definedName>
    <definedName name="TOTALITEM4.1.3" localSheetId="89">[46]A.P.U!#REF!</definedName>
    <definedName name="TOTALITEM4.1.3" localSheetId="90">[46]A.P.U!#REF!</definedName>
    <definedName name="TOTALITEM4.1.3" localSheetId="91">[46]A.P.U!#REF!</definedName>
    <definedName name="TOTALITEM4.1.3" localSheetId="102">[46]A.P.U!#REF!</definedName>
    <definedName name="TOTALITEM4.1.3" localSheetId="107">[46]A.P.U!#REF!</definedName>
    <definedName name="TOTALITEM4.1.3" localSheetId="108">[46]A.P.U!#REF!</definedName>
    <definedName name="TOTALITEM4.1.3" localSheetId="109">[46]A.P.U!#REF!</definedName>
    <definedName name="TOTALITEM4.1.3" localSheetId="110">[46]A.P.U!#REF!</definedName>
    <definedName name="TOTALITEM4.1.3" localSheetId="111">[46]A.P.U!#REF!</definedName>
    <definedName name="TOTALITEM4.1.3" localSheetId="4">[46]A.P.U!#REF!</definedName>
    <definedName name="TOTALITEM4.1.3" localSheetId="113">[46]A.P.U!#REF!</definedName>
    <definedName name="TOTALITEM4.1.3">[46]A.P.U!#REF!</definedName>
    <definedName name="TOTALITEM4.1.4" localSheetId="16">[46]A.P.U!#REF!</definedName>
    <definedName name="TOTALITEM4.1.4" localSheetId="38">[46]A.P.U!#REF!</definedName>
    <definedName name="TOTALITEM4.1.4" localSheetId="88">[46]A.P.U!#REF!</definedName>
    <definedName name="TOTALITEM4.1.4" localSheetId="89">[46]A.P.U!#REF!</definedName>
    <definedName name="TOTALITEM4.1.4" localSheetId="90">[46]A.P.U!#REF!</definedName>
    <definedName name="TOTALITEM4.1.4" localSheetId="91">[46]A.P.U!#REF!</definedName>
    <definedName name="TOTALITEM4.1.4" localSheetId="102">[46]A.P.U!#REF!</definedName>
    <definedName name="TOTALITEM4.1.4" localSheetId="107">[46]A.P.U!#REF!</definedName>
    <definedName name="TOTALITEM4.1.4" localSheetId="108">[46]A.P.U!#REF!</definedName>
    <definedName name="TOTALITEM4.1.4" localSheetId="109">[46]A.P.U!#REF!</definedName>
    <definedName name="TOTALITEM4.1.4" localSheetId="110">[46]A.P.U!#REF!</definedName>
    <definedName name="TOTALITEM4.1.4" localSheetId="111">[46]A.P.U!#REF!</definedName>
    <definedName name="TOTALITEM4.1.4" localSheetId="4">[46]A.P.U!#REF!</definedName>
    <definedName name="TOTALITEM4.1.4" localSheetId="113">[46]A.P.U!#REF!</definedName>
    <definedName name="TOTALITEM4.1.4">[46]A.P.U!#REF!</definedName>
    <definedName name="TOTALITEM4.2" localSheetId="16">[46]A.P.U!#REF!</definedName>
    <definedName name="TOTALITEM4.2" localSheetId="38">[46]A.P.U!#REF!</definedName>
    <definedName name="TOTALITEM4.2" localSheetId="88">[46]A.P.U!#REF!</definedName>
    <definedName name="TOTALITEM4.2" localSheetId="89">[46]A.P.U!#REF!</definedName>
    <definedName name="TOTALITEM4.2" localSheetId="90">[46]A.P.U!#REF!</definedName>
    <definedName name="TOTALITEM4.2" localSheetId="91">[46]A.P.U!#REF!</definedName>
    <definedName name="TOTALITEM4.2" localSheetId="102">[46]A.P.U!#REF!</definedName>
    <definedName name="TOTALITEM4.2" localSheetId="107">[46]A.P.U!#REF!</definedName>
    <definedName name="TOTALITEM4.2" localSheetId="108">[46]A.P.U!#REF!</definedName>
    <definedName name="TOTALITEM4.2" localSheetId="109">[46]A.P.U!#REF!</definedName>
    <definedName name="TOTALITEM4.2" localSheetId="110">[46]A.P.U!#REF!</definedName>
    <definedName name="TOTALITEM4.2" localSheetId="111">[46]A.P.U!#REF!</definedName>
    <definedName name="TOTALITEM4.2" localSheetId="4">[46]A.P.U!#REF!</definedName>
    <definedName name="TOTALITEM4.2" localSheetId="113">[46]A.P.U!#REF!</definedName>
    <definedName name="TOTALITEM4.2">[46]A.P.U!#REF!</definedName>
    <definedName name="TOTALITEM4.3" localSheetId="16">[46]A.P.U!#REF!</definedName>
    <definedName name="TOTALITEM4.3" localSheetId="38">[46]A.P.U!#REF!</definedName>
    <definedName name="TOTALITEM4.3" localSheetId="88">[46]A.P.U!#REF!</definedName>
    <definedName name="TOTALITEM4.3" localSheetId="89">[46]A.P.U!#REF!</definedName>
    <definedName name="TOTALITEM4.3" localSheetId="90">[46]A.P.U!#REF!</definedName>
    <definedName name="TOTALITEM4.3" localSheetId="91">[46]A.P.U!#REF!</definedName>
    <definedName name="TOTALITEM4.3" localSheetId="102">[46]A.P.U!#REF!</definedName>
    <definedName name="TOTALITEM4.3" localSheetId="107">[46]A.P.U!#REF!</definedName>
    <definedName name="TOTALITEM4.3" localSheetId="108">[46]A.P.U!#REF!</definedName>
    <definedName name="TOTALITEM4.3" localSheetId="109">[46]A.P.U!#REF!</definedName>
    <definedName name="TOTALITEM4.3" localSheetId="110">[46]A.P.U!#REF!</definedName>
    <definedName name="TOTALITEM4.3" localSheetId="111">[46]A.P.U!#REF!</definedName>
    <definedName name="TOTALITEM4.3" localSheetId="4">[46]A.P.U!#REF!</definedName>
    <definedName name="TOTALITEM4.3" localSheetId="113">[46]A.P.U!#REF!</definedName>
    <definedName name="TOTALITEM4.3">[46]A.P.U!#REF!</definedName>
    <definedName name="TOTALITEM4.4" localSheetId="16">[46]A.P.U!#REF!</definedName>
    <definedName name="TOTALITEM4.4" localSheetId="38">[46]A.P.U!#REF!</definedName>
    <definedName name="TOTALITEM4.4" localSheetId="88">[46]A.P.U!#REF!</definedName>
    <definedName name="TOTALITEM4.4" localSheetId="89">[46]A.P.U!#REF!</definedName>
    <definedName name="TOTALITEM4.4" localSheetId="90">[46]A.P.U!#REF!</definedName>
    <definedName name="TOTALITEM4.4" localSheetId="91">[46]A.P.U!#REF!</definedName>
    <definedName name="TOTALITEM4.4" localSheetId="102">[46]A.P.U!#REF!</definedName>
    <definedName name="TOTALITEM4.4" localSheetId="107">[46]A.P.U!#REF!</definedName>
    <definedName name="TOTALITEM4.4" localSheetId="108">[46]A.P.U!#REF!</definedName>
    <definedName name="TOTALITEM4.4" localSheetId="109">[46]A.P.U!#REF!</definedName>
    <definedName name="TOTALITEM4.4" localSheetId="110">[46]A.P.U!#REF!</definedName>
    <definedName name="TOTALITEM4.4" localSheetId="111">[46]A.P.U!#REF!</definedName>
    <definedName name="TOTALITEM4.4" localSheetId="4">[46]A.P.U!#REF!</definedName>
    <definedName name="TOTALITEM4.4" localSheetId="113">[46]A.P.U!#REF!</definedName>
    <definedName name="TOTALITEM4.4">[46]A.P.U!#REF!</definedName>
    <definedName name="TOTALITEM4.5" localSheetId="16">[46]A.P.U!#REF!</definedName>
    <definedName name="TOTALITEM4.5" localSheetId="38">[46]A.P.U!#REF!</definedName>
    <definedName name="TOTALITEM4.5" localSheetId="88">[46]A.P.U!#REF!</definedName>
    <definedName name="TOTALITEM4.5" localSheetId="89">[46]A.P.U!#REF!</definedName>
    <definedName name="TOTALITEM4.5" localSheetId="90">[46]A.P.U!#REF!</definedName>
    <definedName name="TOTALITEM4.5" localSheetId="91">[46]A.P.U!#REF!</definedName>
    <definedName name="TOTALITEM4.5" localSheetId="102">[46]A.P.U!#REF!</definedName>
    <definedName name="TOTALITEM4.5" localSheetId="107">[46]A.P.U!#REF!</definedName>
    <definedName name="TOTALITEM4.5" localSheetId="108">[46]A.P.U!#REF!</definedName>
    <definedName name="TOTALITEM4.5" localSheetId="109">[46]A.P.U!#REF!</definedName>
    <definedName name="TOTALITEM4.5" localSheetId="110">[46]A.P.U!#REF!</definedName>
    <definedName name="TOTALITEM4.5" localSheetId="111">[46]A.P.U!#REF!</definedName>
    <definedName name="TOTALITEM4.5" localSheetId="4">[46]A.P.U!#REF!</definedName>
    <definedName name="TOTALITEM4.5" localSheetId="113">[46]A.P.U!#REF!</definedName>
    <definedName name="TOTALITEM4.5">[46]A.P.U!#REF!</definedName>
    <definedName name="TOTALITEM4.6" localSheetId="16">[46]A.P.U!#REF!</definedName>
    <definedName name="TOTALITEM4.6" localSheetId="38">[46]A.P.U!#REF!</definedName>
    <definedName name="TOTALITEM4.6" localSheetId="88">[46]A.P.U!#REF!</definedName>
    <definedName name="TOTALITEM4.6" localSheetId="89">[46]A.P.U!#REF!</definedName>
    <definedName name="TOTALITEM4.6" localSheetId="90">[46]A.P.U!#REF!</definedName>
    <definedName name="TOTALITEM4.6" localSheetId="91">[46]A.P.U!#REF!</definedName>
    <definedName name="TOTALITEM4.6" localSheetId="102">[46]A.P.U!#REF!</definedName>
    <definedName name="TOTALITEM4.6" localSheetId="107">[46]A.P.U!#REF!</definedName>
    <definedName name="TOTALITEM4.6" localSheetId="108">[46]A.P.U!#REF!</definedName>
    <definedName name="TOTALITEM4.6" localSheetId="109">[46]A.P.U!#REF!</definedName>
    <definedName name="TOTALITEM4.6" localSheetId="110">[46]A.P.U!#REF!</definedName>
    <definedName name="TOTALITEM4.6" localSheetId="111">[46]A.P.U!#REF!</definedName>
    <definedName name="TOTALITEM4.6" localSheetId="4">[46]A.P.U!#REF!</definedName>
    <definedName name="TOTALITEM4.6" localSheetId="113">[46]A.P.U!#REF!</definedName>
    <definedName name="TOTALITEM4.6">[46]A.P.U!#REF!</definedName>
    <definedName name="TOTALITEM5.1" localSheetId="16">[46]A.P.U!#REF!</definedName>
    <definedName name="TOTALITEM5.1" localSheetId="38">[46]A.P.U!#REF!</definedName>
    <definedName name="TOTALITEM5.1" localSheetId="88">[46]A.P.U!#REF!</definedName>
    <definedName name="TOTALITEM5.1" localSheetId="89">[46]A.P.U!#REF!</definedName>
    <definedName name="TOTALITEM5.1" localSheetId="90">[46]A.P.U!#REF!</definedName>
    <definedName name="TOTALITEM5.1" localSheetId="91">[46]A.P.U!#REF!</definedName>
    <definedName name="TOTALITEM5.1" localSheetId="102">[46]A.P.U!#REF!</definedName>
    <definedName name="TOTALITEM5.1" localSheetId="107">[46]A.P.U!#REF!</definedName>
    <definedName name="TOTALITEM5.1" localSheetId="108">[46]A.P.U!#REF!</definedName>
    <definedName name="TOTALITEM5.1" localSheetId="109">[46]A.P.U!#REF!</definedName>
    <definedName name="TOTALITEM5.1" localSheetId="110">[46]A.P.U!#REF!</definedName>
    <definedName name="TOTALITEM5.1" localSheetId="111">[46]A.P.U!#REF!</definedName>
    <definedName name="TOTALITEM5.1" localSheetId="4">[46]A.P.U!#REF!</definedName>
    <definedName name="TOTALITEM5.1" localSheetId="113">[46]A.P.U!#REF!</definedName>
    <definedName name="TOTALITEM5.1">[46]A.P.U!#REF!</definedName>
    <definedName name="TOTALITEM5.2" localSheetId="16">[46]A.P.U!#REF!</definedName>
    <definedName name="TOTALITEM5.2" localSheetId="38">[46]A.P.U!#REF!</definedName>
    <definedName name="TOTALITEM5.2" localSheetId="88">[46]A.P.U!#REF!</definedName>
    <definedName name="TOTALITEM5.2" localSheetId="89">[46]A.P.U!#REF!</definedName>
    <definedName name="TOTALITEM5.2" localSheetId="90">[46]A.P.U!#REF!</definedName>
    <definedName name="TOTALITEM5.2" localSheetId="91">[46]A.P.U!#REF!</definedName>
    <definedName name="TOTALITEM5.2" localSheetId="102">[46]A.P.U!#REF!</definedName>
    <definedName name="TOTALITEM5.2" localSheetId="107">[46]A.P.U!#REF!</definedName>
    <definedName name="TOTALITEM5.2" localSheetId="108">[46]A.P.U!#REF!</definedName>
    <definedName name="TOTALITEM5.2" localSheetId="109">[46]A.P.U!#REF!</definedName>
    <definedName name="TOTALITEM5.2" localSheetId="110">[46]A.P.U!#REF!</definedName>
    <definedName name="TOTALITEM5.2" localSheetId="111">[46]A.P.U!#REF!</definedName>
    <definedName name="TOTALITEM5.2" localSheetId="4">[46]A.P.U!#REF!</definedName>
    <definedName name="TOTALITEM5.2" localSheetId="113">[46]A.P.U!#REF!</definedName>
    <definedName name="TOTALITEM5.2">[46]A.P.U!#REF!</definedName>
    <definedName name="TOTALITEM5.3" localSheetId="16">[46]A.P.U!#REF!</definedName>
    <definedName name="TOTALITEM5.3" localSheetId="38">[46]A.P.U!#REF!</definedName>
    <definedName name="TOTALITEM5.3" localSheetId="88">[46]A.P.U!#REF!</definedName>
    <definedName name="TOTALITEM5.3" localSheetId="89">[46]A.P.U!#REF!</definedName>
    <definedName name="TOTALITEM5.3" localSheetId="90">[46]A.P.U!#REF!</definedName>
    <definedName name="TOTALITEM5.3" localSheetId="91">[46]A.P.U!#REF!</definedName>
    <definedName name="TOTALITEM5.3" localSheetId="102">[46]A.P.U!#REF!</definedName>
    <definedName name="TOTALITEM5.3" localSheetId="107">[46]A.P.U!#REF!</definedName>
    <definedName name="TOTALITEM5.3" localSheetId="108">[46]A.P.U!#REF!</definedName>
    <definedName name="TOTALITEM5.3" localSheetId="109">[46]A.P.U!#REF!</definedName>
    <definedName name="TOTALITEM5.3" localSheetId="110">[46]A.P.U!#REF!</definedName>
    <definedName name="TOTALITEM5.3" localSheetId="111">[46]A.P.U!#REF!</definedName>
    <definedName name="TOTALITEM5.3" localSheetId="4">[46]A.P.U!#REF!</definedName>
    <definedName name="TOTALITEM5.3" localSheetId="113">[46]A.P.U!#REF!</definedName>
    <definedName name="TOTALITEM5.3">[46]A.P.U!#REF!</definedName>
    <definedName name="TOTALITEM5.4" localSheetId="16">[46]A.P.U!#REF!</definedName>
    <definedName name="TOTALITEM5.4" localSheetId="38">[46]A.P.U!#REF!</definedName>
    <definedName name="TOTALITEM5.4" localSheetId="88">[46]A.P.U!#REF!</definedName>
    <definedName name="TOTALITEM5.4" localSheetId="89">[46]A.P.U!#REF!</definedName>
    <definedName name="TOTALITEM5.4" localSheetId="90">[46]A.P.U!#REF!</definedName>
    <definedName name="TOTALITEM5.4" localSheetId="91">[46]A.P.U!#REF!</definedName>
    <definedName name="TOTALITEM5.4" localSheetId="102">[46]A.P.U!#REF!</definedName>
    <definedName name="TOTALITEM5.4" localSheetId="107">[46]A.P.U!#REF!</definedName>
    <definedName name="TOTALITEM5.4" localSheetId="108">[46]A.P.U!#REF!</definedName>
    <definedName name="TOTALITEM5.4" localSheetId="109">[46]A.P.U!#REF!</definedName>
    <definedName name="TOTALITEM5.4" localSheetId="110">[46]A.P.U!#REF!</definedName>
    <definedName name="TOTALITEM5.4" localSheetId="111">[46]A.P.U!#REF!</definedName>
    <definedName name="TOTALITEM5.4" localSheetId="4">[46]A.P.U!#REF!</definedName>
    <definedName name="TOTALITEM5.4" localSheetId="113">[46]A.P.U!#REF!</definedName>
    <definedName name="TOTALITEM5.4">[46]A.P.U!#REF!</definedName>
    <definedName name="TOTALITEM6.1" localSheetId="16">[46]A.P.U!#REF!</definedName>
    <definedName name="TOTALITEM6.1" localSheetId="38">[46]A.P.U!#REF!</definedName>
    <definedName name="TOTALITEM6.1" localSheetId="88">[46]A.P.U!#REF!</definedName>
    <definedName name="TOTALITEM6.1" localSheetId="89">[46]A.P.U!#REF!</definedName>
    <definedName name="TOTALITEM6.1" localSheetId="90">[46]A.P.U!#REF!</definedName>
    <definedName name="TOTALITEM6.1" localSheetId="91">[46]A.P.U!#REF!</definedName>
    <definedName name="TOTALITEM6.1" localSheetId="102">[46]A.P.U!#REF!</definedName>
    <definedName name="TOTALITEM6.1" localSheetId="107">[46]A.P.U!#REF!</definedName>
    <definedName name="TOTALITEM6.1" localSheetId="108">[46]A.P.U!#REF!</definedName>
    <definedName name="TOTALITEM6.1" localSheetId="109">[46]A.P.U!#REF!</definedName>
    <definedName name="TOTALITEM6.1" localSheetId="110">[46]A.P.U!#REF!</definedName>
    <definedName name="TOTALITEM6.1" localSheetId="111">[46]A.P.U!#REF!</definedName>
    <definedName name="TOTALITEM6.1" localSheetId="4">[46]A.P.U!#REF!</definedName>
    <definedName name="TOTALITEM6.1" localSheetId="113">[46]A.P.U!#REF!</definedName>
    <definedName name="TOTALITEM6.1">[46]A.P.U!#REF!</definedName>
    <definedName name="TOTALITEM6.2" localSheetId="16">[46]A.P.U!#REF!</definedName>
    <definedName name="TOTALITEM6.2" localSheetId="38">[46]A.P.U!#REF!</definedName>
    <definedName name="TOTALITEM6.2" localSheetId="88">[46]A.P.U!#REF!</definedName>
    <definedName name="TOTALITEM6.2" localSheetId="89">[46]A.P.U!#REF!</definedName>
    <definedName name="TOTALITEM6.2" localSheetId="90">[46]A.P.U!#REF!</definedName>
    <definedName name="TOTALITEM6.2" localSheetId="91">[46]A.P.U!#REF!</definedName>
    <definedName name="TOTALITEM6.2" localSheetId="102">[46]A.P.U!#REF!</definedName>
    <definedName name="TOTALITEM6.2" localSheetId="107">[46]A.P.U!#REF!</definedName>
    <definedName name="TOTALITEM6.2" localSheetId="108">[46]A.P.U!#REF!</definedName>
    <definedName name="TOTALITEM6.2" localSheetId="109">[46]A.P.U!#REF!</definedName>
    <definedName name="TOTALITEM6.2" localSheetId="110">[46]A.P.U!#REF!</definedName>
    <definedName name="TOTALITEM6.2" localSheetId="111">[46]A.P.U!#REF!</definedName>
    <definedName name="TOTALITEM6.2" localSheetId="4">[46]A.P.U!#REF!</definedName>
    <definedName name="TOTALITEM6.2" localSheetId="113">[46]A.P.U!#REF!</definedName>
    <definedName name="TOTALITEM6.2">[46]A.P.U!#REF!</definedName>
    <definedName name="TOTALITEM6.3" localSheetId="16">[46]A.P.U!#REF!</definedName>
    <definedName name="TOTALITEM6.3" localSheetId="38">[46]A.P.U!#REF!</definedName>
    <definedName name="TOTALITEM6.3" localSheetId="88">[46]A.P.U!#REF!</definedName>
    <definedName name="TOTALITEM6.3" localSheetId="89">[46]A.P.U!#REF!</definedName>
    <definedName name="TOTALITEM6.3" localSheetId="90">[46]A.P.U!#REF!</definedName>
    <definedName name="TOTALITEM6.3" localSheetId="91">[46]A.P.U!#REF!</definedName>
    <definedName name="TOTALITEM6.3" localSheetId="102">[46]A.P.U!#REF!</definedName>
    <definedName name="TOTALITEM6.3" localSheetId="107">[46]A.P.U!#REF!</definedName>
    <definedName name="TOTALITEM6.3" localSheetId="108">[46]A.P.U!#REF!</definedName>
    <definedName name="TOTALITEM6.3" localSheetId="109">[46]A.P.U!#REF!</definedName>
    <definedName name="TOTALITEM6.3" localSheetId="110">[46]A.P.U!#REF!</definedName>
    <definedName name="TOTALITEM6.3" localSheetId="111">[46]A.P.U!#REF!</definedName>
    <definedName name="TOTALITEM6.3" localSheetId="4">[46]A.P.U!#REF!</definedName>
    <definedName name="TOTALITEM6.3" localSheetId="113">[46]A.P.U!#REF!</definedName>
    <definedName name="TOTALITEM6.3">[46]A.P.U!#REF!</definedName>
    <definedName name="TOTALITEM7.1" localSheetId="16">[46]A.P.U!#REF!</definedName>
    <definedName name="TOTALITEM7.1" localSheetId="38">[46]A.P.U!#REF!</definedName>
    <definedName name="TOTALITEM7.1" localSheetId="88">[46]A.P.U!#REF!</definedName>
    <definedName name="TOTALITEM7.1" localSheetId="89">[46]A.P.U!#REF!</definedName>
    <definedName name="TOTALITEM7.1" localSheetId="90">[46]A.P.U!#REF!</definedName>
    <definedName name="TOTALITEM7.1" localSheetId="91">[46]A.P.U!#REF!</definedName>
    <definedName name="TOTALITEM7.1" localSheetId="102">[46]A.P.U!#REF!</definedName>
    <definedName name="TOTALITEM7.1" localSheetId="107">[46]A.P.U!#REF!</definedName>
    <definedName name="TOTALITEM7.1" localSheetId="108">[46]A.P.U!#REF!</definedName>
    <definedName name="TOTALITEM7.1" localSheetId="109">[46]A.P.U!#REF!</definedName>
    <definedName name="TOTALITEM7.1" localSheetId="110">[46]A.P.U!#REF!</definedName>
    <definedName name="TOTALITEM7.1" localSheetId="111">[46]A.P.U!#REF!</definedName>
    <definedName name="TOTALITEM7.1" localSheetId="4">[46]A.P.U!#REF!</definedName>
    <definedName name="TOTALITEM7.1" localSheetId="113">[46]A.P.U!#REF!</definedName>
    <definedName name="TOTALITEM7.1">[46]A.P.U!#REF!</definedName>
    <definedName name="TOTALITEM7.2" localSheetId="16">[46]A.P.U!#REF!</definedName>
    <definedName name="TOTALITEM7.2" localSheetId="38">[46]A.P.U!#REF!</definedName>
    <definedName name="TOTALITEM7.2" localSheetId="88">[46]A.P.U!#REF!</definedName>
    <definedName name="TOTALITEM7.2" localSheetId="89">[46]A.P.U!#REF!</definedName>
    <definedName name="TOTALITEM7.2" localSheetId="90">[46]A.P.U!#REF!</definedName>
    <definedName name="TOTALITEM7.2" localSheetId="91">[46]A.P.U!#REF!</definedName>
    <definedName name="TOTALITEM7.2" localSheetId="102">[46]A.P.U!#REF!</definedName>
    <definedName name="TOTALITEM7.2" localSheetId="107">[46]A.P.U!#REF!</definedName>
    <definedName name="TOTALITEM7.2" localSheetId="108">[46]A.P.U!#REF!</definedName>
    <definedName name="TOTALITEM7.2" localSheetId="109">[46]A.P.U!#REF!</definedName>
    <definedName name="TOTALITEM7.2" localSheetId="110">[46]A.P.U!#REF!</definedName>
    <definedName name="TOTALITEM7.2" localSheetId="111">[46]A.P.U!#REF!</definedName>
    <definedName name="TOTALITEM7.2" localSheetId="4">[46]A.P.U!#REF!</definedName>
    <definedName name="TOTALITEM7.2" localSheetId="113">[46]A.P.U!#REF!</definedName>
    <definedName name="TOTALITEM7.2">[46]A.P.U!#REF!</definedName>
    <definedName name="TOTALITEM7.3" localSheetId="16">[46]A.P.U!#REF!</definedName>
    <definedName name="TOTALITEM7.3" localSheetId="38">[46]A.P.U!#REF!</definedName>
    <definedName name="TOTALITEM7.3" localSheetId="88">[46]A.P.U!#REF!</definedName>
    <definedName name="TOTALITEM7.3" localSheetId="89">[46]A.P.U!#REF!</definedName>
    <definedName name="TOTALITEM7.3" localSheetId="90">[46]A.P.U!#REF!</definedName>
    <definedName name="TOTALITEM7.3" localSheetId="91">[46]A.P.U!#REF!</definedName>
    <definedName name="TOTALITEM7.3" localSheetId="102">[46]A.P.U!#REF!</definedName>
    <definedName name="TOTALITEM7.3" localSheetId="107">[46]A.P.U!#REF!</definedName>
    <definedName name="TOTALITEM7.3" localSheetId="108">[46]A.P.U!#REF!</definedName>
    <definedName name="TOTALITEM7.3" localSheetId="109">[46]A.P.U!#REF!</definedName>
    <definedName name="TOTALITEM7.3" localSheetId="110">[46]A.P.U!#REF!</definedName>
    <definedName name="TOTALITEM7.3" localSheetId="111">[46]A.P.U!#REF!</definedName>
    <definedName name="TOTALITEM7.3" localSheetId="4">[46]A.P.U!#REF!</definedName>
    <definedName name="TOTALITEM7.3" localSheetId="113">[46]A.P.U!#REF!</definedName>
    <definedName name="TOTALITEM7.3">[46]A.P.U!#REF!</definedName>
    <definedName name="TOTALITEM7.4" localSheetId="16">[46]A.P.U!#REF!</definedName>
    <definedName name="TOTALITEM7.4" localSheetId="38">[46]A.P.U!#REF!</definedName>
    <definedName name="TOTALITEM7.4" localSheetId="88">[46]A.P.U!#REF!</definedName>
    <definedName name="TOTALITEM7.4" localSheetId="89">[46]A.P.U!#REF!</definedName>
    <definedName name="TOTALITEM7.4" localSheetId="90">[46]A.P.U!#REF!</definedName>
    <definedName name="TOTALITEM7.4" localSheetId="91">[46]A.P.U!#REF!</definedName>
    <definedName name="TOTALITEM7.4" localSheetId="102">[46]A.P.U!#REF!</definedName>
    <definedName name="TOTALITEM7.4" localSheetId="107">[46]A.P.U!#REF!</definedName>
    <definedName name="TOTALITEM7.4" localSheetId="108">[46]A.P.U!#REF!</definedName>
    <definedName name="TOTALITEM7.4" localSheetId="109">[46]A.P.U!#REF!</definedName>
    <definedName name="TOTALITEM7.4" localSheetId="110">[46]A.P.U!#REF!</definedName>
    <definedName name="TOTALITEM7.4" localSheetId="111">[46]A.P.U!#REF!</definedName>
    <definedName name="TOTALITEM7.4" localSheetId="4">[46]A.P.U!#REF!</definedName>
    <definedName name="TOTALITEM7.4" localSheetId="113">[46]A.P.U!#REF!</definedName>
    <definedName name="TOTALITEM7.4">[46]A.P.U!#REF!</definedName>
    <definedName name="TOTALITEM7.5" localSheetId="16">[46]A.P.U!#REF!</definedName>
    <definedName name="TOTALITEM7.5" localSheetId="38">[46]A.P.U!#REF!</definedName>
    <definedName name="TOTALITEM7.5" localSheetId="88">[46]A.P.U!#REF!</definedName>
    <definedName name="TOTALITEM7.5" localSheetId="89">[46]A.P.U!#REF!</definedName>
    <definedName name="TOTALITEM7.5" localSheetId="90">[46]A.P.U!#REF!</definedName>
    <definedName name="TOTALITEM7.5" localSheetId="91">[46]A.P.U!#REF!</definedName>
    <definedName name="TOTALITEM7.5" localSheetId="102">[46]A.P.U!#REF!</definedName>
    <definedName name="TOTALITEM7.5" localSheetId="107">[46]A.P.U!#REF!</definedName>
    <definedName name="TOTALITEM7.5" localSheetId="108">[46]A.P.U!#REF!</definedName>
    <definedName name="TOTALITEM7.5" localSheetId="109">[46]A.P.U!#REF!</definedName>
    <definedName name="TOTALITEM7.5" localSheetId="110">[46]A.P.U!#REF!</definedName>
    <definedName name="TOTALITEM7.5" localSheetId="111">[46]A.P.U!#REF!</definedName>
    <definedName name="TOTALITEM7.5" localSheetId="4">[46]A.P.U!#REF!</definedName>
    <definedName name="TOTALITEM7.5" localSheetId="113">[46]A.P.U!#REF!</definedName>
    <definedName name="TOTALITEM7.5">[46]A.P.U!#REF!</definedName>
    <definedName name="TOTALITEM8.1" localSheetId="16">[46]A.P.U!#REF!</definedName>
    <definedName name="TOTALITEM8.1" localSheetId="38">[46]A.P.U!#REF!</definedName>
    <definedName name="TOTALITEM8.1" localSheetId="88">[46]A.P.U!#REF!</definedName>
    <definedName name="TOTALITEM8.1" localSheetId="89">[46]A.P.U!#REF!</definedName>
    <definedName name="TOTALITEM8.1" localSheetId="90">[46]A.P.U!#REF!</definedName>
    <definedName name="TOTALITEM8.1" localSheetId="91">[46]A.P.U!#REF!</definedName>
    <definedName name="TOTALITEM8.1" localSheetId="102">[46]A.P.U!#REF!</definedName>
    <definedName name="TOTALITEM8.1" localSheetId="107">[46]A.P.U!#REF!</definedName>
    <definedName name="TOTALITEM8.1" localSheetId="108">[46]A.P.U!#REF!</definedName>
    <definedName name="TOTALITEM8.1" localSheetId="109">[46]A.P.U!#REF!</definedName>
    <definedName name="TOTALITEM8.1" localSheetId="110">[46]A.P.U!#REF!</definedName>
    <definedName name="TOTALITEM8.1" localSheetId="111">[46]A.P.U!#REF!</definedName>
    <definedName name="TOTALITEM8.1" localSheetId="4">[46]A.P.U!#REF!</definedName>
    <definedName name="TOTALITEM8.1" localSheetId="113">[46]A.P.U!#REF!</definedName>
    <definedName name="TOTALITEM8.1">[46]A.P.U!#REF!</definedName>
    <definedName name="TOTALITEM8.2" localSheetId="16">[46]A.P.U!#REF!</definedName>
    <definedName name="TOTALITEM8.2" localSheetId="38">[46]A.P.U!#REF!</definedName>
    <definedName name="TOTALITEM8.2" localSheetId="88">[46]A.P.U!#REF!</definedName>
    <definedName name="TOTALITEM8.2" localSheetId="89">[46]A.P.U!#REF!</definedName>
    <definedName name="TOTALITEM8.2" localSheetId="90">[46]A.P.U!#REF!</definedName>
    <definedName name="TOTALITEM8.2" localSheetId="91">[46]A.P.U!#REF!</definedName>
    <definedName name="TOTALITEM8.2" localSheetId="102">[46]A.P.U!#REF!</definedName>
    <definedName name="TOTALITEM8.2" localSheetId="107">[46]A.P.U!#REF!</definedName>
    <definedName name="TOTALITEM8.2" localSheetId="108">[46]A.P.U!#REF!</definedName>
    <definedName name="TOTALITEM8.2" localSheetId="109">[46]A.P.U!#REF!</definedName>
    <definedName name="TOTALITEM8.2" localSheetId="110">[46]A.P.U!#REF!</definedName>
    <definedName name="TOTALITEM8.2" localSheetId="111">[46]A.P.U!#REF!</definedName>
    <definedName name="TOTALITEM8.2" localSheetId="4">[46]A.P.U!#REF!</definedName>
    <definedName name="TOTALITEM8.2" localSheetId="113">[46]A.P.U!#REF!</definedName>
    <definedName name="TOTALITEM8.2">[46]A.P.U!#REF!</definedName>
    <definedName name="TOTALITEM8.3" localSheetId="16">[46]A.P.U!#REF!</definedName>
    <definedName name="TOTALITEM8.3" localSheetId="38">[46]A.P.U!#REF!</definedName>
    <definedName name="TOTALITEM8.3" localSheetId="88">[46]A.P.U!#REF!</definedName>
    <definedName name="TOTALITEM8.3" localSheetId="89">[46]A.P.U!#REF!</definedName>
    <definedName name="TOTALITEM8.3" localSheetId="90">[46]A.P.U!#REF!</definedName>
    <definedName name="TOTALITEM8.3" localSheetId="91">[46]A.P.U!#REF!</definedName>
    <definedName name="TOTALITEM8.3" localSheetId="102">[46]A.P.U!#REF!</definedName>
    <definedName name="TOTALITEM8.3" localSheetId="107">[46]A.P.U!#REF!</definedName>
    <definedName name="TOTALITEM8.3" localSheetId="108">[46]A.P.U!#REF!</definedName>
    <definedName name="TOTALITEM8.3" localSheetId="109">[46]A.P.U!#REF!</definedName>
    <definedName name="TOTALITEM8.3" localSheetId="110">[46]A.P.U!#REF!</definedName>
    <definedName name="TOTALITEM8.3" localSheetId="111">[46]A.P.U!#REF!</definedName>
    <definedName name="TOTALITEM8.3" localSheetId="4">[46]A.P.U!#REF!</definedName>
    <definedName name="TOTALITEM8.3" localSheetId="113">[46]A.P.U!#REF!</definedName>
    <definedName name="TOTALITEM8.3">[46]A.P.U!#REF!</definedName>
    <definedName name="TOTALITEM8.4" localSheetId="16">[46]A.P.U!#REF!</definedName>
    <definedName name="TOTALITEM8.4" localSheetId="38">[46]A.P.U!#REF!</definedName>
    <definedName name="TOTALITEM8.4" localSheetId="88">[46]A.P.U!#REF!</definedName>
    <definedName name="TOTALITEM8.4" localSheetId="89">[46]A.P.U!#REF!</definedName>
    <definedName name="TOTALITEM8.4" localSheetId="90">[46]A.P.U!#REF!</definedName>
    <definedName name="TOTALITEM8.4" localSheetId="91">[46]A.P.U!#REF!</definedName>
    <definedName name="TOTALITEM8.4" localSheetId="102">[46]A.P.U!#REF!</definedName>
    <definedName name="TOTALITEM8.4" localSheetId="107">[46]A.P.U!#REF!</definedName>
    <definedName name="TOTALITEM8.4" localSheetId="108">[46]A.P.U!#REF!</definedName>
    <definedName name="TOTALITEM8.4" localSheetId="109">[46]A.P.U!#REF!</definedName>
    <definedName name="TOTALITEM8.4" localSheetId="110">[46]A.P.U!#REF!</definedName>
    <definedName name="TOTALITEM8.4" localSheetId="111">[46]A.P.U!#REF!</definedName>
    <definedName name="TOTALITEM8.4" localSheetId="4">[46]A.P.U!#REF!</definedName>
    <definedName name="TOTALITEM8.4" localSheetId="113">[46]A.P.U!#REF!</definedName>
    <definedName name="TOTALITEM8.4">[46]A.P.U!#REF!</definedName>
    <definedName name="TOTALITEM8.5" localSheetId="16">[46]A.P.U!#REF!</definedName>
    <definedName name="TOTALITEM8.5" localSheetId="38">[46]A.P.U!#REF!</definedName>
    <definedName name="TOTALITEM8.5" localSheetId="88">[46]A.P.U!#REF!</definedName>
    <definedName name="TOTALITEM8.5" localSheetId="89">[46]A.P.U!#REF!</definedName>
    <definedName name="TOTALITEM8.5" localSheetId="90">[46]A.P.U!#REF!</definedName>
    <definedName name="TOTALITEM8.5" localSheetId="91">[46]A.P.U!#REF!</definedName>
    <definedName name="TOTALITEM8.5" localSheetId="102">[46]A.P.U!#REF!</definedName>
    <definedName name="TOTALITEM8.5" localSheetId="107">[46]A.P.U!#REF!</definedName>
    <definedName name="TOTALITEM8.5" localSheetId="108">[46]A.P.U!#REF!</definedName>
    <definedName name="TOTALITEM8.5" localSheetId="109">[46]A.P.U!#REF!</definedName>
    <definedName name="TOTALITEM8.5" localSheetId="110">[46]A.P.U!#REF!</definedName>
    <definedName name="TOTALITEM8.5" localSheetId="111">[46]A.P.U!#REF!</definedName>
    <definedName name="TOTALITEM8.5" localSheetId="4">[46]A.P.U!#REF!</definedName>
    <definedName name="TOTALITEM8.5" localSheetId="113">[46]A.P.U!#REF!</definedName>
    <definedName name="TOTALITEM8.5">[46]A.P.U!#REF!</definedName>
    <definedName name="TOTALITEM8.6" localSheetId="16">[46]A.P.U!#REF!</definedName>
    <definedName name="TOTALITEM8.6" localSheetId="38">[46]A.P.U!#REF!</definedName>
    <definedName name="TOTALITEM8.6" localSheetId="88">[46]A.P.U!#REF!</definedName>
    <definedName name="TOTALITEM8.6" localSheetId="89">[46]A.P.U!#REF!</definedName>
    <definedName name="TOTALITEM8.6" localSheetId="90">[46]A.P.U!#REF!</definedName>
    <definedName name="TOTALITEM8.6" localSheetId="91">[46]A.P.U!#REF!</definedName>
    <definedName name="TOTALITEM8.6" localSheetId="102">[46]A.P.U!#REF!</definedName>
    <definedName name="TOTALITEM8.6" localSheetId="107">[46]A.P.U!#REF!</definedName>
    <definedName name="TOTALITEM8.6" localSheetId="108">[46]A.P.U!#REF!</definedName>
    <definedName name="TOTALITEM8.6" localSheetId="109">[46]A.P.U!#REF!</definedName>
    <definedName name="TOTALITEM8.6" localSheetId="110">[46]A.P.U!#REF!</definedName>
    <definedName name="TOTALITEM8.6" localSheetId="111">[46]A.P.U!#REF!</definedName>
    <definedName name="TOTALITEM8.6" localSheetId="4">[46]A.P.U!#REF!</definedName>
    <definedName name="TOTALITEM8.6" localSheetId="113">[46]A.P.U!#REF!</definedName>
    <definedName name="TOTALITEM8.6">[46]A.P.U!#REF!</definedName>
    <definedName name="TOTALITEM8.7" localSheetId="16">[46]A.P.U!#REF!</definedName>
    <definedName name="TOTALITEM8.7" localSheetId="38">[46]A.P.U!#REF!</definedName>
    <definedName name="TOTALITEM8.7" localSheetId="88">[46]A.P.U!#REF!</definedName>
    <definedName name="TOTALITEM8.7" localSheetId="89">[46]A.P.U!#REF!</definedName>
    <definedName name="TOTALITEM8.7" localSheetId="90">[46]A.P.U!#REF!</definedName>
    <definedName name="TOTALITEM8.7" localSheetId="91">[46]A.P.U!#REF!</definedName>
    <definedName name="TOTALITEM8.7" localSheetId="102">[46]A.P.U!#REF!</definedName>
    <definedName name="TOTALITEM8.7" localSheetId="107">[46]A.P.U!#REF!</definedName>
    <definedName name="TOTALITEM8.7" localSheetId="108">[46]A.P.U!#REF!</definedName>
    <definedName name="TOTALITEM8.7" localSheetId="109">[46]A.P.U!#REF!</definedName>
    <definedName name="TOTALITEM8.7" localSheetId="110">[46]A.P.U!#REF!</definedName>
    <definedName name="TOTALITEM8.7" localSheetId="111">[46]A.P.U!#REF!</definedName>
    <definedName name="TOTALITEM8.7" localSheetId="4">[46]A.P.U!#REF!</definedName>
    <definedName name="TOTALITEM8.7" localSheetId="113">[46]A.P.U!#REF!</definedName>
    <definedName name="TOTALITEM8.7">[46]A.P.U!#REF!</definedName>
    <definedName name="TOTALITEM8.8" localSheetId="16">[46]A.P.U!#REF!</definedName>
    <definedName name="TOTALITEM8.8" localSheetId="38">[46]A.P.U!#REF!</definedName>
    <definedName name="TOTALITEM8.8" localSheetId="88">[46]A.P.U!#REF!</definedName>
    <definedName name="TOTALITEM8.8" localSheetId="89">[46]A.P.U!#REF!</definedName>
    <definedName name="TOTALITEM8.8" localSheetId="90">[46]A.P.U!#REF!</definedName>
    <definedName name="TOTALITEM8.8" localSheetId="91">[46]A.P.U!#REF!</definedName>
    <definedName name="TOTALITEM8.8" localSheetId="102">[46]A.P.U!#REF!</definedName>
    <definedName name="TOTALITEM8.8" localSheetId="107">[46]A.P.U!#REF!</definedName>
    <definedName name="TOTALITEM8.8" localSheetId="108">[46]A.P.U!#REF!</definedName>
    <definedName name="TOTALITEM8.8" localSheetId="109">[46]A.P.U!#REF!</definedName>
    <definedName name="TOTALITEM8.8" localSheetId="110">[46]A.P.U!#REF!</definedName>
    <definedName name="TOTALITEM8.8" localSheetId="111">[46]A.P.U!#REF!</definedName>
    <definedName name="TOTALITEM8.8" localSheetId="4">[46]A.P.U!#REF!</definedName>
    <definedName name="TOTALITEM8.8" localSheetId="113">[46]A.P.U!#REF!</definedName>
    <definedName name="TOTALITEM8.8">[46]A.P.U!#REF!</definedName>
    <definedName name="TOTALITEM9.1" localSheetId="16">[46]A.P.U!#REF!</definedName>
    <definedName name="TOTALITEM9.1" localSheetId="38">[46]A.P.U!#REF!</definedName>
    <definedName name="TOTALITEM9.1" localSheetId="88">[46]A.P.U!#REF!</definedName>
    <definedName name="TOTALITEM9.1" localSheetId="89">[46]A.P.U!#REF!</definedName>
    <definedName name="TOTALITEM9.1" localSheetId="90">[46]A.P.U!#REF!</definedName>
    <definedName name="TOTALITEM9.1" localSheetId="91">[46]A.P.U!#REF!</definedName>
    <definedName name="TOTALITEM9.1" localSheetId="102">[46]A.P.U!#REF!</definedName>
    <definedName name="TOTALITEM9.1" localSheetId="107">[46]A.P.U!#REF!</definedName>
    <definedName name="TOTALITEM9.1" localSheetId="108">[46]A.P.U!#REF!</definedName>
    <definedName name="TOTALITEM9.1" localSheetId="109">[46]A.P.U!#REF!</definedName>
    <definedName name="TOTALITEM9.1" localSheetId="110">[46]A.P.U!#REF!</definedName>
    <definedName name="TOTALITEM9.1" localSheetId="111">[46]A.P.U!#REF!</definedName>
    <definedName name="TOTALITEM9.1" localSheetId="4">[46]A.P.U!#REF!</definedName>
    <definedName name="TOTALITEM9.1" localSheetId="113">[46]A.P.U!#REF!</definedName>
    <definedName name="TOTALITEM9.1">[46]A.P.U!#REF!</definedName>
    <definedName name="TOTALITEM9.2" localSheetId="16">[46]A.P.U!#REF!</definedName>
    <definedName name="TOTALITEM9.2" localSheetId="38">[46]A.P.U!#REF!</definedName>
    <definedName name="TOTALITEM9.2" localSheetId="88">[46]A.P.U!#REF!</definedName>
    <definedName name="TOTALITEM9.2" localSheetId="89">[46]A.P.U!#REF!</definedName>
    <definedName name="TOTALITEM9.2" localSheetId="90">[46]A.P.U!#REF!</definedName>
    <definedName name="TOTALITEM9.2" localSheetId="91">[46]A.P.U!#REF!</definedName>
    <definedName name="TOTALITEM9.2" localSheetId="102">[46]A.P.U!#REF!</definedName>
    <definedName name="TOTALITEM9.2" localSheetId="107">[46]A.P.U!#REF!</definedName>
    <definedName name="TOTALITEM9.2" localSheetId="108">[46]A.P.U!#REF!</definedName>
    <definedName name="TOTALITEM9.2" localSheetId="109">[46]A.P.U!#REF!</definedName>
    <definedName name="TOTALITEM9.2" localSheetId="110">[46]A.P.U!#REF!</definedName>
    <definedName name="TOTALITEM9.2" localSheetId="111">[46]A.P.U!#REF!</definedName>
    <definedName name="TOTALITEM9.2" localSheetId="4">[46]A.P.U!#REF!</definedName>
    <definedName name="TOTALITEM9.2" localSheetId="113">[46]A.P.U!#REF!</definedName>
    <definedName name="TOTALITEM9.2">[46]A.P.U!#REF!</definedName>
    <definedName name="TOTALITEM9.3" localSheetId="16">[46]A.P.U!#REF!</definedName>
    <definedName name="TOTALITEM9.3" localSheetId="38">[46]A.P.U!#REF!</definedName>
    <definedName name="TOTALITEM9.3" localSheetId="88">[46]A.P.U!#REF!</definedName>
    <definedName name="TOTALITEM9.3" localSheetId="89">[46]A.P.U!#REF!</definedName>
    <definedName name="TOTALITEM9.3" localSheetId="90">[46]A.P.U!#REF!</definedName>
    <definedName name="TOTALITEM9.3" localSheetId="91">[46]A.P.U!#REF!</definedName>
    <definedName name="TOTALITEM9.3" localSheetId="102">[46]A.P.U!#REF!</definedName>
    <definedName name="TOTALITEM9.3" localSheetId="107">[46]A.P.U!#REF!</definedName>
    <definedName name="TOTALITEM9.3" localSheetId="108">[46]A.P.U!#REF!</definedName>
    <definedName name="TOTALITEM9.3" localSheetId="109">[46]A.P.U!#REF!</definedName>
    <definedName name="TOTALITEM9.3" localSheetId="110">[46]A.P.U!#REF!</definedName>
    <definedName name="TOTALITEM9.3" localSheetId="111">[46]A.P.U!#REF!</definedName>
    <definedName name="TOTALITEM9.3" localSheetId="4">[46]A.P.U!#REF!</definedName>
    <definedName name="TOTALITEM9.3" localSheetId="113">[46]A.P.U!#REF!</definedName>
    <definedName name="TOTALITEM9.3">[46]A.P.U!#REF!</definedName>
    <definedName name="TOTALITEM9.4" localSheetId="16">[46]A.P.U!#REF!</definedName>
    <definedName name="TOTALITEM9.4" localSheetId="38">[46]A.P.U!#REF!</definedName>
    <definedName name="TOTALITEM9.4" localSheetId="88">[46]A.P.U!#REF!</definedName>
    <definedName name="TOTALITEM9.4" localSheetId="89">[46]A.P.U!#REF!</definedName>
    <definedName name="TOTALITEM9.4" localSheetId="90">[46]A.P.U!#REF!</definedName>
    <definedName name="TOTALITEM9.4" localSheetId="91">[46]A.P.U!#REF!</definedName>
    <definedName name="TOTALITEM9.4" localSheetId="102">[46]A.P.U!#REF!</definedName>
    <definedName name="TOTALITEM9.4" localSheetId="107">[46]A.P.U!#REF!</definedName>
    <definedName name="TOTALITEM9.4" localSheetId="108">[46]A.P.U!#REF!</definedName>
    <definedName name="TOTALITEM9.4" localSheetId="109">[46]A.P.U!#REF!</definedName>
    <definedName name="TOTALITEM9.4" localSheetId="110">[46]A.P.U!#REF!</definedName>
    <definedName name="TOTALITEM9.4" localSheetId="111">[46]A.P.U!#REF!</definedName>
    <definedName name="TOTALITEM9.4" localSheetId="4">[46]A.P.U!#REF!</definedName>
    <definedName name="TOTALITEM9.4" localSheetId="113">[46]A.P.U!#REF!</definedName>
    <definedName name="TOTALITEM9.4">[46]A.P.U!#REF!</definedName>
    <definedName name="TOTALITEM9.5" localSheetId="16">[46]A.P.U!#REF!</definedName>
    <definedName name="TOTALITEM9.5" localSheetId="38">[46]A.P.U!#REF!</definedName>
    <definedName name="TOTALITEM9.5" localSheetId="88">[46]A.P.U!#REF!</definedName>
    <definedName name="TOTALITEM9.5" localSheetId="89">[46]A.P.U!#REF!</definedName>
    <definedName name="TOTALITEM9.5" localSheetId="90">[46]A.P.U!#REF!</definedName>
    <definedName name="TOTALITEM9.5" localSheetId="91">[46]A.P.U!#REF!</definedName>
    <definedName name="TOTALITEM9.5" localSheetId="102">[46]A.P.U!#REF!</definedName>
    <definedName name="TOTALITEM9.5" localSheetId="107">[46]A.P.U!#REF!</definedName>
    <definedName name="TOTALITEM9.5" localSheetId="108">[46]A.P.U!#REF!</definedName>
    <definedName name="TOTALITEM9.5" localSheetId="109">[46]A.P.U!#REF!</definedName>
    <definedName name="TOTALITEM9.5" localSheetId="110">[46]A.P.U!#REF!</definedName>
    <definedName name="TOTALITEM9.5" localSheetId="111">[46]A.P.U!#REF!</definedName>
    <definedName name="TOTALITEM9.5" localSheetId="4">[46]A.P.U!#REF!</definedName>
    <definedName name="TOTALITEM9.5" localSheetId="113">[46]A.P.U!#REF!</definedName>
    <definedName name="TOTALITEM9.5">[46]A.P.U!#REF!</definedName>
    <definedName name="TOTALITEM9.6" localSheetId="16">[46]A.P.U!#REF!</definedName>
    <definedName name="TOTALITEM9.6" localSheetId="38">[46]A.P.U!#REF!</definedName>
    <definedName name="TOTALITEM9.6" localSheetId="88">[46]A.P.U!#REF!</definedName>
    <definedName name="TOTALITEM9.6" localSheetId="89">[46]A.P.U!#REF!</definedName>
    <definedName name="TOTALITEM9.6" localSheetId="90">[46]A.P.U!#REF!</definedName>
    <definedName name="TOTALITEM9.6" localSheetId="91">[46]A.P.U!#REF!</definedName>
    <definedName name="TOTALITEM9.6" localSheetId="102">[46]A.P.U!#REF!</definedName>
    <definedName name="TOTALITEM9.6" localSheetId="107">[46]A.P.U!#REF!</definedName>
    <definedName name="TOTALITEM9.6" localSheetId="108">[46]A.P.U!#REF!</definedName>
    <definedName name="TOTALITEM9.6" localSheetId="109">[46]A.P.U!#REF!</definedName>
    <definedName name="TOTALITEM9.6" localSheetId="110">[46]A.P.U!#REF!</definedName>
    <definedName name="TOTALITEM9.6" localSheetId="111">[46]A.P.U!#REF!</definedName>
    <definedName name="TOTALITEM9.6" localSheetId="4">[46]A.P.U!#REF!</definedName>
    <definedName name="TOTALITEM9.6" localSheetId="113">[46]A.P.U!#REF!</definedName>
    <definedName name="TOTALITEM9.6">[46]A.P.U!#REF!</definedName>
    <definedName name="TOTALITEM9.7" localSheetId="16">[46]A.P.U!#REF!</definedName>
    <definedName name="TOTALITEM9.7" localSheetId="38">[46]A.P.U!#REF!</definedName>
    <definedName name="TOTALITEM9.7" localSheetId="88">[46]A.P.U!#REF!</definedName>
    <definedName name="TOTALITEM9.7" localSheetId="89">[46]A.P.U!#REF!</definedName>
    <definedName name="TOTALITEM9.7" localSheetId="90">[46]A.P.U!#REF!</definedName>
    <definedName name="TOTALITEM9.7" localSheetId="91">[46]A.P.U!#REF!</definedName>
    <definedName name="TOTALITEM9.7" localSheetId="102">[46]A.P.U!#REF!</definedName>
    <definedName name="TOTALITEM9.7" localSheetId="107">[46]A.P.U!#REF!</definedName>
    <definedName name="TOTALITEM9.7" localSheetId="108">[46]A.P.U!#REF!</definedName>
    <definedName name="TOTALITEM9.7" localSheetId="109">[46]A.P.U!#REF!</definedName>
    <definedName name="TOTALITEM9.7" localSheetId="110">[46]A.P.U!#REF!</definedName>
    <definedName name="TOTALITEM9.7" localSheetId="111">[46]A.P.U!#REF!</definedName>
    <definedName name="TOTALITEM9.7" localSheetId="4">[46]A.P.U!#REF!</definedName>
    <definedName name="TOTALITEM9.7" localSheetId="113">[46]A.P.U!#REF!</definedName>
    <definedName name="TOTALITEM9.7">[46]A.P.U!#REF!</definedName>
    <definedName name="TOTALITEM9.8" localSheetId="16">[46]A.P.U!#REF!</definedName>
    <definedName name="TOTALITEM9.8" localSheetId="38">[46]A.P.U!#REF!</definedName>
    <definedName name="TOTALITEM9.8" localSheetId="88">[46]A.P.U!#REF!</definedName>
    <definedName name="TOTALITEM9.8" localSheetId="89">[46]A.P.U!#REF!</definedName>
    <definedName name="TOTALITEM9.8" localSheetId="90">[46]A.P.U!#REF!</definedName>
    <definedName name="TOTALITEM9.8" localSheetId="91">[46]A.P.U!#REF!</definedName>
    <definedName name="TOTALITEM9.8" localSheetId="102">[46]A.P.U!#REF!</definedName>
    <definedName name="TOTALITEM9.8" localSheetId="107">[46]A.P.U!#REF!</definedName>
    <definedName name="TOTALITEM9.8" localSheetId="108">[46]A.P.U!#REF!</definedName>
    <definedName name="TOTALITEM9.8" localSheetId="109">[46]A.P.U!#REF!</definedName>
    <definedName name="TOTALITEM9.8" localSheetId="110">[46]A.P.U!#REF!</definedName>
    <definedName name="TOTALITEM9.8" localSheetId="111">[46]A.P.U!#REF!</definedName>
    <definedName name="TOTALITEM9.8" localSheetId="4">[46]A.P.U!#REF!</definedName>
    <definedName name="TOTALITEM9.8" localSheetId="113">[46]A.P.U!#REF!</definedName>
    <definedName name="TOTALITEM9.8">[46]A.P.U!#REF!</definedName>
    <definedName name="TOTALITEN1.2.4" localSheetId="16">[46]A.P.U!#REF!</definedName>
    <definedName name="TOTALITEN1.2.4" localSheetId="38">[46]A.P.U!#REF!</definedName>
    <definedName name="TOTALITEN1.2.4" localSheetId="88">[46]A.P.U!#REF!</definedName>
    <definedName name="TOTALITEN1.2.4" localSheetId="89">[46]A.P.U!#REF!</definedName>
    <definedName name="TOTALITEN1.2.4" localSheetId="90">[46]A.P.U!#REF!</definedName>
    <definedName name="TOTALITEN1.2.4" localSheetId="91">[46]A.P.U!#REF!</definedName>
    <definedName name="TOTALITEN1.2.4" localSheetId="102">[46]A.P.U!#REF!</definedName>
    <definedName name="TOTALITEN1.2.4" localSheetId="107">[46]A.P.U!#REF!</definedName>
    <definedName name="TOTALITEN1.2.4" localSheetId="108">[46]A.P.U!#REF!</definedName>
    <definedName name="TOTALITEN1.2.4" localSheetId="109">[46]A.P.U!#REF!</definedName>
    <definedName name="TOTALITEN1.2.4" localSheetId="110">[46]A.P.U!#REF!</definedName>
    <definedName name="TOTALITEN1.2.4" localSheetId="111">[46]A.P.U!#REF!</definedName>
    <definedName name="TOTALITEN1.2.4" localSheetId="4">[46]A.P.U!#REF!</definedName>
    <definedName name="TOTALITEN1.2.4" localSheetId="113">[46]A.P.U!#REF!</definedName>
    <definedName name="TOTALITEN1.2.4">[46]A.P.U!#REF!</definedName>
    <definedName name="tr" hidden="1">{"TAB1",#N/A,TRUE,"GENERAL";"TAB2",#N/A,TRUE,"GENERAL";"TAB3",#N/A,TRUE,"GENERAL";"TAB4",#N/A,TRUE,"GENERAL";"TAB5",#N/A,TRUE,"GENERAL"}</definedName>
    <definedName name="transporte" localSheetId="16" hidden="1">#REF!</definedName>
    <definedName name="transporte" localSheetId="38" hidden="1">#REF!</definedName>
    <definedName name="transporte" localSheetId="88" hidden="1">#REF!</definedName>
    <definedName name="transporte" localSheetId="89" hidden="1">#REF!</definedName>
    <definedName name="transporte" localSheetId="90" hidden="1">#REF!</definedName>
    <definedName name="transporte" localSheetId="91" hidden="1">#REF!</definedName>
    <definedName name="transporte" localSheetId="102" hidden="1">#REF!</definedName>
    <definedName name="transporte" localSheetId="107" hidden="1">#REF!</definedName>
    <definedName name="transporte" localSheetId="108" hidden="1">#REF!</definedName>
    <definedName name="transporte" localSheetId="109" hidden="1">#REF!</definedName>
    <definedName name="transporte" localSheetId="110" hidden="1">#REF!</definedName>
    <definedName name="transporte" localSheetId="111" hidden="1">#REF!</definedName>
    <definedName name="transporte" localSheetId="1" hidden="1">#REF!</definedName>
    <definedName name="transporte" localSheetId="4" hidden="1">#REF!</definedName>
    <definedName name="transporte" localSheetId="113" hidden="1">#REF!</definedName>
    <definedName name="transporte" hidden="1">#REF!</definedName>
    <definedName name="TRAT">[47]desmonte!$E$48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jfgjh" hidden="1">{"via1",#N/A,TRUE,"general";"via2",#N/A,TRUE,"general";"via3",#N/A,TRUE,"general"}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 localSheetId="16">#REF!</definedName>
    <definedName name="TtCD" localSheetId="38">#REF!</definedName>
    <definedName name="TtCD" localSheetId="88">#REF!</definedName>
    <definedName name="TtCD" localSheetId="89">#REF!</definedName>
    <definedName name="TtCD" localSheetId="90">#REF!</definedName>
    <definedName name="TtCD" localSheetId="91">#REF!</definedName>
    <definedName name="TtCD" localSheetId="102">#REF!</definedName>
    <definedName name="TtCD" localSheetId="107">#REF!</definedName>
    <definedName name="TtCD" localSheetId="108">#REF!</definedName>
    <definedName name="TtCD" localSheetId="109">#REF!</definedName>
    <definedName name="TtCD" localSheetId="110">#REF!</definedName>
    <definedName name="TtCD" localSheetId="111">#REF!</definedName>
    <definedName name="TtCD" localSheetId="1">#REF!</definedName>
    <definedName name="TtCD" localSheetId="4">#REF!</definedName>
    <definedName name="TtCD" localSheetId="113">#REF!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12">#REF!</definedName>
    <definedName name="U" localSheetId="13">#REF!</definedName>
    <definedName name="u">'[14]Base de Datos'!$B$36:$B$55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idades">[15]Listado!$AI$2:$AI$61</definedName>
    <definedName name="unodos">[48]PLANEACION!$O$292:$O$293</definedName>
    <definedName name="UOUIV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 localSheetId="16">#REF!</definedName>
    <definedName name="VALDES" localSheetId="38">#REF!</definedName>
    <definedName name="VALDES" localSheetId="88">#REF!</definedName>
    <definedName name="VALDES" localSheetId="89">#REF!</definedName>
    <definedName name="VALDES" localSheetId="90">#REF!</definedName>
    <definedName name="VALDES" localSheetId="91">#REF!</definedName>
    <definedName name="VALDES" localSheetId="102">#REF!</definedName>
    <definedName name="VALDES" localSheetId="107">#REF!</definedName>
    <definedName name="VALDES" localSheetId="108">#REF!</definedName>
    <definedName name="VALDES" localSheetId="109">#REF!</definedName>
    <definedName name="VALDES" localSheetId="110">#REF!</definedName>
    <definedName name="VALDES" localSheetId="111">#REF!</definedName>
    <definedName name="VALDES" localSheetId="4">#REF!</definedName>
    <definedName name="VALDES" localSheetId="113">#REF!</definedName>
    <definedName name="VALDES">#REF!</definedName>
    <definedName name="valor1" localSheetId="16">#REF!</definedName>
    <definedName name="valor1" localSheetId="38">#REF!</definedName>
    <definedName name="valor1" localSheetId="88">#REF!</definedName>
    <definedName name="valor1" localSheetId="89">#REF!</definedName>
    <definedName name="valor1" localSheetId="90">#REF!</definedName>
    <definedName name="valor1" localSheetId="91">#REF!</definedName>
    <definedName name="valor1" localSheetId="102">#REF!</definedName>
    <definedName name="valor1" localSheetId="107">#REF!</definedName>
    <definedName name="valor1" localSheetId="108">#REF!</definedName>
    <definedName name="valor1" localSheetId="109">#REF!</definedName>
    <definedName name="valor1" localSheetId="110">#REF!</definedName>
    <definedName name="valor1" localSheetId="111">#REF!</definedName>
    <definedName name="valor1" localSheetId="4">#REF!</definedName>
    <definedName name="valor1" localSheetId="12">#REF!</definedName>
    <definedName name="valor1" localSheetId="13">#REF!</definedName>
    <definedName name="valor1" localSheetId="113">#REF!</definedName>
    <definedName name="valor1">#REF!</definedName>
    <definedName name="valor2" localSheetId="16">#REF!</definedName>
    <definedName name="valor2" localSheetId="38">#REF!</definedName>
    <definedName name="valor2" localSheetId="88">#REF!</definedName>
    <definedName name="valor2" localSheetId="89">#REF!</definedName>
    <definedName name="valor2" localSheetId="90">#REF!</definedName>
    <definedName name="valor2" localSheetId="91">#REF!</definedName>
    <definedName name="valor2" localSheetId="102">#REF!</definedName>
    <definedName name="valor2" localSheetId="107">#REF!</definedName>
    <definedName name="valor2" localSheetId="108">#REF!</definedName>
    <definedName name="valor2" localSheetId="109">#REF!</definedName>
    <definedName name="valor2" localSheetId="110">#REF!</definedName>
    <definedName name="valor2" localSheetId="111">#REF!</definedName>
    <definedName name="valor2" localSheetId="4">#REF!</definedName>
    <definedName name="valor2" localSheetId="12">#REF!</definedName>
    <definedName name="valor2" localSheetId="13">#REF!</definedName>
    <definedName name="valor2" localSheetId="113">#REF!</definedName>
    <definedName name="valor2">#REF!</definedName>
    <definedName name="VALOR3" localSheetId="16">#REF!</definedName>
    <definedName name="VALOR3" localSheetId="38">#REF!</definedName>
    <definedName name="VALOR3" localSheetId="88">#REF!</definedName>
    <definedName name="VALOR3" localSheetId="89">#REF!</definedName>
    <definedName name="VALOR3" localSheetId="90">#REF!</definedName>
    <definedName name="VALOR3" localSheetId="91">#REF!</definedName>
    <definedName name="VALOR3" localSheetId="102">#REF!</definedName>
    <definedName name="VALOR3" localSheetId="107">#REF!</definedName>
    <definedName name="VALOR3" localSheetId="108">#REF!</definedName>
    <definedName name="VALOR3" localSheetId="109">#REF!</definedName>
    <definedName name="VALOR3" localSheetId="110">#REF!</definedName>
    <definedName name="VALOR3" localSheetId="111">#REF!</definedName>
    <definedName name="VALOR3" localSheetId="4">#REF!</definedName>
    <definedName name="VALOR3" localSheetId="12">#REF!</definedName>
    <definedName name="VALOR3" localSheetId="13">#REF!</definedName>
    <definedName name="VALOR3" localSheetId="113">#REF!</definedName>
    <definedName name="VALOR3">#REF!</definedName>
    <definedName name="vbvbvbvb" hidden="1">{"TAB1",#N/A,TRUE,"GENERAL";"TAB2",#N/A,TRUE,"GENERAL";"TAB3",#N/A,TRUE,"GENERAL";"TAB4",#N/A,TRUE,"GENERAL";"TAB5",#N/A,TRUE,"GENERAL"}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 localSheetId="16">#REF!</definedName>
    <definedName name="VentaAiu" localSheetId="38">#REF!</definedName>
    <definedName name="VentaAiu" localSheetId="88">#REF!</definedName>
    <definedName name="VentaAiu" localSheetId="89">#REF!</definedName>
    <definedName name="VentaAiu" localSheetId="90">#REF!</definedName>
    <definedName name="VentaAiu" localSheetId="91">#REF!</definedName>
    <definedName name="VentaAiu" localSheetId="102">#REF!</definedName>
    <definedName name="VentaAiu" localSheetId="107">#REF!</definedName>
    <definedName name="VentaAiu" localSheetId="108">#REF!</definedName>
    <definedName name="VentaAiu" localSheetId="109">#REF!</definedName>
    <definedName name="VentaAiu" localSheetId="110">#REF!</definedName>
    <definedName name="VentaAiu" localSheetId="111">#REF!</definedName>
    <definedName name="VentaAiu" localSheetId="1">#REF!</definedName>
    <definedName name="VentaAiu" localSheetId="4">#REF!</definedName>
    <definedName name="VentaAiu" localSheetId="113">#REF!</definedName>
    <definedName name="VentaAiu">#REF!</definedName>
    <definedName name="vfbgnhyt" hidden="1">{"via1",#N/A,TRUE,"general";"via2",#N/A,TRUE,"general";"via3",#N/A,TRUE,"general"}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cxv" hidden="1">{"TAB1",#N/A,TRUE,"GENERAL";"TAB2",#N/A,TRUE,"GENERAL";"TAB3",#N/A,TRUE,"GENERAL";"TAB4",#N/A,TRUE,"GENERAL";"TAB5",#N/A,TRUE,"GENERAL"}</definedName>
    <definedName name="VVV" localSheetId="16">#REF!</definedName>
    <definedName name="VVV" localSheetId="38">#REF!</definedName>
    <definedName name="VVV" localSheetId="88">#REF!</definedName>
    <definedName name="VVV" localSheetId="89">#REF!</definedName>
    <definedName name="VVV" localSheetId="90">#REF!</definedName>
    <definedName name="VVV" localSheetId="91">#REF!</definedName>
    <definedName name="VVV" localSheetId="102">#REF!</definedName>
    <definedName name="VVV" localSheetId="107">#REF!</definedName>
    <definedName name="VVV" localSheetId="108">#REF!</definedName>
    <definedName name="VVV" localSheetId="109">#REF!</definedName>
    <definedName name="VVV" localSheetId="110">#REF!</definedName>
    <definedName name="VVV" localSheetId="111">#REF!</definedName>
    <definedName name="VVV" localSheetId="4">#REF!</definedName>
    <definedName name="VVV" localSheetId="12">#REF!</definedName>
    <definedName name="VVV" localSheetId="13">#REF!</definedName>
    <definedName name="VVV" localSheetId="113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ER">'[9]Res-Accide-10'!$S$2:$S$7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16">'[9]Res-Accide-10'!#REF!</definedName>
    <definedName name="WILSON" localSheetId="38">'[9]Res-Accide-10'!#REF!</definedName>
    <definedName name="WILSON" localSheetId="88">'[9]Res-Accide-10'!#REF!</definedName>
    <definedName name="WILSON" localSheetId="89">'[9]Res-Accide-10'!#REF!</definedName>
    <definedName name="WILSON" localSheetId="90">'[9]Res-Accide-10'!#REF!</definedName>
    <definedName name="WILSON" localSheetId="91">'[9]Res-Accide-10'!#REF!</definedName>
    <definedName name="WILSON" localSheetId="102">'[9]Res-Accide-10'!#REF!</definedName>
    <definedName name="WILSON" localSheetId="107">'[9]Res-Accide-10'!#REF!</definedName>
    <definedName name="WILSON" localSheetId="108">'[9]Res-Accide-10'!#REF!</definedName>
    <definedName name="WILSON" localSheetId="109">'[9]Res-Accide-10'!#REF!</definedName>
    <definedName name="WILSON" localSheetId="110">'[9]Res-Accide-10'!#REF!</definedName>
    <definedName name="WILSON" localSheetId="111">'[9]Res-Accide-10'!#REF!</definedName>
    <definedName name="WILSON" localSheetId="4">'[9]Res-Accide-10'!#REF!</definedName>
    <definedName name="WILSON" localSheetId="12">'[9]Res-Accide-10'!#REF!</definedName>
    <definedName name="WILSON" localSheetId="13">'[9]Res-Accide-10'!#REF!</definedName>
    <definedName name="WILSON" localSheetId="113">'[9]Res-Accide-10'!#REF!</definedName>
    <definedName name="WILSON">'[9]Res-Accide-10'!#REF!</definedName>
    <definedName name="WQEEWQ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ded3" hidden="1">{"via1",#N/A,TRUE,"general";"via2",#N/A,TRUE,"general";"via3",#N/A,TRUE,"general"}</definedName>
    <definedName name="WWW" localSheetId="16" hidden="1">#REF!</definedName>
    <definedName name="WWW" localSheetId="38" hidden="1">#REF!</definedName>
    <definedName name="WWW" localSheetId="88" hidden="1">#REF!</definedName>
    <definedName name="WWW" localSheetId="89" hidden="1">#REF!</definedName>
    <definedName name="WWW" localSheetId="90" hidden="1">#REF!</definedName>
    <definedName name="WWW" localSheetId="91" hidden="1">#REF!</definedName>
    <definedName name="WWW" localSheetId="102" hidden="1">#REF!</definedName>
    <definedName name="WWW" localSheetId="107" hidden="1">#REF!</definedName>
    <definedName name="WWW" localSheetId="108" hidden="1">#REF!</definedName>
    <definedName name="WWW" localSheetId="109" hidden="1">#REF!</definedName>
    <definedName name="WWW" localSheetId="110" hidden="1">#REF!</definedName>
    <definedName name="WWW" localSheetId="111" hidden="1">#REF!</definedName>
    <definedName name="WWW" localSheetId="1" hidden="1">#REF!</definedName>
    <definedName name="WWW" localSheetId="4" hidden="1">#REF!</definedName>
    <definedName name="WWW" localSheetId="113" hidden="1">#REF!</definedName>
    <definedName name="WWW" hidden="1">#REF!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cbvbs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fg" hidden="1">{"via1",#N/A,TRUE,"general";"via2",#N/A,TRUE,"general";"via3",#N/A,TRUE,"general"}</definedName>
    <definedName name="xxxxx" localSheetId="16">[49]!absc</definedName>
    <definedName name="xxxxx" localSheetId="88">[49]!absc</definedName>
    <definedName name="xxxxx" localSheetId="89">[49]!absc</definedName>
    <definedName name="xxxxx" localSheetId="90">[49]!absc</definedName>
    <definedName name="xxxxx" localSheetId="91">[49]!absc</definedName>
    <definedName name="xxxxx" localSheetId="102">[49]!absc</definedName>
    <definedName name="xxxxx" localSheetId="110">[49]!absc</definedName>
    <definedName name="xxxxx" localSheetId="111">[49]!absc</definedName>
    <definedName name="xxxxx" localSheetId="4">[49]!absc</definedName>
    <definedName name="xxxxx">[49]!absc</definedName>
    <definedName name="xxxxxds" hidden="1">{"via1",#N/A,TRUE,"general";"via2",#N/A,TRUE,"general";"via3",#N/A,TRUE,"general"}</definedName>
    <definedName name="XXXXXXXXXX" localSheetId="16">#REF!</definedName>
    <definedName name="XXXXXXXXXX" localSheetId="38">#REF!</definedName>
    <definedName name="XXXXXXXXXX" localSheetId="88">#REF!</definedName>
    <definedName name="XXXXXXXXXX" localSheetId="89">#REF!</definedName>
    <definedName name="XXXXXXXXXX" localSheetId="90">#REF!</definedName>
    <definedName name="XXXXXXXXXX" localSheetId="91">#REF!</definedName>
    <definedName name="XXXXXXXXXX" localSheetId="102">#REF!</definedName>
    <definedName name="XXXXXXXXXX" localSheetId="107">#REF!</definedName>
    <definedName name="XXXXXXXXXX" localSheetId="108">#REF!</definedName>
    <definedName name="XXXXXXXXXX" localSheetId="109">#REF!</definedName>
    <definedName name="XXXXXXXXXX" localSheetId="110">#REF!</definedName>
    <definedName name="XXXXXXXXXX" localSheetId="111">#REF!</definedName>
    <definedName name="XXXXXXXXXX" localSheetId="4">#REF!</definedName>
    <definedName name="XXXXXXXXXX" localSheetId="12">#REF!</definedName>
    <definedName name="XXXXXXXXXX" localSheetId="13">#REF!</definedName>
    <definedName name="XXXXXXXXXX" localSheetId="113">#REF!</definedName>
    <definedName name="XXXXXXXXXX">#REF!</definedName>
    <definedName name="xxxxxxxxxx29" hidden="1">{"via1",#N/A,TRUE,"general";"via2",#N/A,TRUE,"general";"via3",#N/A,TRUE,"general"}</definedName>
    <definedName name="XXXXXXXXXXXX" localSheetId="16">#REF!</definedName>
    <definedName name="XXXXXXXXXXXX" localSheetId="38">#REF!</definedName>
    <definedName name="XXXXXXXXXXXX" localSheetId="88">#REF!</definedName>
    <definedName name="XXXXXXXXXXXX" localSheetId="89">#REF!</definedName>
    <definedName name="XXXXXXXXXXXX" localSheetId="90">#REF!</definedName>
    <definedName name="XXXXXXXXXXXX" localSheetId="91">#REF!</definedName>
    <definedName name="XXXXXXXXXXXX" localSheetId="102">#REF!</definedName>
    <definedName name="XXXXXXXXXXXX" localSheetId="107">#REF!</definedName>
    <definedName name="XXXXXXXXXXXX" localSheetId="108">#REF!</definedName>
    <definedName name="XXXXXXXXXXXX" localSheetId="109">#REF!</definedName>
    <definedName name="XXXXXXXXXXXX" localSheetId="110">#REF!</definedName>
    <definedName name="XXXXXXXXXXXX" localSheetId="111">#REF!</definedName>
    <definedName name="XXXXXXXXXXXX" localSheetId="4">#REF!</definedName>
    <definedName name="XXXXXXXXXXXX" localSheetId="12">#REF!</definedName>
    <definedName name="XXXXXXXXXXXX" localSheetId="13">#REF!</definedName>
    <definedName name="XXXXXXXXXXXX" localSheetId="113">#REF!</definedName>
    <definedName name="XXXXXXXXXXXX">#REF!</definedName>
    <definedName name="XZXZV" hidden="1">{"via1",#N/A,TRUE,"general";"via2",#N/A,TRUE,"general";"via3",#N/A,TRUE,"general"}</definedName>
    <definedName name="Y">'[14]Base de Datos'!$B$14:$B$29</definedName>
    <definedName name="y6y6" hidden="1">{"via1",#N/A,TRUE,"general";"via2",#N/A,TRUE,"general";"via3",#N/A,TRUE,"general"}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dervr" hidden="1">{"via1",#N/A,TRUE,"general";"via2",#N/A,TRUE,"general";"via3",#N/A,TRUE,"general"}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" localSheetId="16" hidden="1">#REF!</definedName>
    <definedName name="ZZZ" localSheetId="38" hidden="1">#REF!</definedName>
    <definedName name="ZZZ" localSheetId="88" hidden="1">#REF!</definedName>
    <definedName name="ZZZ" localSheetId="89" hidden="1">#REF!</definedName>
    <definedName name="ZZZ" localSheetId="90" hidden="1">#REF!</definedName>
    <definedName name="ZZZ" localSheetId="91" hidden="1">#REF!</definedName>
    <definedName name="ZZZ" localSheetId="102" hidden="1">#REF!</definedName>
    <definedName name="ZZZ" localSheetId="107" hidden="1">#REF!</definedName>
    <definedName name="ZZZ" localSheetId="108" hidden="1">#REF!</definedName>
    <definedName name="ZZZ" localSheetId="109" hidden="1">#REF!</definedName>
    <definedName name="ZZZ" localSheetId="110" hidden="1">#REF!</definedName>
    <definedName name="ZZZ" localSheetId="111" hidden="1">#REF!</definedName>
    <definedName name="ZZZ" localSheetId="1" hidden="1">#REF!</definedName>
    <definedName name="ZZZ" localSheetId="4" hidden="1">#REF!</definedName>
    <definedName name="ZZZ" localSheetId="113" hidden="1">#REF!</definedName>
    <definedName name="ZZZ" hidden="1">#REF!</definedName>
    <definedName name="ZZZZZZZZZZZ" localSheetId="16">'[16]A. P. U.'!#REF!</definedName>
    <definedName name="ZZZZZZZZZZZ" localSheetId="38">'[16]A. P. U.'!#REF!</definedName>
    <definedName name="ZZZZZZZZZZZ" localSheetId="88">'[16]A. P. U.'!#REF!</definedName>
    <definedName name="ZZZZZZZZZZZ" localSheetId="89">'[16]A. P. U.'!#REF!</definedName>
    <definedName name="ZZZZZZZZZZZ" localSheetId="90">'[16]A. P. U.'!#REF!</definedName>
    <definedName name="ZZZZZZZZZZZ" localSheetId="91">'[16]A. P. U.'!#REF!</definedName>
    <definedName name="ZZZZZZZZZZZ" localSheetId="102">'[16]A. P. U.'!#REF!</definedName>
    <definedName name="ZZZZZZZZZZZ" localSheetId="107">'[16]A. P. U.'!#REF!</definedName>
    <definedName name="ZZZZZZZZZZZ" localSheetId="108">'[16]A. P. U.'!#REF!</definedName>
    <definedName name="ZZZZZZZZZZZ" localSheetId="109">'[16]A. P. U.'!#REF!</definedName>
    <definedName name="ZZZZZZZZZZZ" localSheetId="110">'[16]A. P. U.'!#REF!</definedName>
    <definedName name="ZZZZZZZZZZZ" localSheetId="111">'[16]A. P. U.'!#REF!</definedName>
    <definedName name="ZZZZZZZZZZZ" localSheetId="4">'[16]A. P. U.'!#REF!</definedName>
    <definedName name="ZZZZZZZZZZZ" localSheetId="12">'[16]A. P. U.'!#REF!</definedName>
    <definedName name="ZZZZZZZZZZZ" localSheetId="13">'[16]A. P. U.'!#REF!</definedName>
    <definedName name="ZZZZZZZZZZZ" localSheetId="113">'[16]A. P. U.'!#REF!</definedName>
    <definedName name="ZZZZZZZZZZZ">'[16]A. P. U.'!#REF!</definedName>
  </definedNames>
  <calcPr calcId="162913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27" i="294" l="1"/>
  <c r="D28" i="294"/>
  <c r="D30" i="294"/>
  <c r="D26" i="294"/>
  <c r="E128" i="319"/>
  <c r="G73" i="319"/>
  <c r="C37" i="189"/>
  <c r="B587" i="189"/>
  <c r="C587" i="189"/>
  <c r="C38" i="189"/>
  <c r="B588" i="189"/>
  <c r="C588" i="189"/>
  <c r="C39" i="189"/>
  <c r="B589" i="189"/>
  <c r="C589" i="189"/>
  <c r="C40" i="189"/>
  <c r="B590" i="189"/>
  <c r="C590" i="189"/>
  <c r="C41" i="189"/>
  <c r="B591" i="189"/>
  <c r="C591" i="189"/>
  <c r="C42" i="189"/>
  <c r="B592" i="189"/>
  <c r="C592" i="189"/>
  <c r="C43" i="189"/>
  <c r="B593" i="189"/>
  <c r="C593" i="189"/>
  <c r="C594" i="189"/>
  <c r="G108" i="153"/>
  <c r="D108" i="153"/>
  <c r="G135" i="319"/>
  <c r="L135" i="319" s="1"/>
  <c r="F36" i="322"/>
  <c r="J1" i="115"/>
  <c r="F21" i="270"/>
  <c r="F21" i="269"/>
  <c r="F21" i="268"/>
  <c r="F21" i="267"/>
  <c r="F21" i="266"/>
  <c r="F21" i="265"/>
  <c r="F21" i="264"/>
  <c r="F21" i="263"/>
  <c r="F21" i="262"/>
  <c r="F21" i="261"/>
  <c r="F21" i="260"/>
  <c r="F21" i="258"/>
  <c r="F21" i="235"/>
  <c r="F21" i="234"/>
  <c r="F21" i="233"/>
  <c r="F21" i="232"/>
  <c r="F21" i="231"/>
  <c r="F21" i="230"/>
  <c r="F21" i="229"/>
  <c r="F21" i="228"/>
  <c r="F21" i="227"/>
  <c r="F21" i="226"/>
  <c r="F21" i="225"/>
  <c r="F21" i="224"/>
  <c r="F21" i="223"/>
  <c r="F21" i="222"/>
  <c r="F24" i="242"/>
  <c r="F16" i="294"/>
  <c r="H16" i="294"/>
  <c r="I17" i="297"/>
  <c r="I18" i="297"/>
  <c r="I20" i="297"/>
  <c r="I30" i="297"/>
  <c r="I33" i="297"/>
  <c r="D5" i="297"/>
  <c r="E12" i="297"/>
  <c r="D7" i="297"/>
  <c r="G12" i="297"/>
  <c r="H12" i="297"/>
  <c r="E36" i="241"/>
  <c r="F35" i="241"/>
  <c r="F36" i="241"/>
  <c r="G36" i="241"/>
  <c r="E11" i="297"/>
  <c r="G11" i="297"/>
  <c r="H11" i="297"/>
  <c r="E35" i="241"/>
  <c r="G35" i="241"/>
  <c r="E36" i="217"/>
  <c r="F36" i="217"/>
  <c r="G36" i="217"/>
  <c r="E35" i="217"/>
  <c r="G35" i="217"/>
  <c r="G40" i="217"/>
  <c r="I40" i="217"/>
  <c r="E36" i="303"/>
  <c r="F36" i="303"/>
  <c r="G36" i="303"/>
  <c r="E35" i="303"/>
  <c r="G35" i="303"/>
  <c r="G40" i="303"/>
  <c r="E36" i="107"/>
  <c r="F35" i="107"/>
  <c r="F36" i="107"/>
  <c r="G36" i="107"/>
  <c r="E35" i="107"/>
  <c r="G35" i="107"/>
  <c r="E36" i="254"/>
  <c r="F36" i="254"/>
  <c r="G36" i="254"/>
  <c r="E35" i="254"/>
  <c r="G35" i="254"/>
  <c r="G39" i="254"/>
  <c r="G11" i="254"/>
  <c r="G16" i="254"/>
  <c r="E36" i="188"/>
  <c r="F36" i="188"/>
  <c r="G36" i="188"/>
  <c r="E35" i="188"/>
  <c r="G35" i="188"/>
  <c r="G39" i="188"/>
  <c r="G11" i="188"/>
  <c r="G16" i="188"/>
  <c r="E36" i="218"/>
  <c r="G36" i="218"/>
  <c r="E35" i="218"/>
  <c r="G35" i="218"/>
  <c r="E36" i="281"/>
  <c r="F36" i="281"/>
  <c r="G36" i="281"/>
  <c r="E35" i="281"/>
  <c r="G35" i="281"/>
  <c r="G39" i="281"/>
  <c r="G11" i="281"/>
  <c r="G16" i="281"/>
  <c r="E36" i="282"/>
  <c r="F36" i="282"/>
  <c r="G36" i="282"/>
  <c r="E35" i="282"/>
  <c r="G35" i="282"/>
  <c r="E36" i="285"/>
  <c r="F36" i="285"/>
  <c r="G36" i="285"/>
  <c r="E35" i="285"/>
  <c r="G35" i="285"/>
  <c r="E36" i="286"/>
  <c r="F36" i="286"/>
  <c r="G36" i="286"/>
  <c r="E35" i="286"/>
  <c r="G35" i="286"/>
  <c r="E36" i="171"/>
  <c r="F36" i="171"/>
  <c r="G36" i="171"/>
  <c r="E35" i="171"/>
  <c r="G35" i="171"/>
  <c r="E36" i="221"/>
  <c r="F36" i="221"/>
  <c r="G36" i="221"/>
  <c r="E35" i="221"/>
  <c r="G35" i="221"/>
  <c r="E36" i="222"/>
  <c r="F36" i="222"/>
  <c r="G36" i="222"/>
  <c r="E35" i="222"/>
  <c r="G35" i="222"/>
  <c r="E36" i="223"/>
  <c r="F36" i="223"/>
  <c r="G36" i="223"/>
  <c r="E35" i="223"/>
  <c r="G35" i="223"/>
  <c r="E36" i="224"/>
  <c r="F36" i="224"/>
  <c r="G36" i="224"/>
  <c r="E35" i="224"/>
  <c r="G35" i="224"/>
  <c r="E36" i="225"/>
  <c r="F36" i="225"/>
  <c r="G36" i="225"/>
  <c r="E35" i="225"/>
  <c r="G35" i="225"/>
  <c r="E36" i="226"/>
  <c r="F36" i="226"/>
  <c r="G36" i="226"/>
  <c r="E35" i="226"/>
  <c r="G35" i="226"/>
  <c r="E36" i="227"/>
  <c r="F36" i="227"/>
  <c r="G36" i="227"/>
  <c r="E35" i="227"/>
  <c r="G35" i="227"/>
  <c r="E36" i="228"/>
  <c r="F36" i="228"/>
  <c r="G36" i="228"/>
  <c r="E35" i="228"/>
  <c r="G35" i="228"/>
  <c r="E36" i="229"/>
  <c r="F36" i="229"/>
  <c r="G36" i="229"/>
  <c r="E35" i="229"/>
  <c r="G35" i="229"/>
  <c r="E36" i="230"/>
  <c r="F36" i="230"/>
  <c r="G36" i="230"/>
  <c r="E35" i="230"/>
  <c r="G35" i="230"/>
  <c r="E36" i="231"/>
  <c r="F36" i="231"/>
  <c r="G36" i="231"/>
  <c r="E35" i="231"/>
  <c r="G35" i="231"/>
  <c r="E36" i="232"/>
  <c r="F36" i="232"/>
  <c r="G36" i="232"/>
  <c r="E35" i="232"/>
  <c r="G35" i="232"/>
  <c r="E36" i="233"/>
  <c r="F36" i="233"/>
  <c r="G36" i="233"/>
  <c r="E35" i="233"/>
  <c r="G35" i="233"/>
  <c r="E36" i="234"/>
  <c r="F36" i="234"/>
  <c r="G36" i="234"/>
  <c r="E35" i="234"/>
  <c r="G35" i="234"/>
  <c r="E36" i="235"/>
  <c r="F36" i="235"/>
  <c r="G36" i="235"/>
  <c r="E35" i="235"/>
  <c r="G35" i="235"/>
  <c r="E36" i="258"/>
  <c r="F36" i="258"/>
  <c r="G36" i="258"/>
  <c r="E35" i="258"/>
  <c r="G35" i="258"/>
  <c r="E36" i="259"/>
  <c r="F36" i="259"/>
  <c r="G36" i="259"/>
  <c r="E35" i="259"/>
  <c r="G35" i="259"/>
  <c r="E36" i="260"/>
  <c r="F36" i="260"/>
  <c r="G36" i="260"/>
  <c r="E35" i="260"/>
  <c r="G35" i="260"/>
  <c r="E36" i="261"/>
  <c r="F36" i="261"/>
  <c r="G36" i="261"/>
  <c r="E35" i="261"/>
  <c r="G35" i="261"/>
  <c r="E36" i="262"/>
  <c r="F36" i="262"/>
  <c r="G36" i="262"/>
  <c r="E35" i="262"/>
  <c r="G35" i="262"/>
  <c r="E36" i="263"/>
  <c r="F36" i="263"/>
  <c r="G36" i="263"/>
  <c r="E35" i="263"/>
  <c r="G35" i="263"/>
  <c r="E36" i="264"/>
  <c r="F36" i="264"/>
  <c r="G36" i="264"/>
  <c r="E35" i="264"/>
  <c r="G35" i="264"/>
  <c r="E36" i="265"/>
  <c r="F36" i="265"/>
  <c r="G36" i="265"/>
  <c r="E35" i="265"/>
  <c r="G35" i="265"/>
  <c r="E36" i="266"/>
  <c r="F36" i="266"/>
  <c r="G36" i="266"/>
  <c r="E35" i="266"/>
  <c r="G35" i="266"/>
  <c r="E36" i="267"/>
  <c r="F36" i="267"/>
  <c r="G36" i="267"/>
  <c r="E35" i="267"/>
  <c r="G35" i="267"/>
  <c r="E36" i="268"/>
  <c r="F36" i="268"/>
  <c r="G36" i="268"/>
  <c r="E35" i="268"/>
  <c r="G35" i="268"/>
  <c r="E36" i="269"/>
  <c r="F36" i="269"/>
  <c r="G36" i="269"/>
  <c r="E35" i="269"/>
  <c r="G35" i="269"/>
  <c r="E36" i="270"/>
  <c r="F36" i="270"/>
  <c r="G36" i="270"/>
  <c r="E35" i="270"/>
  <c r="G35" i="270"/>
  <c r="E36" i="271"/>
  <c r="F36" i="271"/>
  <c r="G36" i="271"/>
  <c r="E35" i="271"/>
  <c r="G35" i="271"/>
  <c r="E36" i="272"/>
  <c r="F36" i="272"/>
  <c r="G36" i="272"/>
  <c r="E35" i="272"/>
  <c r="G35" i="272"/>
  <c r="E36" i="273"/>
  <c r="F36" i="273"/>
  <c r="G36" i="273"/>
  <c r="E35" i="273"/>
  <c r="G35" i="273"/>
  <c r="E36" i="274"/>
  <c r="F36" i="274"/>
  <c r="G36" i="274"/>
  <c r="E35" i="274"/>
  <c r="G35" i="274"/>
  <c r="E36" i="275"/>
  <c r="F36" i="275"/>
  <c r="G36" i="275"/>
  <c r="E35" i="275"/>
  <c r="G35" i="275"/>
  <c r="E36" i="276"/>
  <c r="F36" i="276"/>
  <c r="G36" i="276"/>
  <c r="E35" i="276"/>
  <c r="G35" i="276"/>
  <c r="E36" i="277"/>
  <c r="F36" i="277"/>
  <c r="G36" i="277"/>
  <c r="E35" i="277"/>
  <c r="G35" i="277"/>
  <c r="E36" i="278"/>
  <c r="F36" i="278"/>
  <c r="G36" i="278"/>
  <c r="E35" i="278"/>
  <c r="G35" i="278"/>
  <c r="E36" i="279"/>
  <c r="F36" i="279"/>
  <c r="G36" i="279"/>
  <c r="E35" i="279"/>
  <c r="G35" i="279"/>
  <c r="E36" i="280"/>
  <c r="F36" i="280"/>
  <c r="G36" i="280"/>
  <c r="E35" i="280"/>
  <c r="G35" i="280"/>
  <c r="E36" i="315"/>
  <c r="F36" i="315"/>
  <c r="G36" i="315"/>
  <c r="E35" i="315"/>
  <c r="G35" i="315"/>
  <c r="E36" i="316"/>
  <c r="F36" i="316"/>
  <c r="G36" i="316"/>
  <c r="E35" i="316"/>
  <c r="G35" i="316"/>
  <c r="E36" i="317"/>
  <c r="F36" i="317"/>
  <c r="G36" i="317"/>
  <c r="E35" i="317"/>
  <c r="G35" i="317"/>
  <c r="E36" i="318"/>
  <c r="F36" i="318"/>
  <c r="G36" i="318"/>
  <c r="E35" i="318"/>
  <c r="G35" i="318"/>
  <c r="E36" i="247"/>
  <c r="F36" i="247"/>
  <c r="G36" i="247"/>
  <c r="E35" i="247"/>
  <c r="G35" i="247"/>
  <c r="E36" i="248"/>
  <c r="F36" i="248"/>
  <c r="G36" i="248"/>
  <c r="E35" i="248"/>
  <c r="G35" i="248"/>
  <c r="E36" i="249"/>
  <c r="F36" i="249"/>
  <c r="G36" i="249"/>
  <c r="E35" i="249"/>
  <c r="G35" i="249"/>
  <c r="E36" i="250"/>
  <c r="F36" i="250"/>
  <c r="G36" i="250"/>
  <c r="E35" i="250"/>
  <c r="G35" i="250"/>
  <c r="E36" i="251"/>
  <c r="F36" i="251"/>
  <c r="G36" i="251"/>
  <c r="E35" i="251"/>
  <c r="G35" i="251"/>
  <c r="E36" i="252"/>
  <c r="F36" i="252"/>
  <c r="G36" i="252"/>
  <c r="E35" i="252"/>
  <c r="G35" i="252"/>
  <c r="E36" i="253"/>
  <c r="F35" i="253"/>
  <c r="F36" i="253"/>
  <c r="G36" i="253"/>
  <c r="E35" i="253"/>
  <c r="G35" i="253"/>
  <c r="E36" i="287"/>
  <c r="F36" i="287"/>
  <c r="G36" i="287"/>
  <c r="E35" i="287"/>
  <c r="G35" i="287"/>
  <c r="E36" i="288"/>
  <c r="F36" i="288"/>
  <c r="G36" i="288"/>
  <c r="E35" i="288"/>
  <c r="G35" i="288"/>
  <c r="E36" i="289"/>
  <c r="F36" i="289"/>
  <c r="G36" i="289"/>
  <c r="E35" i="289"/>
  <c r="G35" i="289"/>
  <c r="E36" i="311"/>
  <c r="F36" i="311"/>
  <c r="G36" i="311"/>
  <c r="E35" i="311"/>
  <c r="G35" i="311"/>
  <c r="E36" i="290"/>
  <c r="F36" i="290"/>
  <c r="G36" i="290"/>
  <c r="E35" i="290"/>
  <c r="G35" i="290"/>
  <c r="E36" i="291"/>
  <c r="F36" i="291"/>
  <c r="G36" i="291"/>
  <c r="E35" i="291"/>
  <c r="G35" i="291"/>
  <c r="E36" i="292"/>
  <c r="F36" i="292"/>
  <c r="G36" i="292"/>
  <c r="E35" i="292"/>
  <c r="G35" i="292"/>
  <c r="E36" i="293"/>
  <c r="F36" i="293"/>
  <c r="G36" i="293"/>
  <c r="E35" i="293"/>
  <c r="G35" i="293"/>
  <c r="E36" i="304"/>
  <c r="F36" i="304"/>
  <c r="G36" i="304"/>
  <c r="E35" i="304"/>
  <c r="G35" i="304"/>
  <c r="E36" i="305"/>
  <c r="F36" i="305"/>
  <c r="G36" i="305"/>
  <c r="E35" i="305"/>
  <c r="G35" i="305"/>
  <c r="E36" i="306"/>
  <c r="F36" i="306"/>
  <c r="G36" i="306"/>
  <c r="E35" i="306"/>
  <c r="G35" i="306"/>
  <c r="E36" i="312"/>
  <c r="F36" i="312"/>
  <c r="G36" i="312"/>
  <c r="E35" i="312"/>
  <c r="G35" i="312"/>
  <c r="E36" i="313"/>
  <c r="F36" i="313"/>
  <c r="G36" i="313"/>
  <c r="E35" i="313"/>
  <c r="G35" i="313"/>
  <c r="E36" i="102"/>
  <c r="F36" i="102"/>
  <c r="G36" i="102"/>
  <c r="E35" i="102"/>
  <c r="G35" i="102"/>
  <c r="E36" i="99"/>
  <c r="F36" i="99"/>
  <c r="G36" i="99"/>
  <c r="E35" i="99"/>
  <c r="G35" i="99"/>
  <c r="E36" i="98"/>
  <c r="F36" i="98"/>
  <c r="G36" i="98"/>
  <c r="E35" i="98"/>
  <c r="G35" i="98"/>
  <c r="E36" i="302"/>
  <c r="F36" i="302"/>
  <c r="G36" i="302"/>
  <c r="E35" i="302"/>
  <c r="G35" i="302"/>
  <c r="E36" i="96"/>
  <c r="F36" i="96"/>
  <c r="G36" i="96"/>
  <c r="E35" i="96"/>
  <c r="G35" i="96"/>
  <c r="E36" i="284"/>
  <c r="F36" i="284"/>
  <c r="G36" i="284"/>
  <c r="E35" i="284"/>
  <c r="G35" i="284"/>
  <c r="E36" i="283"/>
  <c r="F36" i="283"/>
  <c r="G36" i="283"/>
  <c r="E35" i="283"/>
  <c r="G35" i="283"/>
  <c r="E36" i="238"/>
  <c r="F36" i="238"/>
  <c r="G36" i="238"/>
  <c r="E35" i="238"/>
  <c r="G35" i="238"/>
  <c r="E36" i="240"/>
  <c r="F36" i="240"/>
  <c r="G36" i="240"/>
  <c r="E35" i="240"/>
  <c r="G35" i="240"/>
  <c r="E36" i="166"/>
  <c r="F36" i="166"/>
  <c r="G36" i="166"/>
  <c r="E35" i="166"/>
  <c r="G35" i="166"/>
  <c r="E36" i="220"/>
  <c r="F36" i="220"/>
  <c r="G36" i="220"/>
  <c r="E35" i="220"/>
  <c r="G35" i="220"/>
  <c r="E36" i="242"/>
  <c r="F36" i="242"/>
  <c r="G36" i="242"/>
  <c r="E35" i="242"/>
  <c r="G35" i="242"/>
  <c r="G39" i="242"/>
  <c r="G11" i="242"/>
  <c r="F12" i="242"/>
  <c r="G12" i="242"/>
  <c r="G16" i="242"/>
  <c r="E36" i="94"/>
  <c r="F36" i="94"/>
  <c r="G36" i="94"/>
  <c r="E35" i="94"/>
  <c r="G35" i="94"/>
  <c r="G39" i="94"/>
  <c r="G11" i="94"/>
  <c r="G12" i="94"/>
  <c r="G16" i="94"/>
  <c r="E36" i="310"/>
  <c r="F36" i="310"/>
  <c r="G36" i="310"/>
  <c r="E35" i="310"/>
  <c r="G35" i="310"/>
  <c r="E36" i="309"/>
  <c r="F36" i="309"/>
  <c r="G36" i="309"/>
  <c r="E35" i="309"/>
  <c r="G35" i="309"/>
  <c r="E36" i="244"/>
  <c r="F15" i="244"/>
  <c r="F35" i="244"/>
  <c r="E35" i="244"/>
  <c r="E36" i="245"/>
  <c r="F36" i="245"/>
  <c r="G36" i="245"/>
  <c r="E35" i="245"/>
  <c r="G35" i="245"/>
  <c r="E36" i="89"/>
  <c r="F36" i="89"/>
  <c r="G36" i="89"/>
  <c r="E35" i="89"/>
  <c r="G35" i="89"/>
  <c r="E36" i="255"/>
  <c r="F36" i="255"/>
  <c r="G36" i="255"/>
  <c r="E35" i="255"/>
  <c r="G35" i="255"/>
  <c r="E36" i="257"/>
  <c r="F36" i="257"/>
  <c r="G36" i="257"/>
  <c r="E35" i="257"/>
  <c r="G35" i="257"/>
  <c r="E36" i="256"/>
  <c r="F36" i="256"/>
  <c r="G36" i="256"/>
  <c r="E35" i="256"/>
  <c r="G35" i="256"/>
  <c r="E36" i="123"/>
  <c r="F36" i="123"/>
  <c r="G36" i="123"/>
  <c r="E35" i="123"/>
  <c r="G35" i="123"/>
  <c r="E36" i="121"/>
  <c r="F36" i="121"/>
  <c r="G36" i="121"/>
  <c r="E35" i="121"/>
  <c r="G35" i="121"/>
  <c r="E36" i="322"/>
  <c r="G36" i="322"/>
  <c r="E35" i="322"/>
  <c r="G35" i="322"/>
  <c r="E36" i="115"/>
  <c r="F36" i="115"/>
  <c r="G36" i="115"/>
  <c r="E35" i="115"/>
  <c r="G35" i="115"/>
  <c r="E36" i="120"/>
  <c r="G36" i="120"/>
  <c r="I144" i="153"/>
  <c r="F21" i="310" s="1"/>
  <c r="G21" i="310" s="1"/>
  <c r="K131" i="319"/>
  <c r="F13" i="323"/>
  <c r="F8" i="323"/>
  <c r="F7" i="323"/>
  <c r="F10" i="323"/>
  <c r="F6" i="323"/>
  <c r="B4" i="323"/>
  <c r="F12" i="323"/>
  <c r="F11" i="323"/>
  <c r="F9" i="323"/>
  <c r="F14" i="323"/>
  <c r="I129" i="153"/>
  <c r="G131" i="319"/>
  <c r="R131" i="319"/>
  <c r="H23" i="107"/>
  <c r="H23" i="241" s="1"/>
  <c r="F23" i="241" s="1"/>
  <c r="G23" i="241" s="1"/>
  <c r="G27" i="241" s="1"/>
  <c r="G21" i="241"/>
  <c r="G22" i="241"/>
  <c r="B36" i="322"/>
  <c r="B36" i="120"/>
  <c r="B36" i="121"/>
  <c r="B36" i="123"/>
  <c r="B36" i="256"/>
  <c r="B36" i="257"/>
  <c r="B36" i="255"/>
  <c r="B36" i="89"/>
  <c r="B36" i="245"/>
  <c r="B36" i="244"/>
  <c r="B36" i="309"/>
  <c r="B36" i="310"/>
  <c r="B36" i="94"/>
  <c r="B36" i="242"/>
  <c r="B36" i="220"/>
  <c r="B36" i="166"/>
  <c r="B36" i="240"/>
  <c r="B36" i="238"/>
  <c r="B36" i="283"/>
  <c r="B36" i="284"/>
  <c r="B36" i="96"/>
  <c r="B36" i="302"/>
  <c r="B36" i="98"/>
  <c r="B36" i="99"/>
  <c r="B36" i="102"/>
  <c r="B36" i="254"/>
  <c r="B36" i="188"/>
  <c r="B36" i="218"/>
  <c r="B36" i="281"/>
  <c r="B36" i="282"/>
  <c r="B36" i="285"/>
  <c r="B36" i="286"/>
  <c r="B36" i="171"/>
  <c r="B36" i="221"/>
  <c r="B36" i="222"/>
  <c r="B36" i="223"/>
  <c r="B36" i="224"/>
  <c r="B36" i="225"/>
  <c r="B36" i="226"/>
  <c r="B36" i="227"/>
  <c r="B36" i="228"/>
  <c r="B36" i="229"/>
  <c r="B36" i="230"/>
  <c r="B36" i="231"/>
  <c r="B36" i="232"/>
  <c r="B36" i="233"/>
  <c r="B36" i="234"/>
  <c r="B36" i="235"/>
  <c r="B36" i="258"/>
  <c r="B36" i="259"/>
  <c r="B36" i="260"/>
  <c r="B36" i="261"/>
  <c r="B36" i="262"/>
  <c r="B36" i="263"/>
  <c r="B36" i="264"/>
  <c r="B36" i="265"/>
  <c r="B36" i="266"/>
  <c r="B36" i="267"/>
  <c r="B36" i="268"/>
  <c r="B36" i="269"/>
  <c r="B36" i="270"/>
  <c r="B36" i="271"/>
  <c r="B36" i="272"/>
  <c r="B36" i="273"/>
  <c r="B36" i="274"/>
  <c r="B36" i="275"/>
  <c r="B36" i="276"/>
  <c r="B36" i="277"/>
  <c r="B36" i="278"/>
  <c r="B36" i="279"/>
  <c r="B36" i="280"/>
  <c r="B36" i="315"/>
  <c r="B36" i="316"/>
  <c r="B36" i="317"/>
  <c r="B36" i="318"/>
  <c r="B36" i="247"/>
  <c r="B36" i="248"/>
  <c r="B36" i="249"/>
  <c r="B36" i="250"/>
  <c r="B36" i="251"/>
  <c r="B36" i="252"/>
  <c r="B36" i="253"/>
  <c r="B36" i="287"/>
  <c r="B36" i="288"/>
  <c r="B36" i="289"/>
  <c r="B36" i="311"/>
  <c r="B36" i="290"/>
  <c r="B36" i="291"/>
  <c r="B36" i="292"/>
  <c r="B36" i="293"/>
  <c r="B36" i="304"/>
  <c r="B36" i="305"/>
  <c r="B36" i="306"/>
  <c r="B36" i="312"/>
  <c r="B36" i="313"/>
  <c r="B36" i="107"/>
  <c r="B36" i="303"/>
  <c r="B36" i="217"/>
  <c r="B36" i="241"/>
  <c r="B36" i="115"/>
  <c r="B35" i="322"/>
  <c r="B35" i="121"/>
  <c r="B35" i="123"/>
  <c r="B35" i="256"/>
  <c r="B35" i="257"/>
  <c r="B35" i="255"/>
  <c r="B35" i="89"/>
  <c r="B35" i="245"/>
  <c r="B35" i="244"/>
  <c r="B35" i="309"/>
  <c r="B35" i="310"/>
  <c r="B35" i="94"/>
  <c r="B35" i="242"/>
  <c r="B35" i="220"/>
  <c r="B35" i="166"/>
  <c r="B35" i="240"/>
  <c r="B35" i="238"/>
  <c r="B35" i="283"/>
  <c r="B35" i="284"/>
  <c r="B35" i="96"/>
  <c r="B35" i="302"/>
  <c r="B35" i="98"/>
  <c r="B35" i="99"/>
  <c r="B35" i="102"/>
  <c r="B35" i="254"/>
  <c r="B35" i="188"/>
  <c r="B35" i="218"/>
  <c r="B35" i="281"/>
  <c r="B35" i="282"/>
  <c r="B35" i="285"/>
  <c r="B35" i="286"/>
  <c r="B35" i="171"/>
  <c r="B35" i="221"/>
  <c r="B35" i="222"/>
  <c r="B35" i="223"/>
  <c r="B35" i="224"/>
  <c r="B35" i="225"/>
  <c r="B35" i="226"/>
  <c r="B35" i="227"/>
  <c r="B35" i="228"/>
  <c r="B35" i="229"/>
  <c r="B35" i="230"/>
  <c r="B35" i="231"/>
  <c r="B35" i="232"/>
  <c r="B35" i="233"/>
  <c r="B35" i="234"/>
  <c r="B35" i="235"/>
  <c r="B35" i="258"/>
  <c r="B35" i="259"/>
  <c r="B35" i="260"/>
  <c r="B35" i="261"/>
  <c r="B35" i="262"/>
  <c r="B35" i="263"/>
  <c r="B35" i="264"/>
  <c r="B35" i="265"/>
  <c r="B35" i="266"/>
  <c r="B35" i="267"/>
  <c r="B35" i="268"/>
  <c r="B35" i="269"/>
  <c r="B35" i="270"/>
  <c r="B35" i="271"/>
  <c r="B35" i="272"/>
  <c r="B35" i="273"/>
  <c r="B35" i="274"/>
  <c r="B35" i="275"/>
  <c r="B35" i="276"/>
  <c r="B35" i="277"/>
  <c r="B35" i="278"/>
  <c r="B35" i="279"/>
  <c r="B35" i="280"/>
  <c r="B35" i="315"/>
  <c r="B35" i="316"/>
  <c r="B35" i="317"/>
  <c r="B35" i="318"/>
  <c r="B35" i="247"/>
  <c r="B35" i="248"/>
  <c r="B35" i="249"/>
  <c r="B35" i="250"/>
  <c r="B35" i="251"/>
  <c r="B35" i="252"/>
  <c r="B35" i="253"/>
  <c r="B35" i="287"/>
  <c r="B35" i="288"/>
  <c r="B35" i="289"/>
  <c r="B35" i="311"/>
  <c r="B35" i="290"/>
  <c r="B35" i="291"/>
  <c r="B35" i="292"/>
  <c r="B35" i="293"/>
  <c r="B35" i="304"/>
  <c r="B35" i="305"/>
  <c r="B35" i="306"/>
  <c r="B35" i="312"/>
  <c r="B35" i="313"/>
  <c r="B35" i="107"/>
  <c r="B35" i="303"/>
  <c r="B35" i="217"/>
  <c r="B35" i="241"/>
  <c r="B35" i="115"/>
  <c r="Q131" i="319"/>
  <c r="F15" i="294"/>
  <c r="F17" i="294"/>
  <c r="F18" i="294"/>
  <c r="F19" i="294"/>
  <c r="F20" i="294"/>
  <c r="F21" i="294"/>
  <c r="F22" i="294"/>
  <c r="F23" i="294"/>
  <c r="F24" i="294"/>
  <c r="F14" i="294"/>
  <c r="C96" i="189"/>
  <c r="C106" i="189"/>
  <c r="C107" i="189"/>
  <c r="C126" i="189"/>
  <c r="C133" i="189"/>
  <c r="C150" i="189"/>
  <c r="C152" i="189"/>
  <c r="C398" i="189"/>
  <c r="C399" i="189"/>
  <c r="C401" i="189"/>
  <c r="C402" i="189"/>
  <c r="C403" i="189"/>
  <c r="C405" i="189"/>
  <c r="C206" i="189"/>
  <c r="C207" i="189"/>
  <c r="C208" i="189"/>
  <c r="C209" i="189"/>
  <c r="C210" i="189"/>
  <c r="C211" i="189"/>
  <c r="C155" i="189"/>
  <c r="C156" i="189"/>
  <c r="C157" i="189"/>
  <c r="C158" i="189"/>
  <c r="C159" i="189"/>
  <c r="C160" i="189"/>
  <c r="C161" i="189"/>
  <c r="C162" i="189"/>
  <c r="C163" i="189"/>
  <c r="C164" i="189"/>
  <c r="C166" i="189"/>
  <c r="C168" i="189"/>
  <c r="C170" i="189"/>
  <c r="C171" i="189"/>
  <c r="C212" i="189"/>
  <c r="C213" i="189"/>
  <c r="K14" i="319"/>
  <c r="T14" i="319"/>
  <c r="F11" i="322"/>
  <c r="G11" i="322"/>
  <c r="G16" i="322"/>
  <c r="G24" i="322"/>
  <c r="G23" i="322"/>
  <c r="G22" i="322"/>
  <c r="G21" i="322"/>
  <c r="G30" i="322"/>
  <c r="D11" i="153"/>
  <c r="D13" i="153"/>
  <c r="D15" i="153"/>
  <c r="A3" i="322"/>
  <c r="J1" i="322"/>
  <c r="A1" i="322"/>
  <c r="G12" i="153"/>
  <c r="D211" i="189"/>
  <c r="D210" i="189"/>
  <c r="D209" i="189"/>
  <c r="D208" i="189"/>
  <c r="D213" i="189"/>
  <c r="D207" i="189"/>
  <c r="B207" i="189"/>
  <c r="D206" i="189"/>
  <c r="B206" i="189"/>
  <c r="B205" i="189"/>
  <c r="B213" i="189" s="1"/>
  <c r="N12" i="153"/>
  <c r="O14" i="319"/>
  <c r="O20" i="314"/>
  <c r="K20" i="314"/>
  <c r="O19" i="314"/>
  <c r="O18" i="314"/>
  <c r="K19" i="314"/>
  <c r="R16" i="314"/>
  <c r="O16" i="314"/>
  <c r="K16" i="314"/>
  <c r="R15" i="314"/>
  <c r="O15" i="314"/>
  <c r="AA19" i="314"/>
  <c r="X19" i="314"/>
  <c r="T19" i="314"/>
  <c r="AA18" i="314"/>
  <c r="X18" i="314"/>
  <c r="T18" i="314"/>
  <c r="T17" i="314"/>
  <c r="AA17" i="314"/>
  <c r="X17" i="314"/>
  <c r="AA16" i="314"/>
  <c r="X16" i="314"/>
  <c r="T16" i="314"/>
  <c r="AA15" i="314"/>
  <c r="X15" i="314"/>
  <c r="T15" i="314"/>
  <c r="AA14" i="314"/>
  <c r="X14" i="314"/>
  <c r="AA13" i="314"/>
  <c r="X13" i="314"/>
  <c r="A98" i="321"/>
  <c r="C563" i="189"/>
  <c r="C553" i="189"/>
  <c r="C554" i="189" s="1"/>
  <c r="E8" i="320"/>
  <c r="I8" i="320"/>
  <c r="G27" i="320"/>
  <c r="H27" i="320"/>
  <c r="G8" i="320"/>
  <c r="F8" i="320"/>
  <c r="N8" i="320"/>
  <c r="E9" i="320"/>
  <c r="I9" i="320"/>
  <c r="G28" i="320"/>
  <c r="H28" i="320"/>
  <c r="G9" i="320"/>
  <c r="F9" i="320"/>
  <c r="N9" i="320"/>
  <c r="E10" i="320"/>
  <c r="I10" i="320"/>
  <c r="G29" i="320"/>
  <c r="H29" i="320"/>
  <c r="G10" i="320"/>
  <c r="F10" i="320"/>
  <c r="N10" i="320"/>
  <c r="E11" i="320"/>
  <c r="I11" i="320"/>
  <c r="G30" i="320"/>
  <c r="H30" i="320"/>
  <c r="G11" i="320"/>
  <c r="F11" i="320"/>
  <c r="N11" i="320"/>
  <c r="E12" i="320"/>
  <c r="I12" i="320"/>
  <c r="G31" i="320"/>
  <c r="H31" i="320"/>
  <c r="G12" i="320"/>
  <c r="F12" i="320"/>
  <c r="N12" i="320"/>
  <c r="E13" i="320"/>
  <c r="I13" i="320"/>
  <c r="G32" i="320"/>
  <c r="H32" i="320"/>
  <c r="G13" i="320"/>
  <c r="F13" i="320"/>
  <c r="N13" i="320"/>
  <c r="E14" i="320"/>
  <c r="I14" i="320"/>
  <c r="G33" i="320"/>
  <c r="H33" i="320"/>
  <c r="G14" i="320"/>
  <c r="F14" i="320"/>
  <c r="N14" i="320"/>
  <c r="N15" i="320"/>
  <c r="C317" i="189"/>
  <c r="J8" i="320"/>
  <c r="K8" i="320"/>
  <c r="L8" i="320"/>
  <c r="M8" i="320"/>
  <c r="C264" i="189"/>
  <c r="S13" i="320"/>
  <c r="S14" i="320"/>
  <c r="R13" i="320"/>
  <c r="R14" i="320"/>
  <c r="K13" i="320"/>
  <c r="K14" i="320"/>
  <c r="K9" i="320"/>
  <c r="K10" i="320"/>
  <c r="K11" i="320"/>
  <c r="K12" i="320"/>
  <c r="G42" i="320"/>
  <c r="H42" i="320"/>
  <c r="G41" i="320"/>
  <c r="H41" i="320"/>
  <c r="G40" i="320"/>
  <c r="H40" i="320"/>
  <c r="G39" i="320"/>
  <c r="H39" i="320"/>
  <c r="G38" i="320"/>
  <c r="H38" i="320"/>
  <c r="G37" i="320"/>
  <c r="H37" i="320"/>
  <c r="G36" i="320"/>
  <c r="H36" i="320"/>
  <c r="G35" i="320"/>
  <c r="H35" i="320"/>
  <c r="G34" i="320"/>
  <c r="H34" i="320"/>
  <c r="O14" i="320"/>
  <c r="P14" i="320"/>
  <c r="P13" i="320"/>
  <c r="O13" i="320"/>
  <c r="H8" i="320"/>
  <c r="S12" i="320"/>
  <c r="R12" i="320"/>
  <c r="P12" i="320"/>
  <c r="O12" i="320"/>
  <c r="H12" i="320"/>
  <c r="S11" i="320"/>
  <c r="R11" i="320"/>
  <c r="O11" i="320"/>
  <c r="P11" i="320"/>
  <c r="S10" i="320"/>
  <c r="R10" i="320"/>
  <c r="O10" i="320"/>
  <c r="P10" i="320"/>
  <c r="H10" i="320"/>
  <c r="S9" i="320"/>
  <c r="R9" i="320"/>
  <c r="P9" i="320"/>
  <c r="O9" i="320"/>
  <c r="S8" i="320"/>
  <c r="S15" i="320"/>
  <c r="R8" i="320"/>
  <c r="O8" i="320"/>
  <c r="P8" i="320"/>
  <c r="P15" i="320"/>
  <c r="C263" i="189"/>
  <c r="C265" i="189"/>
  <c r="H9" i="320"/>
  <c r="O15" i="320"/>
  <c r="J9" i="320"/>
  <c r="H14" i="320"/>
  <c r="R15" i="320"/>
  <c r="H13" i="320"/>
  <c r="J11" i="320"/>
  <c r="L11" i="320"/>
  <c r="M11" i="320"/>
  <c r="J12" i="320"/>
  <c r="H11" i="320"/>
  <c r="J10" i="320"/>
  <c r="L10" i="320"/>
  <c r="M10" i="320"/>
  <c r="L12" i="320"/>
  <c r="M12" i="320"/>
  <c r="J14" i="320"/>
  <c r="L14" i="320"/>
  <c r="M14" i="320"/>
  <c r="J13" i="320"/>
  <c r="L13" i="320"/>
  <c r="M13" i="320"/>
  <c r="L9" i="320"/>
  <c r="M9" i="320"/>
  <c r="M15" i="320"/>
  <c r="C301" i="189"/>
  <c r="C309" i="189"/>
  <c r="C307" i="189"/>
  <c r="C305" i="189"/>
  <c r="B311" i="189"/>
  <c r="C226" i="189"/>
  <c r="C224" i="189"/>
  <c r="C222" i="189"/>
  <c r="B228" i="189"/>
  <c r="E21" i="284"/>
  <c r="E21" i="283"/>
  <c r="K30" i="319"/>
  <c r="M30" i="319"/>
  <c r="K29" i="319"/>
  <c r="M29" i="319"/>
  <c r="K133" i="319"/>
  <c r="K130" i="319"/>
  <c r="F13" i="295"/>
  <c r="I13" i="295"/>
  <c r="K13" i="295"/>
  <c r="K14" i="295"/>
  <c r="G17" i="295"/>
  <c r="K17" i="295"/>
  <c r="G18" i="295"/>
  <c r="K18" i="295"/>
  <c r="G19" i="295"/>
  <c r="K19" i="295"/>
  <c r="G20" i="295"/>
  <c r="K20" i="295"/>
  <c r="G21" i="295"/>
  <c r="K21" i="295"/>
  <c r="G22" i="295"/>
  <c r="K22" i="295"/>
  <c r="K23" i="295"/>
  <c r="K25" i="295"/>
  <c r="G130" i="319"/>
  <c r="K129" i="319"/>
  <c r="J15" i="296"/>
  <c r="M15" i="296"/>
  <c r="J16" i="296"/>
  <c r="M16" i="296"/>
  <c r="J17" i="296"/>
  <c r="M17" i="296"/>
  <c r="J18" i="296"/>
  <c r="M18" i="296"/>
  <c r="J19" i="296"/>
  <c r="M19" i="296"/>
  <c r="J20" i="296"/>
  <c r="M20" i="296"/>
  <c r="J21" i="296"/>
  <c r="M21" i="296"/>
  <c r="M22" i="296"/>
  <c r="M23" i="296"/>
  <c r="M24" i="296"/>
  <c r="M25" i="296"/>
  <c r="J26" i="296"/>
  <c r="M26" i="296"/>
  <c r="M27" i="296"/>
  <c r="G129" i="319"/>
  <c r="T125" i="319"/>
  <c r="S125" i="319"/>
  <c r="R125" i="319"/>
  <c r="Q125" i="319"/>
  <c r="P125" i="319"/>
  <c r="O125" i="319"/>
  <c r="N125" i="319"/>
  <c r="M125" i="319"/>
  <c r="K125" i="319"/>
  <c r="E125" i="319"/>
  <c r="K124" i="319"/>
  <c r="S124" i="319"/>
  <c r="K123" i="319"/>
  <c r="T123" i="319"/>
  <c r="D123" i="319"/>
  <c r="D124" i="319"/>
  <c r="T122" i="319"/>
  <c r="S122" i="319"/>
  <c r="R122" i="319"/>
  <c r="Q122" i="319"/>
  <c r="P122" i="319"/>
  <c r="O122" i="319"/>
  <c r="N122" i="319"/>
  <c r="M122" i="319"/>
  <c r="K122" i="319"/>
  <c r="T121" i="319"/>
  <c r="S121" i="319"/>
  <c r="R121" i="319"/>
  <c r="Q121" i="319"/>
  <c r="P121" i="319"/>
  <c r="O121" i="319"/>
  <c r="N121" i="319"/>
  <c r="M121" i="319"/>
  <c r="K121" i="319"/>
  <c r="E121" i="319"/>
  <c r="K120" i="319"/>
  <c r="S120" i="319"/>
  <c r="D120" i="319"/>
  <c r="K119" i="319"/>
  <c r="R119" i="319"/>
  <c r="K118" i="319"/>
  <c r="S118" i="319"/>
  <c r="K117" i="319"/>
  <c r="R117" i="319"/>
  <c r="K116" i="319"/>
  <c r="T116" i="319"/>
  <c r="K115" i="319"/>
  <c r="T115" i="319"/>
  <c r="K114" i="319"/>
  <c r="S114" i="319"/>
  <c r="K113" i="319"/>
  <c r="T113" i="319"/>
  <c r="K112" i="319"/>
  <c r="M112" i="319"/>
  <c r="K111" i="319"/>
  <c r="S111" i="319"/>
  <c r="K110" i="319"/>
  <c r="S110" i="319"/>
  <c r="D110" i="319"/>
  <c r="D111" i="319"/>
  <c r="D112" i="319"/>
  <c r="D113" i="319"/>
  <c r="D114" i="319"/>
  <c r="D115" i="319"/>
  <c r="D116" i="319"/>
  <c r="D117" i="319"/>
  <c r="D118" i="319"/>
  <c r="K109" i="319"/>
  <c r="S109" i="319"/>
  <c r="K108" i="319"/>
  <c r="T108" i="319"/>
  <c r="K107" i="319"/>
  <c r="R107" i="319"/>
  <c r="K106" i="319"/>
  <c r="T106" i="319"/>
  <c r="K105" i="319"/>
  <c r="R105" i="319"/>
  <c r="K104" i="319"/>
  <c r="S104" i="319"/>
  <c r="D104" i="319"/>
  <c r="D105" i="319"/>
  <c r="D106" i="319"/>
  <c r="D107" i="319"/>
  <c r="D108" i="319"/>
  <c r="K103" i="319"/>
  <c r="R103" i="319"/>
  <c r="D99" i="319"/>
  <c r="D100" i="319"/>
  <c r="D101" i="319"/>
  <c r="K97" i="319"/>
  <c r="S97" i="319"/>
  <c r="K96" i="319"/>
  <c r="T96" i="319"/>
  <c r="K95" i="319"/>
  <c r="T95" i="319"/>
  <c r="K94" i="319"/>
  <c r="S94" i="319"/>
  <c r="K93" i="319"/>
  <c r="S93" i="319"/>
  <c r="K92" i="319"/>
  <c r="T92" i="319"/>
  <c r="K91" i="319"/>
  <c r="P91" i="319"/>
  <c r="K90" i="319"/>
  <c r="S90" i="319"/>
  <c r="K89" i="319"/>
  <c r="P89" i="319"/>
  <c r="D89" i="319"/>
  <c r="D90" i="319"/>
  <c r="D91" i="319"/>
  <c r="D92" i="319"/>
  <c r="D93" i="319"/>
  <c r="D94" i="319"/>
  <c r="D95" i="319"/>
  <c r="D96" i="319"/>
  <c r="D97" i="319"/>
  <c r="K88" i="319"/>
  <c r="S88" i="319"/>
  <c r="K87" i="319"/>
  <c r="S87" i="319"/>
  <c r="K86" i="319"/>
  <c r="S86" i="319"/>
  <c r="K85" i="319"/>
  <c r="S85" i="319"/>
  <c r="K84" i="319"/>
  <c r="T84" i="319"/>
  <c r="K83" i="319"/>
  <c r="M83" i="319"/>
  <c r="K82" i="319"/>
  <c r="M82" i="319"/>
  <c r="S82" i="319"/>
  <c r="K81" i="319"/>
  <c r="O81" i="319"/>
  <c r="K80" i="319"/>
  <c r="T80" i="319"/>
  <c r="K79" i="319"/>
  <c r="T79" i="319"/>
  <c r="D79" i="319"/>
  <c r="D80" i="319"/>
  <c r="D81" i="319"/>
  <c r="D82" i="319"/>
  <c r="D83" i="319"/>
  <c r="D84" i="319"/>
  <c r="D85" i="319"/>
  <c r="D86" i="319"/>
  <c r="D87" i="319"/>
  <c r="K78" i="319"/>
  <c r="S78" i="319"/>
  <c r="K77" i="319"/>
  <c r="T77" i="319"/>
  <c r="K76" i="319"/>
  <c r="T76" i="319"/>
  <c r="K75" i="319"/>
  <c r="S75" i="319"/>
  <c r="T74" i="319"/>
  <c r="S74" i="319"/>
  <c r="R74" i="319"/>
  <c r="Q74" i="319"/>
  <c r="P74" i="319"/>
  <c r="O74" i="319"/>
  <c r="N74" i="319"/>
  <c r="M74" i="319"/>
  <c r="K74" i="319"/>
  <c r="K73" i="319"/>
  <c r="T73" i="319"/>
  <c r="K72" i="319"/>
  <c r="Q72" i="319"/>
  <c r="K71" i="319"/>
  <c r="S71" i="319"/>
  <c r="K70" i="319"/>
  <c r="S70" i="319"/>
  <c r="K69" i="319"/>
  <c r="T69" i="319"/>
  <c r="K68" i="319"/>
  <c r="T68" i="319"/>
  <c r="D68" i="319"/>
  <c r="D69" i="319"/>
  <c r="D70" i="319"/>
  <c r="D71" i="319"/>
  <c r="D72" i="319"/>
  <c r="D73" i="319"/>
  <c r="K67" i="319"/>
  <c r="S67" i="319"/>
  <c r="K66" i="319"/>
  <c r="S66" i="319"/>
  <c r="K65" i="319"/>
  <c r="T65" i="319"/>
  <c r="K64" i="319"/>
  <c r="S64" i="319"/>
  <c r="K63" i="319"/>
  <c r="S63" i="319"/>
  <c r="K62" i="319"/>
  <c r="S62" i="319"/>
  <c r="K61" i="319"/>
  <c r="S61" i="319"/>
  <c r="K60" i="319"/>
  <c r="S60" i="319"/>
  <c r="K59" i="319"/>
  <c r="R59" i="319"/>
  <c r="K58" i="319"/>
  <c r="T58" i="319"/>
  <c r="D58" i="319"/>
  <c r="D59" i="319"/>
  <c r="D60" i="319"/>
  <c r="D61" i="319"/>
  <c r="D62" i="319"/>
  <c r="D63" i="319"/>
  <c r="D64" i="319"/>
  <c r="D65" i="319"/>
  <c r="D66" i="319"/>
  <c r="T57" i="319"/>
  <c r="S57" i="319"/>
  <c r="R57" i="319"/>
  <c r="Q57" i="319"/>
  <c r="P57" i="319"/>
  <c r="O57" i="319"/>
  <c r="N57" i="319"/>
  <c r="M57" i="319"/>
  <c r="K57" i="319"/>
  <c r="T56" i="319"/>
  <c r="S56" i="319"/>
  <c r="R56" i="319"/>
  <c r="Q56" i="319"/>
  <c r="P56" i="319"/>
  <c r="O56" i="319"/>
  <c r="N56" i="319"/>
  <c r="M56" i="319"/>
  <c r="K56" i="319"/>
  <c r="T55" i="319"/>
  <c r="S55" i="319"/>
  <c r="R55" i="319"/>
  <c r="Q55" i="319"/>
  <c r="P55" i="319"/>
  <c r="O55" i="319"/>
  <c r="N55" i="319"/>
  <c r="M55" i="319"/>
  <c r="K55" i="319"/>
  <c r="D55" i="319"/>
  <c r="K54" i="319"/>
  <c r="O54" i="319"/>
  <c r="K53" i="319"/>
  <c r="N53" i="319"/>
  <c r="K52" i="319"/>
  <c r="P52" i="319"/>
  <c r="K51" i="319"/>
  <c r="P51" i="319"/>
  <c r="K50" i="319"/>
  <c r="O50" i="319"/>
  <c r="K49" i="319"/>
  <c r="Q49" i="319"/>
  <c r="K48" i="319"/>
  <c r="R48" i="319"/>
  <c r="K47" i="319"/>
  <c r="O47" i="319"/>
  <c r="K46" i="319"/>
  <c r="N46" i="319"/>
  <c r="K45" i="319"/>
  <c r="Q45" i="319"/>
  <c r="D45" i="319"/>
  <c r="D46" i="319"/>
  <c r="D47" i="319"/>
  <c r="D48" i="319"/>
  <c r="D49" i="319"/>
  <c r="D50" i="319"/>
  <c r="D51" i="319"/>
  <c r="D52" i="319"/>
  <c r="D53" i="319"/>
  <c r="T44" i="319"/>
  <c r="S44" i="319"/>
  <c r="R44" i="319"/>
  <c r="Q44" i="319"/>
  <c r="P44" i="319"/>
  <c r="O44" i="319"/>
  <c r="N44" i="319"/>
  <c r="M44" i="319"/>
  <c r="K44" i="319"/>
  <c r="T43" i="319"/>
  <c r="S43" i="319"/>
  <c r="R43" i="319"/>
  <c r="Q43" i="319"/>
  <c r="P43" i="319"/>
  <c r="O43" i="319"/>
  <c r="N43" i="319"/>
  <c r="M43" i="319"/>
  <c r="K43" i="319"/>
  <c r="D43" i="319"/>
  <c r="K42" i="319"/>
  <c r="S42" i="319"/>
  <c r="K41" i="319"/>
  <c r="T41" i="319"/>
  <c r="K40" i="319"/>
  <c r="S40" i="319"/>
  <c r="K39" i="319"/>
  <c r="T39" i="319"/>
  <c r="K38" i="319"/>
  <c r="M38" i="319"/>
  <c r="K37" i="319"/>
  <c r="R37" i="319"/>
  <c r="K36" i="319"/>
  <c r="M36" i="319"/>
  <c r="K35" i="319"/>
  <c r="N35" i="319"/>
  <c r="K34" i="319"/>
  <c r="Q34" i="319"/>
  <c r="K33" i="319"/>
  <c r="N33" i="319"/>
  <c r="D33" i="319"/>
  <c r="D34" i="319"/>
  <c r="D35" i="319"/>
  <c r="D36" i="319"/>
  <c r="D37" i="319"/>
  <c r="D38" i="319"/>
  <c r="D39" i="319"/>
  <c r="D40" i="319"/>
  <c r="T32" i="319"/>
  <c r="S32" i="319"/>
  <c r="R32" i="319"/>
  <c r="Q32" i="319"/>
  <c r="P32" i="319"/>
  <c r="O32" i="319"/>
  <c r="N32" i="319"/>
  <c r="M32" i="319"/>
  <c r="K32" i="319"/>
  <c r="T31" i="319"/>
  <c r="S31" i="319"/>
  <c r="R31" i="319"/>
  <c r="Q31" i="319"/>
  <c r="P31" i="319"/>
  <c r="O31" i="319"/>
  <c r="N31" i="319"/>
  <c r="M31" i="319"/>
  <c r="K31" i="319"/>
  <c r="D31" i="319"/>
  <c r="K28" i="319"/>
  <c r="M28" i="319"/>
  <c r="K27" i="319"/>
  <c r="K26" i="319"/>
  <c r="T26" i="319"/>
  <c r="D26" i="319"/>
  <c r="D27" i="319"/>
  <c r="D28" i="319"/>
  <c r="T25" i="319"/>
  <c r="S25" i="319"/>
  <c r="R25" i="319"/>
  <c r="Q25" i="319"/>
  <c r="P25" i="319"/>
  <c r="O25" i="319"/>
  <c r="N25" i="319"/>
  <c r="M25" i="319"/>
  <c r="K25" i="319"/>
  <c r="T24" i="319"/>
  <c r="S24" i="319"/>
  <c r="R24" i="319"/>
  <c r="Q24" i="319"/>
  <c r="P24" i="319"/>
  <c r="O24" i="319"/>
  <c r="N24" i="319"/>
  <c r="M24" i="319"/>
  <c r="K24" i="319"/>
  <c r="D24" i="319"/>
  <c r="K23" i="319"/>
  <c r="S23" i="319"/>
  <c r="K22" i="319"/>
  <c r="T22" i="319"/>
  <c r="K21" i="319"/>
  <c r="S21" i="319"/>
  <c r="K20" i="319"/>
  <c r="S20" i="319"/>
  <c r="K19" i="319"/>
  <c r="S19" i="319"/>
  <c r="G40" i="122"/>
  <c r="G30" i="122"/>
  <c r="G12" i="122"/>
  <c r="G13" i="122"/>
  <c r="G16" i="122"/>
  <c r="G43" i="122"/>
  <c r="K18" i="319"/>
  <c r="T18" i="319"/>
  <c r="K17" i="319"/>
  <c r="T17" i="319"/>
  <c r="S17" i="319"/>
  <c r="D17" i="319"/>
  <c r="D18" i="319"/>
  <c r="D19" i="319"/>
  <c r="D20" i="319"/>
  <c r="D21" i="319"/>
  <c r="D22" i="319"/>
  <c r="D23" i="319"/>
  <c r="T16" i="319"/>
  <c r="S16" i="319"/>
  <c r="R16" i="319"/>
  <c r="Q16" i="319"/>
  <c r="P16" i="319"/>
  <c r="O16" i="319"/>
  <c r="N16" i="319"/>
  <c r="M16" i="319"/>
  <c r="K16" i="319"/>
  <c r="T15" i="319"/>
  <c r="S15" i="319"/>
  <c r="R15" i="319"/>
  <c r="Q15" i="319"/>
  <c r="P15" i="319"/>
  <c r="O15" i="319"/>
  <c r="N15" i="319"/>
  <c r="M15" i="319"/>
  <c r="K15" i="319"/>
  <c r="D15" i="319"/>
  <c r="K13" i="319"/>
  <c r="D13" i="319"/>
  <c r="D14" i="319"/>
  <c r="I128" i="153"/>
  <c r="I127" i="153"/>
  <c r="F21" i="318"/>
  <c r="G21" i="318"/>
  <c r="G30" i="318"/>
  <c r="A3" i="318"/>
  <c r="A1" i="318"/>
  <c r="F21" i="317"/>
  <c r="G21" i="317"/>
  <c r="G30" i="317"/>
  <c r="A3" i="317"/>
  <c r="A1" i="317"/>
  <c r="F21" i="316"/>
  <c r="G21" i="316"/>
  <c r="G30" i="316"/>
  <c r="A3" i="316"/>
  <c r="A1" i="316"/>
  <c r="F21" i="315"/>
  <c r="G21" i="315"/>
  <c r="G30" i="315"/>
  <c r="F21" i="280"/>
  <c r="D97" i="153"/>
  <c r="D98" i="153" s="1"/>
  <c r="D99" i="153" s="1"/>
  <c r="A3" i="315"/>
  <c r="A1" i="315"/>
  <c r="F21" i="279"/>
  <c r="F21" i="278"/>
  <c r="F21" i="277"/>
  <c r="F21" i="276"/>
  <c r="F21" i="275"/>
  <c r="D589" i="189"/>
  <c r="D605" i="189"/>
  <c r="F21" i="271"/>
  <c r="C91" i="189"/>
  <c r="G85" i="153"/>
  <c r="C92" i="189"/>
  <c r="G86" i="153"/>
  <c r="C90" i="189"/>
  <c r="G84" i="153"/>
  <c r="B91" i="189"/>
  <c r="B92" i="189"/>
  <c r="B90" i="189"/>
  <c r="B5" i="314"/>
  <c r="B6" i="314"/>
  <c r="B7" i="314"/>
  <c r="B8" i="314"/>
  <c r="B9" i="314"/>
  <c r="B10" i="314"/>
  <c r="B11" i="314"/>
  <c r="B12" i="314"/>
  <c r="B13" i="314"/>
  <c r="B14" i="314"/>
  <c r="B15" i="314"/>
  <c r="B16" i="314"/>
  <c r="B17" i="314"/>
  <c r="B18" i="314"/>
  <c r="B19" i="314"/>
  <c r="B20" i="314"/>
  <c r="B21" i="314"/>
  <c r="B22" i="314"/>
  <c r="B23" i="314"/>
  <c r="B24" i="314"/>
  <c r="B25" i="314"/>
  <c r="B26" i="314"/>
  <c r="B27" i="314"/>
  <c r="B28" i="314"/>
  <c r="B29" i="314"/>
  <c r="B30" i="314"/>
  <c r="B31" i="314"/>
  <c r="B32" i="314"/>
  <c r="B33" i="314"/>
  <c r="B34" i="314"/>
  <c r="B35" i="314"/>
  <c r="B36" i="314"/>
  <c r="K5" i="314"/>
  <c r="K6" i="314"/>
  <c r="K7" i="314"/>
  <c r="K8" i="314"/>
  <c r="K9" i="314"/>
  <c r="K12" i="314"/>
  <c r="K13" i="314"/>
  <c r="T5" i="314"/>
  <c r="T6" i="314"/>
  <c r="T7" i="314"/>
  <c r="AC5" i="314"/>
  <c r="AC6" i="314"/>
  <c r="AC7" i="314"/>
  <c r="AC8" i="314"/>
  <c r="AC9" i="314"/>
  <c r="AC10" i="314"/>
  <c r="AC11" i="314"/>
  <c r="AC12" i="314"/>
  <c r="AC13" i="314"/>
  <c r="AC14" i="314"/>
  <c r="AC15" i="314"/>
  <c r="AC16" i="314"/>
  <c r="AC17" i="314"/>
  <c r="AC18" i="314"/>
  <c r="AC19" i="314"/>
  <c r="AC22" i="314"/>
  <c r="AC23" i="314"/>
  <c r="AC24" i="314"/>
  <c r="AC25" i="314"/>
  <c r="AC26" i="314"/>
  <c r="AC27" i="314"/>
  <c r="AC28" i="314"/>
  <c r="AC29" i="314"/>
  <c r="D47" i="314"/>
  <c r="D48" i="314"/>
  <c r="C68" i="189"/>
  <c r="C67" i="189"/>
  <c r="G22" i="268"/>
  <c r="C72" i="189"/>
  <c r="G80" i="153"/>
  <c r="C73" i="189"/>
  <c r="G78" i="153"/>
  <c r="D53" i="314"/>
  <c r="C74" i="189"/>
  <c r="G81" i="153"/>
  <c r="C75" i="189"/>
  <c r="G82" i="153"/>
  <c r="C76" i="189"/>
  <c r="G83" i="153"/>
  <c r="C71" i="189"/>
  <c r="G79" i="153"/>
  <c r="B71" i="189"/>
  <c r="B72" i="189"/>
  <c r="B73" i="189"/>
  <c r="B74" i="189"/>
  <c r="B75" i="189"/>
  <c r="B76" i="189"/>
  <c r="F21" i="259"/>
  <c r="F56" i="189"/>
  <c r="AG4" i="314"/>
  <c r="AG5" i="314"/>
  <c r="AG6" i="314"/>
  <c r="AG7" i="314"/>
  <c r="AG8" i="314"/>
  <c r="AG9" i="314"/>
  <c r="AG10" i="314"/>
  <c r="AG11" i="314"/>
  <c r="AG12" i="314"/>
  <c r="AG13" i="314"/>
  <c r="AG14" i="314"/>
  <c r="AG15" i="314"/>
  <c r="AG16" i="314"/>
  <c r="AG17" i="314"/>
  <c r="AG18" i="314"/>
  <c r="AG19" i="314"/>
  <c r="AG21" i="314"/>
  <c r="AG22" i="314"/>
  <c r="AG23" i="314"/>
  <c r="AG24" i="314"/>
  <c r="AG25" i="314"/>
  <c r="AG26" i="314"/>
  <c r="AG27" i="314"/>
  <c r="AG28" i="314"/>
  <c r="AG29" i="314"/>
  <c r="AJ4" i="314"/>
  <c r="AJ5" i="314"/>
  <c r="AJ6" i="314"/>
  <c r="AJ7" i="314"/>
  <c r="AJ8" i="314"/>
  <c r="AJ9" i="314"/>
  <c r="AJ10" i="314"/>
  <c r="AJ11" i="314"/>
  <c r="AJ12" i="314"/>
  <c r="AJ13" i="314"/>
  <c r="AJ14" i="314"/>
  <c r="AJ15" i="314"/>
  <c r="AJ16" i="314"/>
  <c r="AJ17" i="314"/>
  <c r="AJ18" i="314"/>
  <c r="AJ19" i="314"/>
  <c r="AJ21" i="314"/>
  <c r="AJ22" i="314"/>
  <c r="AJ23" i="314"/>
  <c r="AJ24" i="314"/>
  <c r="AJ25" i="314"/>
  <c r="AJ26" i="314"/>
  <c r="AJ27" i="314"/>
  <c r="AJ28" i="314"/>
  <c r="AJ29" i="314"/>
  <c r="F41" i="314"/>
  <c r="F42" i="314"/>
  <c r="F43" i="314"/>
  <c r="F44" i="314"/>
  <c r="F40" i="314"/>
  <c r="X4" i="314"/>
  <c r="X5" i="314"/>
  <c r="X6" i="314"/>
  <c r="X7" i="314"/>
  <c r="X8" i="314"/>
  <c r="AA4" i="314"/>
  <c r="AA5" i="314"/>
  <c r="AA6" i="314"/>
  <c r="AA7" i="314"/>
  <c r="AA8" i="314"/>
  <c r="E40" i="314"/>
  <c r="E41" i="314"/>
  <c r="E42" i="314"/>
  <c r="E43" i="314"/>
  <c r="E44" i="314"/>
  <c r="O4" i="314"/>
  <c r="O5" i="314"/>
  <c r="O6" i="314"/>
  <c r="O7" i="314"/>
  <c r="O8" i="314"/>
  <c r="O9" i="314"/>
  <c r="O11" i="314"/>
  <c r="O12" i="314"/>
  <c r="O13" i="314"/>
  <c r="R4" i="314"/>
  <c r="R5" i="314"/>
  <c r="R6" i="314"/>
  <c r="R7" i="314"/>
  <c r="R8" i="314"/>
  <c r="R9" i="314"/>
  <c r="R11" i="314"/>
  <c r="R12" i="314"/>
  <c r="R13" i="314"/>
  <c r="D40" i="314"/>
  <c r="D41" i="314"/>
  <c r="D42" i="314"/>
  <c r="D43" i="314"/>
  <c r="D44" i="314"/>
  <c r="F4" i="314"/>
  <c r="F5" i="314"/>
  <c r="F6" i="314"/>
  <c r="F7" i="314"/>
  <c r="F8" i="314"/>
  <c r="F9" i="314"/>
  <c r="F10" i="314"/>
  <c r="F11" i="314"/>
  <c r="F12" i="314"/>
  <c r="F13" i="314"/>
  <c r="F14" i="314"/>
  <c r="F15" i="314"/>
  <c r="F16" i="314"/>
  <c r="F17" i="314"/>
  <c r="F18" i="314"/>
  <c r="F19" i="314"/>
  <c r="F20" i="314"/>
  <c r="F21" i="314"/>
  <c r="F22" i="314"/>
  <c r="F23" i="314"/>
  <c r="F24" i="314"/>
  <c r="F25" i="314"/>
  <c r="F26" i="314"/>
  <c r="F27" i="314"/>
  <c r="F28" i="314"/>
  <c r="F29" i="314"/>
  <c r="F30" i="314"/>
  <c r="F31" i="314"/>
  <c r="F32" i="314"/>
  <c r="F33" i="314"/>
  <c r="F34" i="314"/>
  <c r="F35" i="314"/>
  <c r="F36" i="314"/>
  <c r="I4" i="314"/>
  <c r="I5" i="314"/>
  <c r="I6" i="314"/>
  <c r="I7" i="314"/>
  <c r="I8" i="314"/>
  <c r="I9" i="314"/>
  <c r="I10" i="314"/>
  <c r="I11" i="314"/>
  <c r="I12" i="314"/>
  <c r="I13" i="314"/>
  <c r="I14" i="314"/>
  <c r="I15" i="314"/>
  <c r="I16" i="314"/>
  <c r="I17" i="314"/>
  <c r="I18" i="314"/>
  <c r="I19" i="314"/>
  <c r="I20" i="314"/>
  <c r="I21" i="314"/>
  <c r="I22" i="314"/>
  <c r="I23" i="314"/>
  <c r="I24" i="314"/>
  <c r="I25" i="314"/>
  <c r="I26" i="314"/>
  <c r="I27" i="314"/>
  <c r="I28" i="314"/>
  <c r="I29" i="314"/>
  <c r="I30" i="314"/>
  <c r="I31" i="314"/>
  <c r="I32" i="314"/>
  <c r="I33" i="314"/>
  <c r="I34" i="314"/>
  <c r="I35" i="314"/>
  <c r="I36" i="314"/>
  <c r="C41" i="314"/>
  <c r="C42" i="314"/>
  <c r="C43" i="314"/>
  <c r="C44" i="314"/>
  <c r="C40" i="314"/>
  <c r="F65" i="189"/>
  <c r="F52" i="189"/>
  <c r="F53" i="189"/>
  <c r="F54" i="189"/>
  <c r="F55" i="189"/>
  <c r="F57" i="189"/>
  <c r="F58" i="189"/>
  <c r="F59" i="189"/>
  <c r="F60" i="189"/>
  <c r="F61" i="189"/>
  <c r="F62" i="189"/>
  <c r="F63" i="189"/>
  <c r="F64" i="189"/>
  <c r="F51" i="189"/>
  <c r="S59" i="319"/>
  <c r="S113" i="319"/>
  <c r="S77" i="319"/>
  <c r="G41" i="314"/>
  <c r="C57" i="189"/>
  <c r="G74" i="153"/>
  <c r="G42" i="314"/>
  <c r="H42" i="314"/>
  <c r="C80" i="189"/>
  <c r="G92" i="153"/>
  <c r="G40" i="314"/>
  <c r="C56" i="189"/>
  <c r="I41" i="314"/>
  <c r="C85" i="189"/>
  <c r="G96" i="153"/>
  <c r="G44" i="314"/>
  <c r="G43" i="314"/>
  <c r="O27" i="319"/>
  <c r="S80" i="319"/>
  <c r="R23" i="319"/>
  <c r="R53" i="319"/>
  <c r="R124" i="319"/>
  <c r="R62" i="319"/>
  <c r="N23" i="319"/>
  <c r="O23" i="319"/>
  <c r="P27" i="319"/>
  <c r="T27" i="319"/>
  <c r="N34" i="319"/>
  <c r="R72" i="319"/>
  <c r="R17" i="319"/>
  <c r="Q20" i="319"/>
  <c r="P23" i="319"/>
  <c r="T23" i="319"/>
  <c r="Q27" i="319"/>
  <c r="M27" i="319"/>
  <c r="R27" i="319"/>
  <c r="M49" i="319"/>
  <c r="M76" i="319"/>
  <c r="P17" i="319"/>
  <c r="Q17" i="319"/>
  <c r="T20" i="319"/>
  <c r="M23" i="319"/>
  <c r="Q23" i="319"/>
  <c r="S27" i="319"/>
  <c r="N38" i="319"/>
  <c r="T94" i="319"/>
  <c r="T89" i="319"/>
  <c r="S108" i="319"/>
  <c r="S112" i="319"/>
  <c r="T93" i="319"/>
  <c r="S105" i="319"/>
  <c r="T117" i="319"/>
  <c r="T124" i="319"/>
  <c r="Q124" i="319"/>
  <c r="C29" i="294"/>
  <c r="H17" i="294"/>
  <c r="H18" i="294"/>
  <c r="H19" i="294"/>
  <c r="H21" i="294"/>
  <c r="H22" i="294"/>
  <c r="H23" i="294"/>
  <c r="H24" i="294"/>
  <c r="H15" i="294"/>
  <c r="F30" i="159"/>
  <c r="I14" i="159"/>
  <c r="I15" i="159"/>
  <c r="I16" i="159"/>
  <c r="I17" i="159"/>
  <c r="I18" i="159"/>
  <c r="I19" i="159"/>
  <c r="I20" i="159"/>
  <c r="A13" i="159"/>
  <c r="A14" i="159"/>
  <c r="A15" i="159"/>
  <c r="A16" i="159"/>
  <c r="A17" i="159"/>
  <c r="A18" i="159"/>
  <c r="A19" i="159"/>
  <c r="A20" i="159"/>
  <c r="F33" i="159"/>
  <c r="F31" i="159"/>
  <c r="F27" i="159"/>
  <c r="F28" i="159"/>
  <c r="F26" i="159"/>
  <c r="G22" i="313"/>
  <c r="G21" i="313"/>
  <c r="G30" i="313"/>
  <c r="G39" i="313"/>
  <c r="G11" i="313"/>
  <c r="G16" i="313"/>
  <c r="G42" i="313"/>
  <c r="A3" i="313"/>
  <c r="A1" i="313"/>
  <c r="G22" i="312"/>
  <c r="G21" i="312"/>
  <c r="G30" i="312"/>
  <c r="G39" i="312"/>
  <c r="G11" i="312"/>
  <c r="G16" i="312"/>
  <c r="G42" i="312"/>
  <c r="A3" i="312"/>
  <c r="A1" i="312"/>
  <c r="C630" i="189"/>
  <c r="G121" i="153" s="1"/>
  <c r="I121" i="153" s="1"/>
  <c r="G123" i="319"/>
  <c r="B627" i="189"/>
  <c r="B630" i="189" s="1"/>
  <c r="D630" i="189"/>
  <c r="C635" i="189"/>
  <c r="B598" i="189"/>
  <c r="D593" i="189"/>
  <c r="D609" i="189"/>
  <c r="D588" i="189"/>
  <c r="D604" i="189"/>
  <c r="D590" i="189"/>
  <c r="D606" i="189"/>
  <c r="D591" i="189"/>
  <c r="D607" i="189"/>
  <c r="D592" i="189"/>
  <c r="D608" i="189"/>
  <c r="D587" i="189"/>
  <c r="D603" i="189"/>
  <c r="N111" i="153"/>
  <c r="X111" i="153" s="1"/>
  <c r="G23" i="311"/>
  <c r="G21" i="311"/>
  <c r="G30" i="311"/>
  <c r="A3" i="311"/>
  <c r="A1" i="311"/>
  <c r="C520" i="189"/>
  <c r="C500" i="189"/>
  <c r="C504" i="189"/>
  <c r="C377" i="189"/>
  <c r="C379" i="189"/>
  <c r="G12" i="166"/>
  <c r="E22" i="166"/>
  <c r="E21" i="166"/>
  <c r="E21" i="220"/>
  <c r="C281" i="189"/>
  <c r="B609" i="189"/>
  <c r="C609" i="189"/>
  <c r="I42" i="314"/>
  <c r="C86" i="189"/>
  <c r="G97" i="153"/>
  <c r="H41" i="314"/>
  <c r="C79" i="189"/>
  <c r="G73" i="153"/>
  <c r="C58" i="189"/>
  <c r="C306" i="189"/>
  <c r="I40" i="314"/>
  <c r="C84" i="189"/>
  <c r="H40" i="314"/>
  <c r="C78" i="189"/>
  <c r="I43" i="314"/>
  <c r="C87" i="189"/>
  <c r="C60" i="189"/>
  <c r="H43" i="314"/>
  <c r="C81" i="189"/>
  <c r="I44" i="314"/>
  <c r="C88" i="189"/>
  <c r="C64" i="189"/>
  <c r="H44" i="314"/>
  <c r="C82" i="189"/>
  <c r="B605" i="189"/>
  <c r="C605" i="189"/>
  <c r="G91" i="153"/>
  <c r="C223" i="189"/>
  <c r="G75" i="153"/>
  <c r="G90" i="153"/>
  <c r="G95" i="153"/>
  <c r="G99" i="153"/>
  <c r="G93" i="153"/>
  <c r="G37" i="153"/>
  <c r="G38" i="153"/>
  <c r="G94" i="153"/>
  <c r="G76" i="153"/>
  <c r="C308" i="189"/>
  <c r="C225" i="189"/>
  <c r="G77" i="153"/>
  <c r="C227" i="189"/>
  <c r="C310" i="189"/>
  <c r="G98" i="153"/>
  <c r="C228" i="189"/>
  <c r="C311" i="189"/>
  <c r="G24" i="242"/>
  <c r="E23" i="242"/>
  <c r="G23" i="242"/>
  <c r="I22" i="242"/>
  <c r="C369" i="189"/>
  <c r="C461" i="189"/>
  <c r="D372" i="189"/>
  <c r="B372" i="189"/>
  <c r="G25" i="220"/>
  <c r="C174" i="189"/>
  <c r="C10" i="189"/>
  <c r="B351" i="189"/>
  <c r="B357" i="189" s="1"/>
  <c r="D351" i="189"/>
  <c r="D344" i="189"/>
  <c r="B344" i="189"/>
  <c r="B339" i="189"/>
  <c r="B342" i="189" s="1"/>
  <c r="D357" i="189"/>
  <c r="E354" i="189"/>
  <c r="F354" i="189"/>
  <c r="C354" i="189"/>
  <c r="E399" i="189"/>
  <c r="A3" i="310"/>
  <c r="A1" i="310"/>
  <c r="A3" i="309"/>
  <c r="A1" i="309"/>
  <c r="A43" i="309"/>
  <c r="I22" i="309"/>
  <c r="G22" i="309"/>
  <c r="G21" i="309"/>
  <c r="F12" i="309"/>
  <c r="G12" i="309"/>
  <c r="C372" i="189"/>
  <c r="G27" i="309"/>
  <c r="G30" i="309"/>
  <c r="F22" i="238"/>
  <c r="E23" i="238"/>
  <c r="E24" i="238"/>
  <c r="E22" i="94"/>
  <c r="E21" i="94"/>
  <c r="E14" i="244"/>
  <c r="E13" i="244"/>
  <c r="E12" i="244"/>
  <c r="F12" i="256"/>
  <c r="F13" i="256"/>
  <c r="G13" i="256"/>
  <c r="F22" i="123"/>
  <c r="E22" i="123"/>
  <c r="E23" i="115"/>
  <c r="G23" i="115"/>
  <c r="G24" i="115"/>
  <c r="E22" i="115"/>
  <c r="G22" i="115"/>
  <c r="G21" i="115"/>
  <c r="E15" i="244"/>
  <c r="E21" i="244"/>
  <c r="C441" i="189"/>
  <c r="C433" i="189"/>
  <c r="C440" i="189"/>
  <c r="C442" i="189"/>
  <c r="C436" i="189"/>
  <c r="C423" i="189"/>
  <c r="C430" i="189"/>
  <c r="C431" i="189"/>
  <c r="C424" i="189"/>
  <c r="C432" i="189"/>
  <c r="C434" i="189"/>
  <c r="C435" i="189"/>
  <c r="C422" i="189"/>
  <c r="C418" i="189"/>
  <c r="C417" i="189"/>
  <c r="C476" i="189"/>
  <c r="C386" i="189"/>
  <c r="C385" i="189"/>
  <c r="C384" i="189"/>
  <c r="C383" i="189"/>
  <c r="C260" i="189"/>
  <c r="C267" i="189"/>
  <c r="C233" i="189"/>
  <c r="C250" i="189"/>
  <c r="B245" i="189"/>
  <c r="B246" i="189"/>
  <c r="B247" i="189"/>
  <c r="B244" i="189"/>
  <c r="B234" i="189"/>
  <c r="B235" i="189"/>
  <c r="B236" i="189"/>
  <c r="B237" i="189"/>
  <c r="B238" i="189"/>
  <c r="B239" i="189"/>
  <c r="B240" i="189"/>
  <c r="B241" i="189"/>
  <c r="B242" i="189"/>
  <c r="B243" i="189"/>
  <c r="B233" i="189"/>
  <c r="C199" i="189"/>
  <c r="C198" i="189"/>
  <c r="C197" i="189"/>
  <c r="C429" i="189"/>
  <c r="C196" i="189"/>
  <c r="C428" i="189"/>
  <c r="C195" i="189"/>
  <c r="C427" i="189"/>
  <c r="C194" i="189"/>
  <c r="C426" i="189"/>
  <c r="C193" i="189"/>
  <c r="C425" i="189"/>
  <c r="C192" i="189"/>
  <c r="C191" i="189"/>
  <c r="C190" i="189"/>
  <c r="C189" i="189"/>
  <c r="C188" i="189"/>
  <c r="C187" i="189"/>
  <c r="C186" i="189"/>
  <c r="B150" i="189"/>
  <c r="B149" i="189"/>
  <c r="B148" i="189"/>
  <c r="G149" i="189"/>
  <c r="B146" i="189"/>
  <c r="G145" i="189"/>
  <c r="B145" i="189"/>
  <c r="B144" i="189"/>
  <c r="G140" i="189"/>
  <c r="B142" i="189"/>
  <c r="B211" i="189"/>
  <c r="G138" i="189"/>
  <c r="G136" i="189"/>
  <c r="C389" i="189"/>
  <c r="C272" i="189"/>
  <c r="C293" i="189"/>
  <c r="C437" i="189"/>
  <c r="G142" i="189"/>
  <c r="H142" i="189"/>
  <c r="C218" i="189"/>
  <c r="C252" i="189"/>
  <c r="G131" i="189"/>
  <c r="B133" i="189"/>
  <c r="B210" i="189"/>
  <c r="G129" i="189"/>
  <c r="G124" i="189"/>
  <c r="C105" i="189"/>
  <c r="B123" i="189"/>
  <c r="B124" i="189"/>
  <c r="B126" i="189"/>
  <c r="B121" i="189"/>
  <c r="B120" i="189"/>
  <c r="B119" i="189"/>
  <c r="G120" i="189"/>
  <c r="H120" i="189"/>
  <c r="G115" i="189"/>
  <c r="H115" i="189"/>
  <c r="G110" i="189"/>
  <c r="H110" i="189"/>
  <c r="G133" i="189"/>
  <c r="H133" i="189"/>
  <c r="C185" i="189"/>
  <c r="C200" i="189"/>
  <c r="C362" i="189"/>
  <c r="H124" i="189"/>
  <c r="G104" i="189"/>
  <c r="G102" i="189"/>
  <c r="G100" i="189"/>
  <c r="C353" i="189"/>
  <c r="C355" i="189"/>
  <c r="C357" i="189"/>
  <c r="C346" i="189"/>
  <c r="C348" i="189"/>
  <c r="C349" i="189"/>
  <c r="C416" i="189"/>
  <c r="C419" i="189"/>
  <c r="C444" i="189"/>
  <c r="C472" i="189"/>
  <c r="C203" i="189"/>
  <c r="F152" i="189"/>
  <c r="F153" i="189"/>
  <c r="G107" i="189"/>
  <c r="H107" i="189"/>
  <c r="G27" i="153"/>
  <c r="G28" i="153"/>
  <c r="B601" i="189"/>
  <c r="B600" i="189"/>
  <c r="B599" i="189"/>
  <c r="B597" i="189"/>
  <c r="D635" i="189"/>
  <c r="B632" i="189"/>
  <c r="B635" i="189" s="1"/>
  <c r="C482" i="189"/>
  <c r="E21" i="306"/>
  <c r="G24" i="306"/>
  <c r="E22" i="306"/>
  <c r="A3" i="306"/>
  <c r="A1" i="306"/>
  <c r="E21" i="305"/>
  <c r="A3" i="305"/>
  <c r="A1" i="305"/>
  <c r="E21" i="304"/>
  <c r="F25" i="304"/>
  <c r="G25" i="304"/>
  <c r="F24" i="304"/>
  <c r="E24" i="304"/>
  <c r="G24" i="304"/>
  <c r="E22" i="304"/>
  <c r="E23" i="304"/>
  <c r="E26" i="304"/>
  <c r="A3" i="304"/>
  <c r="A1" i="304"/>
  <c r="D625" i="189"/>
  <c r="B622" i="189"/>
  <c r="B625" i="189" s="1"/>
  <c r="C625" i="189"/>
  <c r="D620" i="189"/>
  <c r="B617" i="189"/>
  <c r="B620" i="189" s="1"/>
  <c r="C620" i="189"/>
  <c r="G117" i="153" s="1"/>
  <c r="D615" i="189"/>
  <c r="B612" i="189"/>
  <c r="B615" i="189" s="1"/>
  <c r="C615" i="189"/>
  <c r="G116" i="153" s="1"/>
  <c r="N118" i="153"/>
  <c r="N117" i="153"/>
  <c r="N116" i="153"/>
  <c r="D579" i="189"/>
  <c r="B576" i="189"/>
  <c r="B579" i="189" s="1"/>
  <c r="D574" i="189"/>
  <c r="B571" i="189"/>
  <c r="B574" i="189"/>
  <c r="D569" i="189"/>
  <c r="B566" i="189"/>
  <c r="B569" i="189" s="1"/>
  <c r="D564" i="189"/>
  <c r="B561" i="189"/>
  <c r="B564" i="189" s="1"/>
  <c r="D559" i="189"/>
  <c r="B556" i="189"/>
  <c r="B559" i="189" s="1"/>
  <c r="D554" i="189"/>
  <c r="D551" i="189"/>
  <c r="B551" i="189"/>
  <c r="B554" i="189" s="1"/>
  <c r="C579" i="189"/>
  <c r="C569" i="189"/>
  <c r="E23" i="306"/>
  <c r="G22" i="304"/>
  <c r="U116" i="153"/>
  <c r="W116" i="153"/>
  <c r="C559" i="189"/>
  <c r="E21" i="250"/>
  <c r="E21" i="249"/>
  <c r="I33" i="294"/>
  <c r="K33" i="294"/>
  <c r="I34" i="294"/>
  <c r="K34" i="294"/>
  <c r="I35" i="294"/>
  <c r="K35" i="294"/>
  <c r="I36" i="294"/>
  <c r="K36" i="294"/>
  <c r="I37" i="294"/>
  <c r="K37" i="294"/>
  <c r="I38" i="294"/>
  <c r="K38" i="294"/>
  <c r="I32" i="294"/>
  <c r="K32" i="294"/>
  <c r="H32" i="159"/>
  <c r="J32" i="159"/>
  <c r="C393" i="189"/>
  <c r="F12" i="253"/>
  <c r="G12" i="253"/>
  <c r="E21" i="247"/>
  <c r="E22" i="247"/>
  <c r="E22" i="102"/>
  <c r="E22" i="254"/>
  <c r="E22" i="188"/>
  <c r="E21" i="188"/>
  <c r="F12" i="98"/>
  <c r="G12" i="98"/>
  <c r="G23" i="98"/>
  <c r="G22" i="98"/>
  <c r="G21" i="98"/>
  <c r="H22" i="238"/>
  <c r="I22" i="238"/>
  <c r="J22" i="238"/>
  <c r="H39" i="220"/>
  <c r="G25" i="245"/>
  <c r="G22" i="245"/>
  <c r="G21" i="245"/>
  <c r="F12" i="245"/>
  <c r="F13" i="245"/>
  <c r="F12" i="89"/>
  <c r="F13" i="89"/>
  <c r="G12" i="256"/>
  <c r="G11" i="115"/>
  <c r="G13" i="245"/>
  <c r="F14" i="245"/>
  <c r="G14" i="245"/>
  <c r="G12" i="245"/>
  <c r="F14" i="89"/>
  <c r="G14" i="89"/>
  <c r="G13" i="89"/>
  <c r="G12" i="89"/>
  <c r="F12" i="121"/>
  <c r="E23" i="123"/>
  <c r="C48" i="189"/>
  <c r="C582" i="189"/>
  <c r="G57" i="153"/>
  <c r="I57" i="153" s="1"/>
  <c r="G58" i="319" s="1"/>
  <c r="G22" i="303"/>
  <c r="G21" i="303"/>
  <c r="F12" i="303"/>
  <c r="G12" i="303"/>
  <c r="G16" i="303"/>
  <c r="A3" i="303"/>
  <c r="A1" i="303"/>
  <c r="A3" i="302"/>
  <c r="A1" i="302"/>
  <c r="C318" i="189"/>
  <c r="C319" i="189"/>
  <c r="C261" i="189"/>
  <c r="D407" i="189"/>
  <c r="B407" i="189"/>
  <c r="N40" i="153"/>
  <c r="V40" i="153" s="1"/>
  <c r="E26" i="253"/>
  <c r="G107" i="153"/>
  <c r="B581" i="189"/>
  <c r="B582" i="189" s="1"/>
  <c r="C583" i="189"/>
  <c r="C410" i="189"/>
  <c r="C492" i="189"/>
  <c r="E21" i="252"/>
  <c r="E21" i="251"/>
  <c r="E22" i="251"/>
  <c r="E23" i="251"/>
  <c r="B606" i="189"/>
  <c r="B603" i="189"/>
  <c r="B604" i="189"/>
  <c r="B607" i="189"/>
  <c r="B608" i="189"/>
  <c r="C608" i="189"/>
  <c r="G111" i="153"/>
  <c r="I111" i="153" s="1"/>
  <c r="R111" i="153" s="1"/>
  <c r="G40" i="153"/>
  <c r="F12" i="123"/>
  <c r="G22" i="123"/>
  <c r="C607" i="189"/>
  <c r="C603" i="189"/>
  <c r="C604" i="189"/>
  <c r="C606" i="189"/>
  <c r="C610" i="189"/>
  <c r="E23" i="255"/>
  <c r="E24" i="255"/>
  <c r="G24" i="255"/>
  <c r="B365" i="189"/>
  <c r="B369" i="189" s="1"/>
  <c r="B7" i="301"/>
  <c r="B8" i="301"/>
  <c r="B9" i="301"/>
  <c r="B10" i="301"/>
  <c r="B11" i="301"/>
  <c r="B12" i="301"/>
  <c r="B13" i="301"/>
  <c r="B14" i="301"/>
  <c r="B15" i="301"/>
  <c r="B16" i="301"/>
  <c r="B17" i="301"/>
  <c r="B18" i="301"/>
  <c r="B3" i="301"/>
  <c r="E22" i="300"/>
  <c r="B7" i="300"/>
  <c r="B8" i="300"/>
  <c r="B9" i="300"/>
  <c r="B10" i="300"/>
  <c r="B11" i="300"/>
  <c r="B12" i="300"/>
  <c r="B13" i="300"/>
  <c r="B14" i="300"/>
  <c r="B15" i="300"/>
  <c r="B16" i="300"/>
  <c r="B17" i="300"/>
  <c r="B18" i="300"/>
  <c r="B19" i="300"/>
  <c r="B20" i="300"/>
  <c r="B21" i="300"/>
  <c r="B22" i="300"/>
  <c r="B23" i="300"/>
  <c r="B24" i="300"/>
  <c r="B25" i="300"/>
  <c r="B26" i="300"/>
  <c r="B27" i="300"/>
  <c r="B28" i="300"/>
  <c r="B29" i="300"/>
  <c r="B30" i="300"/>
  <c r="B31" i="300"/>
  <c r="B32" i="300"/>
  <c r="B33" i="300"/>
  <c r="B34" i="300"/>
  <c r="B35" i="300"/>
  <c r="B36" i="300"/>
  <c r="B37" i="300"/>
  <c r="B38" i="300"/>
  <c r="B39" i="300"/>
  <c r="B40" i="300"/>
  <c r="B41" i="300"/>
  <c r="B42" i="300"/>
  <c r="B43" i="300"/>
  <c r="B44" i="300"/>
  <c r="B45" i="300"/>
  <c r="B46" i="300"/>
  <c r="B47" i="300"/>
  <c r="B48" i="300"/>
  <c r="B49" i="300"/>
  <c r="B50" i="300"/>
  <c r="B51" i="300"/>
  <c r="B52" i="300"/>
  <c r="B53" i="300"/>
  <c r="B54" i="300"/>
  <c r="B55" i="300"/>
  <c r="B56" i="300"/>
  <c r="B57" i="300"/>
  <c r="B58" i="300"/>
  <c r="B59" i="300"/>
  <c r="B60" i="300"/>
  <c r="B61" i="300"/>
  <c r="B62" i="300"/>
  <c r="B63" i="300"/>
  <c r="B64" i="300"/>
  <c r="B65" i="300"/>
  <c r="B66" i="300"/>
  <c r="B67" i="300"/>
  <c r="B68" i="300"/>
  <c r="B69" i="300"/>
  <c r="B70" i="300"/>
  <c r="B71" i="300"/>
  <c r="B72" i="300"/>
  <c r="B73" i="300"/>
  <c r="B74" i="300"/>
  <c r="B75" i="300"/>
  <c r="B76" i="300"/>
  <c r="B77" i="300"/>
  <c r="B78" i="300"/>
  <c r="B79" i="300"/>
  <c r="B80" i="300"/>
  <c r="B81" i="300"/>
  <c r="B82" i="300"/>
  <c r="B83" i="300"/>
  <c r="B84" i="300"/>
  <c r="B85" i="300"/>
  <c r="B86" i="300"/>
  <c r="B87" i="300"/>
  <c r="B88" i="300"/>
  <c r="B89" i="300"/>
  <c r="B90" i="300"/>
  <c r="B91" i="300"/>
  <c r="B92" i="300"/>
  <c r="B93" i="300"/>
  <c r="B94" i="300"/>
  <c r="B95" i="300"/>
  <c r="B96" i="300"/>
  <c r="B97" i="300"/>
  <c r="B98" i="300"/>
  <c r="B99" i="300"/>
  <c r="B100" i="300"/>
  <c r="B101" i="300"/>
  <c r="B102" i="300"/>
  <c r="B103" i="300"/>
  <c r="B104" i="300"/>
  <c r="B105" i="300"/>
  <c r="B106" i="300"/>
  <c r="B107" i="300"/>
  <c r="B108" i="300"/>
  <c r="B109" i="300"/>
  <c r="B110" i="300"/>
  <c r="B111" i="300"/>
  <c r="B112" i="300"/>
  <c r="B113" i="300"/>
  <c r="B114" i="300"/>
  <c r="B115" i="300"/>
  <c r="B116" i="300"/>
  <c r="B117" i="300"/>
  <c r="B118" i="300"/>
  <c r="B119" i="300"/>
  <c r="B120" i="300"/>
  <c r="B121" i="300"/>
  <c r="B122" i="300"/>
  <c r="B123" i="300"/>
  <c r="B124" i="300"/>
  <c r="B125" i="300"/>
  <c r="B126" i="300"/>
  <c r="A1" i="299"/>
  <c r="I56" i="299"/>
  <c r="I49" i="299"/>
  <c r="I35" i="299"/>
  <c r="I19" i="299"/>
  <c r="I20" i="299"/>
  <c r="I22" i="299"/>
  <c r="I29" i="299"/>
  <c r="I62" i="299"/>
  <c r="J53" i="299"/>
  <c r="L49" i="294"/>
  <c r="L48" i="294"/>
  <c r="L47" i="294"/>
  <c r="L46" i="294" s="1"/>
  <c r="A1" i="297"/>
  <c r="L14" i="294"/>
  <c r="L15" i="294"/>
  <c r="L16" i="294"/>
  <c r="C36" i="107"/>
  <c r="C35" i="107"/>
  <c r="C36" i="255"/>
  <c r="C36" i="309"/>
  <c r="C36" i="220"/>
  <c r="C36" i="283"/>
  <c r="C36" i="98"/>
  <c r="C36" i="188"/>
  <c r="C36" i="285"/>
  <c r="C36" i="222"/>
  <c r="C36" i="226"/>
  <c r="C36" i="230"/>
  <c r="C36" i="234"/>
  <c r="C36" i="260"/>
  <c r="C36" i="264"/>
  <c r="C36" i="268"/>
  <c r="C36" i="272"/>
  <c r="C36" i="276"/>
  <c r="C36" i="280"/>
  <c r="C36" i="318"/>
  <c r="C36" i="250"/>
  <c r="C36" i="287"/>
  <c r="C36" i="290"/>
  <c r="C36" i="304"/>
  <c r="C36" i="313"/>
  <c r="C35" i="121"/>
  <c r="C35" i="257"/>
  <c r="C35" i="244"/>
  <c r="C35" i="242"/>
  <c r="C35" i="238"/>
  <c r="C35" i="302"/>
  <c r="C36" i="217"/>
  <c r="C35" i="217"/>
  <c r="C36" i="120"/>
  <c r="C36" i="256"/>
  <c r="C36" i="245"/>
  <c r="C36" i="94"/>
  <c r="C36" i="240"/>
  <c r="C36" i="96"/>
  <c r="C36" i="102"/>
  <c r="C36" i="281"/>
  <c r="C36" i="171"/>
  <c r="C36" i="224"/>
  <c r="C36" i="228"/>
  <c r="C36" i="232"/>
  <c r="C36" i="258"/>
  <c r="C36" i="262"/>
  <c r="C36" i="266"/>
  <c r="C36" i="270"/>
  <c r="C36" i="274"/>
  <c r="C36" i="278"/>
  <c r="C36" i="316"/>
  <c r="C36" i="248"/>
  <c r="C36" i="252"/>
  <c r="C36" i="289"/>
  <c r="C36" i="292"/>
  <c r="C36" i="306"/>
  <c r="C35" i="322"/>
  <c r="C35" i="123"/>
  <c r="C35" i="89"/>
  <c r="C35" i="310"/>
  <c r="C35" i="166"/>
  <c r="C35" i="284"/>
  <c r="C36" i="241"/>
  <c r="C36" i="121"/>
  <c r="C36" i="244"/>
  <c r="C36" i="238"/>
  <c r="C36" i="254"/>
  <c r="C36" i="221"/>
  <c r="C36" i="229"/>
  <c r="C36" i="259"/>
  <c r="C36" i="267"/>
  <c r="C36" i="275"/>
  <c r="C36" i="317"/>
  <c r="C36" i="253"/>
  <c r="C36" i="293"/>
  <c r="C35" i="245"/>
  <c r="C35" i="240"/>
  <c r="C35" i="99"/>
  <c r="C35" i="218"/>
  <c r="C35" i="286"/>
  <c r="C35" i="223"/>
  <c r="C35" i="227"/>
  <c r="C35" i="231"/>
  <c r="C35" i="235"/>
  <c r="C35" i="261"/>
  <c r="C35" i="265"/>
  <c r="C35" i="269"/>
  <c r="C35" i="273"/>
  <c r="C35" i="277"/>
  <c r="C35" i="315"/>
  <c r="C35" i="247"/>
  <c r="C35" i="251"/>
  <c r="C35" i="288"/>
  <c r="C35" i="291"/>
  <c r="C35" i="305"/>
  <c r="C35" i="115"/>
  <c r="C36" i="257"/>
  <c r="C36" i="242"/>
  <c r="C36" i="225"/>
  <c r="C36" i="263"/>
  <c r="C36" i="279"/>
  <c r="C36" i="311"/>
  <c r="C35" i="256"/>
  <c r="C35" i="303"/>
  <c r="C36" i="123"/>
  <c r="C36" i="310"/>
  <c r="C36" i="284"/>
  <c r="C36" i="218"/>
  <c r="C36" i="223"/>
  <c r="C36" i="231"/>
  <c r="C36" i="261"/>
  <c r="C36" i="269"/>
  <c r="C36" i="277"/>
  <c r="C36" i="247"/>
  <c r="C36" i="288"/>
  <c r="C36" i="305"/>
  <c r="C35" i="309"/>
  <c r="C35" i="283"/>
  <c r="C35" i="102"/>
  <c r="C35" i="281"/>
  <c r="C35" i="171"/>
  <c r="C35" i="224"/>
  <c r="C35" i="228"/>
  <c r="C35" i="232"/>
  <c r="C35" i="258"/>
  <c r="C35" i="262"/>
  <c r="C35" i="266"/>
  <c r="C35" i="270"/>
  <c r="C35" i="274"/>
  <c r="C35" i="278"/>
  <c r="C35" i="316"/>
  <c r="C35" i="248"/>
  <c r="C35" i="252"/>
  <c r="C35" i="289"/>
  <c r="C35" i="292"/>
  <c r="C35" i="306"/>
  <c r="C35" i="241"/>
  <c r="C36" i="302"/>
  <c r="C36" i="282"/>
  <c r="C36" i="233"/>
  <c r="C36" i="271"/>
  <c r="C36" i="249"/>
  <c r="C36" i="312"/>
  <c r="C36" i="322"/>
  <c r="C36" i="286"/>
  <c r="C36" i="273"/>
  <c r="C36" i="115"/>
  <c r="C35" i="96"/>
  <c r="C35" i="282"/>
  <c r="C35" i="225"/>
  <c r="C35" i="233"/>
  <c r="C35" i="263"/>
  <c r="C35" i="271"/>
  <c r="C35" i="279"/>
  <c r="C35" i="249"/>
  <c r="C35" i="311"/>
  <c r="C35" i="312"/>
  <c r="C35" i="250"/>
  <c r="C35" i="313"/>
  <c r="C36" i="303"/>
  <c r="C36" i="291"/>
  <c r="C35" i="222"/>
  <c r="C35" i="268"/>
  <c r="C35" i="287"/>
  <c r="C36" i="89"/>
  <c r="C36" i="227"/>
  <c r="C36" i="315"/>
  <c r="C35" i="255"/>
  <c r="C35" i="98"/>
  <c r="C35" i="285"/>
  <c r="C35" i="226"/>
  <c r="C35" i="234"/>
  <c r="C35" i="264"/>
  <c r="C35" i="272"/>
  <c r="C35" i="280"/>
  <c r="C35" i="290"/>
  <c r="C36" i="265"/>
  <c r="C35" i="188"/>
  <c r="C35" i="260"/>
  <c r="C35" i="318"/>
  <c r="C36" i="166"/>
  <c r="C36" i="235"/>
  <c r="C36" i="251"/>
  <c r="C35" i="94"/>
  <c r="C35" i="254"/>
  <c r="C35" i="221"/>
  <c r="C35" i="229"/>
  <c r="C35" i="259"/>
  <c r="C35" i="267"/>
  <c r="C35" i="275"/>
  <c r="C35" i="317"/>
  <c r="C35" i="253"/>
  <c r="C35" i="293"/>
  <c r="C36" i="99"/>
  <c r="C35" i="220"/>
  <c r="C35" i="230"/>
  <c r="C35" i="276"/>
  <c r="C35" i="304"/>
  <c r="G42" i="310"/>
  <c r="G11" i="310"/>
  <c r="G16" i="310"/>
  <c r="G39" i="311"/>
  <c r="G11" i="311"/>
  <c r="G16" i="311"/>
  <c r="G42" i="311"/>
  <c r="G39" i="318"/>
  <c r="G11" i="318"/>
  <c r="G16" i="318"/>
  <c r="G42" i="318"/>
  <c r="G39" i="306"/>
  <c r="G11" i="306"/>
  <c r="G16" i="306"/>
  <c r="G39" i="315"/>
  <c r="G11" i="315"/>
  <c r="G16" i="315"/>
  <c r="G42" i="315"/>
  <c r="S17" i="296"/>
  <c r="S18" i="296"/>
  <c r="S19" i="296"/>
  <c r="S20" i="296"/>
  <c r="S21" i="296"/>
  <c r="B10" i="296"/>
  <c r="A7" i="296"/>
  <c r="H96" i="153"/>
  <c r="I96" i="153" s="1"/>
  <c r="G98" i="319" s="1"/>
  <c r="H111" i="153"/>
  <c r="G39" i="302"/>
  <c r="G11" i="302"/>
  <c r="G16" i="302"/>
  <c r="G39" i="316"/>
  <c r="G11" i="316"/>
  <c r="G16" i="316"/>
  <c r="G42" i="316"/>
  <c r="G39" i="115"/>
  <c r="G30" i="115"/>
  <c r="G16" i="115"/>
  <c r="G42" i="115"/>
  <c r="H99" i="153"/>
  <c r="G39" i="305"/>
  <c r="G11" i="305"/>
  <c r="G16" i="305"/>
  <c r="G40" i="309"/>
  <c r="G11" i="309"/>
  <c r="G16" i="309"/>
  <c r="G43" i="309"/>
  <c r="G39" i="304"/>
  <c r="G11" i="304"/>
  <c r="G16" i="304"/>
  <c r="G39" i="317"/>
  <c r="G11" i="317"/>
  <c r="G16" i="317"/>
  <c r="G42" i="317"/>
  <c r="H98" i="153"/>
  <c r="H27" i="153"/>
  <c r="H97" i="153"/>
  <c r="I97" i="153" s="1"/>
  <c r="C3" i="295"/>
  <c r="C7" i="295"/>
  <c r="A8" i="295" s="1"/>
  <c r="A13" i="295"/>
  <c r="A17" i="295"/>
  <c r="A18" i="295"/>
  <c r="B1" i="294"/>
  <c r="B5" i="294"/>
  <c r="H26" i="294"/>
  <c r="I26" i="294"/>
  <c r="K26" i="294"/>
  <c r="I41" i="294"/>
  <c r="K41" i="294"/>
  <c r="A19" i="295"/>
  <c r="A20" i="295"/>
  <c r="A21" i="295"/>
  <c r="A22" i="295"/>
  <c r="H27" i="294"/>
  <c r="I27" i="294"/>
  <c r="K27" i="294"/>
  <c r="D22" i="153"/>
  <c r="D29" i="153"/>
  <c r="D41" i="153"/>
  <c r="D53" i="153"/>
  <c r="E123" i="153"/>
  <c r="E119" i="153"/>
  <c r="F19" i="159"/>
  <c r="H19" i="159"/>
  <c r="F18" i="159"/>
  <c r="H18" i="159"/>
  <c r="F17" i="159"/>
  <c r="H17" i="159"/>
  <c r="J17" i="159"/>
  <c r="F20" i="159"/>
  <c r="H20" i="159"/>
  <c r="J20" i="159"/>
  <c r="F16" i="159"/>
  <c r="H16" i="159"/>
  <c r="J16" i="159"/>
  <c r="F15" i="159"/>
  <c r="H15" i="159"/>
  <c r="J31" i="159"/>
  <c r="J27" i="159"/>
  <c r="J26" i="159"/>
  <c r="J18" i="159"/>
  <c r="J19" i="159"/>
  <c r="E24" i="293"/>
  <c r="E21" i="293"/>
  <c r="E22" i="293"/>
  <c r="E23" i="293"/>
  <c r="E26" i="293"/>
  <c r="A3" i="293"/>
  <c r="A1" i="293"/>
  <c r="N115" i="153"/>
  <c r="G23" i="292"/>
  <c r="G21" i="292"/>
  <c r="G30" i="292"/>
  <c r="A3" i="292"/>
  <c r="A1" i="292"/>
  <c r="G23" i="291"/>
  <c r="G21" i="291"/>
  <c r="G30" i="291"/>
  <c r="A3" i="291"/>
  <c r="A1" i="291"/>
  <c r="G23" i="290"/>
  <c r="G21" i="290"/>
  <c r="G30" i="290"/>
  <c r="A3" i="290"/>
  <c r="A1" i="290"/>
  <c r="G23" i="289"/>
  <c r="G21" i="289"/>
  <c r="G30" i="289"/>
  <c r="A3" i="289"/>
  <c r="A1" i="289"/>
  <c r="G23" i="288"/>
  <c r="G21" i="288"/>
  <c r="G30" i="288"/>
  <c r="A3" i="288"/>
  <c r="A1" i="288"/>
  <c r="N114" i="153"/>
  <c r="U114" i="153" s="1"/>
  <c r="N113" i="153"/>
  <c r="U113" i="153" s="1"/>
  <c r="N112" i="153"/>
  <c r="X112" i="153"/>
  <c r="N110" i="153"/>
  <c r="T110" i="153" s="1"/>
  <c r="B596" i="189"/>
  <c r="B610" i="189" s="1"/>
  <c r="G39" i="290"/>
  <c r="G39" i="291"/>
  <c r="G11" i="291"/>
  <c r="G16" i="291"/>
  <c r="G42" i="291"/>
  <c r="G39" i="292"/>
  <c r="G112" i="153"/>
  <c r="G110" i="153"/>
  <c r="G109" i="153"/>
  <c r="G114" i="153"/>
  <c r="G113" i="153"/>
  <c r="G39" i="293"/>
  <c r="G11" i="293"/>
  <c r="G16" i="293"/>
  <c r="G11" i="292"/>
  <c r="G16" i="292"/>
  <c r="G42" i="292"/>
  <c r="G11" i="290"/>
  <c r="G16" i="290"/>
  <c r="G42" i="290"/>
  <c r="G39" i="289"/>
  <c r="G11" i="289"/>
  <c r="G16" i="289"/>
  <c r="G42" i="289"/>
  <c r="G39" i="288"/>
  <c r="G11" i="288"/>
  <c r="G16" i="288"/>
  <c r="G42" i="288"/>
  <c r="V112" i="153"/>
  <c r="W110" i="153"/>
  <c r="H112" i="153"/>
  <c r="H113" i="153"/>
  <c r="H110" i="153"/>
  <c r="H109" i="153"/>
  <c r="H114" i="153"/>
  <c r="G22" i="293"/>
  <c r="N109" i="153"/>
  <c r="F21" i="287"/>
  <c r="G21" i="287"/>
  <c r="G23" i="287"/>
  <c r="G30" i="287"/>
  <c r="A3" i="287"/>
  <c r="A1" i="287"/>
  <c r="B585" i="189"/>
  <c r="B594" i="189" s="1"/>
  <c r="N122" i="153"/>
  <c r="X123" i="153"/>
  <c r="W123" i="153"/>
  <c r="V123" i="153"/>
  <c r="U123" i="153"/>
  <c r="T123" i="153"/>
  <c r="S123" i="153"/>
  <c r="R123" i="153"/>
  <c r="Q123" i="153"/>
  <c r="P123" i="153"/>
  <c r="O123" i="153"/>
  <c r="N123" i="153"/>
  <c r="N121" i="153"/>
  <c r="D121" i="153"/>
  <c r="D122" i="153" s="1"/>
  <c r="D632" i="189" s="1"/>
  <c r="X120" i="153"/>
  <c r="W120" i="153"/>
  <c r="V120" i="153"/>
  <c r="U120" i="153"/>
  <c r="T120" i="153"/>
  <c r="S120" i="153"/>
  <c r="R120" i="153"/>
  <c r="Q120" i="153"/>
  <c r="P120" i="153"/>
  <c r="O120" i="153"/>
  <c r="N120" i="153"/>
  <c r="G21" i="286"/>
  <c r="G22" i="286"/>
  <c r="G30" i="286"/>
  <c r="A3" i="286"/>
  <c r="A1" i="286"/>
  <c r="C483" i="189"/>
  <c r="B479" i="189"/>
  <c r="B483" i="189" s="1"/>
  <c r="D479" i="189"/>
  <c r="N52" i="153"/>
  <c r="U52" i="153" s="1"/>
  <c r="G22" i="285"/>
  <c r="G21" i="285"/>
  <c r="G30" i="285"/>
  <c r="A3" i="285"/>
  <c r="A1" i="285"/>
  <c r="B475" i="189"/>
  <c r="B477" i="189" s="1"/>
  <c r="C473" i="189"/>
  <c r="N51" i="153"/>
  <c r="G24" i="284"/>
  <c r="G23" i="284"/>
  <c r="G22" i="284"/>
  <c r="G21" i="284"/>
  <c r="G27" i="284"/>
  <c r="A3" i="284"/>
  <c r="A1" i="284"/>
  <c r="G24" i="283"/>
  <c r="G23" i="283"/>
  <c r="G22" i="283"/>
  <c r="G21" i="283"/>
  <c r="G27" i="283"/>
  <c r="A3" i="283"/>
  <c r="A1" i="283"/>
  <c r="N38" i="153"/>
  <c r="N37" i="153"/>
  <c r="G22" i="282"/>
  <c r="G21" i="282"/>
  <c r="G30" i="282"/>
  <c r="A3" i="282"/>
  <c r="A1" i="282"/>
  <c r="B471" i="189"/>
  <c r="B473" i="189" s="1"/>
  <c r="N50" i="153"/>
  <c r="R50" i="153" s="1"/>
  <c r="G30" i="283"/>
  <c r="D627" i="189"/>
  <c r="G50" i="153"/>
  <c r="G52" i="153"/>
  <c r="G39" i="287"/>
  <c r="G11" i="287"/>
  <c r="G16" i="287"/>
  <c r="G42" i="287"/>
  <c r="G39" i="286"/>
  <c r="O52" i="153"/>
  <c r="G39" i="285"/>
  <c r="G39" i="284"/>
  <c r="G30" i="284"/>
  <c r="G39" i="283"/>
  <c r="G11" i="283"/>
  <c r="G16" i="283"/>
  <c r="G39" i="282"/>
  <c r="G11" i="282"/>
  <c r="G16" i="282"/>
  <c r="G42" i="282"/>
  <c r="H50" i="153"/>
  <c r="H108" i="153"/>
  <c r="I108" i="153"/>
  <c r="G11" i="286"/>
  <c r="G11" i="285"/>
  <c r="G16" i="285"/>
  <c r="G42" i="285"/>
  <c r="G11" i="284"/>
  <c r="G16" i="284"/>
  <c r="G42" i="284"/>
  <c r="G42" i="283"/>
  <c r="H51" i="153"/>
  <c r="G16" i="286"/>
  <c r="G42" i="286"/>
  <c r="H38" i="153"/>
  <c r="I38" i="153" s="1"/>
  <c r="G40" i="319" s="1"/>
  <c r="H37" i="153"/>
  <c r="H52" i="153"/>
  <c r="E23" i="281"/>
  <c r="G23" i="281"/>
  <c r="E22" i="281"/>
  <c r="G22" i="281"/>
  <c r="G21" i="281"/>
  <c r="A3" i="281"/>
  <c r="A1" i="281"/>
  <c r="E23" i="188"/>
  <c r="E23" i="254"/>
  <c r="E23" i="102"/>
  <c r="B467" i="189"/>
  <c r="B469" i="189" s="1"/>
  <c r="C469" i="189"/>
  <c r="N49" i="153"/>
  <c r="T49" i="153"/>
  <c r="G21" i="280"/>
  <c r="G30" i="280"/>
  <c r="A3" i="280"/>
  <c r="A1" i="280"/>
  <c r="G21" i="279"/>
  <c r="G30" i="279"/>
  <c r="A3" i="279"/>
  <c r="A1" i="279"/>
  <c r="G21" i="278"/>
  <c r="G30" i="278"/>
  <c r="A3" i="278"/>
  <c r="A1" i="278"/>
  <c r="G21" i="277"/>
  <c r="G30" i="277"/>
  <c r="A3" i="277"/>
  <c r="A1" i="277"/>
  <c r="G21" i="276"/>
  <c r="G30" i="276"/>
  <c r="A3" i="276"/>
  <c r="A1" i="276"/>
  <c r="G21" i="275"/>
  <c r="G30" i="275"/>
  <c r="A3" i="275"/>
  <c r="A1" i="275"/>
  <c r="G21" i="274"/>
  <c r="G30" i="274"/>
  <c r="A3" i="274"/>
  <c r="A1" i="274"/>
  <c r="G21" i="273"/>
  <c r="G30" i="273"/>
  <c r="A3" i="273"/>
  <c r="A1" i="273"/>
  <c r="G21" i="272"/>
  <c r="G30" i="272"/>
  <c r="A3" i="272"/>
  <c r="A1" i="272"/>
  <c r="G21" i="271"/>
  <c r="G30" i="271"/>
  <c r="A3" i="271"/>
  <c r="A1" i="271"/>
  <c r="G21" i="270"/>
  <c r="G30" i="270"/>
  <c r="G39" i="270"/>
  <c r="G11" i="270"/>
  <c r="G16" i="270"/>
  <c r="G42" i="270"/>
  <c r="A3" i="270"/>
  <c r="A1" i="270"/>
  <c r="G21" i="269"/>
  <c r="G30" i="269"/>
  <c r="G39" i="269"/>
  <c r="G11" i="269"/>
  <c r="G16" i="269"/>
  <c r="G42" i="269"/>
  <c r="A3" i="269"/>
  <c r="A1" i="269"/>
  <c r="G21" i="268"/>
  <c r="G30" i="268"/>
  <c r="G39" i="268"/>
  <c r="G11" i="268"/>
  <c r="G16" i="268"/>
  <c r="G42" i="268"/>
  <c r="A3" i="268"/>
  <c r="A1" i="268"/>
  <c r="G21" i="267"/>
  <c r="G30" i="267"/>
  <c r="G39" i="267"/>
  <c r="G11" i="267"/>
  <c r="G16" i="267"/>
  <c r="G42" i="267"/>
  <c r="A3" i="267"/>
  <c r="A1" i="267"/>
  <c r="G21" i="266"/>
  <c r="G30" i="266"/>
  <c r="G39" i="266"/>
  <c r="G11" i="266"/>
  <c r="G16" i="266"/>
  <c r="G42" i="266"/>
  <c r="A3" i="266"/>
  <c r="A1" i="266"/>
  <c r="G21" i="265"/>
  <c r="G30" i="265"/>
  <c r="G39" i="265"/>
  <c r="G11" i="265"/>
  <c r="G16" i="265"/>
  <c r="G42" i="265"/>
  <c r="A3" i="265"/>
  <c r="A1" i="265"/>
  <c r="G21" i="264"/>
  <c r="G30" i="264"/>
  <c r="G39" i="264"/>
  <c r="G11" i="264"/>
  <c r="G16" i="264"/>
  <c r="G42" i="264"/>
  <c r="A3" i="264"/>
  <c r="A1" i="264"/>
  <c r="G21" i="263"/>
  <c r="G30" i="263"/>
  <c r="A3" i="263"/>
  <c r="A1" i="263"/>
  <c r="G21" i="262"/>
  <c r="G30" i="262"/>
  <c r="G39" i="262"/>
  <c r="G11" i="262"/>
  <c r="G16" i="262"/>
  <c r="G42" i="262"/>
  <c r="A3" i="262"/>
  <c r="A1" i="262"/>
  <c r="G21" i="261"/>
  <c r="G30" i="261"/>
  <c r="G39" i="261"/>
  <c r="G11" i="261"/>
  <c r="G16" i="261"/>
  <c r="G42" i="261"/>
  <c r="A3" i="261"/>
  <c r="A1" i="261"/>
  <c r="G21" i="260"/>
  <c r="G30" i="260"/>
  <c r="G39" i="260"/>
  <c r="G11" i="260"/>
  <c r="G16" i="260"/>
  <c r="G42" i="260"/>
  <c r="A3" i="260"/>
  <c r="A1" i="260"/>
  <c r="G21" i="259"/>
  <c r="G30" i="259"/>
  <c r="A3" i="259"/>
  <c r="A1" i="259"/>
  <c r="G21" i="258"/>
  <c r="G30" i="258"/>
  <c r="G39" i="258"/>
  <c r="G11" i="258"/>
  <c r="G16" i="258"/>
  <c r="G42" i="258"/>
  <c r="A3" i="258"/>
  <c r="A1" i="258"/>
  <c r="G23" i="257"/>
  <c r="G21" i="257"/>
  <c r="F12" i="257"/>
  <c r="A3" i="257"/>
  <c r="A1" i="257"/>
  <c r="G21" i="256"/>
  <c r="G30" i="256"/>
  <c r="A3" i="256"/>
  <c r="A1" i="256"/>
  <c r="F12" i="255"/>
  <c r="G12" i="255"/>
  <c r="G23" i="255"/>
  <c r="G22" i="255"/>
  <c r="G21" i="255"/>
  <c r="A3" i="255"/>
  <c r="A1" i="255"/>
  <c r="B322" i="189"/>
  <c r="B326" i="189" s="1"/>
  <c r="G39" i="276"/>
  <c r="G11" i="276"/>
  <c r="G16" i="276"/>
  <c r="G42" i="276"/>
  <c r="G39" i="278"/>
  <c r="G11" i="278"/>
  <c r="G16" i="278"/>
  <c r="G42" i="278"/>
  <c r="G39" i="279"/>
  <c r="G11" i="279"/>
  <c r="G16" i="279"/>
  <c r="G42" i="279"/>
  <c r="G39" i="263"/>
  <c r="G40" i="257"/>
  <c r="G30" i="257"/>
  <c r="G49" i="153"/>
  <c r="G30" i="281"/>
  <c r="G39" i="280"/>
  <c r="G39" i="277"/>
  <c r="G39" i="275"/>
  <c r="G11" i="275"/>
  <c r="G16" i="275"/>
  <c r="G42" i="275"/>
  <c r="G39" i="274"/>
  <c r="G39" i="273"/>
  <c r="G39" i="272"/>
  <c r="G39" i="271"/>
  <c r="G39" i="259"/>
  <c r="G12" i="257"/>
  <c r="G11" i="257"/>
  <c r="G16" i="257"/>
  <c r="G43" i="257"/>
  <c r="G40" i="256"/>
  <c r="G11" i="256"/>
  <c r="G40" i="255"/>
  <c r="G30" i="255"/>
  <c r="C326" i="189"/>
  <c r="O87" i="319"/>
  <c r="P86" i="319"/>
  <c r="O93" i="319"/>
  <c r="N81" i="319"/>
  <c r="H94" i="153"/>
  <c r="H93" i="153"/>
  <c r="H91" i="153"/>
  <c r="H90" i="153"/>
  <c r="G21" i="153"/>
  <c r="G11" i="280"/>
  <c r="G16" i="280"/>
  <c r="G42" i="280"/>
  <c r="G11" i="277"/>
  <c r="G16" i="277"/>
  <c r="G42" i="277"/>
  <c r="G11" i="274"/>
  <c r="G16" i="274"/>
  <c r="G42" i="274"/>
  <c r="G11" i="273"/>
  <c r="G16" i="273"/>
  <c r="G42" i="273"/>
  <c r="G11" i="272"/>
  <c r="G16" i="272"/>
  <c r="G42" i="272"/>
  <c r="G11" i="271"/>
  <c r="G16" i="271"/>
  <c r="G42" i="271"/>
  <c r="G11" i="263"/>
  <c r="G16" i="263"/>
  <c r="G42" i="263"/>
  <c r="G11" i="259"/>
  <c r="G16" i="259"/>
  <c r="G42" i="259"/>
  <c r="G16" i="256"/>
  <c r="G43" i="256"/>
  <c r="G11" i="255"/>
  <c r="G16" i="255"/>
  <c r="G43" i="255"/>
  <c r="N21" i="153"/>
  <c r="S21" i="153" s="1"/>
  <c r="B463" i="189"/>
  <c r="B465" i="189"/>
  <c r="C465" i="189"/>
  <c r="G23" i="254"/>
  <c r="G22" i="254"/>
  <c r="G21" i="254"/>
  <c r="G30" i="254"/>
  <c r="A3" i="254"/>
  <c r="A1" i="254"/>
  <c r="B454" i="189"/>
  <c r="B456" i="189" s="1"/>
  <c r="C456" i="189"/>
  <c r="N46" i="153"/>
  <c r="O46" i="153" s="1"/>
  <c r="B450" i="189"/>
  <c r="B452" i="189" s="1"/>
  <c r="C452" i="189"/>
  <c r="B446" i="189"/>
  <c r="B448" i="189" s="1"/>
  <c r="C448" i="189"/>
  <c r="B458" i="189"/>
  <c r="B461" i="189"/>
  <c r="C477" i="189"/>
  <c r="B414" i="189"/>
  <c r="B444" i="189" s="1"/>
  <c r="B412" i="189"/>
  <c r="F25" i="253"/>
  <c r="G25" i="253"/>
  <c r="P10" i="253"/>
  <c r="Q10" i="253"/>
  <c r="P11" i="253"/>
  <c r="Q11" i="253"/>
  <c r="O12" i="253"/>
  <c r="P12" i="253"/>
  <c r="Q12" i="253"/>
  <c r="O13" i="253"/>
  <c r="P13" i="253"/>
  <c r="Q13" i="253"/>
  <c r="O14" i="253"/>
  <c r="P14" i="253"/>
  <c r="Q14" i="253"/>
  <c r="O15" i="253"/>
  <c r="P15" i="253"/>
  <c r="Q15" i="253"/>
  <c r="O16" i="253"/>
  <c r="P16" i="253"/>
  <c r="Q16" i="253"/>
  <c r="O18" i="253"/>
  <c r="P18" i="253"/>
  <c r="Q18" i="253"/>
  <c r="O20" i="253"/>
  <c r="P20" i="253"/>
  <c r="Q20" i="253"/>
  <c r="O21" i="253"/>
  <c r="P21" i="253"/>
  <c r="Q21" i="253"/>
  <c r="O22" i="253"/>
  <c r="P22" i="253"/>
  <c r="Q22" i="253"/>
  <c r="O23" i="253"/>
  <c r="P23" i="253"/>
  <c r="Q23" i="253"/>
  <c r="O24" i="253"/>
  <c r="P24" i="253"/>
  <c r="Q24" i="253"/>
  <c r="P25" i="253"/>
  <c r="Q25" i="253"/>
  <c r="P26" i="253"/>
  <c r="Q26" i="253"/>
  <c r="Q27" i="253"/>
  <c r="E28" i="253"/>
  <c r="E23" i="253"/>
  <c r="G26" i="253"/>
  <c r="E22" i="253"/>
  <c r="E21" i="253"/>
  <c r="G24" i="253"/>
  <c r="A3" i="253"/>
  <c r="A1" i="253"/>
  <c r="H87" i="153"/>
  <c r="I87" i="153" s="1"/>
  <c r="H88" i="153"/>
  <c r="I88" i="153" s="1"/>
  <c r="G90" i="319" s="1"/>
  <c r="Q90" i="319" s="1"/>
  <c r="N82" i="319"/>
  <c r="P88" i="319"/>
  <c r="N94" i="319"/>
  <c r="N83" i="319"/>
  <c r="N97" i="319"/>
  <c r="O97" i="319"/>
  <c r="N80" i="319"/>
  <c r="H95" i="153"/>
  <c r="H92" i="153"/>
  <c r="H89" i="153"/>
  <c r="I89" i="153" s="1"/>
  <c r="G91" i="319" s="1"/>
  <c r="R91" i="319" s="1"/>
  <c r="H86" i="153"/>
  <c r="H78" i="153"/>
  <c r="I78" i="153" s="1"/>
  <c r="G45" i="153"/>
  <c r="G46" i="153"/>
  <c r="G51" i="153"/>
  <c r="G47" i="153"/>
  <c r="G44" i="153"/>
  <c r="H74" i="153"/>
  <c r="G39" i="253"/>
  <c r="N107" i="153"/>
  <c r="G11" i="253"/>
  <c r="G16" i="253"/>
  <c r="G43" i="153"/>
  <c r="O13" i="153"/>
  <c r="P13" i="153"/>
  <c r="Q13" i="153"/>
  <c r="R13" i="153"/>
  <c r="S13" i="153"/>
  <c r="T13" i="153"/>
  <c r="U13" i="153"/>
  <c r="V13" i="153"/>
  <c r="W13" i="153"/>
  <c r="X13" i="153"/>
  <c r="O14" i="153"/>
  <c r="P14" i="153"/>
  <c r="Q14" i="153"/>
  <c r="R14" i="153"/>
  <c r="S14" i="153"/>
  <c r="T14" i="153"/>
  <c r="U14" i="153"/>
  <c r="V14" i="153"/>
  <c r="W14" i="153"/>
  <c r="X14" i="153"/>
  <c r="O22" i="153"/>
  <c r="P22" i="153"/>
  <c r="Q22" i="153"/>
  <c r="R22" i="153"/>
  <c r="S22" i="153"/>
  <c r="T22" i="153"/>
  <c r="U22" i="153"/>
  <c r="V22" i="153"/>
  <c r="W22" i="153"/>
  <c r="X22" i="153"/>
  <c r="O23" i="153"/>
  <c r="P23" i="153"/>
  <c r="Q23" i="153"/>
  <c r="R23" i="153"/>
  <c r="S23" i="153"/>
  <c r="T23" i="153"/>
  <c r="U23" i="153"/>
  <c r="V23" i="153"/>
  <c r="W23" i="153"/>
  <c r="X23" i="153"/>
  <c r="O29" i="153"/>
  <c r="P29" i="153"/>
  <c r="Q29" i="153"/>
  <c r="R29" i="153"/>
  <c r="S29" i="153"/>
  <c r="T29" i="153"/>
  <c r="U29" i="153"/>
  <c r="V29" i="153"/>
  <c r="W29" i="153"/>
  <c r="X29" i="153"/>
  <c r="O30" i="153"/>
  <c r="P30" i="153"/>
  <c r="Q30" i="153"/>
  <c r="R30" i="153"/>
  <c r="S30" i="153"/>
  <c r="T30" i="153"/>
  <c r="U30" i="153"/>
  <c r="V30" i="153"/>
  <c r="W30" i="153"/>
  <c r="X30" i="153"/>
  <c r="O41" i="153"/>
  <c r="P41" i="153"/>
  <c r="Q41" i="153"/>
  <c r="R41" i="153"/>
  <c r="S41" i="153"/>
  <c r="T41" i="153"/>
  <c r="U41" i="153"/>
  <c r="V41" i="153"/>
  <c r="W41" i="153"/>
  <c r="X41" i="153"/>
  <c r="O42" i="153"/>
  <c r="P42" i="153"/>
  <c r="Q42" i="153"/>
  <c r="R42" i="153"/>
  <c r="S42" i="153"/>
  <c r="T42" i="153"/>
  <c r="U42" i="153"/>
  <c r="V42" i="153"/>
  <c r="W42" i="153"/>
  <c r="X42" i="153"/>
  <c r="O53" i="153"/>
  <c r="P53" i="153"/>
  <c r="Q53" i="153"/>
  <c r="R53" i="153"/>
  <c r="S53" i="153"/>
  <c r="T53" i="153"/>
  <c r="U53" i="153"/>
  <c r="V53" i="153"/>
  <c r="W53" i="153"/>
  <c r="X53" i="153"/>
  <c r="O54" i="153"/>
  <c r="P54" i="153"/>
  <c r="Q54" i="153"/>
  <c r="R54" i="153"/>
  <c r="S54" i="153"/>
  <c r="T54" i="153"/>
  <c r="U54" i="153"/>
  <c r="V54" i="153"/>
  <c r="W54" i="153"/>
  <c r="X54" i="153"/>
  <c r="O55" i="153"/>
  <c r="P55" i="153"/>
  <c r="Q55" i="153"/>
  <c r="R55" i="153"/>
  <c r="S55" i="153"/>
  <c r="T55" i="153"/>
  <c r="U55" i="153"/>
  <c r="V55" i="153"/>
  <c r="W55" i="153"/>
  <c r="X55" i="153"/>
  <c r="O72" i="153"/>
  <c r="P72" i="153"/>
  <c r="Q72" i="153"/>
  <c r="R72" i="153"/>
  <c r="S72" i="153"/>
  <c r="T72" i="153"/>
  <c r="U72" i="153"/>
  <c r="V72" i="153"/>
  <c r="W72" i="153"/>
  <c r="X72" i="153"/>
  <c r="O119" i="153"/>
  <c r="P119" i="153"/>
  <c r="Q119" i="153"/>
  <c r="R119" i="153"/>
  <c r="S119" i="153"/>
  <c r="T119" i="153"/>
  <c r="U119" i="153"/>
  <c r="V119" i="153"/>
  <c r="W119" i="153"/>
  <c r="X119" i="153"/>
  <c r="N119" i="153"/>
  <c r="N127" i="153"/>
  <c r="N128" i="153"/>
  <c r="N13" i="153"/>
  <c r="N11" i="153"/>
  <c r="N14" i="153"/>
  <c r="N15" i="153"/>
  <c r="Q15" i="153" s="1"/>
  <c r="S15" i="153"/>
  <c r="N16" i="153"/>
  <c r="N17" i="153"/>
  <c r="T17" i="153" s="1"/>
  <c r="N18" i="153"/>
  <c r="T18" i="153" s="1"/>
  <c r="N19" i="153"/>
  <c r="N20" i="153"/>
  <c r="O20" i="153" s="1"/>
  <c r="N22" i="153"/>
  <c r="N23" i="153"/>
  <c r="N24" i="153"/>
  <c r="N25" i="153"/>
  <c r="W25" i="153"/>
  <c r="N26" i="153"/>
  <c r="X26" i="153" s="1"/>
  <c r="N29" i="153"/>
  <c r="N30" i="153"/>
  <c r="N31" i="153"/>
  <c r="N32" i="153"/>
  <c r="P32" i="153" s="1"/>
  <c r="N33" i="153"/>
  <c r="V33" i="153" s="1"/>
  <c r="N34" i="153"/>
  <c r="N35" i="153"/>
  <c r="N36" i="153"/>
  <c r="W36" i="153" s="1"/>
  <c r="N39" i="153"/>
  <c r="U39" i="153" s="1"/>
  <c r="N41" i="153"/>
  <c r="N42" i="153"/>
  <c r="N43" i="153"/>
  <c r="U43" i="153" s="1"/>
  <c r="N44" i="153"/>
  <c r="V44" i="153" s="1"/>
  <c r="N45" i="153"/>
  <c r="N47" i="153"/>
  <c r="O47" i="153" s="1"/>
  <c r="N48" i="153"/>
  <c r="N53" i="153"/>
  <c r="N54" i="153"/>
  <c r="N55" i="153"/>
  <c r="N56" i="153"/>
  <c r="U56" i="153" s="1"/>
  <c r="N57" i="153"/>
  <c r="N58" i="153"/>
  <c r="N59" i="153"/>
  <c r="W59" i="153"/>
  <c r="N60" i="153"/>
  <c r="N61" i="153"/>
  <c r="V61" i="153" s="1"/>
  <c r="N62" i="153"/>
  <c r="V62" i="153" s="1"/>
  <c r="N63" i="153"/>
  <c r="N64" i="153"/>
  <c r="U64" i="153" s="1"/>
  <c r="N65" i="153"/>
  <c r="N66" i="153"/>
  <c r="N67" i="153"/>
  <c r="N68" i="153"/>
  <c r="V68" i="153" s="1"/>
  <c r="N69" i="153"/>
  <c r="N70" i="153"/>
  <c r="N71" i="153"/>
  <c r="N72" i="153"/>
  <c r="N73" i="153"/>
  <c r="N74" i="153"/>
  <c r="N75" i="153"/>
  <c r="T75" i="153"/>
  <c r="N76" i="153"/>
  <c r="N77" i="153"/>
  <c r="T77" i="153" s="1"/>
  <c r="N78" i="153"/>
  <c r="N79" i="153"/>
  <c r="N80" i="153"/>
  <c r="O80" i="153" s="1"/>
  <c r="N81" i="153"/>
  <c r="U81" i="153"/>
  <c r="N82" i="153"/>
  <c r="T82" i="153" s="1"/>
  <c r="N83" i="153"/>
  <c r="U83" i="153" s="1"/>
  <c r="N84" i="153"/>
  <c r="N85" i="153"/>
  <c r="N86" i="153"/>
  <c r="O86" i="153" s="1"/>
  <c r="N87" i="153"/>
  <c r="N88" i="153"/>
  <c r="N89" i="153"/>
  <c r="N90" i="153"/>
  <c r="N91" i="153"/>
  <c r="V91" i="153" s="1"/>
  <c r="N92" i="153"/>
  <c r="N93" i="153"/>
  <c r="T93" i="153"/>
  <c r="N94" i="153"/>
  <c r="N95" i="153"/>
  <c r="N101" i="153"/>
  <c r="U101" i="153"/>
  <c r="N102" i="153"/>
  <c r="N103" i="153"/>
  <c r="T103" i="153"/>
  <c r="N104" i="153"/>
  <c r="N105" i="153"/>
  <c r="N106" i="153"/>
  <c r="U106" i="153" s="1"/>
  <c r="W106" i="153"/>
  <c r="N108" i="153"/>
  <c r="R15" i="153"/>
  <c r="X15" i="153"/>
  <c r="U15" i="153"/>
  <c r="V103" i="153"/>
  <c r="W103" i="153"/>
  <c r="X103" i="153"/>
  <c r="V106" i="153"/>
  <c r="O78" i="153"/>
  <c r="X93" i="153"/>
  <c r="W81" i="153"/>
  <c r="V81" i="153"/>
  <c r="X77" i="153"/>
  <c r="X95" i="153"/>
  <c r="U58" i="153"/>
  <c r="X58" i="153"/>
  <c r="V58" i="153"/>
  <c r="S58" i="153"/>
  <c r="W58" i="153"/>
  <c r="T58" i="153"/>
  <c r="W57" i="153"/>
  <c r="T62" i="153"/>
  <c r="S62" i="153"/>
  <c r="T61" i="153"/>
  <c r="U48" i="153"/>
  <c r="S45" i="153"/>
  <c r="X39" i="153"/>
  <c r="Q34" i="153"/>
  <c r="U34" i="153"/>
  <c r="T34" i="153"/>
  <c r="X34" i="153"/>
  <c r="R34" i="153"/>
  <c r="V34" i="153"/>
  <c r="S34" i="153"/>
  <c r="W34" i="153"/>
  <c r="W33" i="153"/>
  <c r="O25" i="153"/>
  <c r="V24" i="153"/>
  <c r="P24" i="153"/>
  <c r="O24" i="153"/>
  <c r="W24" i="153"/>
  <c r="X24" i="153"/>
  <c r="Q18" i="153"/>
  <c r="G24" i="252"/>
  <c r="E22" i="252"/>
  <c r="E23" i="252"/>
  <c r="A3" i="252"/>
  <c r="A1" i="252"/>
  <c r="G24" i="251"/>
  <c r="A3" i="251"/>
  <c r="A1" i="251"/>
  <c r="A3" i="250"/>
  <c r="A1" i="250"/>
  <c r="A3" i="249"/>
  <c r="A1" i="249"/>
  <c r="E21" i="248"/>
  <c r="E26" i="248"/>
  <c r="E24" i="248"/>
  <c r="E22" i="248"/>
  <c r="E23" i="248"/>
  <c r="E26" i="247"/>
  <c r="E23" i="247"/>
  <c r="G22" i="247"/>
  <c r="F25" i="248"/>
  <c r="G25" i="248"/>
  <c r="F24" i="248"/>
  <c r="G24" i="248"/>
  <c r="A3" i="248"/>
  <c r="A1" i="248"/>
  <c r="F24" i="247"/>
  <c r="E24" i="247"/>
  <c r="F25" i="247"/>
  <c r="G25" i="247"/>
  <c r="G24" i="247"/>
  <c r="A3" i="247"/>
  <c r="A1" i="247"/>
  <c r="G30" i="245"/>
  <c r="A3" i="245"/>
  <c r="A1" i="245"/>
  <c r="F14" i="244"/>
  <c r="G14" i="244"/>
  <c r="I14" i="244"/>
  <c r="F13" i="244"/>
  <c r="G13" i="244"/>
  <c r="I13" i="244"/>
  <c r="G12" i="244"/>
  <c r="I12" i="244"/>
  <c r="A3" i="244"/>
  <c r="A1" i="244"/>
  <c r="A3" i="242"/>
  <c r="A1" i="242"/>
  <c r="G26" i="241"/>
  <c r="F12" i="241"/>
  <c r="G12" i="241"/>
  <c r="G16" i="241"/>
  <c r="A3" i="241"/>
  <c r="A1" i="241"/>
  <c r="D397" i="189"/>
  <c r="B397" i="189"/>
  <c r="E22" i="240"/>
  <c r="G22" i="240"/>
  <c r="I35" i="240"/>
  <c r="H22" i="240"/>
  <c r="A3" i="240"/>
  <c r="A1" i="240"/>
  <c r="B381" i="189"/>
  <c r="B389" i="189" s="1"/>
  <c r="A3" i="238"/>
  <c r="A1" i="238"/>
  <c r="B391" i="189"/>
  <c r="B395" i="189"/>
  <c r="G23" i="238"/>
  <c r="G22" i="238"/>
  <c r="F12" i="238"/>
  <c r="G12" i="238"/>
  <c r="G39" i="240"/>
  <c r="G11" i="240"/>
  <c r="G16" i="240"/>
  <c r="G40" i="241"/>
  <c r="G39" i="245"/>
  <c r="G11" i="245"/>
  <c r="G16" i="245"/>
  <c r="G42" i="245"/>
  <c r="G35" i="153"/>
  <c r="G39" i="249"/>
  <c r="G11" i="249"/>
  <c r="G16" i="249"/>
  <c r="G39" i="252"/>
  <c r="G11" i="252"/>
  <c r="G16" i="252"/>
  <c r="G39" i="251"/>
  <c r="G11" i="251"/>
  <c r="G16" i="251"/>
  <c r="G39" i="250"/>
  <c r="G11" i="250"/>
  <c r="G16" i="250"/>
  <c r="G39" i="248"/>
  <c r="G11" i="248"/>
  <c r="G16" i="248"/>
  <c r="G22" i="248"/>
  <c r="G39" i="247"/>
  <c r="G39" i="238"/>
  <c r="G11" i="238"/>
  <c r="G16" i="238"/>
  <c r="G11" i="247"/>
  <c r="G16" i="247"/>
  <c r="G22" i="242"/>
  <c r="B184" i="189"/>
  <c r="B203" i="189" s="1"/>
  <c r="D203" i="189"/>
  <c r="G21" i="235"/>
  <c r="G30" i="235"/>
  <c r="G39" i="235"/>
  <c r="G11" i="235"/>
  <c r="G16" i="235"/>
  <c r="G42" i="235"/>
  <c r="G21" i="234"/>
  <c r="G30" i="234"/>
  <c r="G39" i="234"/>
  <c r="G11" i="234"/>
  <c r="G16" i="234"/>
  <c r="G42" i="234"/>
  <c r="G21" i="233"/>
  <c r="G30" i="233"/>
  <c r="G39" i="233"/>
  <c r="G11" i="233"/>
  <c r="G16" i="233"/>
  <c r="G42" i="233"/>
  <c r="G21" i="232"/>
  <c r="G30" i="232"/>
  <c r="G39" i="232"/>
  <c r="G11" i="232"/>
  <c r="G16" i="232"/>
  <c r="G42" i="232"/>
  <c r="G21" i="231"/>
  <c r="G30" i="231"/>
  <c r="G39" i="231"/>
  <c r="G11" i="231"/>
  <c r="G16" i="231"/>
  <c r="G42" i="231"/>
  <c r="G21" i="230"/>
  <c r="G30" i="230"/>
  <c r="G39" i="230"/>
  <c r="G11" i="230"/>
  <c r="G16" i="230"/>
  <c r="G42" i="230"/>
  <c r="G21" i="229"/>
  <c r="G30" i="229"/>
  <c r="G39" i="229"/>
  <c r="G11" i="229"/>
  <c r="G16" i="229"/>
  <c r="G42" i="229"/>
  <c r="G21" i="228"/>
  <c r="G21" i="227"/>
  <c r="G30" i="227"/>
  <c r="G39" i="227"/>
  <c r="G11" i="227"/>
  <c r="G16" i="227"/>
  <c r="G42" i="227"/>
  <c r="G21" i="226"/>
  <c r="G21" i="225"/>
  <c r="G30" i="225"/>
  <c r="G39" i="225"/>
  <c r="G11" i="225"/>
  <c r="G16" i="225"/>
  <c r="G42" i="225"/>
  <c r="G21" i="224"/>
  <c r="G30" i="224"/>
  <c r="G39" i="224"/>
  <c r="G11" i="224"/>
  <c r="G16" i="224"/>
  <c r="G42" i="224"/>
  <c r="G21" i="223"/>
  <c r="G30" i="223"/>
  <c r="G39" i="223"/>
  <c r="G11" i="223"/>
  <c r="G16" i="223"/>
  <c r="G42" i="223"/>
  <c r="G21" i="222"/>
  <c r="E39" i="159"/>
  <c r="E38" i="159"/>
  <c r="J33" i="159"/>
  <c r="F24" i="159"/>
  <c r="C3" i="159"/>
  <c r="C540" i="189"/>
  <c r="C541" i="189"/>
  <c r="A3" i="235"/>
  <c r="A1" i="235"/>
  <c r="A3" i="234"/>
  <c r="A1" i="234"/>
  <c r="A3" i="233"/>
  <c r="A1" i="233"/>
  <c r="A3" i="232"/>
  <c r="A1" i="232"/>
  <c r="A3" i="231"/>
  <c r="A1" i="231"/>
  <c r="A3" i="230"/>
  <c r="A1" i="230"/>
  <c r="D66" i="153"/>
  <c r="D527" i="189"/>
  <c r="A3" i="229"/>
  <c r="A1" i="229"/>
  <c r="A3" i="228"/>
  <c r="A1" i="228"/>
  <c r="A3" i="227"/>
  <c r="A1" i="227"/>
  <c r="A3" i="226"/>
  <c r="A1" i="226"/>
  <c r="A3" i="225"/>
  <c r="A1" i="225"/>
  <c r="A3" i="224"/>
  <c r="A1" i="224"/>
  <c r="A3" i="223"/>
  <c r="A1" i="223"/>
  <c r="A3" i="222"/>
  <c r="A1" i="222"/>
  <c r="C548" i="189"/>
  <c r="C549" i="189"/>
  <c r="C544" i="189"/>
  <c r="C545" i="189"/>
  <c r="C536" i="189"/>
  <c r="C537" i="189"/>
  <c r="C532" i="189"/>
  <c r="C533" i="189"/>
  <c r="C528" i="189"/>
  <c r="C529" i="189"/>
  <c r="C524" i="189"/>
  <c r="C525" i="189"/>
  <c r="C521" i="189"/>
  <c r="C516" i="189"/>
  <c r="C517" i="189"/>
  <c r="C512" i="189"/>
  <c r="C513" i="189"/>
  <c r="C508" i="189"/>
  <c r="C509" i="189"/>
  <c r="C505" i="189"/>
  <c r="C501" i="189"/>
  <c r="C496" i="189"/>
  <c r="C497" i="189"/>
  <c r="B547" i="189"/>
  <c r="B543" i="189"/>
  <c r="B539" i="189"/>
  <c r="B535" i="189"/>
  <c r="B537" i="189" s="1"/>
  <c r="B531" i="189"/>
  <c r="B527" i="189"/>
  <c r="D523" i="189"/>
  <c r="B523" i="189"/>
  <c r="B524" i="189" s="1"/>
  <c r="B519" i="189"/>
  <c r="B515" i="189"/>
  <c r="B517" i="189" s="1"/>
  <c r="B511" i="189"/>
  <c r="B507" i="189"/>
  <c r="B509" i="189" s="1"/>
  <c r="B503" i="189"/>
  <c r="B504" i="189" s="1"/>
  <c r="D549" i="189"/>
  <c r="D545" i="189"/>
  <c r="D541" i="189"/>
  <c r="D537" i="189"/>
  <c r="D533" i="189"/>
  <c r="D529" i="189"/>
  <c r="D525" i="189"/>
  <c r="D521" i="189"/>
  <c r="D517" i="189"/>
  <c r="D513" i="189"/>
  <c r="D509" i="189"/>
  <c r="D505" i="189"/>
  <c r="B499" i="189"/>
  <c r="B501" i="189" s="1"/>
  <c r="B500" i="189"/>
  <c r="D501" i="189"/>
  <c r="B495" i="189"/>
  <c r="D497" i="189"/>
  <c r="C493" i="189"/>
  <c r="C488" i="189"/>
  <c r="C489" i="189"/>
  <c r="B491" i="189"/>
  <c r="B493" i="189" s="1"/>
  <c r="B492" i="189"/>
  <c r="D493" i="189"/>
  <c r="B487" i="189"/>
  <c r="B486" i="189"/>
  <c r="D489" i="189"/>
  <c r="G21" i="221"/>
  <c r="G12" i="221"/>
  <c r="A3" i="221"/>
  <c r="A1" i="221"/>
  <c r="G56" i="153"/>
  <c r="C320" i="189"/>
  <c r="B282" i="189"/>
  <c r="B278" i="189"/>
  <c r="B276" i="189"/>
  <c r="C284" i="189"/>
  <c r="B314" i="189"/>
  <c r="B320" i="189"/>
  <c r="B319" i="189"/>
  <c r="C303" i="189"/>
  <c r="C312" i="189"/>
  <c r="B303" i="189"/>
  <c r="B267" i="189"/>
  <c r="G60" i="153"/>
  <c r="G64" i="153"/>
  <c r="G68" i="153"/>
  <c r="I68" i="153" s="1"/>
  <c r="Q68" i="153" s="1"/>
  <c r="G61" i="153"/>
  <c r="G65" i="153"/>
  <c r="G70" i="153"/>
  <c r="G58" i="153"/>
  <c r="I58" i="153" s="1"/>
  <c r="G62" i="153"/>
  <c r="G66" i="153"/>
  <c r="G71" i="153"/>
  <c r="G59" i="153"/>
  <c r="G63" i="153"/>
  <c r="G67" i="153"/>
  <c r="G69" i="153"/>
  <c r="J28" i="159"/>
  <c r="J30" i="159"/>
  <c r="J29" i="159"/>
  <c r="G20" i="153"/>
  <c r="D77" i="153"/>
  <c r="D78" i="153" s="1"/>
  <c r="D79" i="153" s="1"/>
  <c r="D80" i="153" s="1"/>
  <c r="D81" i="153" s="1"/>
  <c r="D82" i="153" s="1"/>
  <c r="D83" i="153" s="1"/>
  <c r="D84" i="153" s="1"/>
  <c r="D85" i="153" s="1"/>
  <c r="D102" i="153"/>
  <c r="C374" i="189"/>
  <c r="G39" i="221"/>
  <c r="G11" i="221"/>
  <c r="G16" i="221"/>
  <c r="G39" i="228"/>
  <c r="G30" i="226"/>
  <c r="G30" i="228"/>
  <c r="G11" i="228"/>
  <c r="G16" i="228"/>
  <c r="G42" i="228"/>
  <c r="G39" i="226"/>
  <c r="G11" i="226"/>
  <c r="G30" i="222"/>
  <c r="G39" i="222"/>
  <c r="G11" i="222"/>
  <c r="G30" i="221"/>
  <c r="C282" i="189"/>
  <c r="G33" i="153"/>
  <c r="G11" i="153"/>
  <c r="J15" i="159"/>
  <c r="D87" i="153"/>
  <c r="D88" i="153" s="1"/>
  <c r="D89" i="153" s="1"/>
  <c r="D90" i="153" s="1"/>
  <c r="D91" i="153" s="1"/>
  <c r="D92" i="153" s="1"/>
  <c r="D93" i="153" s="1"/>
  <c r="D94" i="153" s="1"/>
  <c r="D95" i="153" s="1"/>
  <c r="G42" i="221"/>
  <c r="G16" i="226"/>
  <c r="G42" i="226"/>
  <c r="H62" i="153"/>
  <c r="G16" i="222"/>
  <c r="G42" i="222"/>
  <c r="H58" i="153"/>
  <c r="H57" i="153"/>
  <c r="G34" i="153"/>
  <c r="B376" i="189"/>
  <c r="B379" i="189" s="1"/>
  <c r="B371" i="189"/>
  <c r="B374" i="189"/>
  <c r="B360" i="189"/>
  <c r="D444" i="189"/>
  <c r="G24" i="220"/>
  <c r="G23" i="220"/>
  <c r="G22" i="220"/>
  <c r="G12" i="220"/>
  <c r="A3" i="220"/>
  <c r="A1" i="220"/>
  <c r="D581" i="189"/>
  <c r="G39" i="220"/>
  <c r="G11" i="220"/>
  <c r="G16" i="220"/>
  <c r="G32" i="153"/>
  <c r="C363" i="189"/>
  <c r="B361" i="189"/>
  <c r="B363" i="189"/>
  <c r="G19" i="153"/>
  <c r="A1" i="115"/>
  <c r="A1" i="120"/>
  <c r="A1" i="121"/>
  <c r="A1" i="122"/>
  <c r="A1" i="123"/>
  <c r="A1" i="89"/>
  <c r="A1" i="94"/>
  <c r="A1" i="96"/>
  <c r="A1" i="166"/>
  <c r="A1" i="98"/>
  <c r="A1" i="99"/>
  <c r="A1" i="102"/>
  <c r="A1" i="188"/>
  <c r="A1" i="218"/>
  <c r="A1" i="171"/>
  <c r="A1" i="107"/>
  <c r="A1" i="217"/>
  <c r="C341" i="189"/>
  <c r="B341" i="189"/>
  <c r="D340" i="189"/>
  <c r="D335" i="189"/>
  <c r="D330" i="189"/>
  <c r="D341" i="189"/>
  <c r="B340" i="189"/>
  <c r="D336" i="189"/>
  <c r="C336" i="189"/>
  <c r="B336" i="189"/>
  <c r="B334" i="189"/>
  <c r="B337" i="189" s="1"/>
  <c r="B335" i="189"/>
  <c r="C331" i="189"/>
  <c r="B331" i="189"/>
  <c r="B330" i="189"/>
  <c r="B328" i="189"/>
  <c r="B329" i="189"/>
  <c r="B332" i="189"/>
  <c r="B299" i="189"/>
  <c r="B312" i="189" s="1"/>
  <c r="D617" i="189"/>
  <c r="D109" i="153"/>
  <c r="D585" i="189"/>
  <c r="G31" i="153"/>
  <c r="C395" i="189"/>
  <c r="C294" i="189"/>
  <c r="C295" i="189"/>
  <c r="D293" i="189"/>
  <c r="C290" i="189"/>
  <c r="D288" i="189"/>
  <c r="B288" i="189"/>
  <c r="B272" i="189"/>
  <c r="B287" i="189"/>
  <c r="B297" i="189" s="1"/>
  <c r="B270" i="189"/>
  <c r="B285" i="189"/>
  <c r="B274" i="189"/>
  <c r="B216" i="189"/>
  <c r="B229" i="189"/>
  <c r="C296" i="189"/>
  <c r="G36" i="153"/>
  <c r="B231" i="189"/>
  <c r="B268" i="189" s="1"/>
  <c r="B182" i="189"/>
  <c r="B215" i="189"/>
  <c r="B220" i="189"/>
  <c r="D218" i="189"/>
  <c r="B218" i="189"/>
  <c r="D253" i="189"/>
  <c r="B254" i="189"/>
  <c r="B250" i="189"/>
  <c r="C15" i="189"/>
  <c r="C253" i="189"/>
  <c r="C254" i="189"/>
  <c r="C268" i="189"/>
  <c r="D252" i="189"/>
  <c r="B252" i="189"/>
  <c r="B117" i="189"/>
  <c r="B209" i="189"/>
  <c r="B115" i="189"/>
  <c r="B114" i="189"/>
  <c r="B112" i="189"/>
  <c r="B208" i="189"/>
  <c r="B110" i="189"/>
  <c r="B109" i="189"/>
  <c r="C274" i="189"/>
  <c r="C285" i="189"/>
  <c r="C220" i="189"/>
  <c r="C229" i="189"/>
  <c r="C340" i="189"/>
  <c r="C335" i="189"/>
  <c r="C337" i="189"/>
  <c r="C330" i="189"/>
  <c r="C332" i="189"/>
  <c r="C288" i="189"/>
  <c r="I35" i="166"/>
  <c r="H22" i="166"/>
  <c r="G15" i="153"/>
  <c r="C342" i="189"/>
  <c r="C289" i="189"/>
  <c r="C291" i="189"/>
  <c r="G24" i="153"/>
  <c r="G25" i="153"/>
  <c r="G16" i="153"/>
  <c r="G17" i="153"/>
  <c r="C297" i="189"/>
  <c r="G26" i="153"/>
  <c r="G18" i="153"/>
  <c r="C7" i="159"/>
  <c r="A8" i="159" s="1"/>
  <c r="G22" i="166"/>
  <c r="D118" i="153"/>
  <c r="D622" i="189" s="1"/>
  <c r="G25" i="89"/>
  <c r="F14" i="159"/>
  <c r="H14" i="159"/>
  <c r="F13" i="159"/>
  <c r="H13" i="159"/>
  <c r="J13" i="159"/>
  <c r="G12" i="218"/>
  <c r="G22" i="218"/>
  <c r="G21" i="218"/>
  <c r="A3" i="218"/>
  <c r="G24" i="217"/>
  <c r="G22" i="217"/>
  <c r="G21" i="217"/>
  <c r="F12" i="217"/>
  <c r="G12" i="217"/>
  <c r="G16" i="217"/>
  <c r="A3" i="217"/>
  <c r="G30" i="218"/>
  <c r="G39" i="218"/>
  <c r="G11" i="218"/>
  <c r="G16" i="218"/>
  <c r="G42" i="218"/>
  <c r="H48" i="153"/>
  <c r="I48" i="153" s="1"/>
  <c r="G50" i="319"/>
  <c r="F12" i="107"/>
  <c r="G12" i="107"/>
  <c r="G16" i="107"/>
  <c r="G21" i="107"/>
  <c r="G24" i="107"/>
  <c r="G22" i="107"/>
  <c r="G21" i="171"/>
  <c r="G30" i="171"/>
  <c r="G12" i="171"/>
  <c r="G21" i="99"/>
  <c r="G21" i="89"/>
  <c r="G40" i="120"/>
  <c r="G11" i="120"/>
  <c r="G16" i="120"/>
  <c r="G21" i="123"/>
  <c r="D43" i="153"/>
  <c r="F13" i="123"/>
  <c r="G13" i="123"/>
  <c r="G21" i="188"/>
  <c r="G22" i="188"/>
  <c r="G23" i="188"/>
  <c r="A3" i="188"/>
  <c r="G12" i="123"/>
  <c r="A3" i="171"/>
  <c r="A3" i="166"/>
  <c r="D31" i="153"/>
  <c r="A3" i="107"/>
  <c r="A3" i="102"/>
  <c r="A3" i="99"/>
  <c r="A3" i="98"/>
  <c r="A3" i="96"/>
  <c r="A3" i="94"/>
  <c r="A3" i="89"/>
  <c r="A3" i="123"/>
  <c r="A3" i="122"/>
  <c r="A3" i="121"/>
  <c r="A3" i="120"/>
  <c r="A3" i="115"/>
  <c r="J39" i="159"/>
  <c r="J38" i="159"/>
  <c r="A38" i="159"/>
  <c r="A39" i="159"/>
  <c r="J34" i="159"/>
  <c r="J24" i="159"/>
  <c r="A24" i="159"/>
  <c r="J14" i="159"/>
  <c r="D56" i="153"/>
  <c r="D57" i="153"/>
  <c r="D24" i="153"/>
  <c r="D329" i="189" s="1"/>
  <c r="G23" i="102"/>
  <c r="G22" i="102"/>
  <c r="G21" i="102"/>
  <c r="G22" i="99"/>
  <c r="G30" i="99"/>
  <c r="E22" i="96"/>
  <c r="G22" i="96"/>
  <c r="G22" i="94"/>
  <c r="G22" i="89"/>
  <c r="G30" i="121"/>
  <c r="G12" i="121"/>
  <c r="G30" i="120"/>
  <c r="J40" i="159"/>
  <c r="J35" i="159"/>
  <c r="A25" i="159"/>
  <c r="A33" i="159"/>
  <c r="A34" i="159"/>
  <c r="G39" i="96"/>
  <c r="G40" i="107"/>
  <c r="G30" i="102"/>
  <c r="G39" i="102"/>
  <c r="D16" i="153"/>
  <c r="D216" i="189"/>
  <c r="G30" i="98"/>
  <c r="G40" i="121"/>
  <c r="G11" i="121"/>
  <c r="G16" i="121"/>
  <c r="G43" i="121"/>
  <c r="G30" i="188"/>
  <c r="G40" i="123"/>
  <c r="G11" i="123"/>
  <c r="G30" i="89"/>
  <c r="G39" i="166"/>
  <c r="G39" i="171"/>
  <c r="G39" i="99"/>
  <c r="G39" i="89"/>
  <c r="G11" i="89"/>
  <c r="G11" i="166"/>
  <c r="G16" i="166"/>
  <c r="G11" i="99"/>
  <c r="G16" i="99"/>
  <c r="G42" i="99"/>
  <c r="G39" i="98"/>
  <c r="G11" i="96"/>
  <c r="G16" i="96"/>
  <c r="G11" i="102"/>
  <c r="G16" i="102"/>
  <c r="G42" i="102"/>
  <c r="G11" i="171"/>
  <c r="G16" i="171"/>
  <c r="G42" i="171"/>
  <c r="H11" i="153"/>
  <c r="I11" i="153" s="1"/>
  <c r="G13" i="319" s="1"/>
  <c r="H56" i="153"/>
  <c r="G16" i="89"/>
  <c r="G42" i="89"/>
  <c r="H45" i="153"/>
  <c r="H44" i="153"/>
  <c r="G11" i="98"/>
  <c r="G16" i="98"/>
  <c r="G42" i="98"/>
  <c r="H43" i="153"/>
  <c r="G39" i="153"/>
  <c r="G6" i="115"/>
  <c r="I91" i="153"/>
  <c r="G93" i="319" s="1"/>
  <c r="I99" i="153"/>
  <c r="G101" i="319" s="1"/>
  <c r="I94" i="153"/>
  <c r="I98" i="153"/>
  <c r="G100" i="319" s="1"/>
  <c r="T111" i="153"/>
  <c r="V111" i="153"/>
  <c r="V12" i="153"/>
  <c r="R20" i="153"/>
  <c r="P47" i="153"/>
  <c r="V59" i="153"/>
  <c r="Q52" i="153"/>
  <c r="P52" i="153"/>
  <c r="U111" i="153"/>
  <c r="V52" i="153"/>
  <c r="I43" i="153"/>
  <c r="U20" i="153"/>
  <c r="T47" i="153"/>
  <c r="T52" i="153"/>
  <c r="W113" i="153"/>
  <c r="O118" i="153"/>
  <c r="W111" i="153"/>
  <c r="G80" i="319"/>
  <c r="R80" i="319" s="1"/>
  <c r="G99" i="319"/>
  <c r="H23" i="303"/>
  <c r="F23" i="303" s="1"/>
  <c r="G23" i="303" s="1"/>
  <c r="B516" i="189"/>
  <c r="H23" i="217"/>
  <c r="F23" i="217"/>
  <c r="G23" i="217" s="1"/>
  <c r="G27" i="217" s="1"/>
  <c r="J21" i="159"/>
  <c r="J41" i="159"/>
  <c r="D14" i="294"/>
  <c r="I14" i="294"/>
  <c r="H28" i="294"/>
  <c r="O80" i="319"/>
  <c r="O83" i="319"/>
  <c r="N87" i="319"/>
  <c r="T83" i="319"/>
  <c r="M94" i="319"/>
  <c r="R116" i="319"/>
  <c r="S116" i="319"/>
  <c r="P83" i="319"/>
  <c r="T81" i="319"/>
  <c r="R78" i="319"/>
  <c r="S83" i="319"/>
  <c r="T87" i="319"/>
  <c r="R49" i="319"/>
  <c r="M77" i="319"/>
  <c r="M116" i="319"/>
  <c r="M105" i="319"/>
  <c r="O94" i="319"/>
  <c r="P87" i="319"/>
  <c r="N36" i="319"/>
  <c r="T105" i="319"/>
  <c r="R112" i="319"/>
  <c r="S91" i="319"/>
  <c r="M78" i="319"/>
  <c r="P49" i="319"/>
  <c r="O18" i="319"/>
  <c r="O49" i="319"/>
  <c r="S69" i="319"/>
  <c r="Q66" i="319"/>
  <c r="S81" i="319"/>
  <c r="R109" i="319"/>
  <c r="T131" i="319"/>
  <c r="R14" i="319"/>
  <c r="P131" i="319"/>
  <c r="O131" i="319"/>
  <c r="P80" i="319"/>
  <c r="P94" i="319"/>
  <c r="M120" i="319"/>
  <c r="T112" i="319"/>
  <c r="M87" i="319"/>
  <c r="T63" i="319"/>
  <c r="N49" i="319"/>
  <c r="R46" i="319"/>
  <c r="R66" i="319"/>
  <c r="M80" i="319"/>
  <c r="R73" i="319"/>
  <c r="R77" i="319"/>
  <c r="P14" i="319"/>
  <c r="Q14" i="319"/>
  <c r="N131" i="319"/>
  <c r="M131" i="319"/>
  <c r="S14" i="319"/>
  <c r="S131" i="319"/>
  <c r="M114" i="319"/>
  <c r="R54" i="319"/>
  <c r="Q46" i="319"/>
  <c r="O82" i="319"/>
  <c r="P93" i="319"/>
  <c r="T110" i="319"/>
  <c r="M97" i="319"/>
  <c r="M89" i="319"/>
  <c r="Q47" i="319"/>
  <c r="N89" i="319"/>
  <c r="P47" i="319"/>
  <c r="R20" i="319"/>
  <c r="S79" i="319"/>
  <c r="M20" i="319"/>
  <c r="M40" i="319"/>
  <c r="M46" i="319"/>
  <c r="O51" i="319"/>
  <c r="R110" i="319"/>
  <c r="R47" i="319"/>
  <c r="O36" i="319"/>
  <c r="Q54" i="319"/>
  <c r="T40" i="319"/>
  <c r="O46" i="319"/>
  <c r="P97" i="319"/>
  <c r="P82" i="319"/>
  <c r="N93" i="319"/>
  <c r="M93" i="319"/>
  <c r="P46" i="319"/>
  <c r="M75" i="319"/>
  <c r="M51" i="319"/>
  <c r="O17" i="319"/>
  <c r="O40" i="319"/>
  <c r="N40" i="319"/>
  <c r="O123" i="319"/>
  <c r="Q40" i="319"/>
  <c r="R129" i="319"/>
  <c r="T130" i="319"/>
  <c r="O105" i="153"/>
  <c r="U105" i="153"/>
  <c r="X105" i="153"/>
  <c r="V101" i="153"/>
  <c r="X101" i="153"/>
  <c r="T101" i="153"/>
  <c r="U88" i="153"/>
  <c r="W88" i="153"/>
  <c r="V88" i="153"/>
  <c r="X88" i="153"/>
  <c r="U80" i="153"/>
  <c r="W80" i="153"/>
  <c r="V80" i="153"/>
  <c r="X80" i="153"/>
  <c r="V76" i="153"/>
  <c r="V64" i="153"/>
  <c r="S64" i="153"/>
  <c r="S60" i="153"/>
  <c r="V56" i="153"/>
  <c r="T56" i="153"/>
  <c r="O48" i="153"/>
  <c r="T48" i="153"/>
  <c r="S48" i="153"/>
  <c r="R48" i="153"/>
  <c r="R43" i="153"/>
  <c r="S43" i="153"/>
  <c r="V43" i="153"/>
  <c r="P43" i="153"/>
  <c r="V36" i="153"/>
  <c r="U17" i="153"/>
  <c r="Q17" i="153"/>
  <c r="V17" i="153"/>
  <c r="R17" i="153"/>
  <c r="R11" i="153"/>
  <c r="P37" i="153"/>
  <c r="Q51" i="153"/>
  <c r="W115" i="153"/>
  <c r="T115" i="153"/>
  <c r="V115" i="153"/>
  <c r="X115" i="153"/>
  <c r="O115" i="153"/>
  <c r="Q57" i="153"/>
  <c r="R18" i="153"/>
  <c r="W18" i="153"/>
  <c r="Q43" i="153"/>
  <c r="Q44" i="153"/>
  <c r="Q48" i="153"/>
  <c r="X56" i="153"/>
  <c r="S65" i="153"/>
  <c r="T60" i="153"/>
  <c r="T69" i="153"/>
  <c r="U73" i="153"/>
  <c r="O76" i="153"/>
  <c r="T80" i="153"/>
  <c r="O81" i="153"/>
  <c r="W105" i="153"/>
  <c r="W17" i="153"/>
  <c r="Q49" i="153"/>
  <c r="R49" i="153"/>
  <c r="V49" i="153"/>
  <c r="S50" i="153"/>
  <c r="U115" i="153"/>
  <c r="U40" i="153"/>
  <c r="O57" i="153"/>
  <c r="S89" i="153"/>
  <c r="S18" i="153"/>
  <c r="X18" i="153"/>
  <c r="O43" i="153"/>
  <c r="P48" i="153"/>
  <c r="W56" i="153"/>
  <c r="T88" i="153"/>
  <c r="W101" i="153"/>
  <c r="V105" i="153"/>
  <c r="S17" i="153"/>
  <c r="P49" i="153"/>
  <c r="P51" i="153"/>
  <c r="W122" i="153"/>
  <c r="O112" i="153"/>
  <c r="U112" i="153"/>
  <c r="O114" i="153"/>
  <c r="B583" i="189"/>
  <c r="B536" i="189"/>
  <c r="T43" i="153"/>
  <c r="V48" i="153"/>
  <c r="S56" i="153"/>
  <c r="O84" i="153"/>
  <c r="O88" i="153"/>
  <c r="O101" i="153"/>
  <c r="T105" i="153"/>
  <c r="X17" i="153"/>
  <c r="T106" i="153"/>
  <c r="O106" i="153"/>
  <c r="X106" i="153"/>
  <c r="W102" i="153"/>
  <c r="O93" i="153"/>
  <c r="U93" i="153"/>
  <c r="W93" i="153"/>
  <c r="V93" i="153"/>
  <c r="U89" i="153"/>
  <c r="T81" i="153"/>
  <c r="X81" i="153"/>
  <c r="O77" i="153"/>
  <c r="V77" i="153"/>
  <c r="W77" i="153"/>
  <c r="U77" i="153"/>
  <c r="V73" i="153"/>
  <c r="W69" i="153"/>
  <c r="V69" i="153"/>
  <c r="U69" i="153"/>
  <c r="T65" i="153"/>
  <c r="X65" i="153"/>
  <c r="S61" i="153"/>
  <c r="X61" i="153"/>
  <c r="W61" i="153"/>
  <c r="U61" i="153"/>
  <c r="S57" i="153"/>
  <c r="T44" i="153"/>
  <c r="O44" i="153"/>
  <c r="R44" i="153"/>
  <c r="S44" i="153"/>
  <c r="V39" i="153"/>
  <c r="W39" i="153"/>
  <c r="U33" i="153"/>
  <c r="X33" i="153"/>
  <c r="T33" i="153"/>
  <c r="W37" i="153"/>
  <c r="W112" i="153"/>
  <c r="T112" i="153"/>
  <c r="T40" i="153"/>
  <c r="X40" i="153"/>
  <c r="U117" i="153"/>
  <c r="T108" i="153"/>
  <c r="T113" i="153"/>
  <c r="X110" i="153"/>
  <c r="X113" i="153"/>
  <c r="W118" i="153"/>
  <c r="F21" i="96"/>
  <c r="G21" i="96" s="1"/>
  <c r="G27" i="96"/>
  <c r="G30" i="96" s="1"/>
  <c r="G42" i="96" s="1"/>
  <c r="F28" i="253" s="1"/>
  <c r="G28" i="253" s="1"/>
  <c r="P96" i="319"/>
  <c r="M117" i="319"/>
  <c r="R71" i="319"/>
  <c r="M47" i="319"/>
  <c r="Q64" i="319"/>
  <c r="T75" i="319"/>
  <c r="T42" i="319"/>
  <c r="Q61" i="319"/>
  <c r="O38" i="319"/>
  <c r="Q51" i="319"/>
  <c r="O96" i="319"/>
  <c r="M110" i="319"/>
  <c r="T97" i="319"/>
  <c r="M108" i="319"/>
  <c r="T82" i="319"/>
  <c r="R64" i="319"/>
  <c r="O89" i="319"/>
  <c r="T64" i="319"/>
  <c r="N51" i="319"/>
  <c r="R42" i="319"/>
  <c r="R68" i="319"/>
  <c r="M52" i="319"/>
  <c r="M35" i="319"/>
  <c r="R61" i="319"/>
  <c r="N47" i="319"/>
  <c r="R114" i="319"/>
  <c r="M109" i="319"/>
  <c r="T120" i="319"/>
  <c r="T114" i="319"/>
  <c r="S96" i="319"/>
  <c r="R108" i="319"/>
  <c r="S89" i="319"/>
  <c r="T61" i="319"/>
  <c r="R51" i="319"/>
  <c r="O52" i="319"/>
  <c r="M48" i="319"/>
  <c r="T35" i="319"/>
  <c r="S68" i="319"/>
  <c r="S72" i="319"/>
  <c r="T72" i="319"/>
  <c r="Q68" i="319"/>
  <c r="R69" i="319"/>
  <c r="Q69" i="319"/>
  <c r="P84" i="319"/>
  <c r="O88" i="319"/>
  <c r="O95" i="319"/>
  <c r="M88" i="319"/>
  <c r="S115" i="319"/>
  <c r="T111" i="319"/>
  <c r="N54" i="319"/>
  <c r="T91" i="319"/>
  <c r="M54" i="319"/>
  <c r="Q21" i="319"/>
  <c r="S106" i="319"/>
  <c r="R106" i="319"/>
  <c r="N88" i="319"/>
  <c r="P81" i="319"/>
  <c r="T103" i="319"/>
  <c r="M81" i="319"/>
  <c r="M111" i="319"/>
  <c r="R67" i="319"/>
  <c r="N91" i="319"/>
  <c r="P54" i="319"/>
  <c r="M106" i="319"/>
  <c r="R120" i="319"/>
  <c r="S103" i="319"/>
  <c r="T88" i="319"/>
  <c r="R111" i="319"/>
  <c r="M91" i="319"/>
  <c r="O91" i="319"/>
  <c r="T78" i="319"/>
  <c r="P18" i="319"/>
  <c r="T21" i="319"/>
  <c r="S18" i="319"/>
  <c r="M119" i="319"/>
  <c r="S119" i="319"/>
  <c r="T109" i="319"/>
  <c r="P85" i="319"/>
  <c r="N96" i="319"/>
  <c r="T85" i="319"/>
  <c r="Q71" i="319"/>
  <c r="T71" i="319"/>
  <c r="Q65" i="319"/>
  <c r="Q52" i="319"/>
  <c r="R19" i="319"/>
  <c r="S117" i="319"/>
  <c r="T66" i="319"/>
  <c r="R65" i="319"/>
  <c r="N52" i="319"/>
  <c r="O48" i="319"/>
  <c r="M96" i="319"/>
  <c r="N129" i="319"/>
  <c r="R130" i="319"/>
  <c r="S107" i="319"/>
  <c r="T119" i="319"/>
  <c r="M130" i="319"/>
  <c r="P130" i="319"/>
  <c r="Q123" i="319"/>
  <c r="R75" i="319"/>
  <c r="R45" i="319"/>
  <c r="S65" i="319"/>
  <c r="R52" i="319"/>
  <c r="R113" i="319"/>
  <c r="M113" i="319"/>
  <c r="N85" i="319"/>
  <c r="O92" i="319"/>
  <c r="N95" i="319"/>
  <c r="Q129" i="319"/>
  <c r="R118" i="319"/>
  <c r="T129" i="319"/>
  <c r="M118" i="319"/>
  <c r="M107" i="319"/>
  <c r="R123" i="319"/>
  <c r="Q63" i="319"/>
  <c r="Q50" i="319"/>
  <c r="Q37" i="319"/>
  <c r="T59" i="319"/>
  <c r="P37" i="319"/>
  <c r="M95" i="319"/>
  <c r="R76" i="319"/>
  <c r="S22" i="319"/>
  <c r="S129" i="319"/>
  <c r="R70" i="319"/>
  <c r="R18" i="319"/>
  <c r="Q18" i="319"/>
  <c r="N130" i="319"/>
  <c r="O85" i="319"/>
  <c r="P95" i="319"/>
  <c r="M129" i="319"/>
  <c r="P129" i="319"/>
  <c r="O129" i="319"/>
  <c r="T107" i="319"/>
  <c r="M85" i="319"/>
  <c r="S123" i="319"/>
  <c r="M115" i="319"/>
  <c r="Q70" i="319"/>
  <c r="Q59" i="319"/>
  <c r="M37" i="319"/>
  <c r="T70" i="319"/>
  <c r="T104" i="319"/>
  <c r="S95" i="319"/>
  <c r="S76" i="319"/>
  <c r="M34" i="319"/>
  <c r="O37" i="319"/>
  <c r="Q130" i="319"/>
  <c r="T118" i="319"/>
  <c r="R115" i="319"/>
  <c r="M104" i="319"/>
  <c r="R104" i="319"/>
  <c r="P34" i="319"/>
  <c r="O34" i="319"/>
  <c r="N37" i="319"/>
  <c r="M22" i="319"/>
  <c r="S41" i="319"/>
  <c r="O130" i="319"/>
  <c r="S130" i="319"/>
  <c r="N84" i="319"/>
  <c r="N92" i="319"/>
  <c r="S92" i="319"/>
  <c r="M50" i="319"/>
  <c r="Q60" i="319"/>
  <c r="P50" i="319"/>
  <c r="T67" i="319"/>
  <c r="O45" i="319"/>
  <c r="S26" i="319"/>
  <c r="Q19" i="319"/>
  <c r="T19" i="319"/>
  <c r="Q48" i="319"/>
  <c r="Q53" i="319"/>
  <c r="Q73" i="319"/>
  <c r="Q58" i="319"/>
  <c r="S39" i="319"/>
  <c r="M53" i="319"/>
  <c r="R58" i="319"/>
  <c r="R63" i="319"/>
  <c r="M103" i="319"/>
  <c r="O84" i="319"/>
  <c r="O86" i="319"/>
  <c r="M90" i="319"/>
  <c r="T90" i="319"/>
  <c r="T86" i="319"/>
  <c r="Q67" i="319"/>
  <c r="P48" i="319"/>
  <c r="M79" i="319"/>
  <c r="R21" i="319"/>
  <c r="P19" i="319"/>
  <c r="M21" i="319"/>
  <c r="N48" i="319"/>
  <c r="N50" i="319"/>
  <c r="O53" i="319"/>
  <c r="P45" i="319"/>
  <c r="M84" i="319"/>
  <c r="N39" i="319"/>
  <c r="R50" i="319"/>
  <c r="R41" i="319"/>
  <c r="T62" i="319"/>
  <c r="N90" i="319"/>
  <c r="P92" i="319"/>
  <c r="N86" i="319"/>
  <c r="P90" i="319"/>
  <c r="R60" i="319"/>
  <c r="P53" i="319"/>
  <c r="M33" i="319"/>
  <c r="M86" i="319"/>
  <c r="T60" i="319"/>
  <c r="N45" i="319"/>
  <c r="R79" i="319"/>
  <c r="O90" i="319"/>
  <c r="M45" i="319"/>
  <c r="M92" i="319"/>
  <c r="O39" i="319"/>
  <c r="Q62" i="319"/>
  <c r="M39" i="319"/>
  <c r="S84" i="319"/>
  <c r="M26" i="319"/>
  <c r="S58" i="319"/>
  <c r="S73" i="319"/>
  <c r="X64" i="153"/>
  <c r="W64" i="153"/>
  <c r="S68" i="153"/>
  <c r="T68" i="153"/>
  <c r="T64" i="153"/>
  <c r="X68" i="153"/>
  <c r="U68" i="153"/>
  <c r="V66" i="153"/>
  <c r="W68" i="153"/>
  <c r="W70" i="153"/>
  <c r="B525" i="189"/>
  <c r="D67" i="153"/>
  <c r="D68" i="153" s="1"/>
  <c r="D535" i="189" s="1"/>
  <c r="X70" i="153"/>
  <c r="R121" i="153"/>
  <c r="Q121" i="153"/>
  <c r="G122" i="153"/>
  <c r="I122" i="153" s="1"/>
  <c r="G124" i="319" s="1"/>
  <c r="I95" i="153"/>
  <c r="Q95" i="153"/>
  <c r="R38" i="153"/>
  <c r="I114" i="153"/>
  <c r="G116" i="319" s="1"/>
  <c r="I56" i="153"/>
  <c r="Q56" i="153" s="1"/>
  <c r="G118" i="153"/>
  <c r="G39" i="322"/>
  <c r="G42" i="322"/>
  <c r="E14" i="294"/>
  <c r="E16" i="294"/>
  <c r="D16" i="294"/>
  <c r="H85" i="153"/>
  <c r="H84" i="153"/>
  <c r="H83" i="153"/>
  <c r="H82" i="153"/>
  <c r="I82" i="153" s="1"/>
  <c r="Q82" i="153" s="1"/>
  <c r="H81" i="153"/>
  <c r="H80" i="153"/>
  <c r="I80" i="153" s="1"/>
  <c r="H79" i="153"/>
  <c r="I79" i="153" s="1"/>
  <c r="G81" i="319" s="1"/>
  <c r="Q81" i="319" s="1"/>
  <c r="P78" i="153"/>
  <c r="R78" i="153"/>
  <c r="H77" i="153"/>
  <c r="I77" i="153" s="1"/>
  <c r="P77" i="153" s="1"/>
  <c r="H76" i="153"/>
  <c r="I76" i="153" s="1"/>
  <c r="H75" i="153"/>
  <c r="I75" i="153" s="1"/>
  <c r="H73" i="153"/>
  <c r="I73" i="153" s="1"/>
  <c r="H71" i="153"/>
  <c r="I71" i="153"/>
  <c r="H70" i="153"/>
  <c r="I70" i="153" s="1"/>
  <c r="H69" i="153"/>
  <c r="I69" i="153" s="1"/>
  <c r="O69" i="153" s="1"/>
  <c r="H68" i="153"/>
  <c r="H67" i="153"/>
  <c r="I67" i="153" s="1"/>
  <c r="G68" i="319" s="1"/>
  <c r="O68" i="319" s="1"/>
  <c r="H66" i="153"/>
  <c r="I66" i="153" s="1"/>
  <c r="G67" i="319" s="1"/>
  <c r="H65" i="153"/>
  <c r="I65" i="153" s="1"/>
  <c r="G66" i="319" s="1"/>
  <c r="H64" i="153"/>
  <c r="I64" i="153" s="1"/>
  <c r="H63" i="153"/>
  <c r="I63" i="153" s="1"/>
  <c r="H61" i="153"/>
  <c r="I61" i="153" s="1"/>
  <c r="H60" i="153"/>
  <c r="I60" i="153" s="1"/>
  <c r="O60" i="153" s="1"/>
  <c r="H59" i="153"/>
  <c r="G42" i="281"/>
  <c r="H49" i="153"/>
  <c r="I49" i="153" s="1"/>
  <c r="G51" i="319" s="1"/>
  <c r="G42" i="188"/>
  <c r="G42" i="254"/>
  <c r="H47" i="153"/>
  <c r="I47" i="153" s="1"/>
  <c r="X47" i="153" s="1"/>
  <c r="H46" i="153"/>
  <c r="G35" i="244"/>
  <c r="F36" i="244"/>
  <c r="G36" i="244"/>
  <c r="G15" i="244"/>
  <c r="I15" i="244"/>
  <c r="F23" i="107"/>
  <c r="G23" i="107" s="1"/>
  <c r="H25" i="153"/>
  <c r="I25" i="153" s="1"/>
  <c r="G27" i="319" s="1"/>
  <c r="H24" i="153"/>
  <c r="H21" i="153"/>
  <c r="I21" i="153" s="1"/>
  <c r="P21" i="153" s="1"/>
  <c r="H20" i="153"/>
  <c r="I20" i="153" s="1"/>
  <c r="P20" i="153" s="1"/>
  <c r="G16" i="123"/>
  <c r="F23" i="123"/>
  <c r="G23" i="123"/>
  <c r="G30" i="123"/>
  <c r="H17" i="153"/>
  <c r="I17" i="153" s="1"/>
  <c r="G43" i="123"/>
  <c r="H18" i="153"/>
  <c r="I18" i="153" s="1"/>
  <c r="G20" i="319" s="1"/>
  <c r="H19" i="153"/>
  <c r="I19" i="153" s="1"/>
  <c r="G21" i="319" s="1"/>
  <c r="H16" i="153"/>
  <c r="I16" i="153" s="1"/>
  <c r="G18" i="319" s="1"/>
  <c r="N18" i="319" s="1"/>
  <c r="G43" i="120"/>
  <c r="D15" i="294"/>
  <c r="L17" i="294"/>
  <c r="E15" i="294"/>
  <c r="D487" i="189"/>
  <c r="D103" i="153"/>
  <c r="D561" i="189" s="1"/>
  <c r="D556" i="189"/>
  <c r="D25" i="153"/>
  <c r="D26" i="153" s="1"/>
  <c r="D339" i="189" s="1"/>
  <c r="B489" i="189"/>
  <c r="B488" i="189"/>
  <c r="B505" i="189"/>
  <c r="Q46" i="153"/>
  <c r="S46" i="153"/>
  <c r="R46" i="153"/>
  <c r="P46" i="153"/>
  <c r="V46" i="153"/>
  <c r="T46" i="153"/>
  <c r="U46" i="153"/>
  <c r="D58" i="153"/>
  <c r="D491" i="189"/>
  <c r="D17" i="153"/>
  <c r="D231" i="189"/>
  <c r="O128" i="153"/>
  <c r="R128" i="153"/>
  <c r="W128" i="153"/>
  <c r="Q128" i="153"/>
  <c r="S128" i="153"/>
  <c r="X128" i="153"/>
  <c r="V128" i="153"/>
  <c r="T128" i="153"/>
  <c r="S91" i="153"/>
  <c r="S20" i="153"/>
  <c r="P31" i="153"/>
  <c r="U47" i="153"/>
  <c r="T59" i="153"/>
  <c r="O95" i="153"/>
  <c r="O68" i="153"/>
  <c r="W121" i="153"/>
  <c r="V121" i="153"/>
  <c r="S121" i="153"/>
  <c r="X121" i="153"/>
  <c r="X116" i="153"/>
  <c r="T116" i="153"/>
  <c r="V116" i="153"/>
  <c r="O116" i="153"/>
  <c r="X104" i="153"/>
  <c r="V104" i="153"/>
  <c r="W104" i="153"/>
  <c r="U104" i="153"/>
  <c r="W95" i="153"/>
  <c r="V95" i="153"/>
  <c r="U95" i="153"/>
  <c r="T95" i="153"/>
  <c r="T91" i="153"/>
  <c r="O91" i="153"/>
  <c r="X91" i="153"/>
  <c r="W91" i="153"/>
  <c r="U91" i="153"/>
  <c r="V83" i="153"/>
  <c r="O83" i="153"/>
  <c r="T83" i="153"/>
  <c r="W83" i="153"/>
  <c r="X83" i="153"/>
  <c r="W79" i="153"/>
  <c r="X75" i="153"/>
  <c r="O75" i="153"/>
  <c r="U75" i="153"/>
  <c r="W75" i="153"/>
  <c r="V75" i="153"/>
  <c r="S67" i="153"/>
  <c r="U67" i="153"/>
  <c r="U63" i="153"/>
  <c r="X59" i="153"/>
  <c r="S59" i="153"/>
  <c r="U59" i="153"/>
  <c r="R47" i="153"/>
  <c r="S47" i="153"/>
  <c r="Q47" i="153"/>
  <c r="V47" i="153"/>
  <c r="V35" i="153"/>
  <c r="Q25" i="153"/>
  <c r="X25" i="153"/>
  <c r="P25" i="153"/>
  <c r="V20" i="153"/>
  <c r="W20" i="153"/>
  <c r="X20" i="153"/>
  <c r="T20" i="153"/>
  <c r="S16" i="153"/>
  <c r="P16" i="153"/>
  <c r="W16" i="153"/>
  <c r="Q16" i="153"/>
  <c r="T16" i="153"/>
  <c r="V21" i="153"/>
  <c r="U21" i="153"/>
  <c r="X21" i="153"/>
  <c r="O21" i="153"/>
  <c r="T21" i="153"/>
  <c r="W21" i="153"/>
  <c r="U38" i="153"/>
  <c r="O38" i="153"/>
  <c r="W38" i="153"/>
  <c r="P38" i="153"/>
  <c r="P12" i="153"/>
  <c r="R12" i="153"/>
  <c r="S66" i="153"/>
  <c r="W86" i="153"/>
  <c r="U86" i="153"/>
  <c r="O94" i="153"/>
  <c r="V78" i="153"/>
  <c r="W82" i="153"/>
  <c r="U82" i="153"/>
  <c r="T90" i="153"/>
  <c r="O103" i="153"/>
  <c r="U103" i="153"/>
  <c r="T19" i="153"/>
  <c r="R19" i="153"/>
  <c r="T15" i="153"/>
  <c r="W15" i="153"/>
  <c r="S49" i="153"/>
  <c r="U49" i="153"/>
  <c r="I51" i="153"/>
  <c r="R52" i="153"/>
  <c r="O110" i="153"/>
  <c r="O113" i="153"/>
  <c r="I113" i="153"/>
  <c r="I112" i="153"/>
  <c r="P112" i="153" s="1"/>
  <c r="Q112" i="153"/>
  <c r="V118" i="153"/>
  <c r="T78" i="153"/>
  <c r="O90" i="153"/>
  <c r="W19" i="153"/>
  <c r="V15" i="153"/>
  <c r="P15" i="153"/>
  <c r="O108" i="153"/>
  <c r="I46" i="153"/>
  <c r="G48" i="319" s="1"/>
  <c r="S48" i="319" s="1"/>
  <c r="O49" i="153"/>
  <c r="S52" i="153"/>
  <c r="I110" i="153"/>
  <c r="S110" i="153" s="1"/>
  <c r="V113" i="153"/>
  <c r="T118" i="153"/>
  <c r="K14" i="294"/>
  <c r="B410" i="189"/>
  <c r="B405" i="189"/>
  <c r="Q94" i="153"/>
  <c r="B496" i="189"/>
  <c r="B497" i="189"/>
  <c r="G30" i="241"/>
  <c r="G43" i="241" s="1"/>
  <c r="S113" i="153"/>
  <c r="R113" i="153"/>
  <c r="Q113" i="153"/>
  <c r="G27" i="310"/>
  <c r="G30" i="310" s="1"/>
  <c r="G45" i="310" s="1"/>
  <c r="B528" i="189"/>
  <c r="B529" i="189"/>
  <c r="B541" i="189"/>
  <c r="B540" i="189"/>
  <c r="I52" i="153"/>
  <c r="W52" i="153" s="1"/>
  <c r="G54" i="319"/>
  <c r="T54" i="319" s="1"/>
  <c r="R57" i="153"/>
  <c r="R77" i="153"/>
  <c r="R94" i="153"/>
  <c r="R95" i="153"/>
  <c r="P95" i="153"/>
  <c r="I109" i="153"/>
  <c r="G111" i="319" s="1"/>
  <c r="S38" i="153"/>
  <c r="U128" i="153"/>
  <c r="P128" i="153"/>
  <c r="G101" i="153"/>
  <c r="G96" i="319"/>
  <c r="R96" i="319" s="1"/>
  <c r="Q78" i="153"/>
  <c r="S78" i="153"/>
  <c r="J42" i="159"/>
  <c r="J43" i="159"/>
  <c r="H29" i="294"/>
  <c r="I28" i="294"/>
  <c r="I16" i="294"/>
  <c r="K16" i="294" s="1"/>
  <c r="I15" i="294"/>
  <c r="K15" i="294"/>
  <c r="O20" i="319"/>
  <c r="Q91" i="319"/>
  <c r="S111" i="153"/>
  <c r="R68" i="153"/>
  <c r="G69" i="319"/>
  <c r="P69" i="319" s="1"/>
  <c r="X49" i="153"/>
  <c r="P63" i="153"/>
  <c r="S79" i="153"/>
  <c r="S114" i="153"/>
  <c r="O11" i="153"/>
  <c r="R122" i="153"/>
  <c r="S112" i="153"/>
  <c r="G114" i="319"/>
  <c r="O114" i="319" s="1"/>
  <c r="G72" i="319"/>
  <c r="G79" i="319"/>
  <c r="N79" i="319" s="1"/>
  <c r="W51" i="153"/>
  <c r="G53" i="319"/>
  <c r="G70" i="319"/>
  <c r="P70" i="319" s="1"/>
  <c r="O17" i="153"/>
  <c r="G23" i="319"/>
  <c r="I123" i="153"/>
  <c r="G59" i="319"/>
  <c r="M59" i="319" s="1"/>
  <c r="P75" i="153"/>
  <c r="R112" i="153"/>
  <c r="X51" i="153"/>
  <c r="P113" i="153"/>
  <c r="G115" i="319"/>
  <c r="P115" i="319" s="1"/>
  <c r="G75" i="319"/>
  <c r="P68" i="153"/>
  <c r="O71" i="153"/>
  <c r="D531" i="189"/>
  <c r="R64" i="153"/>
  <c r="P64" i="153"/>
  <c r="Q60" i="153"/>
  <c r="P60" i="153"/>
  <c r="P114" i="153"/>
  <c r="Q69" i="153"/>
  <c r="R114" i="153"/>
  <c r="R56" i="153"/>
  <c r="O56" i="153"/>
  <c r="P73" i="153"/>
  <c r="P58" i="153"/>
  <c r="P56" i="153"/>
  <c r="H12" i="153"/>
  <c r="I12" i="153" s="1"/>
  <c r="G14" i="319" s="1"/>
  <c r="R80" i="153"/>
  <c r="P80" i="153"/>
  <c r="Q80" i="153"/>
  <c r="R79" i="153"/>
  <c r="S76" i="153"/>
  <c r="P76" i="153"/>
  <c r="S73" i="153"/>
  <c r="N73" i="319"/>
  <c r="P73" i="319"/>
  <c r="O73" i="319"/>
  <c r="M73" i="319"/>
  <c r="N68" i="319"/>
  <c r="P68" i="319"/>
  <c r="M68" i="319"/>
  <c r="Q64" i="153"/>
  <c r="Q63" i="153"/>
  <c r="O63" i="153"/>
  <c r="Q58" i="153"/>
  <c r="W47" i="153"/>
  <c r="G40" i="244"/>
  <c r="G11" i="244"/>
  <c r="G16" i="244"/>
  <c r="P18" i="153"/>
  <c r="O18" i="153"/>
  <c r="H15" i="153"/>
  <c r="I15" i="153" s="1"/>
  <c r="L18" i="294"/>
  <c r="E17" i="294"/>
  <c r="D17" i="294"/>
  <c r="I17" i="294"/>
  <c r="U25" i="153"/>
  <c r="W49" i="153"/>
  <c r="D18" i="153"/>
  <c r="D19" i="153" s="1"/>
  <c r="D270" i="189"/>
  <c r="D495" i="189"/>
  <c r="D59" i="153"/>
  <c r="D60" i="153" s="1"/>
  <c r="X46" i="153"/>
  <c r="D334" i="189"/>
  <c r="D104" i="153"/>
  <c r="D105" i="153" s="1"/>
  <c r="P67" i="153"/>
  <c r="O67" i="153"/>
  <c r="Q67" i="153"/>
  <c r="H28" i="153"/>
  <c r="I28" i="153" s="1"/>
  <c r="G30" i="319" s="1"/>
  <c r="O30" i="319" s="1"/>
  <c r="X52" i="153"/>
  <c r="P109" i="153"/>
  <c r="R109" i="153"/>
  <c r="O65" i="153"/>
  <c r="R65" i="153"/>
  <c r="P65" i="153"/>
  <c r="P66" i="153"/>
  <c r="Q96" i="319"/>
  <c r="G133" i="319"/>
  <c r="K28" i="294"/>
  <c r="H39" i="294"/>
  <c r="I39" i="294"/>
  <c r="K39" i="294"/>
  <c r="H30" i="294"/>
  <c r="I29" i="294"/>
  <c r="K29" i="294" s="1"/>
  <c r="O70" i="319"/>
  <c r="N70" i="319"/>
  <c r="M72" i="319"/>
  <c r="S53" i="319"/>
  <c r="T53" i="319"/>
  <c r="T48" i="319"/>
  <c r="N124" i="319"/>
  <c r="O124" i="319"/>
  <c r="P124" i="319"/>
  <c r="M124" i="319"/>
  <c r="N75" i="319"/>
  <c r="Q75" i="319"/>
  <c r="S51" i="319"/>
  <c r="T51" i="319"/>
  <c r="Q79" i="319"/>
  <c r="P59" i="319"/>
  <c r="P114" i="319"/>
  <c r="Q114" i="319"/>
  <c r="N114" i="319"/>
  <c r="Q13" i="319"/>
  <c r="G125" i="319"/>
  <c r="E18" i="294"/>
  <c r="D18" i="294"/>
  <c r="L19" i="294"/>
  <c r="D287" i="189"/>
  <c r="D566" i="189"/>
  <c r="L43" i="159"/>
  <c r="S133" i="319"/>
  <c r="O133" i="319"/>
  <c r="P133" i="319"/>
  <c r="M133" i="319"/>
  <c r="N133" i="319"/>
  <c r="Q133" i="319"/>
  <c r="R133" i="319"/>
  <c r="T133" i="319"/>
  <c r="H40" i="294"/>
  <c r="I40" i="294"/>
  <c r="K40" i="294"/>
  <c r="I30" i="294"/>
  <c r="I18" i="294"/>
  <c r="K18" i="294"/>
  <c r="D19" i="294"/>
  <c r="L20" i="294"/>
  <c r="E19" i="294"/>
  <c r="K17" i="294"/>
  <c r="K30" i="294"/>
  <c r="I19" i="294"/>
  <c r="K19" i="294"/>
  <c r="D20" i="294"/>
  <c r="I20" i="294"/>
  <c r="L21" i="294"/>
  <c r="E20" i="294"/>
  <c r="D21" i="294"/>
  <c r="E21" i="294"/>
  <c r="L22" i="294"/>
  <c r="X125" i="153"/>
  <c r="X126" i="153" s="1"/>
  <c r="X130" i="153" s="1"/>
  <c r="O125" i="153"/>
  <c r="O126" i="153" s="1"/>
  <c r="O130" i="153" s="1"/>
  <c r="T125" i="153"/>
  <c r="T126" i="153" s="1"/>
  <c r="T130" i="153" s="1"/>
  <c r="W125" i="153"/>
  <c r="W126" i="153" s="1"/>
  <c r="W130" i="153" s="1"/>
  <c r="I21" i="294"/>
  <c r="K21" i="294"/>
  <c r="K20" i="294"/>
  <c r="E22" i="294"/>
  <c r="D22" i="294"/>
  <c r="I22" i="294"/>
  <c r="L23" i="294"/>
  <c r="V125" i="153"/>
  <c r="V126" i="153" s="1"/>
  <c r="V130" i="153" s="1"/>
  <c r="R125" i="153"/>
  <c r="R126" i="153" s="1"/>
  <c r="R130" i="153" s="1"/>
  <c r="U125" i="153"/>
  <c r="U126" i="153" s="1"/>
  <c r="U130" i="153" s="1"/>
  <c r="L58" i="294"/>
  <c r="L60" i="294"/>
  <c r="D23" i="294"/>
  <c r="L24" i="294"/>
  <c r="E23" i="294"/>
  <c r="P125" i="153"/>
  <c r="P126" i="153" s="1"/>
  <c r="P130" i="153" s="1"/>
  <c r="S125" i="153"/>
  <c r="S126" i="153"/>
  <c r="S130" i="153" s="1"/>
  <c r="Q125" i="153"/>
  <c r="Q126" i="153" s="1"/>
  <c r="Q130" i="153" s="1"/>
  <c r="L56" i="294"/>
  <c r="I23" i="294"/>
  <c r="K23" i="294"/>
  <c r="E24" i="294"/>
  <c r="D24" i="294"/>
  <c r="K22" i="294"/>
  <c r="L64" i="294"/>
  <c r="I24" i="294"/>
  <c r="I12" i="294"/>
  <c r="D12" i="294"/>
  <c r="K24" i="294"/>
  <c r="D571" i="189" l="1"/>
  <c r="D106" i="153"/>
  <c r="D576" i="189" s="1"/>
  <c r="F23" i="304"/>
  <c r="F24" i="238"/>
  <c r="G24" i="238" s="1"/>
  <c r="R93" i="319"/>
  <c r="Q93" i="319"/>
  <c r="N116" i="319"/>
  <c r="O116" i="319"/>
  <c r="P116" i="319"/>
  <c r="Q116" i="319"/>
  <c r="P79" i="319"/>
  <c r="N115" i="319"/>
  <c r="G78" i="319"/>
  <c r="Q76" i="153"/>
  <c r="B545" i="189"/>
  <c r="B544" i="189"/>
  <c r="U94" i="153"/>
  <c r="V94" i="153"/>
  <c r="X94" i="153"/>
  <c r="S94" i="153"/>
  <c r="W94" i="153"/>
  <c r="X73" i="153"/>
  <c r="T73" i="153"/>
  <c r="O73" i="153"/>
  <c r="R73" i="153"/>
  <c r="Q45" i="153"/>
  <c r="V45" i="153"/>
  <c r="U45" i="153"/>
  <c r="P45" i="153"/>
  <c r="T45" i="153"/>
  <c r="O45" i="153"/>
  <c r="U16" i="153"/>
  <c r="V16" i="153"/>
  <c r="X16" i="153"/>
  <c r="V11" i="153"/>
  <c r="T11" i="153"/>
  <c r="X11" i="153"/>
  <c r="S11" i="153"/>
  <c r="Q11" i="153"/>
  <c r="W11" i="153"/>
  <c r="P11" i="153"/>
  <c r="U11" i="153"/>
  <c r="N58" i="319"/>
  <c r="O58" i="319"/>
  <c r="P58" i="319"/>
  <c r="O117" i="153"/>
  <c r="X117" i="153"/>
  <c r="W117" i="153"/>
  <c r="T117" i="153"/>
  <c r="V117" i="153"/>
  <c r="U12" i="153"/>
  <c r="T12" i="153"/>
  <c r="Q12" i="153"/>
  <c r="W12" i="153"/>
  <c r="S12" i="153"/>
  <c r="X12" i="153"/>
  <c r="V25" i="153"/>
  <c r="N72" i="319"/>
  <c r="P72" i="319"/>
  <c r="O79" i="319"/>
  <c r="Q115" i="319"/>
  <c r="M18" i="319"/>
  <c r="I22" i="153"/>
  <c r="S25" i="153"/>
  <c r="R60" i="153"/>
  <c r="P75" i="319"/>
  <c r="O75" i="319"/>
  <c r="W46" i="153"/>
  <c r="G61" i="319"/>
  <c r="G97" i="319"/>
  <c r="S95" i="153"/>
  <c r="B533" i="189"/>
  <c r="B532" i="189"/>
  <c r="R16" i="153"/>
  <c r="T104" i="153"/>
  <c r="O104" i="153"/>
  <c r="T57" i="153"/>
  <c r="U57" i="153"/>
  <c r="V57" i="153"/>
  <c r="P57" i="153"/>
  <c r="X57" i="153"/>
  <c r="U19" i="153"/>
  <c r="X19" i="153"/>
  <c r="S19" i="153"/>
  <c r="V19" i="153"/>
  <c r="Q19" i="153"/>
  <c r="P19" i="153"/>
  <c r="O19" i="153"/>
  <c r="V38" i="153"/>
  <c r="T38" i="153"/>
  <c r="X38" i="153"/>
  <c r="Q38" i="153"/>
  <c r="U121" i="153"/>
  <c r="P121" i="153"/>
  <c r="O121" i="153"/>
  <c r="T121" i="153"/>
  <c r="Q122" i="153"/>
  <c r="P122" i="153"/>
  <c r="S109" i="153"/>
  <c r="O115" i="319"/>
  <c r="O16" i="153"/>
  <c r="P91" i="153"/>
  <c r="R91" i="153"/>
  <c r="S13" i="319"/>
  <c r="O13" i="319"/>
  <c r="W89" i="153"/>
  <c r="O89" i="153"/>
  <c r="X89" i="153"/>
  <c r="T89" i="153"/>
  <c r="V89" i="153"/>
  <c r="Q89" i="153"/>
  <c r="R89" i="153"/>
  <c r="P89" i="153"/>
  <c r="X85" i="153"/>
  <c r="V85" i="153"/>
  <c r="O85" i="153"/>
  <c r="T85" i="153"/>
  <c r="U85" i="153"/>
  <c r="V67" i="153"/>
  <c r="T67" i="153"/>
  <c r="X67" i="153"/>
  <c r="R67" i="153"/>
  <c r="W67" i="153"/>
  <c r="X36" i="153"/>
  <c r="Q36" i="153"/>
  <c r="U36" i="153"/>
  <c r="P36" i="153"/>
  <c r="O36" i="153"/>
  <c r="R88" i="153"/>
  <c r="Q88" i="153"/>
  <c r="P88" i="153"/>
  <c r="R40" i="319"/>
  <c r="P40" i="319"/>
  <c r="Q108" i="153"/>
  <c r="P108" i="153"/>
  <c r="G110" i="319"/>
  <c r="T25" i="153"/>
  <c r="R25" i="153"/>
  <c r="R61" i="153"/>
  <c r="P61" i="153"/>
  <c r="P67" i="319"/>
  <c r="N67" i="319"/>
  <c r="R70" i="153"/>
  <c r="G71" i="319"/>
  <c r="M71" i="319" s="1"/>
  <c r="W85" i="153"/>
  <c r="B513" i="189"/>
  <c r="B512" i="189"/>
  <c r="R45" i="153"/>
  <c r="T92" i="153"/>
  <c r="X92" i="153"/>
  <c r="O92" i="153"/>
  <c r="V92" i="153"/>
  <c r="W92" i="153"/>
  <c r="U92" i="153"/>
  <c r="U70" i="153"/>
  <c r="S70" i="153"/>
  <c r="V70" i="153"/>
  <c r="T70" i="153"/>
  <c r="G89" i="319"/>
  <c r="P87" i="153"/>
  <c r="P94" i="153"/>
  <c r="S88" i="153"/>
  <c r="I44" i="153"/>
  <c r="I45" i="153"/>
  <c r="W45" i="153" s="1"/>
  <c r="I92" i="153"/>
  <c r="Q65" i="153"/>
  <c r="V18" i="153"/>
  <c r="T39" i="153"/>
  <c r="X62" i="153"/>
  <c r="Q73" i="153"/>
  <c r="Q91" i="153"/>
  <c r="U18" i="153"/>
  <c r="W62" i="153"/>
  <c r="U62" i="153"/>
  <c r="I27" i="153"/>
  <c r="G29" i="319" s="1"/>
  <c r="I90" i="153"/>
  <c r="O111" i="153"/>
  <c r="G94" i="319"/>
  <c r="Q92" i="153"/>
  <c r="R92" i="153"/>
  <c r="S92" i="153"/>
  <c r="P92" i="153"/>
  <c r="M14" i="319"/>
  <c r="G15" i="319"/>
  <c r="N14" i="319"/>
  <c r="D61" i="153"/>
  <c r="D503" i="189"/>
  <c r="N111" i="319"/>
  <c r="Q111" i="319"/>
  <c r="G23" i="304"/>
  <c r="F26" i="304"/>
  <c r="G26" i="304" s="1"/>
  <c r="N21" i="319"/>
  <c r="P21" i="319"/>
  <c r="O21" i="319"/>
  <c r="O87" i="153"/>
  <c r="R87" i="153"/>
  <c r="V87" i="153"/>
  <c r="T87" i="153"/>
  <c r="X87" i="153"/>
  <c r="W87" i="153"/>
  <c r="O74" i="153"/>
  <c r="T74" i="153"/>
  <c r="W74" i="153"/>
  <c r="U74" i="153"/>
  <c r="X74" i="153"/>
  <c r="T71" i="153"/>
  <c r="Q71" i="153"/>
  <c r="W71" i="153"/>
  <c r="X71" i="153"/>
  <c r="V71" i="153"/>
  <c r="S71" i="153"/>
  <c r="U71" i="153"/>
  <c r="R13" i="319"/>
  <c r="T13" i="319"/>
  <c r="O59" i="319"/>
  <c r="M70" i="319"/>
  <c r="N69" i="319"/>
  <c r="F23" i="293"/>
  <c r="O66" i="153"/>
  <c r="Q109" i="153"/>
  <c r="O70" i="153"/>
  <c r="Q20" i="153"/>
  <c r="Q61" i="153"/>
  <c r="M67" i="319"/>
  <c r="X45" i="153"/>
  <c r="G84" i="319"/>
  <c r="R71" i="153"/>
  <c r="Q70" i="153"/>
  <c r="R90" i="319"/>
  <c r="S54" i="319"/>
  <c r="B508" i="189"/>
  <c r="X43" i="153"/>
  <c r="W43" i="153"/>
  <c r="G45" i="319"/>
  <c r="S108" i="153"/>
  <c r="R108" i="153"/>
  <c r="U102" i="153"/>
  <c r="O102" i="153"/>
  <c r="V102" i="153"/>
  <c r="W76" i="153"/>
  <c r="T76" i="153"/>
  <c r="X76" i="153"/>
  <c r="U76" i="153"/>
  <c r="U60" i="153"/>
  <c r="V60" i="153"/>
  <c r="W60" i="153"/>
  <c r="X60" i="153"/>
  <c r="X107" i="153"/>
  <c r="V107" i="153"/>
  <c r="T107" i="153"/>
  <c r="U107" i="153"/>
  <c r="O107" i="153"/>
  <c r="X118" i="153"/>
  <c r="U118" i="153"/>
  <c r="D12" i="153"/>
  <c r="D184" i="189"/>
  <c r="B6" i="120"/>
  <c r="B6" i="115"/>
  <c r="G6" i="322"/>
  <c r="D499" i="189"/>
  <c r="O72" i="319"/>
  <c r="N71" i="319"/>
  <c r="F23" i="248"/>
  <c r="F23" i="247"/>
  <c r="P70" i="153"/>
  <c r="O67" i="319"/>
  <c r="G22" i="319"/>
  <c r="P111" i="153"/>
  <c r="Q80" i="319"/>
  <c r="S87" i="153"/>
  <c r="F23" i="306"/>
  <c r="G23" i="306" s="1"/>
  <c r="U87" i="153"/>
  <c r="I24" i="153"/>
  <c r="G47" i="319"/>
  <c r="D44" i="153"/>
  <c r="D414" i="189"/>
  <c r="T50" i="319"/>
  <c r="S50" i="319"/>
  <c r="B548" i="189"/>
  <c r="B549" i="189"/>
  <c r="V74" i="153"/>
  <c r="U79" i="153"/>
  <c r="V79" i="153"/>
  <c r="O79" i="153"/>
  <c r="T79" i="153"/>
  <c r="X79" i="153"/>
  <c r="S63" i="153"/>
  <c r="T63" i="153"/>
  <c r="W63" i="153"/>
  <c r="Q32" i="153"/>
  <c r="O32" i="153"/>
  <c r="Q26" i="153"/>
  <c r="S26" i="153"/>
  <c r="R26" i="153"/>
  <c r="O26" i="153"/>
  <c r="P26" i="153"/>
  <c r="V37" i="153"/>
  <c r="X37" i="153"/>
  <c r="Q37" i="153"/>
  <c r="U37" i="153"/>
  <c r="O37" i="153"/>
  <c r="O51" i="153"/>
  <c r="U51" i="153"/>
  <c r="V51" i="153"/>
  <c r="R51" i="153"/>
  <c r="T51" i="153"/>
  <c r="S51" i="153"/>
  <c r="P123" i="319"/>
  <c r="M123" i="319"/>
  <c r="N123" i="319"/>
  <c r="I84" i="153"/>
  <c r="V127" i="153"/>
  <c r="T127" i="153"/>
  <c r="X127" i="153"/>
  <c r="R127" i="153"/>
  <c r="S127" i="153"/>
  <c r="C573" i="189"/>
  <c r="C574" i="189" s="1"/>
  <c r="G105" i="153" s="1"/>
  <c r="C564" i="189"/>
  <c r="G103" i="153" s="1"/>
  <c r="D32" i="153"/>
  <c r="D361" i="189"/>
  <c r="O71" i="319"/>
  <c r="N13" i="319"/>
  <c r="P13" i="319"/>
  <c r="N59" i="319"/>
  <c r="R66" i="153"/>
  <c r="O15" i="153"/>
  <c r="P71" i="319"/>
  <c r="M13" i="319"/>
  <c r="Q66" i="153"/>
  <c r="G6" i="123"/>
  <c r="G17" i="319"/>
  <c r="M17" i="319" s="1"/>
  <c r="P71" i="153"/>
  <c r="X44" i="153"/>
  <c r="G115" i="153"/>
  <c r="Q87" i="153"/>
  <c r="W48" i="153"/>
  <c r="X48" i="153"/>
  <c r="B520" i="189"/>
  <c r="B521" i="189"/>
  <c r="W84" i="153"/>
  <c r="V84" i="153"/>
  <c r="U84" i="153"/>
  <c r="X84" i="153"/>
  <c r="T84" i="153"/>
  <c r="X66" i="153"/>
  <c r="U66" i="153"/>
  <c r="T66" i="153"/>
  <c r="W66" i="153"/>
  <c r="O35" i="153"/>
  <c r="R35" i="153"/>
  <c r="U35" i="153"/>
  <c r="S35" i="153"/>
  <c r="P35" i="153"/>
  <c r="T35" i="153"/>
  <c r="Q35" i="153"/>
  <c r="Q50" i="153"/>
  <c r="T50" i="153"/>
  <c r="U50" i="153"/>
  <c r="V50" i="153"/>
  <c r="O50" i="153"/>
  <c r="P50" i="153"/>
  <c r="U122" i="153"/>
  <c r="S122" i="153"/>
  <c r="T122" i="153"/>
  <c r="X122" i="153"/>
  <c r="V122" i="153"/>
  <c r="O109" i="153"/>
  <c r="U109" i="153"/>
  <c r="V109" i="153"/>
  <c r="X114" i="153"/>
  <c r="W114" i="153"/>
  <c r="T114" i="153"/>
  <c r="V114" i="153"/>
  <c r="Q114" i="153"/>
  <c r="O29" i="319"/>
  <c r="S29" i="319"/>
  <c r="T29" i="319"/>
  <c r="I37" i="153"/>
  <c r="S37" i="153" s="1"/>
  <c r="I83" i="153"/>
  <c r="I85" i="153"/>
  <c r="I81" i="153"/>
  <c r="B6" i="121"/>
  <c r="R21" i="153"/>
  <c r="V110" i="153"/>
  <c r="W40" i="153"/>
  <c r="I74" i="153"/>
  <c r="G76" i="319" s="1"/>
  <c r="I86" i="153"/>
  <c r="I59" i="153"/>
  <c r="G60" i="319" s="1"/>
  <c r="I62" i="153"/>
  <c r="I50" i="153"/>
  <c r="G52" i="319" s="1"/>
  <c r="R81" i="319"/>
  <c r="G30" i="304"/>
  <c r="G42" i="304" s="1"/>
  <c r="H116" i="153" s="1"/>
  <c r="I116" i="153" s="1"/>
  <c r="D69" i="153"/>
  <c r="G6" i="256"/>
  <c r="D20" i="153"/>
  <c r="D299" i="189"/>
  <c r="T30" i="319"/>
  <c r="S30" i="319"/>
  <c r="N30" i="319"/>
  <c r="P30" i="319"/>
  <c r="R30" i="319"/>
  <c r="Q30" i="319"/>
  <c r="M66" i="319"/>
  <c r="P66" i="319"/>
  <c r="N66" i="319"/>
  <c r="O66" i="319"/>
  <c r="N17" i="319"/>
  <c r="M69" i="319"/>
  <c r="I13" i="153"/>
  <c r="O69" i="319"/>
  <c r="R76" i="153"/>
  <c r="Q21" i="153"/>
  <c r="G49" i="319"/>
  <c r="O122" i="153"/>
  <c r="O111" i="319"/>
  <c r="P111" i="319"/>
  <c r="O58" i="153"/>
  <c r="R58" i="153"/>
  <c r="P20" i="319"/>
  <c r="N20" i="319"/>
  <c r="P61" i="319"/>
  <c r="M61" i="319"/>
  <c r="H39" i="153"/>
  <c r="I39" i="153" s="1"/>
  <c r="F23" i="251"/>
  <c r="G23" i="251" s="1"/>
  <c r="F23" i="252"/>
  <c r="G23" i="252" s="1"/>
  <c r="O12" i="153"/>
  <c r="Q111" i="153"/>
  <c r="G113" i="319"/>
  <c r="G64" i="319"/>
  <c r="R63" i="153"/>
  <c r="R75" i="153"/>
  <c r="S75" i="153"/>
  <c r="Q75" i="153"/>
  <c r="G77" i="319"/>
  <c r="G82" i="319"/>
  <c r="S80" i="153"/>
  <c r="G112" i="319"/>
  <c r="Q110" i="153"/>
  <c r="R110" i="153"/>
  <c r="P110" i="153"/>
  <c r="G65" i="319"/>
  <c r="O64" i="153"/>
  <c r="N78" i="319"/>
  <c r="O78" i="319"/>
  <c r="G83" i="319"/>
  <c r="S81" i="153"/>
  <c r="G19" i="319"/>
  <c r="P17" i="153"/>
  <c r="Q24" i="153"/>
  <c r="U24" i="153"/>
  <c r="G26" i="319"/>
  <c r="G30" i="107"/>
  <c r="G43" i="107" s="1"/>
  <c r="G27" i="107"/>
  <c r="G62" i="319"/>
  <c r="O61" i="153"/>
  <c r="R69" i="153"/>
  <c r="P69" i="153"/>
  <c r="S77" i="153"/>
  <c r="Q77" i="153"/>
  <c r="Q79" i="153"/>
  <c r="P79" i="153"/>
  <c r="P82" i="153"/>
  <c r="S82" i="153"/>
  <c r="R82" i="153"/>
  <c r="M58" i="319"/>
  <c r="G27" i="303"/>
  <c r="G30" i="303" s="1"/>
  <c r="G43" i="303" s="1"/>
  <c r="F21" i="302" s="1"/>
  <c r="G21" i="302" s="1"/>
  <c r="U108" i="153"/>
  <c r="V108" i="153"/>
  <c r="X108" i="153"/>
  <c r="T102" i="153"/>
  <c r="X102" i="153"/>
  <c r="V63" i="153"/>
  <c r="X63" i="153"/>
  <c r="T26" i="153"/>
  <c r="W26" i="153"/>
  <c r="W109" i="153"/>
  <c r="T109" i="153"/>
  <c r="X109" i="153"/>
  <c r="P127" i="153"/>
  <c r="Q127" i="153"/>
  <c r="U127" i="153"/>
  <c r="O127" i="153"/>
  <c r="W127" i="153"/>
  <c r="S90" i="153"/>
  <c r="V86" i="153"/>
  <c r="T86" i="153"/>
  <c r="X86" i="153"/>
  <c r="X78" i="153"/>
  <c r="W78" i="153"/>
  <c r="U78" i="153"/>
  <c r="U65" i="153"/>
  <c r="W65" i="153"/>
  <c r="V65" i="153"/>
  <c r="X31" i="153"/>
  <c r="O31" i="153"/>
  <c r="I93" i="153"/>
  <c r="G30" i="217"/>
  <c r="G43" i="217" s="1"/>
  <c r="D596" i="189"/>
  <c r="D110" i="153"/>
  <c r="P74" i="153"/>
  <c r="R74" i="153"/>
  <c r="Q29" i="319"/>
  <c r="P29" i="319"/>
  <c r="R29" i="319"/>
  <c r="N29" i="319"/>
  <c r="W108" i="153"/>
  <c r="W90" i="153"/>
  <c r="U90" i="153"/>
  <c r="V90" i="153"/>
  <c r="X90" i="153"/>
  <c r="O82" i="153"/>
  <c r="V82" i="153"/>
  <c r="X82" i="153"/>
  <c r="S69" i="153"/>
  <c r="X69" i="153"/>
  <c r="P44" i="153"/>
  <c r="U44" i="153"/>
  <c r="G6" i="121"/>
  <c r="G6" i="120"/>
  <c r="W73" i="153"/>
  <c r="T94" i="153"/>
  <c r="W107" i="153"/>
  <c r="U110" i="153"/>
  <c r="I25" i="294"/>
  <c r="P59" i="153" l="1"/>
  <c r="G92" i="319"/>
  <c r="R90" i="153"/>
  <c r="Q90" i="153"/>
  <c r="P90" i="153"/>
  <c r="O110" i="319"/>
  <c r="N110" i="319"/>
  <c r="P110" i="319"/>
  <c r="Q110" i="319"/>
  <c r="G46" i="319"/>
  <c r="W44" i="153"/>
  <c r="R89" i="319"/>
  <c r="Q89" i="319"/>
  <c r="Q97" i="319"/>
  <c r="R97" i="319"/>
  <c r="N61" i="319"/>
  <c r="O61" i="319"/>
  <c r="P78" i="319"/>
  <c r="Q78" i="319"/>
  <c r="O62" i="153"/>
  <c r="G63" i="319"/>
  <c r="P62" i="153"/>
  <c r="Q62" i="153"/>
  <c r="R62" i="153"/>
  <c r="Q81" i="153"/>
  <c r="R81" i="153"/>
  <c r="P81" i="153"/>
  <c r="X50" i="153"/>
  <c r="I53" i="153"/>
  <c r="D45" i="153"/>
  <c r="D446" i="189"/>
  <c r="P22" i="319"/>
  <c r="N22" i="319"/>
  <c r="Q22" i="319"/>
  <c r="O22" i="319"/>
  <c r="R22" i="319"/>
  <c r="F26" i="248"/>
  <c r="G26" i="248" s="1"/>
  <c r="G23" i="248"/>
  <c r="Q59" i="153"/>
  <c r="O59" i="153"/>
  <c r="R59" i="153"/>
  <c r="P85" i="153"/>
  <c r="G87" i="319"/>
  <c r="Q85" i="153"/>
  <c r="S85" i="153"/>
  <c r="R85" i="153"/>
  <c r="W50" i="153"/>
  <c r="S47" i="319"/>
  <c r="T47" i="319"/>
  <c r="D205" i="189"/>
  <c r="B6" i="122"/>
  <c r="B6" i="322"/>
  <c r="G6" i="122"/>
  <c r="B6" i="123"/>
  <c r="S74" i="153"/>
  <c r="Q94" i="319"/>
  <c r="R94" i="319"/>
  <c r="G88" i="319"/>
  <c r="Q86" i="153"/>
  <c r="R86" i="153"/>
  <c r="S86" i="153"/>
  <c r="P86" i="153"/>
  <c r="Q83" i="153"/>
  <c r="P83" i="153"/>
  <c r="R83" i="153"/>
  <c r="G85" i="319"/>
  <c r="S83" i="153"/>
  <c r="D33" i="153"/>
  <c r="D365" i="189"/>
  <c r="S24" i="153"/>
  <c r="R24" i="153"/>
  <c r="T24" i="153"/>
  <c r="S45" i="319"/>
  <c r="T45" i="319"/>
  <c r="Q84" i="319"/>
  <c r="R84" i="319"/>
  <c r="F26" i="293"/>
  <c r="G26" i="293" s="1"/>
  <c r="G23" i="293"/>
  <c r="D507" i="189"/>
  <c r="D62" i="153"/>
  <c r="S52" i="319"/>
  <c r="T52" i="319"/>
  <c r="P76" i="319"/>
  <c r="Q76" i="319"/>
  <c r="N76" i="319"/>
  <c r="O76" i="319"/>
  <c r="G39" i="319"/>
  <c r="T37" i="153"/>
  <c r="R37" i="153"/>
  <c r="G86" i="319"/>
  <c r="Q84" i="153"/>
  <c r="R84" i="153"/>
  <c r="S84" i="153"/>
  <c r="P84" i="153"/>
  <c r="G23" i="247"/>
  <c r="F26" i="247"/>
  <c r="G26" i="247" s="1"/>
  <c r="Q74" i="153"/>
  <c r="B6" i="256"/>
  <c r="G27" i="302"/>
  <c r="G30" i="302"/>
  <c r="G42" i="302" s="1"/>
  <c r="H40" i="153" s="1"/>
  <c r="I40" i="153" s="1"/>
  <c r="R83" i="319"/>
  <c r="Q83" i="319"/>
  <c r="N65" i="319"/>
  <c r="O65" i="319"/>
  <c r="P65" i="319"/>
  <c r="M65" i="319"/>
  <c r="O112" i="319"/>
  <c r="P112" i="319"/>
  <c r="Q112" i="319"/>
  <c r="N112" i="319"/>
  <c r="O64" i="319"/>
  <c r="P64" i="319"/>
  <c r="N64" i="319"/>
  <c r="M64" i="319"/>
  <c r="S49" i="319"/>
  <c r="T49" i="319"/>
  <c r="G55" i="319"/>
  <c r="D111" i="153"/>
  <c r="D597" i="189"/>
  <c r="F22" i="251"/>
  <c r="G22" i="251" s="1"/>
  <c r="F21" i="240"/>
  <c r="G21" i="240" s="1"/>
  <c r="F21" i="305"/>
  <c r="G21" i="305" s="1"/>
  <c r="G30" i="305" s="1"/>
  <c r="G42" i="305" s="1"/>
  <c r="H117" i="153" s="1"/>
  <c r="I117" i="153" s="1"/>
  <c r="F21" i="250"/>
  <c r="G21" i="250" s="1"/>
  <c r="G30" i="250" s="1"/>
  <c r="G42" i="250" s="1"/>
  <c r="H104" i="153" s="1"/>
  <c r="I104" i="153" s="1"/>
  <c r="F21" i="244"/>
  <c r="G21" i="244" s="1"/>
  <c r="F21" i="251"/>
  <c r="G21" i="251" s="1"/>
  <c r="F21" i="249"/>
  <c r="G21" i="249" s="1"/>
  <c r="G30" i="249" s="1"/>
  <c r="G42" i="249" s="1"/>
  <c r="H103" i="153" s="1"/>
  <c r="I103" i="153" s="1"/>
  <c r="N62" i="319"/>
  <c r="O62" i="319"/>
  <c r="P62" i="319"/>
  <c r="M62" i="319"/>
  <c r="F21" i="253"/>
  <c r="G21" i="253" s="1"/>
  <c r="F22" i="306"/>
  <c r="G22" i="306" s="1"/>
  <c r="F21" i="306"/>
  <c r="G21" i="306" s="1"/>
  <c r="F21" i="94"/>
  <c r="G21" i="94" s="1"/>
  <c r="F24" i="293"/>
  <c r="G24" i="293" s="1"/>
  <c r="G30" i="293" s="1"/>
  <c r="G42" i="293" s="1"/>
  <c r="H115" i="153" s="1"/>
  <c r="I115" i="153" s="1"/>
  <c r="F21" i="238"/>
  <c r="G21" i="238" s="1"/>
  <c r="F21" i="166"/>
  <c r="G21" i="166" s="1"/>
  <c r="F21" i="252"/>
  <c r="G21" i="252" s="1"/>
  <c r="F22" i="252"/>
  <c r="G22" i="252" s="1"/>
  <c r="F23" i="253"/>
  <c r="G23" i="253" s="1"/>
  <c r="F21" i="220"/>
  <c r="G21" i="220" s="1"/>
  <c r="F21" i="242"/>
  <c r="G21" i="242" s="1"/>
  <c r="F22" i="253"/>
  <c r="G22" i="253" s="1"/>
  <c r="N113" i="319"/>
  <c r="O113" i="319"/>
  <c r="P113" i="319"/>
  <c r="Q113" i="319"/>
  <c r="D70" i="153"/>
  <c r="D539" i="189"/>
  <c r="G118" i="319"/>
  <c r="Q116" i="153"/>
  <c r="P116" i="153"/>
  <c r="S116" i="153"/>
  <c r="R116" i="153"/>
  <c r="G6" i="257"/>
  <c r="G95" i="319"/>
  <c r="S93" i="153"/>
  <c r="R93" i="153"/>
  <c r="P93" i="153"/>
  <c r="Q93" i="153"/>
  <c r="N60" i="319"/>
  <c r="P60" i="319"/>
  <c r="M60" i="319"/>
  <c r="O60" i="319"/>
  <c r="R26" i="319"/>
  <c r="O26" i="319"/>
  <c r="Q26" i="319"/>
  <c r="N26" i="319"/>
  <c r="N27" i="319"/>
  <c r="P26" i="319"/>
  <c r="M19" i="319"/>
  <c r="O19" i="319"/>
  <c r="G24" i="319"/>
  <c r="N19" i="319"/>
  <c r="R82" i="319"/>
  <c r="Q82" i="319"/>
  <c r="G41" i="319"/>
  <c r="P39" i="153"/>
  <c r="S39" i="153"/>
  <c r="O39" i="153"/>
  <c r="R39" i="153"/>
  <c r="Q39" i="153"/>
  <c r="B6" i="257"/>
  <c r="G6" i="309"/>
  <c r="P77" i="319"/>
  <c r="Q77" i="319"/>
  <c r="N77" i="319"/>
  <c r="O77" i="319"/>
  <c r="D21" i="153"/>
  <c r="G6" i="245" s="1"/>
  <c r="D314" i="189"/>
  <c r="B6" i="309"/>
  <c r="B6" i="245"/>
  <c r="G6" i="310"/>
  <c r="B6" i="244"/>
  <c r="T46" i="319" l="1"/>
  <c r="S46" i="319"/>
  <c r="Q92" i="319"/>
  <c r="R92" i="319"/>
  <c r="G6" i="242"/>
  <c r="B6" i="255"/>
  <c r="G30" i="252"/>
  <c r="G42" i="252" s="1"/>
  <c r="H106" i="153" s="1"/>
  <c r="I106" i="153" s="1"/>
  <c r="R106" i="153" s="1"/>
  <c r="G30" i="247"/>
  <c r="G42" i="247" s="1"/>
  <c r="H101" i="153" s="1"/>
  <c r="I101" i="153" s="1"/>
  <c r="R39" i="319"/>
  <c r="P39" i="319"/>
  <c r="Q39" i="319"/>
  <c r="R87" i="319"/>
  <c r="Q87" i="319"/>
  <c r="G6" i="220"/>
  <c r="G30" i="306"/>
  <c r="G42" i="306" s="1"/>
  <c r="H118" i="153" s="1"/>
  <c r="I118" i="153" s="1"/>
  <c r="R118" i="153" s="1"/>
  <c r="G30" i="251"/>
  <c r="G42" i="251" s="1"/>
  <c r="H105" i="153" s="1"/>
  <c r="I105" i="153" s="1"/>
  <c r="R105" i="153" s="1"/>
  <c r="G6" i="89"/>
  <c r="Q86" i="319"/>
  <c r="R86" i="319"/>
  <c r="R85" i="319"/>
  <c r="Q85" i="319"/>
  <c r="R88" i="319"/>
  <c r="Q88" i="319"/>
  <c r="G30" i="248"/>
  <c r="G42" i="248" s="1"/>
  <c r="H102" i="153" s="1"/>
  <c r="I102" i="153" s="1"/>
  <c r="D46" i="153"/>
  <c r="D450" i="189"/>
  <c r="P63" i="319"/>
  <c r="M63" i="319"/>
  <c r="N63" i="319"/>
  <c r="O63" i="319"/>
  <c r="D63" i="153"/>
  <c r="D511" i="189"/>
  <c r="D34" i="153"/>
  <c r="D371" i="189"/>
  <c r="S117" i="153"/>
  <c r="Q117" i="153"/>
  <c r="G119" i="319"/>
  <c r="R117" i="153"/>
  <c r="P117" i="153"/>
  <c r="G108" i="319"/>
  <c r="S106" i="153"/>
  <c r="Q106" i="153"/>
  <c r="P106" i="153"/>
  <c r="G27" i="220"/>
  <c r="G30" i="220" s="1"/>
  <c r="G42" i="220" s="1"/>
  <c r="H33" i="153" s="1"/>
  <c r="I33" i="153" s="1"/>
  <c r="G27" i="166"/>
  <c r="G30" i="166" s="1"/>
  <c r="G42" i="166" s="1"/>
  <c r="G120" i="319"/>
  <c r="S105" i="153"/>
  <c r="G27" i="240"/>
  <c r="G30" i="240" s="1"/>
  <c r="G42" i="240" s="1"/>
  <c r="D543" i="189"/>
  <c r="D71" i="153"/>
  <c r="G105" i="319"/>
  <c r="S103" i="153"/>
  <c r="R103" i="153"/>
  <c r="Q103" i="153"/>
  <c r="P103" i="153"/>
  <c r="D322" i="189"/>
  <c r="B6" i="220"/>
  <c r="B6" i="89"/>
  <c r="B6" i="242"/>
  <c r="B6" i="310"/>
  <c r="B6" i="94"/>
  <c r="G6" i="255"/>
  <c r="G6" i="94"/>
  <c r="G27" i="238"/>
  <c r="G30" i="238" s="1"/>
  <c r="G42" i="238" s="1"/>
  <c r="H36" i="153" s="1"/>
  <c r="I36" i="153" s="1"/>
  <c r="G25" i="244"/>
  <c r="G30" i="244"/>
  <c r="G43" i="244" s="1"/>
  <c r="H26" i="153" s="1"/>
  <c r="I26" i="153" s="1"/>
  <c r="G6" i="244"/>
  <c r="S40" i="153"/>
  <c r="P40" i="153"/>
  <c r="G42" i="319"/>
  <c r="R40" i="153"/>
  <c r="Q40" i="153"/>
  <c r="O40" i="153"/>
  <c r="G27" i="242"/>
  <c r="G30" i="242" s="1"/>
  <c r="G42" i="242" s="1"/>
  <c r="H32" i="153" s="1"/>
  <c r="I32" i="153" s="1"/>
  <c r="G27" i="94"/>
  <c r="G30" i="94" s="1"/>
  <c r="G42" i="94" s="1"/>
  <c r="H31" i="153" s="1"/>
  <c r="I31" i="153" s="1"/>
  <c r="D598" i="189"/>
  <c r="D112" i="153"/>
  <c r="G6" i="166"/>
  <c r="M41" i="319"/>
  <c r="O41" i="319"/>
  <c r="N41" i="319"/>
  <c r="P41" i="319"/>
  <c r="Q41" i="319"/>
  <c r="R95" i="319"/>
  <c r="Q95" i="319"/>
  <c r="Q118" i="319"/>
  <c r="N118" i="319"/>
  <c r="P118" i="319"/>
  <c r="O118" i="319"/>
  <c r="R115" i="153"/>
  <c r="Q115" i="153"/>
  <c r="G117" i="319"/>
  <c r="S115" i="153"/>
  <c r="P115" i="153"/>
  <c r="G30" i="253"/>
  <c r="G42" i="253" s="1"/>
  <c r="H107" i="153" s="1"/>
  <c r="I107" i="153" s="1"/>
  <c r="P104" i="153"/>
  <c r="G106" i="319"/>
  <c r="Q104" i="153"/>
  <c r="S104" i="153"/>
  <c r="R104" i="153"/>
  <c r="I119" i="153" l="1"/>
  <c r="P118" i="153"/>
  <c r="G107" i="319"/>
  <c r="P105" i="153"/>
  <c r="Q101" i="153"/>
  <c r="G103" i="319"/>
  <c r="P101" i="153"/>
  <c r="S101" i="153"/>
  <c r="R101" i="153"/>
  <c r="Q105" i="153"/>
  <c r="S118" i="153"/>
  <c r="Q118" i="153"/>
  <c r="G104" i="319"/>
  <c r="R102" i="153"/>
  <c r="Q102" i="153"/>
  <c r="S102" i="153"/>
  <c r="P102" i="153"/>
  <c r="D515" i="189"/>
  <c r="D64" i="153"/>
  <c r="D519" i="189" s="1"/>
  <c r="D376" i="189"/>
  <c r="D35" i="153"/>
  <c r="D454" i="189"/>
  <c r="D47" i="153"/>
  <c r="B6" i="166"/>
  <c r="B6" i="240"/>
  <c r="S36" i="153"/>
  <c r="G38" i="319"/>
  <c r="R36" i="153"/>
  <c r="T36" i="153"/>
  <c r="G35" i="319"/>
  <c r="P33" i="153"/>
  <c r="O33" i="153"/>
  <c r="Q33" i="153"/>
  <c r="S33" i="153"/>
  <c r="R33" i="153"/>
  <c r="H35" i="153"/>
  <c r="I35" i="153" s="1"/>
  <c r="I42" i="240"/>
  <c r="D113" i="153"/>
  <c r="D599" i="189"/>
  <c r="P105" i="319"/>
  <c r="N105" i="319"/>
  <c r="O105" i="319"/>
  <c r="Q105" i="319"/>
  <c r="Q120" i="319"/>
  <c r="N120" i="319"/>
  <c r="O120" i="319"/>
  <c r="P120" i="319"/>
  <c r="S107" i="153"/>
  <c r="G109" i="319"/>
  <c r="R107" i="153"/>
  <c r="Q107" i="153"/>
  <c r="P107" i="153"/>
  <c r="P42" i="319"/>
  <c r="M42" i="319"/>
  <c r="O42" i="319"/>
  <c r="N42" i="319"/>
  <c r="Q42" i="319"/>
  <c r="D547" i="189"/>
  <c r="D73" i="153"/>
  <c r="P107" i="319"/>
  <c r="N107" i="319"/>
  <c r="O107" i="319"/>
  <c r="Q107" i="319"/>
  <c r="P108" i="319"/>
  <c r="Q108" i="319"/>
  <c r="O108" i="319"/>
  <c r="N108" i="319"/>
  <c r="P106" i="319"/>
  <c r="N106" i="319"/>
  <c r="O106" i="319"/>
  <c r="Q106" i="319"/>
  <c r="H34" i="153"/>
  <c r="I34" i="153" s="1"/>
  <c r="I41" i="153" s="1"/>
  <c r="I42" i="166"/>
  <c r="G121" i="319"/>
  <c r="V31" i="153"/>
  <c r="U31" i="153"/>
  <c r="Q31" i="153"/>
  <c r="T31" i="153"/>
  <c r="S31" i="153"/>
  <c r="G33" i="319"/>
  <c r="R31" i="153"/>
  <c r="W31" i="153"/>
  <c r="N117" i="319"/>
  <c r="P117" i="319"/>
  <c r="Q117" i="319"/>
  <c r="O117" i="319"/>
  <c r="X32" i="153"/>
  <c r="G34" i="319"/>
  <c r="U32" i="153"/>
  <c r="S32" i="153"/>
  <c r="W32" i="153"/>
  <c r="V32" i="153"/>
  <c r="R32" i="153"/>
  <c r="T32" i="153"/>
  <c r="U26" i="153"/>
  <c r="U124" i="153" s="1"/>
  <c r="V26" i="153"/>
  <c r="G28" i="319"/>
  <c r="I29" i="153"/>
  <c r="N119" i="319"/>
  <c r="Q119" i="319"/>
  <c r="P119" i="319"/>
  <c r="O119" i="319"/>
  <c r="Q124" i="153" l="1"/>
  <c r="N103" i="319"/>
  <c r="P103" i="319"/>
  <c r="Q103" i="319"/>
  <c r="O103" i="319"/>
  <c r="I124" i="153"/>
  <c r="D381" i="189"/>
  <c r="G6" i="240"/>
  <c r="D36" i="153"/>
  <c r="O104" i="319"/>
  <c r="P104" i="319"/>
  <c r="Q104" i="319"/>
  <c r="N104" i="319"/>
  <c r="D458" i="189"/>
  <c r="D48" i="153"/>
  <c r="D8" i="294"/>
  <c r="T34" i="319"/>
  <c r="R34" i="319"/>
  <c r="S34" i="319"/>
  <c r="S124" i="153"/>
  <c r="W35" i="153"/>
  <c r="W124" i="153" s="1"/>
  <c r="G37" i="319"/>
  <c r="X35" i="153"/>
  <c r="N28" i="319"/>
  <c r="R28" i="319"/>
  <c r="P28" i="319"/>
  <c r="O28" i="319"/>
  <c r="S28" i="319"/>
  <c r="T28" i="319"/>
  <c r="Q28" i="319"/>
  <c r="G31" i="319"/>
  <c r="R124" i="153"/>
  <c r="T124" i="153"/>
  <c r="D74" i="153"/>
  <c r="D75" i="153" s="1"/>
  <c r="D75" i="319"/>
  <c r="D76" i="319" s="1"/>
  <c r="D77" i="319" s="1"/>
  <c r="T33" i="319"/>
  <c r="R33" i="319"/>
  <c r="O33" i="319"/>
  <c r="S33" i="319"/>
  <c r="P33" i="319"/>
  <c r="Q33" i="319"/>
  <c r="G36" i="319"/>
  <c r="O34" i="153"/>
  <c r="O124" i="153" s="1"/>
  <c r="P34" i="153"/>
  <c r="P124" i="153" s="1"/>
  <c r="D600" i="189"/>
  <c r="D114" i="153"/>
  <c r="S35" i="319"/>
  <c r="P35" i="319"/>
  <c r="O35" i="319"/>
  <c r="Q35" i="319"/>
  <c r="R35" i="319"/>
  <c r="S38" i="319"/>
  <c r="R38" i="319"/>
  <c r="T38" i="319"/>
  <c r="Q38" i="319"/>
  <c r="P38" i="319"/>
  <c r="V124" i="153"/>
  <c r="X124" i="153"/>
  <c r="Q109" i="319"/>
  <c r="N109" i="319"/>
  <c r="O109" i="319"/>
  <c r="P109" i="319"/>
  <c r="D37" i="153" l="1"/>
  <c r="B6" i="238"/>
  <c r="G6" i="238"/>
  <c r="D391" i="189"/>
  <c r="G6" i="283"/>
  <c r="D463" i="189"/>
  <c r="D49" i="153"/>
  <c r="D601" i="189"/>
  <c r="D115" i="153"/>
  <c r="Q36" i="319"/>
  <c r="P36" i="319"/>
  <c r="R36" i="319"/>
  <c r="T36" i="319"/>
  <c r="S36" i="319"/>
  <c r="I46" i="294"/>
  <c r="J20" i="294"/>
  <c r="K60" i="294"/>
  <c r="J16" i="294"/>
  <c r="I49" i="294"/>
  <c r="J34" i="294"/>
  <c r="J40" i="294"/>
  <c r="J29" i="294"/>
  <c r="K58" i="294"/>
  <c r="J41" i="294"/>
  <c r="J18" i="294"/>
  <c r="J24" i="294"/>
  <c r="J26" i="294"/>
  <c r="J22" i="294"/>
  <c r="J39" i="294"/>
  <c r="J35" i="294"/>
  <c r="K43" i="294"/>
  <c r="I52" i="294"/>
  <c r="I47" i="294"/>
  <c r="J32" i="294"/>
  <c r="J38" i="294"/>
  <c r="J37" i="294"/>
  <c r="J17" i="294"/>
  <c r="J28" i="294"/>
  <c r="J36" i="294"/>
  <c r="J15" i="294"/>
  <c r="J23" i="294"/>
  <c r="I50" i="294"/>
  <c r="J33" i="294"/>
  <c r="J27" i="294"/>
  <c r="J14" i="294"/>
  <c r="J30" i="294"/>
  <c r="J21" i="294"/>
  <c r="I48" i="294"/>
  <c r="J19" i="294"/>
  <c r="G43" i="319"/>
  <c r="G126" i="319" s="1"/>
  <c r="S37" i="319"/>
  <c r="T37" i="319"/>
  <c r="D50" i="153" l="1"/>
  <c r="D467" i="189"/>
  <c r="D38" i="153"/>
  <c r="G6" i="254" s="1"/>
  <c r="B6" i="281"/>
  <c r="B6" i="283"/>
  <c r="J25" i="294"/>
  <c r="J12" i="294"/>
  <c r="K12" i="294" s="1"/>
  <c r="D116" i="153"/>
  <c r="B6" i="302" l="1"/>
  <c r="G6" i="284"/>
  <c r="B6" i="188"/>
  <c r="B6" i="102"/>
  <c r="B6" i="254"/>
  <c r="B6" i="284"/>
  <c r="G6" i="218"/>
  <c r="G6" i="98"/>
  <c r="G6" i="282"/>
  <c r="G6" i="99"/>
  <c r="G6" i="281"/>
  <c r="B6" i="99"/>
  <c r="B6" i="218"/>
  <c r="A21" i="218" s="1"/>
  <c r="G6" i="96"/>
  <c r="B6" i="282"/>
  <c r="A21" i="282" s="1"/>
  <c r="B6" i="96"/>
  <c r="B6" i="98"/>
  <c r="G6" i="102"/>
  <c r="D471" i="189"/>
  <c r="D51" i="153"/>
  <c r="G6" i="264" s="1"/>
  <c r="D612" i="189"/>
  <c r="B6" i="261"/>
  <c r="I21" i="261" s="1"/>
  <c r="A21" i="261" s="1"/>
  <c r="J56" i="294"/>
  <c r="K25" i="294"/>
  <c r="K54" i="294" s="1"/>
  <c r="K56" i="294" s="1"/>
  <c r="G6" i="306" l="1"/>
  <c r="G6" i="285"/>
  <c r="B6" i="227"/>
  <c r="B6" i="304"/>
  <c r="G6" i="287"/>
  <c r="G6" i="274"/>
  <c r="G6" i="271"/>
  <c r="G6" i="272"/>
  <c r="G6" i="279"/>
  <c r="G6" i="248"/>
  <c r="B6" i="230"/>
  <c r="G6" i="269"/>
  <c r="B6" i="280"/>
  <c r="I21" i="280" s="1"/>
  <c r="A21" i="280" s="1"/>
  <c r="G6" i="252"/>
  <c r="G6" i="224"/>
  <c r="B6" i="264"/>
  <c r="I21" i="264" s="1"/>
  <c r="A21" i="264" s="1"/>
  <c r="G6" i="226"/>
  <c r="B6" i="317"/>
  <c r="I21" i="317" s="1"/>
  <c r="A21" i="317" s="1"/>
  <c r="B6" i="293"/>
  <c r="G6" i="275"/>
  <c r="B6" i="248"/>
  <c r="B6" i="288"/>
  <c r="A21" i="288" s="1"/>
  <c r="D475" i="189"/>
  <c r="G6" i="251"/>
  <c r="B6" i="273"/>
  <c r="I21" i="273" s="1"/>
  <c r="A21" i="273" s="1"/>
  <c r="B6" i="290"/>
  <c r="A21" i="290" s="1"/>
  <c r="G6" i="286"/>
  <c r="G6" i="305"/>
  <c r="B6" i="315"/>
  <c r="I21" i="315" s="1"/>
  <c r="A21" i="315" s="1"/>
  <c r="B6" i="271"/>
  <c r="I21" i="271" s="1"/>
  <c r="A21" i="271" s="1"/>
  <c r="G6" i="171"/>
  <c r="B6" i="250"/>
  <c r="G6" i="247"/>
  <c r="G6" i="267"/>
  <c r="G6" i="259"/>
  <c r="B6" i="249"/>
  <c r="B6" i="279"/>
  <c r="I21" i="279" s="1"/>
  <c r="A21" i="279" s="1"/>
  <c r="B6" i="268"/>
  <c r="I21" i="268" s="1"/>
  <c r="A21" i="268" s="1"/>
  <c r="G6" i="232"/>
  <c r="B6" i="262"/>
  <c r="I21" i="262" s="1"/>
  <c r="A21" i="262" s="1"/>
  <c r="G6" i="233"/>
  <c r="G6" i="227"/>
  <c r="G6" i="317"/>
  <c r="B6" i="222"/>
  <c r="G6" i="270"/>
  <c r="G6" i="311"/>
  <c r="G6" i="230"/>
  <c r="G6" i="280"/>
  <c r="B6" i="247"/>
  <c r="B6" i="226"/>
  <c r="B6" i="221"/>
  <c r="B6" i="274"/>
  <c r="I21" i="274" s="1"/>
  <c r="A21" i="274" s="1"/>
  <c r="B6" i="291"/>
  <c r="A21" i="291" s="1"/>
  <c r="G6" i="289"/>
  <c r="G6" i="268"/>
  <c r="B6" i="252"/>
  <c r="B6" i="259"/>
  <c r="I21" i="259" s="1"/>
  <c r="A21" i="259" s="1"/>
  <c r="B6" i="266"/>
  <c r="I21" i="266" s="1"/>
  <c r="A21" i="266" s="1"/>
  <c r="B6" i="265"/>
  <c r="I21" i="265" s="1"/>
  <c r="A21" i="265" s="1"/>
  <c r="B6" i="235"/>
  <c r="B6" i="272"/>
  <c r="I21" i="272" s="1"/>
  <c r="A21" i="272" s="1"/>
  <c r="G6" i="273"/>
  <c r="G6" i="263"/>
  <c r="G6" i="318"/>
  <c r="B6" i="276"/>
  <c r="I21" i="276" s="1"/>
  <c r="A21" i="276" s="1"/>
  <c r="G6" i="290"/>
  <c r="B6" i="263"/>
  <c r="I21" i="263" s="1"/>
  <c r="A21" i="263" s="1"/>
  <c r="B6" i="278"/>
  <c r="I21" i="278" s="1"/>
  <c r="A21" i="278" s="1"/>
  <c r="G6" i="277"/>
  <c r="B6" i="287"/>
  <c r="B6" i="267"/>
  <c r="I21" i="267" s="1"/>
  <c r="A21" i="267" s="1"/>
  <c r="G6" i="260"/>
  <c r="B6" i="171"/>
  <c r="B6" i="275"/>
  <c r="I21" i="275" s="1"/>
  <c r="A21" i="275" s="1"/>
  <c r="B6" i="316"/>
  <c r="I21" i="316" s="1"/>
  <c r="A21" i="316" s="1"/>
  <c r="G6" i="291"/>
  <c r="B6" i="233"/>
  <c r="G6" i="231"/>
  <c r="B6" i="231"/>
  <c r="B6" i="224"/>
  <c r="G6" i="250"/>
  <c r="B6" i="318"/>
  <c r="I21" i="318" s="1"/>
  <c r="A21" i="318" s="1"/>
  <c r="B6" i="228"/>
  <c r="G6" i="278"/>
  <c r="G6" i="292"/>
  <c r="G6" i="293"/>
  <c r="B6" i="260"/>
  <c r="I21" i="260" s="1"/>
  <c r="A21" i="260" s="1"/>
  <c r="B6" i="292"/>
  <c r="A21" i="292" s="1"/>
  <c r="B6" i="232"/>
  <c r="B6" i="286"/>
  <c r="A21" i="286" s="1"/>
  <c r="G6" i="276"/>
  <c r="B6" i="270"/>
  <c r="I21" i="270" s="1"/>
  <c r="A21" i="270" s="1"/>
  <c r="G6" i="316"/>
  <c r="B6" i="277"/>
  <c r="I21" i="277" s="1"/>
  <c r="A21" i="277" s="1"/>
  <c r="B6" i="285"/>
  <c r="A21" i="285" s="1"/>
  <c r="G6" i="249"/>
  <c r="B6" i="251"/>
  <c r="G6" i="288"/>
  <c r="G6" i="262"/>
  <c r="B6" i="225"/>
  <c r="B6" i="223"/>
  <c r="B6" i="289"/>
  <c r="A21" i="289" s="1"/>
  <c r="M56" i="294"/>
  <c r="K64" i="294"/>
  <c r="K8" i="294"/>
  <c r="J64" i="294"/>
  <c r="E125" i="153" s="1"/>
  <c r="E127" i="319" l="1"/>
  <c r="I125" i="153"/>
  <c r="K68" i="294"/>
  <c r="M64" i="294"/>
  <c r="N56" i="294"/>
  <c r="M57" i="294"/>
  <c r="G127" i="319" l="1"/>
  <c r="G128" i="319" s="1"/>
  <c r="G132" i="319" s="1"/>
  <c r="I126" i="153"/>
  <c r="O127" i="319"/>
  <c r="O128" i="319" s="1"/>
  <c r="O132" i="319" s="1"/>
  <c r="O136" i="319" s="1"/>
  <c r="N127" i="319"/>
  <c r="N128" i="319" s="1"/>
  <c r="N132" i="319" s="1"/>
  <c r="N136" i="319" s="1"/>
  <c r="T127" i="319"/>
  <c r="T128" i="319" s="1"/>
  <c r="T132" i="319" s="1"/>
  <c r="T136" i="319" s="1"/>
  <c r="M127" i="319"/>
  <c r="M128" i="319" s="1"/>
  <c r="M132" i="319" s="1"/>
  <c r="M136" i="319" s="1"/>
  <c r="R127" i="319"/>
  <c r="R128" i="319" s="1"/>
  <c r="R132" i="319" s="1"/>
  <c r="R136" i="319" s="1"/>
  <c r="S127" i="319"/>
  <c r="S128" i="319" s="1"/>
  <c r="S132" i="319" s="1"/>
  <c r="S136" i="319" s="1"/>
  <c r="Q127" i="319"/>
  <c r="Q128" i="319" s="1"/>
  <c r="Q132" i="319" s="1"/>
  <c r="Q136" i="319" s="1"/>
  <c r="P127" i="319"/>
  <c r="P128" i="319" s="1"/>
  <c r="P132" i="319" s="1"/>
  <c r="P136" i="319" s="1"/>
  <c r="D9" i="294" l="1"/>
  <c r="I130" i="153"/>
  <c r="B6" i="229" l="1"/>
  <c r="G6" i="265"/>
  <c r="B6" i="234"/>
  <c r="G6" i="222"/>
  <c r="G6" i="234"/>
  <c r="G6" i="235"/>
  <c r="B6" i="305"/>
  <c r="G6" i="258"/>
  <c r="G6" i="225"/>
  <c r="G6" i="221"/>
  <c r="B6" i="258"/>
  <c r="I21" i="258" s="1"/>
  <c r="A21" i="258" s="1"/>
  <c r="B6" i="269"/>
  <c r="I21" i="269" s="1"/>
  <c r="A21" i="269" s="1"/>
  <c r="G6" i="228"/>
  <c r="G6" i="261"/>
  <c r="G6" i="253"/>
  <c r="G6" i="315"/>
  <c r="B6" i="311"/>
  <c r="A21" i="311" s="1"/>
  <c r="G6" i="266"/>
  <c r="G6" i="188"/>
  <c r="G6" i="302"/>
  <c r="G6" i="223"/>
  <c r="B6" i="253"/>
  <c r="B6" i="306"/>
  <c r="G6" i="304"/>
  <c r="G6" i="229"/>
  <c r="G6" i="312"/>
  <c r="B6" i="313"/>
  <c r="G6" i="313"/>
  <c r="B6" i="312"/>
  <c r="G134" i="319" l="1"/>
  <c r="I139" i="153"/>
  <c r="L134" i="319" l="1"/>
  <c r="M137" i="319" s="1"/>
  <c r="N137" i="319" s="1"/>
  <c r="O137" i="319" s="1"/>
  <c r="P137" i="319" s="1"/>
  <c r="Q137" i="319" s="1"/>
  <c r="R137" i="319" s="1"/>
  <c r="S137" i="319" s="1"/>
  <c r="T137" i="319" s="1"/>
  <c r="G136" i="319"/>
  <c r="G147" i="319" s="1"/>
</calcChain>
</file>

<file path=xl/sharedStrings.xml><?xml version="1.0" encoding="utf-8"?>
<sst xmlns="http://schemas.openxmlformats.org/spreadsheetml/2006/main" count="5556" uniqueCount="1272">
  <si>
    <t>ML</t>
  </si>
  <si>
    <t>M3</t>
  </si>
  <si>
    <t>M2</t>
  </si>
  <si>
    <t>UNIDAD</t>
  </si>
  <si>
    <t>CANTIDAD</t>
  </si>
  <si>
    <t>DESCRIPCION</t>
  </si>
  <si>
    <t>MES</t>
  </si>
  <si>
    <t>UND</t>
  </si>
  <si>
    <t>TOTAL COSTOS DIRECTOS</t>
  </si>
  <si>
    <t>TRABAJOS PRELIMINARES</t>
  </si>
  <si>
    <t>ITEM</t>
  </si>
  <si>
    <t>PRECIO
UNITARIO</t>
  </si>
  <si>
    <t>PARCIAL
CONTRATADO</t>
  </si>
  <si>
    <t xml:space="preserve">Acero de refuerzo 60000 psi </t>
  </si>
  <si>
    <t>ESTRUCTURA DE PAVIMENTO</t>
  </si>
  <si>
    <t>Suministro, extendido, conformación y compactación de Sub-base granular.</t>
  </si>
  <si>
    <t>ANALISIS DE PRECIOS UNITARIOS</t>
  </si>
  <si>
    <t xml:space="preserve">          DESCRIPCION</t>
  </si>
  <si>
    <t>TIPO</t>
  </si>
  <si>
    <t>TARIFA</t>
  </si>
  <si>
    <t>RENDIMIENTO</t>
  </si>
  <si>
    <t>VR PARCIAL</t>
  </si>
  <si>
    <t>Cinta metrica</t>
  </si>
  <si>
    <t>mes</t>
  </si>
  <si>
    <t>SUB-TOTAL VALOR EQUIPO</t>
  </si>
  <si>
    <t>VR.UNITARIO</t>
  </si>
  <si>
    <t>Estacas de madera</t>
  </si>
  <si>
    <t>un</t>
  </si>
  <si>
    <t>SUB-TOTAL VALOR MATERIALES</t>
  </si>
  <si>
    <t>JORNAL</t>
  </si>
  <si>
    <t>F.PRST.</t>
  </si>
  <si>
    <t>Nro.</t>
  </si>
  <si>
    <t>TOTAL JORNAL</t>
  </si>
  <si>
    <t>VALOR TOTAL</t>
  </si>
  <si>
    <t>SUBTOTAL MANO DE OBRA</t>
  </si>
  <si>
    <t>TOTAL COSTO DIRECTO</t>
  </si>
  <si>
    <t>Herramienta menor ( 10% de la M. de O.)</t>
  </si>
  <si>
    <t>SUB-TOTAL VLR EQUIPO</t>
  </si>
  <si>
    <t>Ayudante</t>
  </si>
  <si>
    <t>UN</t>
  </si>
  <si>
    <t>UND:        M3</t>
  </si>
  <si>
    <t>Oficial</t>
  </si>
  <si>
    <t>HR</t>
  </si>
  <si>
    <t>dia</t>
  </si>
  <si>
    <t>m3</t>
  </si>
  <si>
    <t>Agua</t>
  </si>
  <si>
    <t>Lts</t>
  </si>
  <si>
    <t xml:space="preserve">Herramienta menor </t>
  </si>
  <si>
    <t>Vibrocompactador manual ( tipo rana)</t>
  </si>
  <si>
    <t>Gal</t>
  </si>
  <si>
    <t>DESPERDICIO 5%</t>
  </si>
  <si>
    <t>ml</t>
  </si>
  <si>
    <t>Acero de refuerzo 60000 psi</t>
  </si>
  <si>
    <t>kg</t>
  </si>
  <si>
    <t>Alambre negro</t>
  </si>
  <si>
    <t>concreto de 3000 P.S.I</t>
  </si>
  <si>
    <t>Disolvente</t>
  </si>
  <si>
    <t>Und</t>
  </si>
  <si>
    <t>Pintura acrilica de Trafico</t>
  </si>
  <si>
    <t>Bto</t>
  </si>
  <si>
    <t>Microesfera de Vidrio</t>
  </si>
  <si>
    <t>Trompo mezclador</t>
  </si>
  <si>
    <t>lt</t>
  </si>
  <si>
    <t>Arena gruesa</t>
  </si>
  <si>
    <t>Cemento gris</t>
  </si>
  <si>
    <t>Triturado de 3/4"</t>
  </si>
  <si>
    <t>RECEBO</t>
  </si>
  <si>
    <t>Operador</t>
  </si>
  <si>
    <t>CONCRETO DE 3000 PSI</t>
  </si>
  <si>
    <t>A. EQUIPO</t>
  </si>
  <si>
    <t>B. MATERIALES</t>
  </si>
  <si>
    <t>C. MANO DE OBRA</t>
  </si>
  <si>
    <t>m2</t>
  </si>
  <si>
    <t>TOTAL PROYECTO</t>
  </si>
  <si>
    <t>Puntilla con cabeza o clavos de 1" a 3.1/2"</t>
  </si>
  <si>
    <t>Herramienta menor ( 5% de la M. de O.)</t>
  </si>
  <si>
    <t>retroexcavadora (tipo Pajarita)</t>
  </si>
  <si>
    <t>Volqueta Sencilla de 6 m3</t>
  </si>
  <si>
    <t>retroexcavadora tipo Pajarita</t>
  </si>
  <si>
    <t>M3-Km</t>
  </si>
  <si>
    <t>Motoniveladora 120 G o similar</t>
  </si>
  <si>
    <t>Vibrocompactador de rodillo 6 Ton</t>
  </si>
  <si>
    <t>Carro Tanque de 5.000 Lts para riego de agua</t>
  </si>
  <si>
    <t>Subbase Granular en cumplimiento de las especificaciones del INVIAS</t>
  </si>
  <si>
    <t>Señal Vertical con tablero en lámina cal 16 con soporte metalico</t>
  </si>
  <si>
    <t>TOTAL</t>
  </si>
  <si>
    <t>Nota: se aclara que el valor de los materiales es puesto en el sitio de la obra.</t>
  </si>
  <si>
    <t xml:space="preserve">DESCRIPCION </t>
  </si>
  <si>
    <t>CANT.</t>
  </si>
  <si>
    <t>VALOR MENSUAL</t>
  </si>
  <si>
    <t>F.M.</t>
  </si>
  <si>
    <t>DEDICACION</t>
  </si>
  <si>
    <t>TOTAL VR. MENSUAL</t>
  </si>
  <si>
    <t>TIEMPO MES</t>
  </si>
  <si>
    <t xml:space="preserve">COSTOS DE PERSONAL </t>
  </si>
  <si>
    <t xml:space="preserve">VALOR COSTOS DE PERSONAL </t>
  </si>
  <si>
    <t>DESCRIPCIÓN</t>
  </si>
  <si>
    <t>COSTOS DIRECTOS  DE ADMINISTRACION</t>
  </si>
  <si>
    <t>Elaboracion y presentacion de informes (incluye edicion, registro Fotografico, fotocopias, papeleria y demás) Original y copia.</t>
  </si>
  <si>
    <t>Alquiler de Equipo de computo y comunicaciones.</t>
  </si>
  <si>
    <t>Planos definitivos de obra físicos y Magnéticos (incluye digitalizaciòn, ploteos original y copia)</t>
  </si>
  <si>
    <t>VALOR COSTOS DIRECTOS  DE ADMINISTRACION</t>
  </si>
  <si>
    <t>COSTOS OTRAS INVERSIONES</t>
  </si>
  <si>
    <t>VALOR COSTOS OTRAS INVERSIONES</t>
  </si>
  <si>
    <t>VALOR TOTAL IVA INCLUIDO</t>
  </si>
  <si>
    <t>HISTOGRAMA DE INVERSIONES</t>
  </si>
  <si>
    <t>MOVIMIENTOS DE TIERRA Y ADECUACIONES</t>
  </si>
  <si>
    <t xml:space="preserve">SEÑALIZACION Y DEMARCACIONES </t>
  </si>
  <si>
    <t>Suministro e instalacion tuberia en concreto de Ø 36"</t>
  </si>
  <si>
    <t>Concreto de 3000 P.S.I</t>
  </si>
  <si>
    <t>PALOS DE 4"x4"</t>
  </si>
  <si>
    <t>PALOS ROLLIZOS</t>
  </si>
  <si>
    <t>PUNTILLAS DE 4"</t>
  </si>
  <si>
    <t>LB</t>
  </si>
  <si>
    <t>ALAMBRE NEGRO</t>
  </si>
  <si>
    <t xml:space="preserve">KG </t>
  </si>
  <si>
    <t>RETROEXCAVADORA</t>
  </si>
  <si>
    <t>TUBERIA CONCRETO REFORZADA DIAMETRO  36" CON EMPAQUE DE CAUCHO PARA ACOPLE</t>
  </si>
  <si>
    <t>UND:</t>
  </si>
  <si>
    <t>und</t>
  </si>
  <si>
    <t>Vehiculo delineador</t>
  </si>
  <si>
    <t>MEMORIAS DE CALCULO DE CANTIDADES</t>
  </si>
  <si>
    <t>m</t>
  </si>
  <si>
    <t>km</t>
  </si>
  <si>
    <t>m3/km</t>
  </si>
  <si>
    <t>Transporte</t>
  </si>
  <si>
    <t>ACERO DE REFUERZO 60000 PSI (figurado y armado)</t>
  </si>
  <si>
    <t>Concreto de 4000 P.S.I</t>
  </si>
  <si>
    <t>Concreto de 4000 psi para resalto vehicular, con protuberancia de 10 cm y longitud a lo largo de la vía de 3,70 mt. (incluye refuerzo)</t>
  </si>
  <si>
    <t>MP. 68202125214 STD</t>
  </si>
  <si>
    <t>Desperdicio 5%</t>
  </si>
  <si>
    <t>transporte de material</t>
  </si>
  <si>
    <t>m3 por kg</t>
  </si>
  <si>
    <t>desperdicio</t>
  </si>
  <si>
    <t>VALOR IVA 19%</t>
  </si>
  <si>
    <t>INTERVENTORIA</t>
  </si>
  <si>
    <t>INV</t>
  </si>
  <si>
    <t>NP</t>
  </si>
  <si>
    <t>600.2.3</t>
  </si>
  <si>
    <t>320.1
T0010030</t>
  </si>
  <si>
    <t>CONCRETO 21MPA</t>
  </si>
  <si>
    <t>ESTA EN M3 INV</t>
  </si>
  <si>
    <t>M2 $37,993</t>
  </si>
  <si>
    <t>710.1
B0015062</t>
  </si>
  <si>
    <t>EXCAVACIONES VARIAS EN MATERIAL COMUN EN SECO</t>
  </si>
  <si>
    <t>TRANSPORTE DE MATERIALES PROVENIENTES DE LA EXCAVACION DE LA EXPLANACION, CANALES Y PRESTAMOS, ENTRE  CIEN METROS (100 M) Y MIL METROS (1000 M) DE DISTANCIA</t>
  </si>
  <si>
    <t>RELLENOS PARA ESTRUCTURAS CON RECEBO.</t>
  </si>
  <si>
    <t>BASE GRANULAR CLASE A
Transporte de material de subbase</t>
  </si>
  <si>
    <t>CUNETA DE CONCRETO VACIADA IN SITU; INCLUYE LA CONFORMACION DE LA SUPERFICIE DE APOYO</t>
  </si>
  <si>
    <t>ACERO DE REFUERZO FY 4200 MPA.</t>
  </si>
  <si>
    <t>CONCRETO RESISTENCIA 21MPA (D)</t>
  </si>
  <si>
    <t>LÍNEA DE DEMARCACIÓN CON PINTURA EN FRÍO.</t>
  </si>
  <si>
    <t xml:space="preserve">SEÑAL VERTICAL DE TRANSITO TIPO 1 CON LAMINA RETRORREFLECTIVA TIPO III (75X75) CM
Tablero en lámina galvanizada de 75cm*75cm, calibre 16, reflectivo tipo 1. Incluye poste de 2*2*1/4´´ </t>
  </si>
  <si>
    <t>MARCA VIAL CON PINTURA EN FRÍO.</t>
  </si>
  <si>
    <t>Señal horizontal para cruce via en cebra en Pintura acrilica de Trafico. (Manual Señalizacion MinT Colombia 2015)</t>
  </si>
  <si>
    <t>Señal horizontal de fecha sencilla de giro en Pintura acrilica de Trafico. (Manual Señalizacion MinT Colombia 2015)</t>
  </si>
  <si>
    <t>Suminstro e instalación de elementos de Señales verticales en fondo reflectivo Tipo Alta Intensidad con tablero en lámina cal 16, terminados en pintura electrostática blanca. (Manual Señalizacion MinT Colombia 2015)</t>
  </si>
  <si>
    <t>TUBERÍA DE CONCRETO REFORZADO  21 MPA DE 900 MM DE DIAMETRO INTERIOR</t>
  </si>
  <si>
    <t>CODIGO</t>
  </si>
  <si>
    <t>PROGRAMA DE ADAPTACIÓN DE LA GUÍA AMBIENTAL (PAGA)</t>
  </si>
  <si>
    <t>CONTROL DEL TRAFICO EN LA ZONA DE INTERVENCION QUE AFECTA EL TRAFICO POR CIERRE DEL CARRIL (PMT)</t>
  </si>
  <si>
    <t>Ensayos de laboratorio (Densidades de campo, proctor modificado y demás que sean considerados por el supervisor)
Ensayos de Resistencia de Concretos.
Pruebas de densidad de campo.</t>
  </si>
  <si>
    <t>Topografo
Cadenero</t>
  </si>
  <si>
    <t xml:space="preserve">A0090010
A0010010 </t>
  </si>
  <si>
    <t>EXCAVACIONES VARIAS SIN CLASIFICAR</t>
  </si>
  <si>
    <t>600.1.1</t>
  </si>
  <si>
    <t>Andenes del Proyecto</t>
  </si>
  <si>
    <t>Los datos de areas son tomados de Autocad para mayor precision, debido a las curvaturas de los diseños geometricos y los empalmes con las vias.</t>
  </si>
  <si>
    <t>SECTORES A INTERVENIR</t>
  </si>
  <si>
    <t>Items de Presupuesto</t>
  </si>
  <si>
    <t>CALZADAS Y GLORIETA</t>
  </si>
  <si>
    <t>ANDENES</t>
  </si>
  <si>
    <t>Profundidad de Excavacion Anden</t>
  </si>
  <si>
    <t>DATOS RELEVANTES</t>
  </si>
  <si>
    <t>Base Granular</t>
  </si>
  <si>
    <t>Espesor Estructura Pavimento y Mejoramiento</t>
  </si>
  <si>
    <t>ESTRUCTURA DE ANDENES</t>
  </si>
  <si>
    <t>Excavación manual para perfilado en sector de andenes y obras de arte, en material común de 0.0 - 2.0 mts</t>
  </si>
  <si>
    <t>Perfilado de sector de andenes</t>
  </si>
  <si>
    <t>DISTANCIA DE ACARREO</t>
  </si>
  <si>
    <t>PERFILADO MANUAL ANDENES</t>
  </si>
  <si>
    <t>Distancia de acarreo</t>
  </si>
  <si>
    <t>Area Total con Pavimento</t>
  </si>
  <si>
    <t>Espesor de Relleno de suelo estabilizado con CAL para Pavimento</t>
  </si>
  <si>
    <t>Espesor de Relleno de suelo estabilizado con CAL para andenes</t>
  </si>
  <si>
    <t>Volumen debajo de los Andenes</t>
  </si>
  <si>
    <t>Relleno con material tipo II (Gravo-Arcilloso) para suelo estabilizado con CAL</t>
  </si>
  <si>
    <t>Suministro, extendido, conformación y compactación de base granular.</t>
  </si>
  <si>
    <t>Sub- Base Granular</t>
  </si>
  <si>
    <t>Bordillos Vehiculares
(Fuente: Autocad; Polyline: Bordillos)</t>
  </si>
  <si>
    <t>MUROS DE CONTENCION</t>
  </si>
  <si>
    <t>m3-km</t>
  </si>
  <si>
    <t>ESTRUCTURAS DE MANEJO HIDRAULICO</t>
  </si>
  <si>
    <t>ALCANTARILLADO</t>
  </si>
  <si>
    <t>PLUVIAL</t>
  </si>
  <si>
    <t>SANITARIO</t>
  </si>
  <si>
    <t>Suministro, extendido, conformación y compactación de arena para proteccion de tuberia de Alcantarillado.</t>
  </si>
  <si>
    <t>LONGITUD ESTRUCTURAS DE MANEJO HIDRAULICO</t>
  </si>
  <si>
    <t>LONGITUD ESTRUCTURAS DE CONTENCION</t>
  </si>
  <si>
    <t>Suministro e instalacion tuberia en concreto de Ø 48"</t>
  </si>
  <si>
    <t>TUBERIA CONCRETO REFORZADA DIAMETRO  48" CON EMPAQUE DE CAUCHO PARA ACOPLE</t>
  </si>
  <si>
    <t>Suministro e instalacion tuberia en PVC Novafort 8"</t>
  </si>
  <si>
    <t>Suministro e instalacion tuberia en PVC Novafort 10"</t>
  </si>
  <si>
    <t>Suministro e instalacion tuberia en PVC Novafort 12"</t>
  </si>
  <si>
    <t>Suministro e instalacion tuberia en PVC Novafort 14"</t>
  </si>
  <si>
    <t>Suministro e instalacion tuberia en PVC Novafort 16"</t>
  </si>
  <si>
    <t>Suministro e instalacion tuberia en PVC Novafort 18"</t>
  </si>
  <si>
    <t>Suministro e instalacion tuberia en PVC Novafort 20"</t>
  </si>
  <si>
    <t>Suministro e instalacion tuberia en PVC Novafort 24"</t>
  </si>
  <si>
    <t>Suministro e instalacion tuberia en PVC Novafort 27"</t>
  </si>
  <si>
    <t>Suministro e instalacion tuberia en PVC Novafort 30"</t>
  </si>
  <si>
    <t>Suministro e instalacion tuberia en PVC Novafort 33"</t>
  </si>
  <si>
    <t>Suministro e instalacion tuberia en PVC Novafort 36"</t>
  </si>
  <si>
    <t>Suministro e instalacion tuberia en PVC Novafort 39"</t>
  </si>
  <si>
    <t>Suministro e instalacion tuberia en PVC Novafort 42"</t>
  </si>
  <si>
    <t>ALCANTARILLADO PLUVIAL</t>
  </si>
  <si>
    <t>Long</t>
  </si>
  <si>
    <t>Diametro (Pulgadas)</t>
  </si>
  <si>
    <t>ALCANTARILLADO SANITARIO</t>
  </si>
  <si>
    <t>Tuberia 8"</t>
  </si>
  <si>
    <t>Tuberia 10"</t>
  </si>
  <si>
    <t>Tuberia 12"</t>
  </si>
  <si>
    <t>Tuberia 14"</t>
  </si>
  <si>
    <t>Tuberia 16"</t>
  </si>
  <si>
    <t>Tuberia 18"</t>
  </si>
  <si>
    <t>Tuberia 20"</t>
  </si>
  <si>
    <t>6.10</t>
  </si>
  <si>
    <t>Tuberia 24"</t>
  </si>
  <si>
    <t>Tuberia 27"</t>
  </si>
  <si>
    <t>Tuberia 30"</t>
  </si>
  <si>
    <t>Tuberia 33"</t>
  </si>
  <si>
    <t>Tuberia 36"</t>
  </si>
  <si>
    <t>Tuberia 39"</t>
  </si>
  <si>
    <t>Tuberia 42"</t>
  </si>
  <si>
    <t>UND/MES</t>
  </si>
  <si>
    <t>Malla de cerramiento (tela aditiva; h=2,1 m ) y madera rolliza cada 3 mts</t>
  </si>
  <si>
    <t>Tela aditiva h2.1</t>
  </si>
  <si>
    <t>Postes de madera 2 x 2 o redondos similares condicones de resistencia</t>
  </si>
  <si>
    <t>Puntillas</t>
  </si>
  <si>
    <t>caja</t>
  </si>
  <si>
    <t>incremento IPC</t>
  </si>
  <si>
    <t>Anden en concreto de 3000 psi e=0.15 mts (incluye malla electrosoldada) Incluye linea de Losetas tipo Braille y rampas de acceso de Movilidad reducida.</t>
  </si>
  <si>
    <t>formaleta para placa de andenes</t>
  </si>
  <si>
    <t>desperdicio 5%</t>
  </si>
  <si>
    <t>AREA DE ANDENES</t>
  </si>
  <si>
    <t>SISTEMAS HIDROSANITARIOS</t>
  </si>
  <si>
    <t>Suministro e instalación Tuberia PVC U.M. RDE 21 Ø 10"</t>
  </si>
  <si>
    <t>Suministro e instalación Tuberia PVC U.M. RDE 21 Ø 18"</t>
  </si>
  <si>
    <t>Suministro e instalación Codo HD 3" X 22.5° J.H. ó Similar</t>
  </si>
  <si>
    <t>Suministro e instalación Codo HD 4" X 22.5° J.H. ó Similar</t>
  </si>
  <si>
    <t>SISTEMAS ALCANTARILLADO</t>
  </si>
  <si>
    <t>SISTEMA HIDRAULICO</t>
  </si>
  <si>
    <t>REDUCTORES DE VELOCIDAD</t>
  </si>
  <si>
    <t>Dia</t>
  </si>
  <si>
    <t>Base Granular en cumplimiento de las especificaciones del INVIAS</t>
  </si>
  <si>
    <t>Pozos de Inspeccion D=1.20</t>
  </si>
  <si>
    <t>Pozos de Inspeccion D=1.50</t>
  </si>
  <si>
    <t>6.40</t>
  </si>
  <si>
    <t>Muro de Ladrillo tolete comun (tizón)</t>
  </si>
  <si>
    <t>Ladrillo</t>
  </si>
  <si>
    <t>Mortero de pega</t>
  </si>
  <si>
    <t>Escalones metalicos pintados con anticorrosivo cada 30cm</t>
  </si>
  <si>
    <t>Tuberia de ventilacion de PVC 2"</t>
  </si>
  <si>
    <t>Pañete esmaltado</t>
  </si>
  <si>
    <t>Tapas de concreto D=1.20, para pozo de inspeccion con tapa de aro con nucleo de concreto</t>
  </si>
  <si>
    <t>Tapas de concreto D=1.50, para pozo de inspeccion con tapa de aro con nucleo de concreto</t>
  </si>
  <si>
    <t>Concreto de 4000 PSI</t>
  </si>
  <si>
    <t>Concreto de 3000 PSI para aro de la Tapa del pozo</t>
  </si>
  <si>
    <t>Concreto de 3000 PSI para escotilla de aro metalico y concreto</t>
  </si>
  <si>
    <t>Acero de refuerzo 60000 PSI</t>
  </si>
  <si>
    <t>Soporte metalico en hierro fundido</t>
  </si>
  <si>
    <t>Cant. Meses</t>
  </si>
  <si>
    <t>Mes de Inicio</t>
  </si>
  <si>
    <t>Mes de Finalización</t>
  </si>
  <si>
    <t>10meses</t>
  </si>
  <si>
    <t>FLUJO DE INVERSIONES (Miles $)</t>
  </si>
  <si>
    <t>ESTRUCTURAS Y ELEMENTOS DE CONEXIÓN</t>
  </si>
  <si>
    <t>Concreto de 3000 PSI para placa de fondo y muros lados externos 1m x 2m e=0.15</t>
  </si>
  <si>
    <t>Sumidero Lateral en Concreto de 3000 PSI,  dimensiones externas L=2.00m, A=1.00, fondo Trapezoidal:  h menor= 0.65, h mayor= 1.60; e muros y placa de fondo=0.15; placa superior= 0.10</t>
  </si>
  <si>
    <t>Concreto de 3000 PSI para placa superior</t>
  </si>
  <si>
    <t>Concreto de 3000 PSI para Viga V1</t>
  </si>
  <si>
    <t>Tapa en HF D=0.42</t>
  </si>
  <si>
    <t>D</t>
  </si>
  <si>
    <t>L</t>
  </si>
  <si>
    <t>Cant</t>
  </si>
  <si>
    <t>Total</t>
  </si>
  <si>
    <t>Total (Kg)</t>
  </si>
  <si>
    <t>Tuberia de conexión a pozo de inspeccion 16"</t>
  </si>
  <si>
    <t>LINEAS CONTINUAS</t>
  </si>
  <si>
    <t>LINEAS DOBLES</t>
  </si>
  <si>
    <t>Linea Segmentada sector Glorieta</t>
  </si>
  <si>
    <t xml:space="preserve">Total </t>
  </si>
  <si>
    <t>Total Ocupacion de Segmentos Pintados</t>
  </si>
  <si>
    <t>Linea de 0.12 en pintura de trafico para señalización horizontal. (Manual Señalizacion MinT Colombia 2015)</t>
  </si>
  <si>
    <t>CEBRAS</t>
  </si>
  <si>
    <t>señales verticales</t>
  </si>
  <si>
    <t>Señal horizontal de fecha doble de giro en Pintura acrilica de Trafico. (Manual Señalizacion MinT Colombia 2015)</t>
  </si>
  <si>
    <t>señales horizontales dobles</t>
  </si>
  <si>
    <t>señales horizontales sencillas</t>
  </si>
  <si>
    <t>Colchon filtrante en material de entre 1 1/2" y 2 1/2" detrás de muros de contencion separado del suelo por Geotextil NT, e=0.30, incluye lloraderos de D=2"</t>
  </si>
  <si>
    <t xml:space="preserve">Material filtrante en material de entre 1 1/2" y 2 1/2" </t>
  </si>
  <si>
    <t>Geotextil NT 2600</t>
  </si>
  <si>
    <t>Tuberia de 2"</t>
  </si>
  <si>
    <t>Arena de rio</t>
  </si>
  <si>
    <t>6.20</t>
  </si>
  <si>
    <t>6.30</t>
  </si>
  <si>
    <t>señales horizontales de PARE</t>
  </si>
  <si>
    <t>Señal horizontal de PARE  con linea delimitadora en Pintura acrilica de Trafico. (Manual Señalizacion MinT Colombia 2015)</t>
  </si>
  <si>
    <t>Suministro e Instalacion deTachas reflectivas Bidireccionales. (Manual Señalizacion MinT Colombia 2015)</t>
  </si>
  <si>
    <t>Tachas Reflectivas Bidireccionales</t>
  </si>
  <si>
    <t>epoxico</t>
  </si>
  <si>
    <t>gbl</t>
  </si>
  <si>
    <t>Concreto (3000 PSI) para atraque de accesorios de 2" hasta 10" con sikaset L y plastocrete DM</t>
  </si>
  <si>
    <t>Concreto (3000 PSI) para atraque de accesorios de 10" hasta 20" con sikaset L y plastocrete DM</t>
  </si>
  <si>
    <t>Formaleta de Madera Tres Usos</t>
  </si>
  <si>
    <t>Sikaset L  (Tambor 230 kg)</t>
  </si>
  <si>
    <t>KG</t>
  </si>
  <si>
    <t>Plastocrete DM Empaque 4.5 Kg</t>
  </si>
  <si>
    <t xml:space="preserve">Suministro e Instalacion de Tachas Solares. </t>
  </si>
  <si>
    <t>Tachas Solares sector Glorieta</t>
  </si>
  <si>
    <t>Suministro e Instalacion de tachon reflectivo 8x15x40 cm</t>
  </si>
  <si>
    <t>5.10</t>
  </si>
  <si>
    <t>Longitud de lineas de Tachones sector Isletas traingulares y Glorieta</t>
  </si>
  <si>
    <t>Cantidad de Tachones</t>
  </si>
  <si>
    <t>Distancia entre ejes de Tachones</t>
  </si>
  <si>
    <t>URBANISMO</t>
  </si>
  <si>
    <t>TUBERIA PVC Ø 160 mm (Incluye accesorios, hidrosellos y lubricante) 6" para reposicion de conexiones domiciliarias</t>
  </si>
  <si>
    <t>(pulg)</t>
  </si>
  <si>
    <t>Long Conexiones 6"</t>
  </si>
  <si>
    <t>Longitid de alcantarillado Sanitario / cada diametro</t>
  </si>
  <si>
    <t>Cant Conexiones Silla Yee 6"</t>
  </si>
  <si>
    <t>KIT SILLA YEE Ø8" x Ø6" (INCLUYE HIDROSELLOS Y LUBRICANTES)</t>
  </si>
  <si>
    <t>KIT SILLA YEE Ø10" x Ø6" (INCLUYE HIDROSELLOS Y LUBRICANTES)</t>
  </si>
  <si>
    <t>KIT SILLA YEE Ø14" x Ø6" (INCLUYE HIDROSELLOS Y LUBRICANTES)</t>
  </si>
  <si>
    <t>KIT SILLA YEE Ø16" x Ø6" (INCLUYE HIDROSELLOS Y LUBRICANTES)</t>
  </si>
  <si>
    <t>KIT SILLA YEE Ø18" x Ø6" (INCLUYE HIDROSELLOS Y LUBRICANTES)</t>
  </si>
  <si>
    <t>6.50</t>
  </si>
  <si>
    <t>Reposicion de Cajas de Inspeccion Domiciliarias</t>
  </si>
  <si>
    <t>Placa de fondo y superior de e= 0.08</t>
  </si>
  <si>
    <t>1. Determinación del límite líquido de suelos cada 250ml</t>
  </si>
  <si>
    <t>2. Límite plástico e índice de plasticidad de los suelos cada 250 ml</t>
  </si>
  <si>
    <t>3. Relación de soporte del suelo en laboratorio CBR (Suelos Granulares) cada 250 ml</t>
  </si>
  <si>
    <t>4.Relaciones de humedad - peso unitario seco en los suelos (ensayo normal de compactación): – Método A  (molde 1/30 pie3)</t>
  </si>
  <si>
    <t>5. Resistencia a la compresión de cilindros y núcleos de concreto  Que la toma de cilindros de concreto se realice mínimo una vez por día, o por lo menos una vez por cada 120 m3 de concreto</t>
  </si>
  <si>
    <t>6. Densidad o masa unitaria del suelo en el terreno método del cono de arena. Cada 40 m o 250m2</t>
  </si>
  <si>
    <t>DIRECTOR DE INTERVENTORIA</t>
  </si>
  <si>
    <t>RESIDENTE DE INTERVENTORIA</t>
  </si>
  <si>
    <t>ESPECIALISTA EN PAVIMENTOS</t>
  </si>
  <si>
    <t>SISO</t>
  </si>
  <si>
    <t>TOPOGRAFO</t>
  </si>
  <si>
    <t>CADENERO</t>
  </si>
  <si>
    <t>SECRETARIA</t>
  </si>
  <si>
    <t>CONDUCTOR</t>
  </si>
  <si>
    <t>VIGIILANTE</t>
  </si>
  <si>
    <t xml:space="preserve"> </t>
  </si>
  <si>
    <t>UTILIDAD</t>
  </si>
  <si>
    <t>IMPREVISTOS:</t>
  </si>
  <si>
    <t>TOTAL COSTOS ADMINISTRATIVOS</t>
  </si>
  <si>
    <t>ADMINISTRACIÓN:</t>
  </si>
  <si>
    <t>TOTAL COSTOS ADMINISTRATIVOS (SUMA)</t>
  </si>
  <si>
    <t>%</t>
  </si>
  <si>
    <t>VALLA INFORMATIVA SEGÚN CIRCULAR No.0006 DEL DEPARTAMENTO NACIONAL DE PLANEACION. (INCLUYE SOPORTES METALICOS).</t>
  </si>
  <si>
    <t>ALQUILER DE CAMIONETA (INCLUYE COMBUSTIBLE Y CONDUCTOR)</t>
  </si>
  <si>
    <t>ALQUILER DE EQUIPOS DE COMPUTO Y COMUNICACIONES</t>
  </si>
  <si>
    <t>SERVICIOS PUBLICOS Y OPERACIONALES</t>
  </si>
  <si>
    <t>COSTO PAPELERIA, FOTOCOPIAS, ETC</t>
  </si>
  <si>
    <t>ARRENDAMIENTO PLANTA FISICA CON DOTACION DE OFICINA Y BODEGA.</t>
  </si>
  <si>
    <t xml:space="preserve">Meses </t>
  </si>
  <si>
    <t>%Utiliz.</t>
  </si>
  <si>
    <t>Cant.</t>
  </si>
  <si>
    <t>OFICINA, PAPELERIA Y OTROS:</t>
  </si>
  <si>
    <t>RESIDENTE DE OBRA</t>
  </si>
  <si>
    <t>DIRECTOR DE OBRA</t>
  </si>
  <si>
    <t>SALARIO BASE</t>
  </si>
  <si>
    <t>F.P</t>
  </si>
  <si>
    <t>PERSONAL TÉCNCO Y ARDMINISTRATIVO (Inc.Prest. Soc.)</t>
  </si>
  <si>
    <t xml:space="preserve">VALOR EN PESOS </t>
  </si>
  <si>
    <t>%S/Costos Directos</t>
  </si>
  <si>
    <t>VALOR PARCIAL</t>
  </si>
  <si>
    <t>Meses Dedic.</t>
  </si>
  <si>
    <t>%Ocup Mes</t>
  </si>
  <si>
    <t>COSTOS ADMINISTRATIVOS</t>
  </si>
  <si>
    <t>VALOR COSTO TOTAL CD + AIU</t>
  </si>
  <si>
    <t>% ADMIN PRESUPUESTO</t>
  </si>
  <si>
    <t>VALOR COSTO DIRECTO</t>
  </si>
  <si>
    <t>ALCALDIA MUNICIPAL</t>
  </si>
  <si>
    <t>VALOR COSTOS DIRECTOS  DE SUMINISTROS E INSUMOS</t>
  </si>
  <si>
    <t>Barreras de protección vial de polietileno de media densidad para Barricada</t>
  </si>
  <si>
    <t>Delineador Vial o Baliza Naranja plastica</t>
  </si>
  <si>
    <t>Señales Reglamentarias Blanca-Roja</t>
  </si>
  <si>
    <t>Señales Preventivas Amarillas</t>
  </si>
  <si>
    <t>Señales Transitorias Preventivas-Informativas Naranjas</t>
  </si>
  <si>
    <t>Paletas de PARE / SIGA</t>
  </si>
  <si>
    <t>SEÑALIZACION PARA CONTROL DE TRAFICO</t>
  </si>
  <si>
    <t>VALOR UNITARIO</t>
  </si>
  <si>
    <t>Paletero 1er punto de control (12 horas)</t>
  </si>
  <si>
    <t>F.PREST.</t>
  </si>
  <si>
    <t>RECARGO HORAS EXTRAS</t>
  </si>
  <si>
    <t>CANTIDAD DE PUNTOS DE CONTROL</t>
  </si>
  <si>
    <t>SALARIO 2019 + TRANSP</t>
  </si>
  <si>
    <t>SALARIO 2019</t>
  </si>
  <si>
    <t>TIEMPO DE INTERVENTORIA</t>
  </si>
  <si>
    <t>MINISTERIO DE TRANSPORTE</t>
  </si>
  <si>
    <t>CÓDIGO</t>
  </si>
  <si>
    <t>MSE-FR-29</t>
  </si>
  <si>
    <t>INSTITUTO NACIONAL DE VÍAS</t>
  </si>
  <si>
    <t>SECRETARÍA GENERAL TÉCNICA</t>
  </si>
  <si>
    <t>VERSIÓN</t>
  </si>
  <si>
    <t>PROCESO SUPERVISION, EJECUCION Y SEGUIMIENTO A PROYECTOS</t>
  </si>
  <si>
    <t>MANUAL DE INTERVENTORÍA OBRA PUBLICA</t>
  </si>
  <si>
    <t>PROGRAMA DE ADAPTACION DE LA GUIA AMBIENTAL</t>
  </si>
  <si>
    <t>PÁGINA</t>
  </si>
  <si>
    <t>DE</t>
  </si>
  <si>
    <t>OBRA</t>
  </si>
  <si>
    <t>SECTOR</t>
  </si>
  <si>
    <t>TRANSPORTE</t>
  </si>
  <si>
    <t>No. ORDEN</t>
  </si>
  <si>
    <t>NOMBRE DEL INSUMO O ITEM</t>
  </si>
  <si>
    <t>MEDIDA A AEJECUTAR</t>
  </si>
  <si>
    <t>VR, UNITARIO</t>
  </si>
  <si>
    <t>VR, TOTAL</t>
  </si>
  <si>
    <t>IDENTIFICACION  A CARGO DE</t>
  </si>
  <si>
    <t>OBSERVACIONES</t>
  </si>
  <si>
    <t xml:space="preserve"> REGISTRO DE CUMPLIMIENTO</t>
  </si>
  <si>
    <t>PROGRAMA</t>
  </si>
  <si>
    <t>PROYECTO</t>
  </si>
  <si>
    <t>ACTIVIDAD</t>
  </si>
  <si>
    <t>CTRL</t>
  </si>
  <si>
    <t>PREV</t>
  </si>
  <si>
    <t>MITI</t>
  </si>
  <si>
    <t>CRREC</t>
  </si>
  <si>
    <t>ITEM DE PAGO</t>
  </si>
  <si>
    <t>ADMON</t>
  </si>
  <si>
    <t>ITEM NO PREVISTO</t>
  </si>
  <si>
    <t>REEMBOLSO DE GASTOS</t>
  </si>
  <si>
    <t>DAGA 1.2-02</t>
  </si>
  <si>
    <t>Desarrollo y aplicación de la gestion ambiental</t>
  </si>
  <si>
    <t>Conformacion del grupo de gestion ambiental</t>
  </si>
  <si>
    <t>Elementos de protecion personal(casco,guantes, gafas,botas)</t>
  </si>
  <si>
    <t>x</t>
  </si>
  <si>
    <t>PAGA</t>
  </si>
  <si>
    <t>Registro fotografico; Actas</t>
  </si>
  <si>
    <t>PAC 2.3-06</t>
  </si>
  <si>
    <t>Actividades constructivas.</t>
  </si>
  <si>
    <t>Señalizacion en los frentes de obras y sitios temporales</t>
  </si>
  <si>
    <t>X</t>
  </si>
  <si>
    <t>Manejo y disposicion final de residuos solidos convecionales</t>
  </si>
  <si>
    <t>Punto ecologico</t>
  </si>
  <si>
    <t>PAC-2.4-07</t>
  </si>
  <si>
    <t>manejo y disposición final de residuos sólidos convencionales y especiales</t>
  </si>
  <si>
    <t>Recolección de residuos peligrosos (bolsas Cemento) empresa con permiso de disposición</t>
  </si>
  <si>
    <t>PMIT 5.1-15</t>
  </si>
  <si>
    <t>Manejo instalacion temporales, de maquinaria y equipos</t>
  </si>
  <si>
    <t>Instalacion funcionamiento y desmantelamiento de campamentos y sitios de acopio temporal</t>
  </si>
  <si>
    <t>Alquiler baños portatiles</t>
  </si>
  <si>
    <t>Limpieza baños portatiles</t>
  </si>
  <si>
    <t>PGS-6.2-19</t>
  </si>
  <si>
    <t>Gestion social</t>
  </si>
  <si>
    <t>Informacion y divulgacion</t>
  </si>
  <si>
    <t>Talleres y reuniones con la comunidad</t>
  </si>
  <si>
    <t>Plegables, circulares y volantes</t>
  </si>
  <si>
    <t>Registro fotografico</t>
  </si>
  <si>
    <t>HSISO – 16 – 28</t>
  </si>
  <si>
    <t>Higiene, Seguridad Industrial y Salud Ocupacional</t>
  </si>
  <si>
    <t>Kit emergencias (Botiquines, Camillas)</t>
  </si>
  <si>
    <t>Kit de derrames</t>
  </si>
  <si>
    <t>COSTO TOTAL AMBIENTAL Y SOCIAL ACTIVIDADES</t>
  </si>
  <si>
    <t>AMBIENTAL Y/O UN PROFESIONAL SISO</t>
  </si>
  <si>
    <t>PROFESIONAL</t>
  </si>
  <si>
    <t>COSTO TOTAL AMBIENTAL Y SOCIAL</t>
  </si>
  <si>
    <t>NOTA :</t>
  </si>
  <si>
    <t>1. EL AMBIENTAL Y/O UN PROFESIONAL SISO REALIZARA LAS CAPACITACIONES.</t>
  </si>
  <si>
    <t>VALOR DE JORNAL 
SALARIO`+ FACTOR PRESTACIONAL + AUXILIOS</t>
  </si>
  <si>
    <t>Factor Prestacional:</t>
  </si>
  <si>
    <t>Transporte Mes:</t>
  </si>
  <si>
    <t>Transporte dia:</t>
  </si>
  <si>
    <t>Trabajador</t>
  </si>
  <si>
    <t>Salario Base (dia)</t>
  </si>
  <si>
    <t>Salario + FP</t>
  </si>
  <si>
    <t>Auxilio de transporte</t>
  </si>
  <si>
    <t>Valor Total Jornal</t>
  </si>
  <si>
    <t>Obreros</t>
  </si>
  <si>
    <t>CONCEPTO</t>
  </si>
  <si>
    <t>PORCENTAJE</t>
  </si>
  <si>
    <t>Prestaciones Sociales de Personal Facturable</t>
  </si>
  <si>
    <t>Prima anual (legal)</t>
  </si>
  <si>
    <t xml:space="preserve"> ÷ 12 =</t>
  </si>
  <si>
    <t>Cesantía</t>
  </si>
  <si>
    <t>Intereses de cesantía</t>
  </si>
  <si>
    <t xml:space="preserve"> x 1.3. =</t>
  </si>
  <si>
    <t>Vacaciones</t>
  </si>
  <si>
    <t>Seguridad Social (salud + pensión)</t>
  </si>
  <si>
    <t>Caja de Compensación Familiar</t>
  </si>
  <si>
    <t>ARP</t>
  </si>
  <si>
    <t>Sena</t>
  </si>
  <si>
    <t>ICBF</t>
  </si>
  <si>
    <t>Sub-total</t>
  </si>
  <si>
    <t>T  O  T  A  L</t>
  </si>
  <si>
    <t>PRESTACIONES</t>
  </si>
  <si>
    <t>Placas de fondo de concreto de 4000 PSI, para pozos de inspeccion D=1.20, e=0.20</t>
  </si>
  <si>
    <t>Placas de fondo de concreto de 4000 PSI, para pozos de inspeccion D=1.50, e=0.20</t>
  </si>
  <si>
    <t>TECNOLOGO EN SST</t>
  </si>
  <si>
    <t>SEÑALIZACION DE SEGURIDAD INDUSTRIAL DE OBRA - TEMPORAL</t>
  </si>
  <si>
    <t>UTILIDAD ESTIMADA</t>
  </si>
  <si>
    <t>RESERVA PARA IMPREVISTOS</t>
  </si>
  <si>
    <t>FACTOR MULTIPLICADOR INTERVENTORIA</t>
  </si>
  <si>
    <t>Modelo utilizado para calculo del factor Multiplicador Benchamarking de Salarios, Tarifas de Consultoría y Cálculo Factor Multiplicador del Sector • RESULTADOS FACTOR MULTIPLICADOR</t>
  </si>
  <si>
    <t>1.</t>
  </si>
  <si>
    <t>Salarios y Prestaciones Sociales de Personal Facturable</t>
  </si>
  <si>
    <t>1.1.</t>
  </si>
  <si>
    <t xml:space="preserve">Salarios </t>
  </si>
  <si>
    <t>1.2.</t>
  </si>
  <si>
    <t>1.3.</t>
  </si>
  <si>
    <t>1.4.</t>
  </si>
  <si>
    <t>1.5.</t>
  </si>
  <si>
    <t>1.6.</t>
  </si>
  <si>
    <t>1.7.</t>
  </si>
  <si>
    <t>1.8.</t>
  </si>
  <si>
    <t>1.9.</t>
  </si>
  <si>
    <t>1.10.</t>
  </si>
  <si>
    <t>1.11.</t>
  </si>
  <si>
    <t>Otros (Auxilios varios, prestaciones extralegales, Incapacidades no cubertas)</t>
  </si>
  <si>
    <t>2.</t>
  </si>
  <si>
    <t>Gastos Directos</t>
  </si>
  <si>
    <t>2.1.</t>
  </si>
  <si>
    <t>Arriendo oficina</t>
  </si>
  <si>
    <t>3.2.</t>
  </si>
  <si>
    <t>Servicios públicos</t>
  </si>
  <si>
    <t>3.</t>
  </si>
  <si>
    <t>Gastos Generales</t>
  </si>
  <si>
    <t>3.1.</t>
  </si>
  <si>
    <t>Costos de Perfeccionamiento de Contrato y Keep of meeting</t>
  </si>
  <si>
    <t xml:space="preserve">Asesoria Contable Tributaria  y Juridica </t>
  </si>
  <si>
    <t>3.3.</t>
  </si>
  <si>
    <t>Equipos y mantenimiento Oficina (Aseo)</t>
  </si>
  <si>
    <t>3.4.</t>
  </si>
  <si>
    <t>Gastos de vehículo</t>
  </si>
  <si>
    <t>3.5.</t>
  </si>
  <si>
    <t>Seguros de robo e incendio</t>
  </si>
  <si>
    <t>3.6.</t>
  </si>
  <si>
    <t>Documentación Técnica</t>
  </si>
  <si>
    <t>3.7.</t>
  </si>
  <si>
    <t>Papelería y útiles de oficina</t>
  </si>
  <si>
    <t>3.8.</t>
  </si>
  <si>
    <t>Personal Administrativo no facturado</t>
  </si>
  <si>
    <t>3.9.</t>
  </si>
  <si>
    <t>Personal Profesional no facturado</t>
  </si>
  <si>
    <t>3.10.</t>
  </si>
  <si>
    <t>Depreciación de muebles y equipos</t>
  </si>
  <si>
    <t>Correo y otros</t>
  </si>
  <si>
    <t>4.</t>
  </si>
  <si>
    <t>Costos Directos no Reembolsables</t>
  </si>
  <si>
    <t>Poliza de Calidad</t>
  </si>
  <si>
    <t>Póliza Cumplimiento</t>
  </si>
  <si>
    <t>Póliza Salarios y prestaciones Sociales</t>
  </si>
  <si>
    <t>5.</t>
  </si>
  <si>
    <t>Honorarios (Utilidad del consultor)</t>
  </si>
  <si>
    <t>FORMATO - LISTA DE MATERIALES</t>
  </si>
  <si>
    <t>No.</t>
  </si>
  <si>
    <t>MATERIAL</t>
  </si>
  <si>
    <t>PRECIO - UNITARIO</t>
  </si>
  <si>
    <t>Un</t>
  </si>
  <si>
    <t>Lb</t>
  </si>
  <si>
    <t>Madera redonda</t>
  </si>
  <si>
    <t>MORTERO 1:3</t>
  </si>
  <si>
    <t>Lona Verde</t>
  </si>
  <si>
    <t>Material gravo arcilloso Tipo 2</t>
  </si>
  <si>
    <t>Concreto de 3000 psi</t>
  </si>
  <si>
    <t>Malla electrosoldada</t>
  </si>
  <si>
    <t>Acero de Refuerzo (figurado)</t>
  </si>
  <si>
    <t>Kg</t>
  </si>
  <si>
    <t>Concreto de 3500 psi</t>
  </si>
  <si>
    <t>Alambre Negro</t>
  </si>
  <si>
    <t>Madera</t>
  </si>
  <si>
    <t>Concreto de 2500 psi</t>
  </si>
  <si>
    <t>Piedra Rajon</t>
  </si>
  <si>
    <t>Listones de madera de 2" x 2"</t>
  </si>
  <si>
    <t>Ladrillo de arcilla a la vista tipo Hollman</t>
  </si>
  <si>
    <t>Impermeabilizante con sika 1 o similar</t>
  </si>
  <si>
    <t>Ladrillo H- 10</t>
  </si>
  <si>
    <t>Pintura Tipo 1</t>
  </si>
  <si>
    <t>Gl</t>
  </si>
  <si>
    <t>Platiestuco</t>
  </si>
  <si>
    <t>cielo f.  acrilico pvc</t>
  </si>
  <si>
    <t>angulo 1 x 3/ 4 alu tira de 6 metros</t>
  </si>
  <si>
    <t>tee alum.anodizado 1"x3/4"</t>
  </si>
  <si>
    <t>remache pop 4-2 1/4"x1/8"</t>
  </si>
  <si>
    <t>alambre galvanizado # 18 u</t>
  </si>
  <si>
    <t>Poste redonde de concreto de 12 mts, 750 kg/f</t>
  </si>
  <si>
    <t>conector derivación en cobre  tipo    c</t>
  </si>
  <si>
    <t xml:space="preserve">varilla para puesta a tierra 5/8" x 2400 mm </t>
  </si>
  <si>
    <t>grapa o conector de tornillo p/varilla de puesta a tierra 5/8"</t>
  </si>
  <si>
    <t>alambre acero cub cobre #4 desrlx200</t>
  </si>
  <si>
    <t xml:space="preserve">capuchon de empalme electrico </t>
  </si>
  <si>
    <t>cable encauchetado 3x12a 600 v</t>
  </si>
  <si>
    <t>cinta aislante caucho autofund600 voltios 19 mm x 6.7 metros</t>
  </si>
  <si>
    <t>cinta aislante plastica vinilo600 voltios, 19 mm x 20 metros</t>
  </si>
  <si>
    <t>cable sintox negro # 8</t>
  </si>
  <si>
    <t>tubo metalico galvanizado 2"</t>
  </si>
  <si>
    <t xml:space="preserve">union galvanizada </t>
  </si>
  <si>
    <t>capacete 2"</t>
  </si>
  <si>
    <t>cable de cobre  # 4</t>
  </si>
  <si>
    <t>cierre acero inoxidable 1/2 pgpara cinta metalica de 1/2 pg</t>
  </si>
  <si>
    <t>conector compr deriv c cobreprincipal: cu4 derivacion: cu4</t>
  </si>
  <si>
    <t>cable de cobre  # 2</t>
  </si>
  <si>
    <t xml:space="preserve">cable cubierto cobre #6 flexibelastom 15kv barrajes </t>
  </si>
  <si>
    <t>conector derivación compr. 1/0 a 1/0 wag-acsr</t>
  </si>
  <si>
    <t>conector transversal universal 6-1/0 awg</t>
  </si>
  <si>
    <t>cortacircuitos 100 a. 15 kv. 12ka  asimet</t>
  </si>
  <si>
    <t>fusible tipo t p/caja primaria</t>
  </si>
  <si>
    <t>tornillo espaciador 15.9 x 250 mm (5/8" x 10")</t>
  </si>
  <si>
    <t>cruzeta metalica 240 mm</t>
  </si>
  <si>
    <t>tornillo 5/8  x 1x 1/2</t>
  </si>
  <si>
    <t>eslabon 5/8</t>
  </si>
  <si>
    <t>pie amigo 240 mm</t>
  </si>
  <si>
    <t xml:space="preserve">Brazo para fijacion de iluminarias tipo tauro </t>
  </si>
  <si>
    <t>Poste metalico galvanizado de 14 mts,Acero ASTM A-572 Gr-500, tipo abatible para iluminacion</t>
  </si>
  <si>
    <t>Candado yale 7 cm de ancho de acedo endurecido (seguridad dell malacate de poste)</t>
  </si>
  <si>
    <t>alambre cobre # 6 desnudo awgrl x 100</t>
  </si>
  <si>
    <t>anillo de acero galvanizado a=200 mm (7"-8")</t>
  </si>
  <si>
    <t>cable alum #2 acsr desnudosparrow carx3000</t>
  </si>
  <si>
    <t xml:space="preserve">cruzeta 240 mm </t>
  </si>
  <si>
    <t>conector derivación compr  4  a  4 acsr-awg (yho100)</t>
  </si>
  <si>
    <t>tiranta de 48 ´</t>
  </si>
  <si>
    <t>tornillo de 5/8 x 1 1/2</t>
  </si>
  <si>
    <t>fusible dual para transformador  30 kva,  0,7 a</t>
  </si>
  <si>
    <t>pararrayos óxido de zinc,  360v mcov,480 v, 5 ka</t>
  </si>
  <si>
    <t>tornillo espaciador 15.9 x 300 mm (5/8" x 12")</t>
  </si>
  <si>
    <t>transformador convencional distribución trifasico  de 30 kva.</t>
  </si>
  <si>
    <t>varilla para puesta a tierra 5/8" x 2400 mm</t>
  </si>
  <si>
    <t>Medidor electronico trifasico 3x120x208V de 5 a 100 A, calibrado.</t>
  </si>
  <si>
    <t>totalizador trifasico 100 a</t>
  </si>
  <si>
    <t>gabinete tipo esterior, trifasico para alojar medidor</t>
  </si>
  <si>
    <t>cinta vandit</t>
  </si>
  <si>
    <t>hevilla para cinta bandit 1/2</t>
  </si>
  <si>
    <t>tornillo 3/16 por 1 x 1/2 pulgada</t>
  </si>
  <si>
    <t>tornillo 3/16 por 1 x 2 1/2 pulgada</t>
  </si>
  <si>
    <t>tuberia pvc ø 4" perforada para filtro</t>
  </si>
  <si>
    <t>tubo pvc novafort de 6" (160 mm) x 6 mts</t>
  </si>
  <si>
    <t>hidrosellos de caucho de 6" (160 mm)</t>
  </si>
  <si>
    <t>lubricante (500 g) novafort</t>
  </si>
  <si>
    <t>acondicionador  x250ml</t>
  </si>
  <si>
    <t>tubo pvc novafort de 8" (200 mm) x 6 mts</t>
  </si>
  <si>
    <t>hidrosellos de caucho de 8" (200 mm)</t>
  </si>
  <si>
    <t>tubo pvc novafort de 10" (250 mm) x 6 mts</t>
  </si>
  <si>
    <t>hidrosellos de caucho de 10" (250 mm)</t>
  </si>
  <si>
    <t>tubo pvc novafort de 12" (315 mm) x 6 mts</t>
  </si>
  <si>
    <t>hidrosellos de caucho de 12" (315 mm)</t>
  </si>
  <si>
    <t>Tubería redonda de 2" Calibre 16 (incluye soldaduras)</t>
  </si>
  <si>
    <t>Tubería redonda de 1.1/2" Calibre 16 (incluye soldaduras)</t>
  </si>
  <si>
    <t>Tubería redonda de 3/4" Calibre 16 (incluye soldaduras)</t>
  </si>
  <si>
    <t>Acero estructural ASTM A-36</t>
  </si>
  <si>
    <t>Pintura (anticorrosivo)</t>
  </si>
  <si>
    <t>Pintura en esmalte (acabado)</t>
  </si>
  <si>
    <t>Saldadura 60/11 de 1/8"</t>
  </si>
  <si>
    <t>Malla eslabonada Galvanizada (pintada y con anticorrosivo) cal 10.5</t>
  </si>
  <si>
    <t>Tuberia Galvanizada 2", cal 14</t>
  </si>
  <si>
    <t>Acero 1/4 ó #2</t>
  </si>
  <si>
    <t>Platina 1/2" x 1/8"</t>
  </si>
  <si>
    <t>Ventana en aluminio 50/20  incluye vidrio de 6 mm</t>
  </si>
  <si>
    <t>Reja de seguridad (instalada)</t>
  </si>
  <si>
    <t>Puerta metalica de 0,9 x 2,0 m</t>
  </si>
  <si>
    <t xml:space="preserve">chapa </t>
  </si>
  <si>
    <t>Lamina de Eternit No. 07</t>
  </si>
  <si>
    <t>Teja en lamina Termoacustica</t>
  </si>
  <si>
    <t>Accesorios de 3/4" y 1/2"</t>
  </si>
  <si>
    <t>Tuberia de 3/4" y 1/2"</t>
  </si>
  <si>
    <t>Pegante PVC</t>
  </si>
  <si>
    <t>frasco</t>
  </si>
  <si>
    <t>Tuberia de 6"</t>
  </si>
  <si>
    <t>Cubierta en Acero Inoxidable (incluye poseta)</t>
  </si>
  <si>
    <t>Gabetero en Laminas RH madera prensada</t>
  </si>
  <si>
    <t>plataforma en concreto para zona de meson</t>
  </si>
  <si>
    <t>FORMATO - EQUIPOS Y TRANSPORTE</t>
  </si>
  <si>
    <t>EQUIPO</t>
  </si>
  <si>
    <t>Equipo de topografia</t>
  </si>
  <si>
    <t>Retroexcavadora</t>
  </si>
  <si>
    <t>SALTARIN O RANA (incluye costos de insumos)</t>
  </si>
  <si>
    <t>Retroexcavadora tipo Pajarita</t>
  </si>
  <si>
    <t>Hr</t>
  </si>
  <si>
    <t>Moldes para estampillar concreto en cara superior</t>
  </si>
  <si>
    <t>Compresor y pistola para pintura elementos metalicos</t>
  </si>
  <si>
    <t>Cizalla</t>
  </si>
  <si>
    <t>Andamios</t>
  </si>
  <si>
    <t>Equipo de soldadura</t>
  </si>
  <si>
    <t>Carlos Alberto Lopez Melo</t>
  </si>
  <si>
    <t>Mat. 68202121963STD</t>
  </si>
  <si>
    <t>Tuberia Ranurada de 4"a a lo largo del filtro (promedio)</t>
  </si>
  <si>
    <t>e Concreto 3000 Psi</t>
  </si>
  <si>
    <t>Area Total de Intervencion de Andenes del Proyecto incluye los Bordillos
(Fuente: Autocad; Hatch: Andenes Proyecto)</t>
  </si>
  <si>
    <t>Material bajo los andenes</t>
  </si>
  <si>
    <t>Concreto de 4000 PSI para aro de la Tapa del pozo</t>
  </si>
  <si>
    <t>Concreto de 4000 PSI para escotilla de aro metalico y concreto</t>
  </si>
  <si>
    <t>Cinta PVC 15cm</t>
  </si>
  <si>
    <t>4.10</t>
  </si>
  <si>
    <t>Solado de limpieza de e=5cm de concreto de 2000psi , bajo estructuras.</t>
  </si>
  <si>
    <t>SUMIDEROS</t>
  </si>
  <si>
    <t>CONCRETO DE LIMPIEZA DE 2000 PSI</t>
  </si>
  <si>
    <t>Concreto de Limpieza 2000psi</t>
  </si>
  <si>
    <t>Excavacion Sumideros</t>
  </si>
  <si>
    <t>Tuberia de los sumideros</t>
  </si>
  <si>
    <t>Excavacion de tuberias de Sumideros</t>
  </si>
  <si>
    <t>Suministro e Instalación de Señal vertical de gran tamaño con descripción de Destino y ubicación, en fondo reflectivo Tipo Alta Intensidad con tablero en lámina cal 16, terminados en pintura electrostática blanca. (Manual Señalización MinT Colombia 2015)</t>
  </si>
  <si>
    <t>Vibrocompactador (Tipo Rana)</t>
  </si>
  <si>
    <t>CONCRETO DE 3000 PSI (Incluye transporte hasta el lugar de obra)</t>
  </si>
  <si>
    <t>CONCRETO DE 4000 PSI  (Incluye transporte hasta el lugar de obra)</t>
  </si>
  <si>
    <t>Loseta Tipo Braille espesor minimo 5cm</t>
  </si>
  <si>
    <t>Malla Electrosoldada 5mm 15x15</t>
  </si>
  <si>
    <t>di</t>
  </si>
  <si>
    <t>Soldador</t>
  </si>
  <si>
    <t>Fomaleta</t>
  </si>
  <si>
    <t>ENSAYOS DE LABORATORIO</t>
  </si>
  <si>
    <t>D Placa de fondo= D pozo + e muro</t>
  </si>
  <si>
    <t>Area Total de Pavimento con Estabilizacion de Suelo con Cal</t>
  </si>
  <si>
    <t>Volumen de suelo estabilizado debajo del Pavimento</t>
  </si>
  <si>
    <t>Pozos de Inspeccion D=2.00</t>
  </si>
  <si>
    <t>Placas de fondo de concreto de 4000 PSI, para pozos de inspeccion D=2.00, e=0.20</t>
  </si>
  <si>
    <t>Tapas de concreto D=2.00, para pozo de inspeccion con tapa de aro con nucleo de concreto</t>
  </si>
  <si>
    <t>EXCAVACION PLUVIAL desde niveles de rasante hasta la profundidad final (TUBERIAS)</t>
  </si>
  <si>
    <t>EXCAVACION TOTAL PLUVIAL TUBERIAS
(Se extrae la cantidad de Pavimento que ya se tuvo en cuenta en las Excavaciones de las Calzadas)</t>
  </si>
  <si>
    <t>EXCAVACION TOTAL SANITARIO TUBERIAS</t>
  </si>
  <si>
    <t>EXCAVACION ALCANTARILLADO SANITARIO TUBERIAS
(Sin el volumen del Pavimento que ya se tuvo en cuenta en las Excavaciones de las Calzadas)</t>
  </si>
  <si>
    <t>EXCAVACION TOTAL SANITARIO POZOS</t>
  </si>
  <si>
    <t>EXCAVACION TOTAL PLUVIAL POZOS</t>
  </si>
  <si>
    <t xml:space="preserve">ACCESOS DE MOVILIDAD REDUCIDA </t>
  </si>
  <si>
    <t>BOLARDOS DE RESTRICCION DE ACCESOS</t>
  </si>
  <si>
    <t>En el interior de la obra señalizar todos los
elementos dispuestos para una mejor gestión ambiental, señalizar los sitios determinados
para el almacenamiento temporal de los residuos según su
tipo</t>
  </si>
  <si>
    <t>LEGALIZACION Y PERFECCIONAMIENTO</t>
  </si>
  <si>
    <t>Gastos de transporte y desplazamiento (campero, pick-up, camioneta, similar, incliuye combustible, mantenimiento, seguros.)</t>
  </si>
  <si>
    <t>PROYECTO DE MEJORAMIENTO VIAL, ESPACIO PUBLICO Y OBRAS COMPLEMENTARIAS DE LA AVENIDA LA JUVENTUD Y TRAMOS ADYACENTES Y PRIORITARIOS DEL SECTOR URBANO EN EL MUNICIPIO EL BAGRE ANTIOQUIA.</t>
  </si>
  <si>
    <t>Suelo Estabilizado con Cal al 1%</t>
  </si>
  <si>
    <t>Via EJE No. 3, 4 y 5</t>
  </si>
  <si>
    <t>Longitud Eje No.3</t>
  </si>
  <si>
    <t>Ancho de calzada Eje No.3</t>
  </si>
  <si>
    <t>Longitud Eje No.4</t>
  </si>
  <si>
    <t>Ancho de calzada Eje No.4</t>
  </si>
  <si>
    <t>Longitud Eje No.5</t>
  </si>
  <si>
    <t>Ancho de calzada Eje No.5</t>
  </si>
  <si>
    <t>Area Total de Intervencion de la Calzada del Eje No. 3, 4 y 5.</t>
  </si>
  <si>
    <t>Via EJE No.1</t>
  </si>
  <si>
    <t>Incluye Bocacalles y Transiciones Eje No.1</t>
  </si>
  <si>
    <t>Incluye Bocacalles y Transiciones Eje No. 3, 4 y 5.</t>
  </si>
  <si>
    <t>Via EJE No.2</t>
  </si>
  <si>
    <t>Incluye Bocacalles y Transiciones Eje No.2</t>
  </si>
  <si>
    <t>GLORIETA Y CONEXIONES (EJES No.201, 202 y Auxiiares)</t>
  </si>
  <si>
    <t>Sector EJE No.201 y 202 (GLORIETA Y CONEXIONES).
(Fuente: Autocad; Hatch: Pavimento)</t>
  </si>
  <si>
    <t>Via EJE No.101 (Detras del BancaMia)</t>
  </si>
  <si>
    <t>Via EJE No.301</t>
  </si>
  <si>
    <t>Incluye Bocacalles y Transiciones Eje No.301</t>
  </si>
  <si>
    <t>Areas de Separador central</t>
  </si>
  <si>
    <t>Via EJE No. 401 y 402</t>
  </si>
  <si>
    <t>Longitud Via EJE No. 401</t>
  </si>
  <si>
    <t>Ancho de calzada Via EJE No. 401</t>
  </si>
  <si>
    <t>Longitud Via EJE No. 402</t>
  </si>
  <si>
    <t>Ancho de calzada Via EJE No. 402</t>
  </si>
  <si>
    <t>Incluye Bocacalles, Sobreancho y Transiciones Eje No.401 y 402</t>
  </si>
  <si>
    <t>Via EJE No. 403, 404 y 405</t>
  </si>
  <si>
    <t>Longitud Via EJE No. 403</t>
  </si>
  <si>
    <t>Ancho de calzada Via EJE No. 403</t>
  </si>
  <si>
    <t>Longitud Via EJE No. 404</t>
  </si>
  <si>
    <t>Ancho de calzada Via EJE No. 404</t>
  </si>
  <si>
    <t>Incluye Bocacalles, Sobreancho y Transiciones Eje No.403, 404 y 405</t>
  </si>
  <si>
    <t>Longitud Via EJE No. 405</t>
  </si>
  <si>
    <t>Ancho de calzada Via EJE No. 405</t>
  </si>
  <si>
    <t>Via EJE No.6</t>
  </si>
  <si>
    <t>Andenes de la Glorieta</t>
  </si>
  <si>
    <t>Andenes Via EJE No. 3, 4 y 5</t>
  </si>
  <si>
    <t>Andenes Via Eje No. 1</t>
  </si>
  <si>
    <t xml:space="preserve">Ancho de Andenes </t>
  </si>
  <si>
    <t>Andenes Via Eje No. 2</t>
  </si>
  <si>
    <t>Andenes Via Eje No. 301</t>
  </si>
  <si>
    <t>Andenes Via Eje No. 403, 404 y 405</t>
  </si>
  <si>
    <t>Via EJE No.601</t>
  </si>
  <si>
    <t>Andenes Via Eje No. 6</t>
  </si>
  <si>
    <t>Longitud total Andenes de 1.20m</t>
  </si>
  <si>
    <t>Area total de Andenes de 1.20m</t>
  </si>
  <si>
    <t>Andenes Via Eje No. 601</t>
  </si>
  <si>
    <t>Andenes Via Eje. 401 y 402</t>
  </si>
  <si>
    <t>Andenes de Bocacalles Largas</t>
  </si>
  <si>
    <t>Area total de Andenes de 1.00m</t>
  </si>
  <si>
    <t>Carcamos de Paso Hidraulico</t>
  </si>
  <si>
    <t>Cantidad de Tela / Longitud de Via (Tela a Ambos lados)</t>
  </si>
  <si>
    <t>Longitud Total de Vias a Intervenir</t>
  </si>
  <si>
    <t>Glorieta</t>
  </si>
  <si>
    <t>Eje No.3</t>
  </si>
  <si>
    <t>Eje No.4</t>
  </si>
  <si>
    <t>Eje No.5</t>
  </si>
  <si>
    <t>EJE No.1</t>
  </si>
  <si>
    <t>EJE No.2</t>
  </si>
  <si>
    <t>EJE No.101 (Detras del BancaMia)</t>
  </si>
  <si>
    <t>EJE No.301</t>
  </si>
  <si>
    <t>EJE No. 401</t>
  </si>
  <si>
    <t>EJE No. 402</t>
  </si>
  <si>
    <t>EJE No. 403</t>
  </si>
  <si>
    <t>EJE No. 404</t>
  </si>
  <si>
    <t>EJE No. 405</t>
  </si>
  <si>
    <t>EJE No.6</t>
  </si>
  <si>
    <t>EJE No.601</t>
  </si>
  <si>
    <t>Excavacioes de Transiciones y aproximaciones de Glorieta</t>
  </si>
  <si>
    <t>Excavación mecánica de 0 a 2m (Incluye fractura de placas y corte )</t>
  </si>
  <si>
    <t>Acarreo material de excavación - Botadero LA SARDINA</t>
  </si>
  <si>
    <t>Area de los andenes</t>
  </si>
  <si>
    <t>Suministro e Instalacion de Concreto de 4000PSI para Placas de Pavimento Rigido e=22cm.</t>
  </si>
  <si>
    <t>Pavimento Rigido Concreto 4000PSI</t>
  </si>
  <si>
    <t>ELEMENTOS COMPLEMENTARIOS EN CONCRETO</t>
  </si>
  <si>
    <t>Suministro e instalacion de Bordillos de concreto de 3000 Psi, para confinamiento de calzada, dimensiones h=0.15, e=0.15 (Incluye refuerzo longitudinal y transversal, bordillo sobrepuesto en Placas de Pavimento Dilatados cada placa)</t>
  </si>
  <si>
    <t>REDUCTORES DE VELOCIDAD DE 5.30m</t>
  </si>
  <si>
    <t>REDUCTORES DE VELOCIDAD DE 7.80m</t>
  </si>
  <si>
    <t>REDUCTORES DE VELOCIDAD DE 11.80m</t>
  </si>
  <si>
    <t>REDUCTORES DE VELOCIDAD DE 5.80m</t>
  </si>
  <si>
    <t>REDUCTORES DE VELOCIDAD DE 3.30m</t>
  </si>
  <si>
    <t>REDUCTORES DE VELOCIDAD DE 4.80m</t>
  </si>
  <si>
    <t>Linea Blanca Laterales</t>
  </si>
  <si>
    <t>Linea Interna Glorieta</t>
  </si>
  <si>
    <t>Lineas Blancas Laterales de Bocacalles</t>
  </si>
  <si>
    <t>Linea Segmentada Eje 2</t>
  </si>
  <si>
    <t>Linea Doble Eje 1</t>
  </si>
  <si>
    <t>Linea Segmentada Eje 1</t>
  </si>
  <si>
    <t>Linea Segmentada Eje 3</t>
  </si>
  <si>
    <t>LINEAS DISCONTINUAS (valores efectivos pintados)</t>
  </si>
  <si>
    <t>Linea Segmentada Eje 4</t>
  </si>
  <si>
    <t>Linea Segmentada Eje 5</t>
  </si>
  <si>
    <t>Linea Segmentada Eje 301</t>
  </si>
  <si>
    <t>Linea Segmentada Eje 6</t>
  </si>
  <si>
    <t>Linea Segmentada Eje 401</t>
  </si>
  <si>
    <t>Linea Segmentada Eje 402</t>
  </si>
  <si>
    <t>Linea Segmentada Eje 403</t>
  </si>
  <si>
    <t>Linea Segmentada Eje 404</t>
  </si>
  <si>
    <t>Linea Segmentada Eje 405</t>
  </si>
  <si>
    <t>Linea Segmentada Eje 601</t>
  </si>
  <si>
    <t>Linea Segmentada Eje 101</t>
  </si>
  <si>
    <t>Linea Doble Eje 4</t>
  </si>
  <si>
    <t>Señales</t>
  </si>
  <si>
    <t>Concreto 4000PSI</t>
  </si>
  <si>
    <t>Acarreo material de excavación sobrante (Incluye cargue y Transporte)</t>
  </si>
  <si>
    <t>Cal 1%</t>
  </si>
  <si>
    <t>Cuatro (4) Mezcladora de Concreto</t>
  </si>
  <si>
    <t>Dos (2) Reglas Vibratorias</t>
  </si>
  <si>
    <t>Dos (2) Vibradores de concreto</t>
  </si>
  <si>
    <t>Formaletas Metalica lateral Rieles</t>
  </si>
  <si>
    <t>Concreto de 3000PSI</t>
  </si>
  <si>
    <t>Varilla Corrugada de 3/8"</t>
  </si>
  <si>
    <t>Formaleta para Bordillos sobrepuestos</t>
  </si>
  <si>
    <t>I. EQUIPO</t>
  </si>
  <si>
    <t>MARCA</t>
  </si>
  <si>
    <t>Cortadora de concreto</t>
  </si>
  <si>
    <t>II. MATERIALES</t>
  </si>
  <si>
    <t xml:space="preserve">Sikaflex </t>
  </si>
  <si>
    <t>cartucho</t>
  </si>
  <si>
    <t>sikarod</t>
  </si>
  <si>
    <t>rollo</t>
  </si>
  <si>
    <t>Corte y sello para juntas inducidas de pavimento rígido, incluye sikaflex, sikarod o similar</t>
  </si>
  <si>
    <t xml:space="preserve">Acero de transferencia para placas de concreto de 60000 psi </t>
  </si>
  <si>
    <t>Area de pavimento</t>
  </si>
  <si>
    <t>Acero pasador transversal 5/8" de 70 cm cada 1,20 m</t>
  </si>
  <si>
    <t>kg/m2</t>
  </si>
  <si>
    <t>Acero pasador longitudinal 1 1/8" de 31 cm cada 0,30 m</t>
  </si>
  <si>
    <t>Acero Total</t>
  </si>
  <si>
    <t>3m x 3m</t>
  </si>
  <si>
    <t>Calculo de Corte de Juntas</t>
  </si>
  <si>
    <t>Dimensiones Maximas de Cuadricula</t>
  </si>
  <si>
    <t>Cantidad promedio de cuadros de Pavimento</t>
  </si>
  <si>
    <t>Cantidad de Juntas de dilatacion</t>
  </si>
  <si>
    <t>Calculo de Acero de transferencia</t>
  </si>
  <si>
    <t>Formaletas</t>
  </si>
  <si>
    <t>Cebras de paso peatonal y sobreanchos delimitados para seguridad vial de peatones (Hatch Autocad)</t>
  </si>
  <si>
    <t>Suministro e instalacion de Concreto Estampado y Pigmentado para Zonas Peatonales en perimetrales de la via en concreto de 3000 Psi.</t>
  </si>
  <si>
    <t>Zona 1 principal
(Fuente: Autocad; Polyline: Borde Externo Andenes)</t>
  </si>
  <si>
    <t>Zona 2 
(Fuente: Autocad; Polyline: Borde Externo Andenes)</t>
  </si>
  <si>
    <t>Zona 3
(Fuente: Autocad; Polyline: Borde Externo Andenes)</t>
  </si>
  <si>
    <t>Sellante para concreto estampado</t>
  </si>
  <si>
    <t>Pigmento de color para concreto estampado</t>
  </si>
  <si>
    <t>galon</t>
  </si>
  <si>
    <t xml:space="preserve">Formaleta </t>
  </si>
  <si>
    <t>Relleno de la Excavacion Tipo III para localizar entre la arena y Subrasante de la Estructura de Pavimento</t>
  </si>
  <si>
    <t>Construccion de Carcamos para obras de paso hidraulico en concreto de 3000 PSI (Incluye tapas de conceto con escotillas para limpieza).</t>
  </si>
  <si>
    <t>Suministro e instalacion de Bordillos de concreto de 3000 Psi, para Separadores centrales de calzada, dimensiones h=0.25, e=0.15 (Incluye refuerzo longitudinal y transversal, bordillo sobrepuesto en Placas de Pavimento Dilatados cada placa)</t>
  </si>
  <si>
    <t>Longitud de Separador Central</t>
  </si>
  <si>
    <t>KIT SILLA YEE Ø12" x Ø6" (INCLUYE HIDROSELLOS Y LUBRICANTES)</t>
  </si>
  <si>
    <t>Bolardo Plastico 
Peso: 2 Kg
Alto: 75 cms.
Diámetro del cuerpo : 8 cms
Diámetro de la base : 20 cms.</t>
  </si>
  <si>
    <t>Suministro e instalación de juego de Sillas y Mesa para zonas urbanisticas en material de madera reciclada para exteriores</t>
  </si>
  <si>
    <t>Juego de Sillas con Mesa</t>
  </si>
  <si>
    <t>Juego de Sillas yMesa</t>
  </si>
  <si>
    <t>Accesorios para empotrar a placa</t>
  </si>
  <si>
    <t>Bolardo Plastico en PVC</t>
  </si>
  <si>
    <t>Alquiler Equipos de Topografía, Nivelacion y Geoposicionamiento ( equipos e implementos necesarios para la verificación  topográfica).</t>
  </si>
  <si>
    <t>SECRETARIA DE PLANEACION</t>
  </si>
  <si>
    <t>ACUEDUCTO</t>
  </si>
  <si>
    <t>D (mm)</t>
  </si>
  <si>
    <t>INICIO</t>
  </si>
  <si>
    <t>FINAL</t>
  </si>
  <si>
    <t>N563</t>
  </si>
  <si>
    <t>N562</t>
  </si>
  <si>
    <t>LONG</t>
  </si>
  <si>
    <t>D (pulg)</t>
  </si>
  <si>
    <t>N561</t>
  </si>
  <si>
    <t>N560</t>
  </si>
  <si>
    <t>CRUCE</t>
  </si>
  <si>
    <t>N963</t>
  </si>
  <si>
    <t>N559</t>
  </si>
  <si>
    <t>N558</t>
  </si>
  <si>
    <t>N571</t>
  </si>
  <si>
    <t>N567</t>
  </si>
  <si>
    <t>N566</t>
  </si>
  <si>
    <t>N565</t>
  </si>
  <si>
    <t>N568</t>
  </si>
  <si>
    <t>N569</t>
  </si>
  <si>
    <t>PARQUE - IGLESIA</t>
  </si>
  <si>
    <t>N557</t>
  </si>
  <si>
    <t>N637</t>
  </si>
  <si>
    <t>N788</t>
  </si>
  <si>
    <t>N787</t>
  </si>
  <si>
    <t>N971</t>
  </si>
  <si>
    <t>N556</t>
  </si>
  <si>
    <t>N555</t>
  </si>
  <si>
    <t>N554</t>
  </si>
  <si>
    <t>N551</t>
  </si>
  <si>
    <t>N548</t>
  </si>
  <si>
    <t>N545</t>
  </si>
  <si>
    <t>N544</t>
  </si>
  <si>
    <t>N543</t>
  </si>
  <si>
    <t>N534</t>
  </si>
  <si>
    <t>N814</t>
  </si>
  <si>
    <t>N741</t>
  </si>
  <si>
    <t>N933</t>
  </si>
  <si>
    <t>N932</t>
  </si>
  <si>
    <t>N533</t>
  </si>
  <si>
    <t>N935</t>
  </si>
  <si>
    <t>N934</t>
  </si>
  <si>
    <t>N532</t>
  </si>
  <si>
    <t>N259</t>
  </si>
  <si>
    <t>N258</t>
  </si>
  <si>
    <t>N731</t>
  </si>
  <si>
    <t>N476</t>
  </si>
  <si>
    <t>N257</t>
  </si>
  <si>
    <t>N490</t>
  </si>
  <si>
    <t>DOBLE CALZADA DESDE MINEROS A COME COME</t>
  </si>
  <si>
    <t>N962</t>
  </si>
  <si>
    <t>N979</t>
  </si>
  <si>
    <t>N961</t>
  </si>
  <si>
    <t>N593</t>
  </si>
  <si>
    <t>N594</t>
  </si>
  <si>
    <t>N605</t>
  </si>
  <si>
    <t>N607</t>
  </si>
  <si>
    <t>N608</t>
  </si>
  <si>
    <t>N764</t>
  </si>
  <si>
    <t>N270</t>
  </si>
  <si>
    <t>N269</t>
  </si>
  <si>
    <t>N268</t>
  </si>
  <si>
    <t>N267</t>
  </si>
  <si>
    <t>N266</t>
  </si>
  <si>
    <t>N504</t>
  </si>
  <si>
    <t>N265</t>
  </si>
  <si>
    <t>N264</t>
  </si>
  <si>
    <t>N263</t>
  </si>
  <si>
    <t>N749</t>
  </si>
  <si>
    <t>N262</t>
  </si>
  <si>
    <t>N261</t>
  </si>
  <si>
    <t>N746</t>
  </si>
  <si>
    <t>N745</t>
  </si>
  <si>
    <t>N811</t>
  </si>
  <si>
    <t>N812</t>
  </si>
  <si>
    <t>PARALELA DOBLE CALZADA DESDE MINEROS</t>
  </si>
  <si>
    <t>CALZADA PARQUE LAS DELICIAS</t>
  </si>
  <si>
    <t>N403</t>
  </si>
  <si>
    <t>N510</t>
  </si>
  <si>
    <t>N511</t>
  </si>
  <si>
    <t>N748</t>
  </si>
  <si>
    <t>N747</t>
  </si>
  <si>
    <t>N523</t>
  </si>
  <si>
    <t>N526</t>
  </si>
  <si>
    <t>N260</t>
  </si>
  <si>
    <t>N527</t>
  </si>
  <si>
    <t>Long (m)</t>
  </si>
  <si>
    <t>TR1</t>
  </si>
  <si>
    <t>TR2</t>
  </si>
  <si>
    <t>TR3</t>
  </si>
  <si>
    <t>TR4</t>
  </si>
  <si>
    <t>TRAMOS</t>
  </si>
  <si>
    <t>NODOS</t>
  </si>
  <si>
    <t>Uniones</t>
  </si>
  <si>
    <t>Valvulas</t>
  </si>
  <si>
    <t>TEE 4 x 3</t>
  </si>
  <si>
    <t>TEE 4 x 4</t>
  </si>
  <si>
    <t>TEE 3 x 3</t>
  </si>
  <si>
    <t>TEE 6 x 3</t>
  </si>
  <si>
    <t>TEE 6 x 4</t>
  </si>
  <si>
    <t>Reduccion 6 a 4</t>
  </si>
  <si>
    <t>Reduccion 4 a 3</t>
  </si>
  <si>
    <t>Reduccion 10 a 6</t>
  </si>
  <si>
    <t>TEE 10 x 3</t>
  </si>
  <si>
    <t>Suministro e instalación Tuberia PVC U.M. RDE 21 Ø 3"</t>
  </si>
  <si>
    <t>Suministro e instalación Tuberia PVC U.M. RDE 21 Ø 4"</t>
  </si>
  <si>
    <t>Suministro e instalación Tuberia PVC U.M. RDE 21 Ø 6"</t>
  </si>
  <si>
    <t>Herramienta menor e insumos</t>
  </si>
  <si>
    <t>Herramienta menor e incumos</t>
  </si>
  <si>
    <t>ACCESORIOS</t>
  </si>
  <si>
    <t>Suministro e instalación Tee 6" x 4" PVC  ó Similar</t>
  </si>
  <si>
    <t>Suministro e instalación Tee 6" x 3" PVC  ó Similar</t>
  </si>
  <si>
    <t>Suministro e instalación Tee 4" x 4" PVC  ó Similar</t>
  </si>
  <si>
    <t>Suministro e instalación Tee 4" x 3" PVC  ó Similar</t>
  </si>
  <si>
    <t>Suministro e instalación Tee 3" x 3" PVC  ó Similar</t>
  </si>
  <si>
    <t>Suministro e instalación Tee 10" HD con reduccion a 3" PVC  ó Similar</t>
  </si>
  <si>
    <t>Accesorios para Reduccion de 10" a 3"</t>
  </si>
  <si>
    <t>UNION 3</t>
  </si>
  <si>
    <t>UNION 4</t>
  </si>
  <si>
    <t>UNION 6</t>
  </si>
  <si>
    <t>UNION 10</t>
  </si>
  <si>
    <t>UNION 18</t>
  </si>
  <si>
    <t>VALVULA 3</t>
  </si>
  <si>
    <t>VALVULA 4</t>
  </si>
  <si>
    <t>VALVULA 6</t>
  </si>
  <si>
    <t>VALVULA 10</t>
  </si>
  <si>
    <t>VALVULA 18</t>
  </si>
  <si>
    <t>Suministro e instalación Reducción 4" a 3" PVC ó Similar</t>
  </si>
  <si>
    <t>Suministro e instalación Reducción 6" a 4" PVC ó Similar</t>
  </si>
  <si>
    <t>Suministro e instalación Reducción 10" a 6" PVC ó Similar</t>
  </si>
  <si>
    <t>Suministro e instalación Codo HD 6" X 22.5° J.H. ó Similar</t>
  </si>
  <si>
    <t>Suministro e instalación Union de 3" PVC ó Similar</t>
  </si>
  <si>
    <t>Suministro e instalación Union de 4" PVC ó Similar</t>
  </si>
  <si>
    <t>Suministro e instalación Union de 6" PVC ó Similar</t>
  </si>
  <si>
    <t>Suministro e instalación Union de 10" PVC ó Similar</t>
  </si>
  <si>
    <t>Suministro e instalación Union de 18" PVC ó Similar</t>
  </si>
  <si>
    <t>6.60</t>
  </si>
  <si>
    <t>Suministro e instalación Valvula Mariposa de 3" o similar</t>
  </si>
  <si>
    <t>Suministro e instalación Valvula Mariposa de 4" o similar</t>
  </si>
  <si>
    <t>Suministro e instalación Valvula Mariposa de 6" o similar</t>
  </si>
  <si>
    <t>Suministro e instalación Valvula Mariposa de 10" o similar</t>
  </si>
  <si>
    <t>Suministro e instalación Valvula Mariposa de 18" o similar</t>
  </si>
  <si>
    <t>Seccion de excavacion hasta 6"</t>
  </si>
  <si>
    <t>Seccion de excavacion hasta 10"</t>
  </si>
  <si>
    <t>Seccion de excavacion hasta 18"</t>
  </si>
  <si>
    <t>Excavacion  Tuberia hasta 6"</t>
  </si>
  <si>
    <t>Excavacion  Tuberia hasta 10"</t>
  </si>
  <si>
    <t>Excavacion  Tuberia hasta 18"</t>
  </si>
  <si>
    <t>EXCAVACION ACUEDUCTO</t>
  </si>
  <si>
    <t>RELLENO TIPO III ACUEDUCTO</t>
  </si>
  <si>
    <t>PRESUPUESTO INTERVENTORIA</t>
  </si>
  <si>
    <t>FORMATO No.: PRESUPUESTO EJECUCION PROGRAMA DE MANEJO SOCIAL YAMBIENTAL PAGA</t>
  </si>
  <si>
    <t>PLAN DE MANEJO DEL TRAFICO - PMT</t>
  </si>
  <si>
    <t>COSTOS ADMINISTRATIVOS - AIU</t>
  </si>
  <si>
    <t>FLUJO DE INVERSIONES MENSUAL
MUNICIPIO EL BAGRE (ANTIOQUIA).</t>
  </si>
  <si>
    <t>PRESUPUESTO
MUNICIPIO EL BAGRE (ANTIOQUIA).</t>
  </si>
  <si>
    <t>Bolardo Plastico Peso: 2 Kg
Alto: 75 cms. Diámetro del cuerpo : 8 cms Diámetro de la base : 20 cms.</t>
  </si>
  <si>
    <t>Cantidades de Obra [Sanitario]</t>
  </si>
  <si>
    <t>ALCANTARILLADOELBAGRE</t>
  </si>
  <si>
    <t>Alcantarillado Sanitario</t>
  </si>
  <si>
    <t>Profundidad Media de Cámaras: 2.74</t>
  </si>
  <si>
    <t>Volumen Total de Excavación: 6533.02 [m3]</t>
  </si>
  <si>
    <t>Tuberia</t>
  </si>
  <si>
    <t>Longitud</t>
  </si>
  <si>
    <t>Total (m)</t>
  </si>
  <si>
    <t>D (m)</t>
  </si>
  <si>
    <t>Area (m)</t>
  </si>
  <si>
    <t>Ancho exc</t>
  </si>
  <si>
    <t>h de arena</t>
  </si>
  <si>
    <t>Prof Media de relleno</t>
  </si>
  <si>
    <t>Volumen total de relleno</t>
  </si>
  <si>
    <t>Volumen total de arena</t>
  </si>
  <si>
    <t>EXC TOTAL</t>
  </si>
  <si>
    <t>EXC SIN PAV</t>
  </si>
  <si>
    <t>Cantidad de conexiones 6"</t>
  </si>
  <si>
    <t xml:space="preserve">Tabla 1. Anchos de zanjas para tuberías </t>
  </si>
  <si>
    <t xml:space="preserve">Material de la tubería </t>
  </si>
  <si>
    <t xml:space="preserve">Ancho de zanja (m) </t>
  </si>
  <si>
    <t xml:space="preserve">Acero </t>
  </si>
  <si>
    <t xml:space="preserve">1,50 DE + 0,20 m </t>
  </si>
  <si>
    <t xml:space="preserve">CCP y Concreto </t>
  </si>
  <si>
    <t xml:space="preserve">DE + 0,50 m </t>
  </si>
  <si>
    <t xml:space="preserve">Glass Fiber Reinforced Plastic Pipe (GRP) </t>
  </si>
  <si>
    <t xml:space="preserve">1,25 DE + 0,30 m </t>
  </si>
  <si>
    <t xml:space="preserve">Hierro Dúctil (HD) </t>
  </si>
  <si>
    <t xml:space="preserve">DE + 0,60 m </t>
  </si>
  <si>
    <t xml:space="preserve">Policloruro de Vinilo (PVC) </t>
  </si>
  <si>
    <t>DE + 0,40 m</t>
  </si>
  <si>
    <t>A. Exc Calculada</t>
  </si>
  <si>
    <t>Tabla de Cámaras [Sanitario]</t>
  </si>
  <si>
    <t>Camara</t>
  </si>
  <si>
    <t>Cota Tapa</t>
  </si>
  <si>
    <t>Profundidad</t>
  </si>
  <si>
    <t>Coord X</t>
  </si>
  <si>
    <t>Coord Y</t>
  </si>
  <si>
    <t>Q adicional</t>
  </si>
  <si>
    <t>#</t>
  </si>
  <si>
    <t>(m)</t>
  </si>
  <si>
    <t>minima (m)</t>
  </si>
  <si>
    <t>(Lt/sg)</t>
  </si>
  <si>
    <t>CI600</t>
  </si>
  <si>
    <t>CI595</t>
  </si>
  <si>
    <t>CI596</t>
  </si>
  <si>
    <t>CI597</t>
  </si>
  <si>
    <t>CI598</t>
  </si>
  <si>
    <t>MH429</t>
  </si>
  <si>
    <t>CI578</t>
  </si>
  <si>
    <t>MH377</t>
  </si>
  <si>
    <t>CI579</t>
  </si>
  <si>
    <t>MH350</t>
  </si>
  <si>
    <t>MH306</t>
  </si>
  <si>
    <t>MH540</t>
  </si>
  <si>
    <t>CI573</t>
  </si>
  <si>
    <t>CI574</t>
  </si>
  <si>
    <t>CI572</t>
  </si>
  <si>
    <t>MH681</t>
  </si>
  <si>
    <t>MH698</t>
  </si>
  <si>
    <t>MH713</t>
  </si>
  <si>
    <t>MH825</t>
  </si>
  <si>
    <t>MH1152</t>
  </si>
  <si>
    <t>C8</t>
  </si>
  <si>
    <t>MH281</t>
  </si>
  <si>
    <t>CI623</t>
  </si>
  <si>
    <t>CI625</t>
  </si>
  <si>
    <t>CI624</t>
  </si>
  <si>
    <t>MH406</t>
  </si>
  <si>
    <t>MH467</t>
  </si>
  <si>
    <t>MH368</t>
  </si>
  <si>
    <t>CI898</t>
  </si>
  <si>
    <t>MH338</t>
  </si>
  <si>
    <t>MH387</t>
  </si>
  <si>
    <t>MH1193</t>
  </si>
  <si>
    <t>MH993</t>
  </si>
  <si>
    <t>MH1272</t>
  </si>
  <si>
    <t>MH1732</t>
  </si>
  <si>
    <t>MH3358</t>
  </si>
  <si>
    <t>MH3355</t>
  </si>
  <si>
    <t>MH3353</t>
  </si>
  <si>
    <t>MH3396</t>
  </si>
  <si>
    <t>MH3503</t>
  </si>
  <si>
    <t>MH3575</t>
  </si>
  <si>
    <t>CI606</t>
  </si>
  <si>
    <t>CI566</t>
  </si>
  <si>
    <t>CI565</t>
  </si>
  <si>
    <t>CI754</t>
  </si>
  <si>
    <t>MH4006</t>
  </si>
  <si>
    <t>MH3625</t>
  </si>
  <si>
    <t>CI608</t>
  </si>
  <si>
    <t>CI607</t>
  </si>
  <si>
    <t>CI1880</t>
  </si>
  <si>
    <t>C54</t>
  </si>
  <si>
    <t>CI564</t>
  </si>
  <si>
    <t>MH4128</t>
  </si>
  <si>
    <t>MH4079</t>
  </si>
  <si>
    <t>MH4149</t>
  </si>
  <si>
    <t>CI614</t>
  </si>
  <si>
    <t>MH4243</t>
  </si>
  <si>
    <t>CI613</t>
  </si>
  <si>
    <t>MH4203</t>
  </si>
  <si>
    <t>CI615</t>
  </si>
  <si>
    <t>CI971</t>
  </si>
  <si>
    <t>CI973</t>
  </si>
  <si>
    <t>MH2599</t>
  </si>
  <si>
    <t>MH2273</t>
  </si>
  <si>
    <t>MH2225</t>
  </si>
  <si>
    <t>MH2318</t>
  </si>
  <si>
    <t>C27</t>
  </si>
  <si>
    <t>MH4313</t>
  </si>
  <si>
    <t>MH4354</t>
  </si>
  <si>
    <t>MH4353</t>
  </si>
  <si>
    <t>MH4327</t>
  </si>
  <si>
    <t>MH4379</t>
  </si>
  <si>
    <t>MH4378</t>
  </si>
  <si>
    <t>MH4415</t>
  </si>
  <si>
    <t>MH4432</t>
  </si>
  <si>
    <t>MH4449</t>
  </si>
  <si>
    <t>CI1846</t>
  </si>
  <si>
    <t>MH4505</t>
  </si>
  <si>
    <t>MH4504</t>
  </si>
  <si>
    <t>CI1881</t>
  </si>
  <si>
    <t>MH5480</t>
  </si>
  <si>
    <t>MH5467</t>
  </si>
  <si>
    <t>MH5447</t>
  </si>
  <si>
    <t>MH4509</t>
  </si>
  <si>
    <t>CI609</t>
  </si>
  <si>
    <t>MH5404</t>
  </si>
  <si>
    <t>MH5413</t>
  </si>
  <si>
    <t>MH5429</t>
  </si>
  <si>
    <t>MH5370</t>
  </si>
  <si>
    <t>MH5555</t>
  </si>
  <si>
    <t>CI1840</t>
  </si>
  <si>
    <t>CI1843</t>
  </si>
  <si>
    <t>TOTAL POZOS DE INSPECCION</t>
  </si>
  <si>
    <t>e Pav</t>
  </si>
  <si>
    <t>Volumen Total de Excavacion (m3)</t>
  </si>
  <si>
    <t>Ancho libre prom c/lado</t>
  </si>
  <si>
    <t>Dif de relleno</t>
  </si>
  <si>
    <t>Profundidad media de Camara (m)</t>
  </si>
  <si>
    <t>Diam</t>
  </si>
  <si>
    <t>N780</t>
  </si>
  <si>
    <t>N786</t>
  </si>
  <si>
    <t>N541</t>
  </si>
  <si>
    <t>N785</t>
  </si>
  <si>
    <t>N955</t>
  </si>
  <si>
    <t>N776</t>
  </si>
  <si>
    <t>N775</t>
  </si>
  <si>
    <t>ZONA HOSPITAL Y SUPERMERCADO</t>
  </si>
  <si>
    <t>N613</t>
  </si>
  <si>
    <t>N612</t>
  </si>
  <si>
    <t>N791</t>
  </si>
  <si>
    <t>N535</t>
  </si>
  <si>
    <t>N820</t>
  </si>
  <si>
    <t>N819</t>
  </si>
  <si>
    <t>NO  PRESENTA</t>
  </si>
  <si>
    <t>Demolicion de Pavimento y Andenes existentes en sector de proyecto, espesor y resistencia variables.</t>
  </si>
  <si>
    <t>Andenes Existentes</t>
  </si>
  <si>
    <t>Equipo con Martillo Compresor para demolicion de Concreto, Incluye todos los insumos y personal necesario para su funcionamiento.</t>
  </si>
  <si>
    <t>La demolición contempla fracturar las placas al punto que la retroexcavadora y la volqueta puedan recoger y transportar hasta el sitio de disposición final de forma segura.</t>
  </si>
  <si>
    <t>Seleccion, extendido, conformación y compactación de material seleccionado proveniente de la excavacion.</t>
  </si>
  <si>
    <t>Cantidad de Acero de refuerzo en Placas Irregulares</t>
  </si>
  <si>
    <t>Kg/m2</t>
  </si>
  <si>
    <t>Area de Placas Irregulares</t>
  </si>
  <si>
    <t>Total Acero de refuerzo de Placas Irregulares</t>
  </si>
  <si>
    <t>FP</t>
  </si>
  <si>
    <t>Salario Base</t>
  </si>
  <si>
    <t>ALQUILER ESTACION TOPOGRAFICA, NIVEL Y ACCESORIOS.</t>
  </si>
  <si>
    <t>7. Pruebas de resistencia de tension indirecta de cilindros de Concreto</t>
  </si>
  <si>
    <t>Pago de Salud Empleador</t>
  </si>
  <si>
    <t>Pago de Pension Empleador</t>
  </si>
  <si>
    <t>908.526 106.454</t>
  </si>
  <si>
    <t>Dotacion</t>
  </si>
  <si>
    <t>7. Pruebas de resistencia de tension indirecta de cilindros de concreto</t>
  </si>
  <si>
    <t>Cemento</t>
  </si>
  <si>
    <t>Acero</t>
  </si>
  <si>
    <t>INICIO DEL PROYECTO</t>
  </si>
  <si>
    <t>MESES DE INICIO Y PROCESO CONTRATACION</t>
  </si>
  <si>
    <t>MESES DE LIQUIDACION</t>
  </si>
  <si>
    <t>PROCESO DE CONTRATACION E INICIO DEL PROYECTO</t>
  </si>
  <si>
    <t>ETAPA DE LIQUIDACION</t>
  </si>
  <si>
    <t>Salario Minimo 2021:</t>
  </si>
  <si>
    <t>OBJETO</t>
  </si>
  <si>
    <t>ITEMS</t>
  </si>
  <si>
    <t>VUNIT</t>
  </si>
  <si>
    <t>COSTO MES</t>
  </si>
  <si>
    <t>CARPA PARA PUNTO DE BIOSEGURIDAD</t>
  </si>
  <si>
    <t>TAPABOCAS</t>
  </si>
  <si>
    <t>GUANTES</t>
  </si>
  <si>
    <t>GEL DESINFECTANTE</t>
  </si>
  <si>
    <t>JABON PARA LIMPIEZA</t>
  </si>
  <si>
    <t>LOCALIZACION</t>
  </si>
  <si>
    <t>EL BAGRE - ANTIOQUIA.</t>
  </si>
  <si>
    <t>PRESUPUESTO PROTOCOLO DE BIOSEGURIDAD</t>
  </si>
  <si>
    <t>MESES</t>
  </si>
  <si>
    <t>CANT</t>
  </si>
  <si>
    <t>BAÑO PORTATIL (INCLUYE ASEO Y LIMPIEZA)</t>
  </si>
  <si>
    <t>NA</t>
  </si>
  <si>
    <t>CAJA X 100</t>
  </si>
  <si>
    <t>CAJA X 50</t>
  </si>
  <si>
    <t>UND X 1LT</t>
  </si>
  <si>
    <t xml:space="preserve">ALCOHOL </t>
  </si>
  <si>
    <t>TERMOMETRO INFRARROJO</t>
  </si>
  <si>
    <t xml:space="preserve">PRESUPUESTO TOTAL </t>
  </si>
  <si>
    <t>VALOR ANTERIOR</t>
  </si>
  <si>
    <t>INCREMENTO</t>
  </si>
  <si>
    <t xml:space="preserve">COSTO TOTAL DE VIABILIDAD </t>
  </si>
  <si>
    <t>TOTAL PRESUPUESTO OBRA</t>
  </si>
  <si>
    <t>TOTAL COSTOS INDIRECTOS</t>
  </si>
  <si>
    <t xml:space="preserve">GARANTIAS </t>
  </si>
  <si>
    <t xml:space="preserve">Cumplimiento </t>
  </si>
  <si>
    <t>Amparo de salarios y prest. sociales</t>
  </si>
  <si>
    <t xml:space="preserve">Amparo de anticipo </t>
  </si>
  <si>
    <t>Responsabilidad civil extracontractual</t>
  </si>
  <si>
    <t>Estabilidad de obra</t>
  </si>
  <si>
    <t xml:space="preserve">RESIDENTE DE CALIDAD </t>
  </si>
  <si>
    <t xml:space="preserve">IMPUESTOS Y DEDUCCIONES </t>
  </si>
  <si>
    <t>VLR TOTAL</t>
  </si>
  <si>
    <t>APOYO A LA SUPERVISION POR 8 MESES</t>
  </si>
  <si>
    <t>6,50</t>
  </si>
  <si>
    <t>6,10</t>
  </si>
  <si>
    <t>6,20</t>
  </si>
  <si>
    <t>6,30</t>
  </si>
  <si>
    <t>6,40</t>
  </si>
  <si>
    <t xml:space="preserve">TOTAL PRESUPUESTO OBRA + PMT + PAGA + BIO SEGURIDAD </t>
  </si>
  <si>
    <t>TOTAL PRESUPUESTO OBRA + PMT + PAGA + BIOSEGURIDAD</t>
  </si>
  <si>
    <t xml:space="preserve">FLUJO ACUMULADO MENSUAL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</si>
</sst>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5">
    <numFmt numFmtId="164" formatCode="_(* #,##0_);_(* \(#,##0\);_(* &quot;-&quot;_);_(@_)"/>
    <numFmt numFmtId="165" formatCode="_(&quot;$&quot;* #,##0.00_);_(&quot;$&quot;* \(#,##0.00\);_(&quot;$&quot;* &quot;-&quot;??_);_(@_)"/>
    <numFmt numFmtId="166" formatCode="_(* #,##0.00_);_(* \(#,##0.00\);_(* &quot;-&quot;??_);_(@_)"/>
    <numFmt numFmtId="167" formatCode="_(&quot;$&quot;\ * #,##0.00_);_(&quot;$&quot;\ * \(#,##0.00\);_(&quot;$&quot;\ * &quot;-&quot;??_);_(@_)"/>
    <numFmt numFmtId="168" formatCode="_ &quot;$&quot;\ * #,##0.00_ ;_ &quot;$&quot;\ * \-#,##0.00_ ;_ &quot;$&quot;\ * &quot;-&quot;??_ ;_ @_ "/>
    <numFmt numFmtId="169" formatCode="_ * #,##0.00_ ;_ * \-#,##0.00_ ;_ * &quot;-&quot;??_ ;_ @_ "/>
    <numFmt numFmtId="170" formatCode="[$$-240A]\ #,##0"/>
    <numFmt numFmtId="171" formatCode="#,##0.0"/>
    <numFmt numFmtId="172" formatCode="0.0"/>
    <numFmt numFmtId="173" formatCode="_(&quot;$&quot;\ * #,##0_);_(&quot;$&quot;\ * \(#,##0\);_(&quot;$&quot;\ * &quot;-&quot;??_);_(@_)"/>
    <numFmt numFmtId="174" formatCode="0.0%"/>
    <numFmt numFmtId="175" formatCode="[$$-2C0A]#,##0"/>
    <numFmt numFmtId="176" formatCode="#,##0.000"/>
    <numFmt numFmtId="177" formatCode="_ &quot;$&quot;\ * #,##0_ ;_ &quot;$&quot;\ * \-#,##0_ ;_ &quot;$&quot;\ * &quot;-&quot;??_ ;_ @_ "/>
    <numFmt numFmtId="178" formatCode="&quot;ADMINISTRACION: &quot;0.00%"/>
    <numFmt numFmtId="179" formatCode="&quot;IMPREVISTOS: &quot;0.00%"/>
    <numFmt numFmtId="180" formatCode="&quot;UTILIDAD: &quot;0.00%"/>
    <numFmt numFmtId="181" formatCode="0.000"/>
    <numFmt numFmtId="182" formatCode="&quot;$&quot;#,##0"/>
    <numFmt numFmtId="183" formatCode="0.0000"/>
    <numFmt numFmtId="184" formatCode="&quot;$&quot;\ #,##0.00"/>
    <numFmt numFmtId="185" formatCode="_-[$$-240A]* #,##0.00_-;\-[$$-240A]* #,##0.00_-;_-[$$-240A]* &quot;-&quot;??_-;_-@_-"/>
    <numFmt numFmtId="186" formatCode="_-* #,##0.00\ &quot;€&quot;_-;\-* #,##0.00\ &quot;€&quot;_-;_-* &quot;-&quot;??\ &quot;€&quot;_-;_-@_-"/>
    <numFmt numFmtId="187" formatCode="_-* #,##0.00\ _€_-;\-* #,##0.00\ _€_-;_-* &quot;-&quot;??\ _€_-;_-@_-"/>
    <numFmt numFmtId="188" formatCode="&quot;$&quot;\ #,##0"/>
    <numFmt numFmtId="189" formatCode="&quot;$&quot;\ #,##0;[Red]&quot;$&quot;\ \-#,##0"/>
    <numFmt numFmtId="190" formatCode="_([$€-2]* #,##0.00_);_([$€-2]* \(#,##0.00\);_([$€-2]* &quot;-&quot;??_)"/>
    <numFmt numFmtId="191" formatCode="_(* #,##0\ &quot;pta&quot;_);_(* \(#,##0\ &quot;pta&quot;\);_(* &quot;-&quot;??\ &quot;pta&quot;_);_(@_)"/>
    <numFmt numFmtId="192" formatCode="#,##0.0000"/>
    <numFmt numFmtId="193" formatCode="&quot;INTERVENTORIA: &quot;0.00%"/>
    <numFmt numFmtId="194" formatCode="_-[$$-240A]* #,##0_-;\-[$$-240A]* #,##0_-;_-[$$-240A]* &quot;-&quot;??_-;_-@_-"/>
    <numFmt numFmtId="195" formatCode="&quot;$&quot;#,##0.00"/>
    <numFmt numFmtId="196" formatCode="[$$-240A]#,##0.00"/>
    <numFmt numFmtId="197" formatCode="&quot;Item: &quot;##.##"/>
    <numFmt numFmtId="198" formatCode="0.0000%"/>
    <numFmt numFmtId="199" formatCode="&quot;Mes &quot;##"/>
    <numFmt numFmtId="200" formatCode="&quot;m&quot;#,##0"/>
    <numFmt numFmtId="201" formatCode="_([$$-240A]\ * #,##0.00_);_([$$-240A]\ * \(#,##0.00\);_([$$-240A]\ * &quot;-&quot;??_);_(@_)"/>
    <numFmt numFmtId="202" formatCode="_(* #,##0_);_(* \(#,##0\);_(* &quot;-&quot;??_);_(@_)"/>
    <numFmt numFmtId="203" formatCode="000\°00&quot;´&quot;00&quot;´´&quot;"/>
    <numFmt numFmtId="204" formatCode="[$$-240A]#,##0"/>
    <numFmt numFmtId="205" formatCode="#&quot;''&quot;"/>
    <numFmt numFmtId="206" formatCode="[$$-240A]\ #,##0.00000"/>
    <numFmt numFmtId="207" formatCode="&quot;COSTOS INDIRECTOS: &quot;0.00%"/>
    <numFmt numFmtId="208" formatCode="[$$-240A]\ #,##0;\-[$$-240A]\ #,##0"/>
  </numFmts>
  <fonts count="116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0"/>
      <name val="Cambria"/>
      <family val="1"/>
      <scheme val="major"/>
    </font>
    <font>
      <sz val="9"/>
      <name val="Cambria"/>
      <family val="1"/>
      <scheme val="major"/>
    </font>
    <font>
      <b/>
      <sz val="10"/>
      <name val="Cambria"/>
      <family val="1"/>
      <scheme val="major"/>
    </font>
    <font>
      <sz val="11"/>
      <name val="Cambria"/>
      <family val="1"/>
      <scheme val="major"/>
    </font>
    <font>
      <b/>
      <sz val="11"/>
      <name val="Cambria"/>
      <family val="1"/>
      <scheme val="major"/>
    </font>
    <font>
      <sz val="8"/>
      <name val="Cambria"/>
      <family val="1"/>
      <scheme val="major"/>
    </font>
    <font>
      <b/>
      <sz val="9"/>
      <name val="Cambria"/>
      <family val="1"/>
      <scheme val="major"/>
    </font>
    <font>
      <sz val="7"/>
      <name val="Cambria"/>
      <family val="1"/>
      <scheme val="major"/>
    </font>
    <font>
      <b/>
      <sz val="8"/>
      <name val="Cambria"/>
      <family val="1"/>
      <scheme val="major"/>
    </font>
    <font>
      <b/>
      <i/>
      <sz val="11"/>
      <name val="Cambria"/>
      <family val="1"/>
      <scheme val="major"/>
    </font>
    <font>
      <b/>
      <i/>
      <u/>
      <sz val="9"/>
      <name val="Cambria"/>
      <family val="1"/>
      <scheme val="major"/>
    </font>
    <font>
      <b/>
      <sz val="11"/>
      <color indexed="8"/>
      <name val="Cambria"/>
      <family val="1"/>
      <scheme val="major"/>
    </font>
    <font>
      <sz val="11"/>
      <color rgb="FFFF0000"/>
      <name val="Cambria"/>
      <family val="1"/>
      <scheme val="major"/>
    </font>
    <font>
      <i/>
      <sz val="9"/>
      <name val="Cambria"/>
      <family val="1"/>
      <scheme val="major"/>
    </font>
    <font>
      <sz val="10"/>
      <color indexed="8"/>
      <name val="Cambria"/>
      <family val="1"/>
      <scheme val="major"/>
    </font>
    <font>
      <sz val="8"/>
      <name val="Tahoma"/>
      <family val="2"/>
    </font>
    <font>
      <b/>
      <sz val="12"/>
      <name val="Tahoma"/>
      <family val="2"/>
    </font>
    <font>
      <b/>
      <sz val="8"/>
      <name val="Tahoma"/>
      <family val="2"/>
    </font>
    <font>
      <b/>
      <sz val="10"/>
      <name val="Tahoma"/>
      <family val="2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6"/>
      <color indexed="8"/>
      <name val="Cambria"/>
      <family val="1"/>
      <scheme val="major"/>
    </font>
    <font>
      <sz val="16"/>
      <name val="Cambria"/>
      <family val="1"/>
      <scheme val="major"/>
    </font>
    <font>
      <b/>
      <sz val="16"/>
      <name val="Cambria"/>
      <family val="1"/>
      <scheme val="major"/>
    </font>
    <font>
      <b/>
      <sz val="16"/>
      <color theme="1"/>
      <name val="Cambria"/>
      <family val="1"/>
      <scheme val="major"/>
    </font>
    <font>
      <sz val="16"/>
      <color theme="1"/>
      <name val="Cambria"/>
      <family val="1"/>
      <scheme val="major"/>
    </font>
    <font>
      <sz val="16"/>
      <color indexed="8"/>
      <name val="Cambria"/>
      <family val="1"/>
      <scheme val="major"/>
    </font>
    <font>
      <b/>
      <sz val="18"/>
      <color indexed="8"/>
      <name val="Cambria"/>
      <family val="1"/>
      <scheme val="major"/>
    </font>
    <font>
      <sz val="18"/>
      <name val="Cambria"/>
      <family val="1"/>
      <scheme val="major"/>
    </font>
    <font>
      <b/>
      <sz val="14"/>
      <name val="Tahoma"/>
      <family val="2"/>
    </font>
    <font>
      <sz val="14"/>
      <name val="Arial"/>
      <family val="2"/>
    </font>
    <font>
      <b/>
      <sz val="24"/>
      <name val="Cambria"/>
      <family val="1"/>
      <scheme val="major"/>
    </font>
    <font>
      <b/>
      <sz val="14"/>
      <color indexed="8"/>
      <name val="Cambria"/>
      <family val="1"/>
      <scheme val="major"/>
    </font>
    <font>
      <b/>
      <sz val="20"/>
      <color theme="1"/>
      <name val="Calibri"/>
      <family val="2"/>
      <scheme val="minor"/>
    </font>
    <font>
      <b/>
      <sz val="12"/>
      <color theme="8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8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rgb="FF00B050"/>
      <name val="Calibri"/>
      <family val="2"/>
      <scheme val="minor"/>
    </font>
    <font>
      <sz val="16"/>
      <color theme="0" tint="-0.249977111117893"/>
      <name val="Cambria"/>
      <family val="1"/>
      <scheme val="major"/>
    </font>
    <font>
      <sz val="10"/>
      <name val="Arial"/>
      <family val="2"/>
    </font>
    <font>
      <sz val="12"/>
      <name val="Arial"/>
      <family val="2"/>
    </font>
    <font>
      <sz val="11"/>
      <name val="Calibri"/>
      <family val="2"/>
      <scheme val="minor"/>
    </font>
    <font>
      <sz val="12"/>
      <name val="Tahoma"/>
      <family val="2"/>
    </font>
    <font>
      <b/>
      <sz val="9"/>
      <name val="Tahoma"/>
      <family val="2"/>
    </font>
    <font>
      <sz val="12"/>
      <name val="Cambria"/>
      <family val="1"/>
      <scheme val="major"/>
    </font>
    <font>
      <sz val="12"/>
      <color indexed="8"/>
      <name val="Cambria"/>
      <family val="1"/>
      <scheme val="major"/>
    </font>
    <font>
      <sz val="10"/>
      <name val="Geneva"/>
    </font>
    <font>
      <sz val="8"/>
      <name val="Times New Roman"/>
      <family val="1"/>
    </font>
    <font>
      <b/>
      <sz val="14"/>
      <name val="Arial"/>
      <family val="2"/>
    </font>
    <font>
      <sz val="11"/>
      <name val="Arial"/>
      <family val="2"/>
    </font>
    <font>
      <b/>
      <sz val="12"/>
      <name val="Times New Roman"/>
      <family val="1"/>
    </font>
    <font>
      <b/>
      <sz val="8"/>
      <name val="Futura Md BT"/>
      <family val="2"/>
    </font>
    <font>
      <sz val="10"/>
      <name val="Futura Md BT"/>
      <family val="2"/>
    </font>
    <font>
      <b/>
      <sz val="12"/>
      <name val="Arial"/>
      <family val="2"/>
    </font>
    <font>
      <b/>
      <sz val="10"/>
      <name val="Futura Md BT"/>
      <family val="2"/>
    </font>
    <font>
      <b/>
      <sz val="11"/>
      <name val="Tahoma"/>
      <family val="2"/>
    </font>
    <font>
      <b/>
      <sz val="14"/>
      <color indexed="8"/>
      <name val="Arial"/>
      <family val="2"/>
    </font>
    <font>
      <b/>
      <u/>
      <sz val="14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1"/>
      <color indexed="8"/>
      <name val="Arial"/>
      <family val="2"/>
    </font>
    <font>
      <sz val="12"/>
      <color indexed="8"/>
      <name val="Arial"/>
      <family val="2"/>
    </font>
    <font>
      <b/>
      <u/>
      <sz val="12"/>
      <color indexed="8"/>
      <name val="Arial"/>
      <family val="2"/>
    </font>
    <font>
      <b/>
      <sz val="12"/>
      <color indexed="8"/>
      <name val="Arial"/>
      <family val="2"/>
    </font>
    <font>
      <b/>
      <sz val="16"/>
      <color indexed="8"/>
      <name val="Arial"/>
      <family val="2"/>
    </font>
    <font>
      <sz val="16"/>
      <color theme="1"/>
      <name val="Calibri"/>
      <family val="2"/>
      <scheme val="minor"/>
    </font>
    <font>
      <sz val="10"/>
      <color indexed="17"/>
      <name val="Arial"/>
      <family val="2"/>
    </font>
    <font>
      <sz val="10"/>
      <color theme="1"/>
      <name val="Calibri"/>
      <family val="2"/>
      <scheme val="minor"/>
    </font>
    <font>
      <sz val="8"/>
      <color theme="0"/>
      <name val="Arial"/>
      <family val="2"/>
    </font>
    <font>
      <sz val="8"/>
      <color theme="1"/>
      <name val="Arial"/>
      <family val="2"/>
    </font>
    <font>
      <sz val="8"/>
      <name val="Arial"/>
      <family val="2"/>
    </font>
    <font>
      <b/>
      <sz val="8"/>
      <color rgb="FFFFFFFF"/>
      <name val="Arial"/>
      <family val="2"/>
    </font>
    <font>
      <sz val="11"/>
      <color theme="1"/>
      <name val="Calibri"/>
      <family val="2"/>
    </font>
    <font>
      <sz val="14"/>
      <name val="Cambria"/>
      <family val="1"/>
      <scheme val="major"/>
    </font>
    <font>
      <i/>
      <sz val="11"/>
      <color theme="1"/>
      <name val="Calibri"/>
      <family val="2"/>
      <scheme val="minor"/>
    </font>
    <font>
      <sz val="12"/>
      <name val="Arial Narrow"/>
      <family val="2"/>
    </font>
    <font>
      <b/>
      <sz val="12"/>
      <name val="Arial Narrow"/>
      <family val="2"/>
    </font>
    <font>
      <b/>
      <i/>
      <u/>
      <sz val="12"/>
      <name val="Arial Narrow"/>
      <family val="2"/>
    </font>
    <font>
      <b/>
      <i/>
      <sz val="12"/>
      <name val="Arial Narrow"/>
      <family val="2"/>
    </font>
    <font>
      <i/>
      <sz val="12"/>
      <name val="Arial Narrow"/>
      <family val="2"/>
    </font>
    <font>
      <sz val="12"/>
      <name val="Calibri"/>
      <family val="2"/>
      <scheme val="minor"/>
    </font>
    <font>
      <b/>
      <sz val="10"/>
      <name val="Arial"/>
      <family val="2"/>
    </font>
    <font>
      <sz val="11"/>
      <color theme="0" tint="-0.34998626667073579"/>
      <name val="Cambria"/>
      <family val="1"/>
      <scheme val="major"/>
    </font>
    <font>
      <sz val="12"/>
      <color theme="0" tint="-0.34998626667073579"/>
      <name val="Cambria"/>
      <family val="1"/>
      <scheme val="major"/>
    </font>
    <font>
      <b/>
      <sz val="12"/>
      <name val="Cambria"/>
      <family val="1"/>
      <scheme val="major"/>
    </font>
    <font>
      <b/>
      <sz val="11"/>
      <name val="Arial Narrow"/>
      <family val="2"/>
    </font>
  </fonts>
  <fills count="17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2440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78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9">
    <xf numFmtId="0" fontId="0" fillId="0" borderId="0"/>
    <xf numFmtId="164" fontId="24" fillId="0" borderId="0" applyFont="0" applyFill="0" applyBorder="0" applyAlignment="0" applyProtection="0"/>
    <xf numFmtId="164" fontId="26" fillId="0" borderId="0" applyFont="0" applyFill="0" applyBorder="0" applyAlignment="0" applyProtection="0"/>
    <xf numFmtId="166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165" fontId="23" fillId="0" borderId="0" applyFont="0" applyFill="0" applyBorder="0" applyAlignment="0" applyProtection="0"/>
    <xf numFmtId="167" fontId="25" fillId="0" borderId="0" applyFont="0" applyFill="0" applyBorder="0" applyAlignment="0" applyProtection="0"/>
    <xf numFmtId="0" fontId="24" fillId="0" borderId="0"/>
    <xf numFmtId="0" fontId="25" fillId="0" borderId="0"/>
    <xf numFmtId="164" fontId="23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3" fillId="0" borderId="0" applyFont="0" applyFill="0" applyBorder="0" applyAlignment="0" applyProtection="0"/>
    <xf numFmtId="0" fontId="23" fillId="0" borderId="0"/>
    <xf numFmtId="164" fontId="23" fillId="0" borderId="0" applyFont="0" applyFill="0" applyBorder="0" applyAlignment="0" applyProtection="0"/>
    <xf numFmtId="186" fontId="23" fillId="0" borderId="0" applyFont="0" applyFill="0" applyBorder="0" applyAlignment="0" applyProtection="0"/>
    <xf numFmtId="187" fontId="23" fillId="0" borderId="0" applyFont="0" applyFill="0" applyBorder="0" applyAlignment="0" applyProtection="0"/>
    <xf numFmtId="0" fontId="22" fillId="0" borderId="0"/>
    <xf numFmtId="190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191" fontId="23" fillId="0" borderId="0" applyFont="0" applyFill="0" applyBorder="0" applyAlignment="0" applyProtection="0"/>
    <xf numFmtId="16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9" fillId="0" borderId="0"/>
    <xf numFmtId="9" fontId="69" fillId="0" borderId="0" applyFont="0" applyFill="0" applyBorder="0" applyAlignment="0" applyProtection="0"/>
    <xf numFmtId="0" fontId="17" fillId="0" borderId="0"/>
    <xf numFmtId="167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0" fontId="76" fillId="0" borderId="0"/>
    <xf numFmtId="167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17" fillId="0" borderId="0" applyFont="0" applyFill="0" applyBorder="0" applyAlignment="0" applyProtection="0"/>
    <xf numFmtId="203" fontId="23" fillId="0" borderId="0" applyFont="0" applyFill="0" applyBorder="0" applyAlignment="0" applyProtection="0"/>
    <xf numFmtId="0" fontId="16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4" fillId="0" borderId="0"/>
    <xf numFmtId="0" fontId="3" fillId="0" borderId="0"/>
  </cellStyleXfs>
  <cellXfs count="1455">
    <xf numFmtId="0" fontId="0" fillId="0" borderId="0" xfId="0"/>
    <xf numFmtId="0" fontId="28" fillId="0" borderId="0" xfId="7" applyFont="1" applyAlignment="1">
      <alignment horizontal="left"/>
    </xf>
    <xf numFmtId="0" fontId="27" fillId="0" borderId="0" xfId="7" applyFont="1" applyAlignment="1">
      <alignment horizontal="left"/>
    </xf>
    <xf numFmtId="0" fontId="27" fillId="0" borderId="0" xfId="7" applyFont="1"/>
    <xf numFmtId="0" fontId="28" fillId="0" borderId="0" xfId="7" applyFont="1" applyBorder="1"/>
    <xf numFmtId="0" fontId="27" fillId="0" borderId="0" xfId="7" applyFont="1" applyBorder="1"/>
    <xf numFmtId="0" fontId="28" fillId="0" borderId="0" xfId="7" applyFont="1" applyBorder="1" applyAlignment="1">
      <alignment horizontal="center"/>
    </xf>
    <xf numFmtId="175" fontId="34" fillId="0" borderId="0" xfId="7" applyNumberFormat="1" applyFont="1" applyFill="1" applyBorder="1"/>
    <xf numFmtId="0" fontId="32" fillId="0" borderId="0" xfId="7" applyFont="1" applyBorder="1" applyAlignment="1">
      <alignment vertical="center"/>
    </xf>
    <xf numFmtId="0" fontId="28" fillId="0" borderId="0" xfId="7" applyFont="1"/>
    <xf numFmtId="4" fontId="28" fillId="0" borderId="0" xfId="7" applyNumberFormat="1" applyFont="1" applyBorder="1" applyAlignment="1">
      <alignment horizontal="center"/>
    </xf>
    <xf numFmtId="3" fontId="28" fillId="0" borderId="0" xfId="7" applyNumberFormat="1" applyFont="1" applyBorder="1" applyAlignment="1">
      <alignment horizontal="center"/>
    </xf>
    <xf numFmtId="3" fontId="28" fillId="0" borderId="0" xfId="7" applyNumberFormat="1" applyFont="1" applyBorder="1" applyAlignment="1">
      <alignment horizontal="right"/>
    </xf>
    <xf numFmtId="0" fontId="32" fillId="0" borderId="0" xfId="7" applyFont="1" applyBorder="1" applyAlignment="1">
      <alignment horizontal="center" vertical="center"/>
    </xf>
    <xf numFmtId="171" fontId="32" fillId="0" borderId="0" xfId="7" applyNumberFormat="1" applyFont="1" applyBorder="1" applyAlignment="1">
      <alignment horizontal="center" vertical="center"/>
    </xf>
    <xf numFmtId="171" fontId="32" fillId="0" borderId="0" xfId="7" applyNumberFormat="1" applyFont="1" applyBorder="1" applyAlignment="1">
      <alignment vertical="center"/>
    </xf>
    <xf numFmtId="0" fontId="35" fillId="0" borderId="0" xfId="7" applyFont="1" applyBorder="1" applyAlignment="1">
      <alignment vertical="center"/>
    </xf>
    <xf numFmtId="171" fontId="35" fillId="0" borderId="0" xfId="7" applyNumberFormat="1" applyFont="1" applyBorder="1" applyAlignment="1">
      <alignment vertical="center"/>
    </xf>
    <xf numFmtId="174" fontId="32" fillId="0" borderId="0" xfId="7" applyNumberFormat="1" applyFont="1" applyBorder="1" applyAlignment="1">
      <alignment vertical="center"/>
    </xf>
    <xf numFmtId="171" fontId="32" fillId="0" borderId="0" xfId="7" applyNumberFormat="1" applyFont="1" applyBorder="1" applyAlignment="1">
      <alignment horizontal="right" vertical="center"/>
    </xf>
    <xf numFmtId="170" fontId="32" fillId="0" borderId="0" xfId="7" applyNumberFormat="1" applyFont="1" applyBorder="1" applyAlignment="1">
      <alignment horizontal="center" vertical="center"/>
    </xf>
    <xf numFmtId="0" fontId="30" fillId="0" borderId="0" xfId="7" applyFont="1"/>
    <xf numFmtId="0" fontId="38" fillId="0" borderId="0" xfId="8" applyFont="1" applyBorder="1" applyAlignment="1">
      <alignment vertical="justify"/>
    </xf>
    <xf numFmtId="0" fontId="30" fillId="0" borderId="0" xfId="7" applyFont="1" applyAlignment="1">
      <alignment horizontal="left"/>
    </xf>
    <xf numFmtId="0" fontId="27" fillId="0" borderId="0" xfId="7" applyFont="1" applyBorder="1" applyAlignment="1">
      <alignment horizontal="center"/>
    </xf>
    <xf numFmtId="0" fontId="33" fillId="0" borderId="0" xfId="7" applyFont="1" applyBorder="1" applyAlignment="1">
      <alignment horizontal="center"/>
    </xf>
    <xf numFmtId="0" fontId="27" fillId="0" borderId="0" xfId="7" applyFont="1" applyBorder="1" applyAlignment="1">
      <alignment horizontal="left" vertical="center" wrapText="1"/>
    </xf>
    <xf numFmtId="0" fontId="28" fillId="0" borderId="0" xfId="7" applyFont="1" applyAlignment="1">
      <alignment horizontal="center"/>
    </xf>
    <xf numFmtId="0" fontId="32" fillId="0" borderId="0" xfId="7" applyFont="1" applyBorder="1" applyAlignment="1">
      <alignment horizontal="right" vertical="center"/>
    </xf>
    <xf numFmtId="0" fontId="27" fillId="0" borderId="0" xfId="7" applyFont="1" applyBorder="1" applyAlignment="1">
      <alignment horizontal="left" vertical="center"/>
    </xf>
    <xf numFmtId="0" fontId="27" fillId="0" borderId="0" xfId="7" applyFont="1" applyBorder="1" applyAlignment="1">
      <alignment vertical="center"/>
    </xf>
    <xf numFmtId="0" fontId="27" fillId="0" borderId="0" xfId="7" applyFont="1" applyBorder="1" applyAlignment="1">
      <alignment horizontal="center" vertical="center"/>
    </xf>
    <xf numFmtId="174" fontId="32" fillId="0" borderId="0" xfId="7" applyNumberFormat="1" applyFont="1" applyBorder="1" applyAlignment="1">
      <alignment horizontal="center" vertical="center"/>
    </xf>
    <xf numFmtId="4" fontId="32" fillId="0" borderId="0" xfId="7" applyNumberFormat="1" applyFont="1" applyBorder="1" applyAlignment="1">
      <alignment horizontal="center" vertical="center"/>
    </xf>
    <xf numFmtId="0" fontId="34" fillId="0" borderId="0" xfId="7" applyFont="1" applyFill="1" applyBorder="1" applyAlignment="1">
      <alignment vertical="justify" wrapText="1"/>
    </xf>
    <xf numFmtId="0" fontId="34" fillId="0" borderId="0" xfId="7" applyFont="1" applyFill="1" applyBorder="1" applyAlignment="1">
      <alignment horizontal="center"/>
    </xf>
    <xf numFmtId="172" fontId="34" fillId="0" borderId="0" xfId="1" applyNumberFormat="1" applyFont="1" applyFill="1" applyBorder="1" applyAlignment="1">
      <alignment horizontal="center"/>
    </xf>
    <xf numFmtId="171" fontId="35" fillId="0" borderId="0" xfId="7" applyNumberFormat="1" applyFont="1" applyBorder="1" applyAlignment="1">
      <alignment horizontal="right" vertical="center"/>
    </xf>
    <xf numFmtId="0" fontId="33" fillId="0" borderId="0" xfId="7" applyFont="1" applyBorder="1"/>
    <xf numFmtId="2" fontId="34" fillId="0" borderId="0" xfId="1" applyNumberFormat="1" applyFont="1" applyFill="1" applyBorder="1" applyAlignment="1">
      <alignment horizontal="center"/>
    </xf>
    <xf numFmtId="176" fontId="28" fillId="0" borderId="0" xfId="7" applyNumberFormat="1" applyFont="1" applyBorder="1" applyAlignment="1">
      <alignment horizontal="center"/>
    </xf>
    <xf numFmtId="4" fontId="27" fillId="0" borderId="0" xfId="7" applyNumberFormat="1" applyFont="1" applyBorder="1" applyAlignment="1">
      <alignment horizontal="center"/>
    </xf>
    <xf numFmtId="4" fontId="27" fillId="0" borderId="0" xfId="7" applyNumberFormat="1" applyFont="1" applyBorder="1" applyAlignment="1"/>
    <xf numFmtId="4" fontId="32" fillId="0" borderId="0" xfId="7" applyNumberFormat="1" applyFont="1" applyBorder="1" applyAlignment="1">
      <alignment vertical="center"/>
    </xf>
    <xf numFmtId="0" fontId="37" fillId="0" borderId="0" xfId="7" applyFont="1" applyBorder="1"/>
    <xf numFmtId="0" fontId="40" fillId="0" borderId="0" xfId="7" applyFont="1" applyBorder="1"/>
    <xf numFmtId="184" fontId="41" fillId="0" borderId="0" xfId="7" applyNumberFormat="1" applyFont="1" applyAlignment="1">
      <alignment vertical="center"/>
    </xf>
    <xf numFmtId="165" fontId="32" fillId="0" borderId="0" xfId="7" applyNumberFormat="1" applyFont="1" applyBorder="1" applyAlignment="1">
      <alignment horizontal="center" vertical="center"/>
    </xf>
    <xf numFmtId="170" fontId="32" fillId="0" borderId="0" xfId="7" applyNumberFormat="1" applyFont="1" applyBorder="1" applyAlignment="1">
      <alignment vertical="center"/>
    </xf>
    <xf numFmtId="170" fontId="27" fillId="0" borderId="7" xfId="7" applyNumberFormat="1" applyFont="1" applyBorder="1"/>
    <xf numFmtId="0" fontId="27" fillId="0" borderId="7" xfId="7" applyFont="1" applyBorder="1"/>
    <xf numFmtId="0" fontId="27" fillId="0" borderId="7" xfId="7" applyFont="1" applyBorder="1" applyAlignment="1">
      <alignment horizontal="center"/>
    </xf>
    <xf numFmtId="0" fontId="28" fillId="0" borderId="17" xfId="7" applyFont="1" applyBorder="1" applyAlignment="1">
      <alignment horizontal="center"/>
    </xf>
    <xf numFmtId="0" fontId="28" fillId="0" borderId="18" xfId="7" applyFont="1" applyBorder="1" applyAlignment="1"/>
    <xf numFmtId="0" fontId="28" fillId="0" borderId="17" xfId="7" applyFont="1" applyBorder="1"/>
    <xf numFmtId="0" fontId="28" fillId="0" borderId="18" xfId="7" applyFont="1" applyBorder="1"/>
    <xf numFmtId="170" fontId="36" fillId="0" borderId="20" xfId="4" applyNumberFormat="1" applyFont="1" applyBorder="1" applyAlignment="1">
      <alignment horizontal="center"/>
    </xf>
    <xf numFmtId="0" fontId="28" fillId="0" borderId="3" xfId="7" applyFont="1" applyBorder="1"/>
    <xf numFmtId="0" fontId="28" fillId="0" borderId="3" xfId="7" applyFont="1" applyBorder="1" applyAlignment="1">
      <alignment horizontal="center"/>
    </xf>
    <xf numFmtId="0" fontId="27" fillId="0" borderId="19" xfId="7" applyFont="1" applyBorder="1" applyAlignment="1">
      <alignment horizontal="center" vertical="center"/>
    </xf>
    <xf numFmtId="0" fontId="27" fillId="0" borderId="7" xfId="7" applyFont="1" applyBorder="1" applyAlignment="1">
      <alignment horizontal="center" vertical="center"/>
    </xf>
    <xf numFmtId="0" fontId="27" fillId="0" borderId="20" xfId="7" applyFont="1" applyBorder="1" applyAlignment="1">
      <alignment horizontal="center"/>
    </xf>
    <xf numFmtId="0" fontId="27" fillId="0" borderId="19" xfId="7" applyFont="1" applyBorder="1" applyAlignment="1">
      <alignment vertical="center"/>
    </xf>
    <xf numFmtId="170" fontId="27" fillId="0" borderId="7" xfId="7" applyNumberFormat="1" applyFont="1" applyBorder="1" applyAlignment="1">
      <alignment horizontal="center" vertical="center"/>
    </xf>
    <xf numFmtId="174" fontId="27" fillId="0" borderId="7" xfId="7" applyNumberFormat="1" applyFont="1" applyBorder="1" applyAlignment="1">
      <alignment horizontal="center" vertical="center"/>
    </xf>
    <xf numFmtId="4" fontId="27" fillId="0" borderId="7" xfId="7" applyNumberFormat="1" applyFont="1" applyBorder="1" applyAlignment="1">
      <alignment horizontal="center" vertical="center"/>
    </xf>
    <xf numFmtId="170" fontId="27" fillId="0" borderId="7" xfId="7" applyNumberFormat="1" applyFont="1" applyBorder="1" applyAlignment="1">
      <alignment vertical="center"/>
    </xf>
    <xf numFmtId="170" fontId="27" fillId="0" borderId="20" xfId="7" applyNumberFormat="1" applyFont="1" applyBorder="1" applyAlignment="1">
      <alignment horizontal="right" vertical="center"/>
    </xf>
    <xf numFmtId="10" fontId="27" fillId="0" borderId="7" xfId="7" applyNumberFormat="1" applyFont="1" applyBorder="1" applyAlignment="1">
      <alignment horizontal="center" vertical="center"/>
    </xf>
    <xf numFmtId="4" fontId="27" fillId="0" borderId="7" xfId="7" applyNumberFormat="1" applyFont="1" applyBorder="1" applyAlignment="1">
      <alignment vertical="center"/>
    </xf>
    <xf numFmtId="4" fontId="27" fillId="0" borderId="20" xfId="7" applyNumberFormat="1" applyFont="1" applyBorder="1" applyAlignment="1">
      <alignment horizontal="right" vertical="center"/>
    </xf>
    <xf numFmtId="0" fontId="29" fillId="0" borderId="7" xfId="7" applyFont="1" applyBorder="1" applyAlignment="1">
      <alignment vertical="center"/>
    </xf>
    <xf numFmtId="171" fontId="27" fillId="0" borderId="7" xfId="7" applyNumberFormat="1" applyFont="1" applyBorder="1" applyAlignment="1">
      <alignment horizontal="center" vertical="center"/>
    </xf>
    <xf numFmtId="0" fontId="27" fillId="0" borderId="7" xfId="0" applyFont="1" applyFill="1" applyBorder="1" applyAlignment="1">
      <alignment horizontal="center"/>
    </xf>
    <xf numFmtId="1" fontId="27" fillId="0" borderId="7" xfId="9" applyNumberFormat="1" applyFont="1" applyFill="1" applyBorder="1" applyAlignment="1">
      <alignment horizontal="right"/>
    </xf>
    <xf numFmtId="170" fontId="27" fillId="0" borderId="7" xfId="0" applyNumberFormat="1" applyFont="1" applyBorder="1" applyAlignment="1">
      <alignment horizontal="right" vertical="center"/>
    </xf>
    <xf numFmtId="49" fontId="27" fillId="0" borderId="7" xfId="0" applyNumberFormat="1" applyFont="1" applyFill="1" applyBorder="1" applyAlignment="1">
      <alignment horizontal="center"/>
    </xf>
    <xf numFmtId="2" fontId="27" fillId="0" borderId="7" xfId="9" applyNumberFormat="1" applyFont="1" applyFill="1" applyBorder="1" applyAlignment="1">
      <alignment horizontal="right"/>
    </xf>
    <xf numFmtId="170" fontId="27" fillId="0" borderId="7" xfId="7" applyNumberFormat="1" applyFont="1" applyBorder="1" applyAlignment="1">
      <alignment horizontal="right"/>
    </xf>
    <xf numFmtId="0" fontId="27" fillId="0" borderId="7" xfId="7" applyFont="1" applyFill="1" applyBorder="1" applyAlignment="1">
      <alignment horizontal="center"/>
    </xf>
    <xf numFmtId="2" fontId="27" fillId="0" borderId="7" xfId="1" applyNumberFormat="1" applyFont="1" applyFill="1" applyBorder="1" applyAlignment="1">
      <alignment horizontal="right"/>
    </xf>
    <xf numFmtId="49" fontId="27" fillId="0" borderId="7" xfId="7" applyNumberFormat="1" applyFont="1" applyFill="1" applyBorder="1" applyAlignment="1">
      <alignment horizontal="center"/>
    </xf>
    <xf numFmtId="2" fontId="27" fillId="0" borderId="7" xfId="1" applyNumberFormat="1" applyFont="1" applyFill="1" applyBorder="1" applyAlignment="1">
      <alignment horizontal="center"/>
    </xf>
    <xf numFmtId="170" fontId="27" fillId="0" borderId="7" xfId="7" applyNumberFormat="1" applyFont="1" applyBorder="1" applyAlignment="1">
      <alignment horizontal="center"/>
    </xf>
    <xf numFmtId="4" fontId="27" fillId="0" borderId="7" xfId="7" applyNumberFormat="1" applyFont="1" applyBorder="1" applyAlignment="1">
      <alignment horizontal="center"/>
    </xf>
    <xf numFmtId="0" fontId="29" fillId="0" borderId="7" xfId="7" applyFont="1" applyBorder="1"/>
    <xf numFmtId="170" fontId="29" fillId="0" borderId="20" xfId="7" applyNumberFormat="1" applyFont="1" applyBorder="1" applyAlignment="1">
      <alignment horizontal="center"/>
    </xf>
    <xf numFmtId="170" fontId="27" fillId="0" borderId="7" xfId="7" applyNumberFormat="1" applyFont="1" applyBorder="1" applyAlignment="1">
      <alignment horizontal="right" vertical="center"/>
    </xf>
    <xf numFmtId="181" fontId="27" fillId="0" borderId="7" xfId="1" applyNumberFormat="1" applyFont="1" applyFill="1" applyBorder="1" applyAlignment="1">
      <alignment horizontal="center"/>
    </xf>
    <xf numFmtId="183" fontId="27" fillId="0" borderId="7" xfId="1" applyNumberFormat="1" applyFont="1" applyFill="1" applyBorder="1" applyAlignment="1">
      <alignment horizontal="center"/>
    </xf>
    <xf numFmtId="2" fontId="27" fillId="0" borderId="7" xfId="11" applyNumberFormat="1" applyFont="1" applyFill="1" applyBorder="1" applyAlignment="1">
      <alignment horizontal="center"/>
    </xf>
    <xf numFmtId="170" fontId="27" fillId="0" borderId="7" xfId="0" applyNumberFormat="1" applyFont="1" applyBorder="1" applyAlignment="1">
      <alignment horizontal="center" vertical="center"/>
    </xf>
    <xf numFmtId="1" fontId="27" fillId="0" borderId="7" xfId="11" applyNumberFormat="1" applyFont="1" applyFill="1" applyBorder="1" applyAlignment="1">
      <alignment horizontal="center"/>
    </xf>
    <xf numFmtId="2" fontId="27" fillId="0" borderId="7" xfId="7" applyNumberFormat="1" applyFont="1" applyBorder="1" applyAlignment="1">
      <alignment horizontal="center"/>
    </xf>
    <xf numFmtId="182" fontId="27" fillId="0" borderId="7" xfId="7" applyNumberFormat="1" applyFont="1" applyBorder="1" applyAlignment="1">
      <alignment horizontal="right"/>
    </xf>
    <xf numFmtId="183" fontId="27" fillId="0" borderId="7" xfId="7" applyNumberFormat="1" applyFont="1" applyBorder="1" applyAlignment="1">
      <alignment horizontal="center"/>
    </xf>
    <xf numFmtId="170" fontId="27" fillId="0" borderId="20" xfId="7" applyNumberFormat="1" applyFont="1" applyBorder="1" applyAlignment="1"/>
    <xf numFmtId="181" fontId="27" fillId="0" borderId="7" xfId="7" applyNumberFormat="1" applyFont="1" applyBorder="1" applyAlignment="1">
      <alignment horizontal="center"/>
    </xf>
    <xf numFmtId="1" fontId="27" fillId="0" borderId="7" xfId="7" applyNumberFormat="1" applyFont="1" applyBorder="1" applyAlignment="1">
      <alignment horizontal="center"/>
    </xf>
    <xf numFmtId="0" fontId="37" fillId="0" borderId="0" xfId="7" applyFont="1" applyBorder="1" applyAlignment="1">
      <alignment horizontal="left" vertical="center"/>
    </xf>
    <xf numFmtId="0" fontId="28" fillId="0" borderId="0" xfId="7" applyFont="1" applyBorder="1" applyAlignment="1">
      <alignment horizontal="left" vertical="center"/>
    </xf>
    <xf numFmtId="0" fontId="28" fillId="0" borderId="23" xfId="7" applyFont="1" applyBorder="1"/>
    <xf numFmtId="0" fontId="37" fillId="0" borderId="3" xfId="7" applyFont="1" applyBorder="1"/>
    <xf numFmtId="0" fontId="40" fillId="0" borderId="3" xfId="7" applyFont="1" applyBorder="1"/>
    <xf numFmtId="170" fontId="36" fillId="0" borderId="6" xfId="4" applyNumberFormat="1" applyFont="1" applyBorder="1" applyAlignment="1">
      <alignment horizontal="center"/>
    </xf>
    <xf numFmtId="170" fontId="27" fillId="0" borderId="0" xfId="7" applyNumberFormat="1" applyFont="1" applyBorder="1" applyAlignment="1">
      <alignment horizontal="center" vertical="center"/>
    </xf>
    <xf numFmtId="174" fontId="27" fillId="0" borderId="0" xfId="7" applyNumberFormat="1" applyFont="1" applyBorder="1" applyAlignment="1">
      <alignment horizontal="center" vertical="center"/>
    </xf>
    <xf numFmtId="171" fontId="27" fillId="0" borderId="0" xfId="7" applyNumberFormat="1" applyFont="1" applyBorder="1" applyAlignment="1">
      <alignment horizontal="center" vertical="center"/>
    </xf>
    <xf numFmtId="170" fontId="27" fillId="0" borderId="0" xfId="7" applyNumberFormat="1" applyFont="1" applyBorder="1" applyAlignment="1">
      <alignment vertical="center"/>
    </xf>
    <xf numFmtId="4" fontId="27" fillId="0" borderId="0" xfId="7" applyNumberFormat="1" applyFont="1" applyBorder="1" applyAlignment="1">
      <alignment vertical="center"/>
    </xf>
    <xf numFmtId="4" fontId="27" fillId="0" borderId="17" xfId="7" applyNumberFormat="1" applyFont="1" applyBorder="1" applyAlignment="1">
      <alignment horizontal="left"/>
    </xf>
    <xf numFmtId="4" fontId="27" fillId="0" borderId="0" xfId="7" applyNumberFormat="1" applyFont="1" applyBorder="1" applyAlignment="1">
      <alignment horizontal="left"/>
    </xf>
    <xf numFmtId="0" fontId="29" fillId="0" borderId="0" xfId="7" applyFont="1" applyBorder="1"/>
    <xf numFmtId="170" fontId="27" fillId="0" borderId="0" xfId="7" applyNumberFormat="1" applyFont="1" applyBorder="1"/>
    <xf numFmtId="170" fontId="29" fillId="0" borderId="18" xfId="7" applyNumberFormat="1" applyFont="1" applyBorder="1" applyAlignment="1">
      <alignment horizontal="center"/>
    </xf>
    <xf numFmtId="170" fontId="30" fillId="0" borderId="0" xfId="7" applyNumberFormat="1" applyFont="1" applyBorder="1" applyAlignment="1">
      <alignment vertical="center"/>
    </xf>
    <xf numFmtId="0" fontId="27" fillId="0" borderId="7" xfId="0" applyFont="1" applyFill="1" applyBorder="1" applyAlignment="1">
      <alignment horizontal="center" vertical="center"/>
    </xf>
    <xf numFmtId="2" fontId="27" fillId="0" borderId="7" xfId="11" applyNumberFormat="1" applyFont="1" applyFill="1" applyBorder="1" applyAlignment="1">
      <alignment horizontal="center" vertical="center"/>
    </xf>
    <xf numFmtId="0" fontId="27" fillId="0" borderId="7" xfId="7" applyFont="1" applyFill="1" applyBorder="1" applyAlignment="1">
      <alignment horizontal="center" vertical="center"/>
    </xf>
    <xf numFmtId="2" fontId="27" fillId="0" borderId="7" xfId="1" applyNumberFormat="1" applyFont="1" applyFill="1" applyBorder="1" applyAlignment="1">
      <alignment horizontal="center" vertical="center"/>
    </xf>
    <xf numFmtId="0" fontId="30" fillId="0" borderId="0" xfId="12" applyFont="1" applyAlignment="1">
      <alignment horizontal="left"/>
    </xf>
    <xf numFmtId="0" fontId="30" fillId="0" borderId="0" xfId="12" applyFont="1"/>
    <xf numFmtId="0" fontId="30" fillId="0" borderId="0" xfId="12" applyFont="1" applyBorder="1"/>
    <xf numFmtId="0" fontId="30" fillId="0" borderId="0" xfId="12" applyFont="1" applyBorder="1" applyAlignment="1">
      <alignment horizontal="center"/>
    </xf>
    <xf numFmtId="0" fontId="30" fillId="0" borderId="0" xfId="12" applyFont="1" applyBorder="1" applyAlignment="1">
      <alignment horizontal="center" vertical="center"/>
    </xf>
    <xf numFmtId="2" fontId="39" fillId="0" borderId="0" xfId="12" applyNumberFormat="1" applyFont="1" applyBorder="1" applyAlignment="1">
      <alignment horizontal="center"/>
    </xf>
    <xf numFmtId="0" fontId="30" fillId="0" borderId="0" xfId="12" applyFont="1" applyBorder="1" applyAlignment="1">
      <alignment vertical="center"/>
    </xf>
    <xf numFmtId="172" fontId="30" fillId="0" borderId="0" xfId="13" applyNumberFormat="1" applyFont="1" applyFill="1" applyBorder="1" applyAlignment="1">
      <alignment horizontal="center"/>
    </xf>
    <xf numFmtId="2" fontId="30" fillId="0" borderId="0" xfId="12" applyNumberFormat="1" applyFont="1" applyBorder="1" applyAlignment="1">
      <alignment horizontal="center" vertical="center"/>
    </xf>
    <xf numFmtId="0" fontId="30" fillId="0" borderId="0" xfId="12" applyFont="1" applyFill="1" applyBorder="1" applyAlignment="1">
      <alignment horizontal="center"/>
    </xf>
    <xf numFmtId="171" fontId="31" fillId="0" borderId="0" xfId="12" applyNumberFormat="1" applyFont="1" applyBorder="1" applyAlignment="1">
      <alignment horizontal="right" vertical="center"/>
    </xf>
    <xf numFmtId="175" fontId="30" fillId="0" borderId="0" xfId="12" applyNumberFormat="1" applyFont="1" applyFill="1" applyBorder="1"/>
    <xf numFmtId="3" fontId="30" fillId="0" borderId="0" xfId="12" applyNumberFormat="1" applyFont="1" applyBorder="1" applyAlignment="1">
      <alignment horizontal="right"/>
    </xf>
    <xf numFmtId="171" fontId="30" fillId="0" borderId="0" xfId="12" applyNumberFormat="1" applyFont="1" applyBorder="1" applyAlignment="1">
      <alignment horizontal="center" vertical="center"/>
    </xf>
    <xf numFmtId="171" fontId="30" fillId="0" borderId="0" xfId="12" applyNumberFormat="1" applyFont="1" applyBorder="1" applyAlignment="1">
      <alignment vertical="center"/>
    </xf>
    <xf numFmtId="0" fontId="31" fillId="0" borderId="0" xfId="12" applyFont="1" applyBorder="1" applyAlignment="1">
      <alignment vertical="center"/>
    </xf>
    <xf numFmtId="171" fontId="31" fillId="0" borderId="0" xfId="12" applyNumberFormat="1" applyFont="1" applyBorder="1" applyAlignment="1">
      <alignment vertical="center"/>
    </xf>
    <xf numFmtId="0" fontId="30" fillId="0" borderId="0" xfId="12" applyFont="1" applyAlignment="1"/>
    <xf numFmtId="0" fontId="44" fillId="0" borderId="0" xfId="12" applyFont="1" applyAlignment="1">
      <alignment vertical="center" wrapText="1"/>
    </xf>
    <xf numFmtId="0" fontId="44" fillId="0" borderId="0" xfId="12" applyFont="1" applyAlignment="1">
      <alignment horizontal="right" vertical="center" wrapText="1"/>
    </xf>
    <xf numFmtId="0" fontId="44" fillId="0" borderId="28" xfId="12" applyFont="1" applyBorder="1" applyAlignment="1">
      <alignment vertical="center" wrapText="1"/>
    </xf>
    <xf numFmtId="0" fontId="44" fillId="0" borderId="29" xfId="12" applyFont="1" applyBorder="1" applyAlignment="1">
      <alignment vertical="center" wrapText="1"/>
    </xf>
    <xf numFmtId="0" fontId="44" fillId="0" borderId="31" xfId="12" applyFont="1" applyBorder="1" applyAlignment="1">
      <alignment vertical="center" wrapText="1"/>
    </xf>
    <xf numFmtId="0" fontId="44" fillId="0" borderId="0" xfId="12" applyFont="1" applyBorder="1" applyAlignment="1">
      <alignment vertical="center" wrapText="1"/>
    </xf>
    <xf numFmtId="0" fontId="44" fillId="0" borderId="33" xfId="12" applyFont="1" applyBorder="1" applyAlignment="1">
      <alignment vertical="center" wrapText="1"/>
    </xf>
    <xf numFmtId="0" fontId="44" fillId="0" borderId="34" xfId="12" applyFont="1" applyBorder="1" applyAlignment="1">
      <alignment vertical="center" wrapText="1"/>
    </xf>
    <xf numFmtId="0" fontId="44" fillId="5" borderId="41" xfId="12" applyFont="1" applyFill="1" applyBorder="1" applyAlignment="1">
      <alignment horizontal="right" vertical="center" wrapText="1"/>
    </xf>
    <xf numFmtId="0" fontId="44" fillId="5" borderId="44" xfId="12" applyFont="1" applyFill="1" applyBorder="1" applyAlignment="1">
      <alignment horizontal="center" vertical="center" wrapText="1"/>
    </xf>
    <xf numFmtId="0" fontId="44" fillId="5" borderId="43" xfId="12" applyFont="1" applyFill="1" applyBorder="1" applyAlignment="1">
      <alignment horizontal="center" vertical="center" wrapText="1"/>
    </xf>
    <xf numFmtId="0" fontId="44" fillId="5" borderId="45" xfId="12" applyFont="1" applyFill="1" applyBorder="1" applyAlignment="1">
      <alignment horizontal="center" vertical="center" wrapText="1"/>
    </xf>
    <xf numFmtId="172" fontId="44" fillId="5" borderId="37" xfId="12" applyNumberFormat="1" applyFont="1" applyFill="1" applyBorder="1" applyAlignment="1">
      <alignment horizontal="center" vertical="center" wrapText="1"/>
    </xf>
    <xf numFmtId="0" fontId="44" fillId="5" borderId="25" xfId="12" applyFont="1" applyFill="1" applyBorder="1" applyAlignment="1">
      <alignment vertical="center" wrapText="1"/>
    </xf>
    <xf numFmtId="0" fontId="44" fillId="5" borderId="46" xfId="12" applyFont="1" applyFill="1" applyBorder="1" applyAlignment="1">
      <alignment vertical="center" wrapText="1"/>
    </xf>
    <xf numFmtId="172" fontId="42" fillId="0" borderId="36" xfId="12" applyNumberFormat="1" applyFont="1" applyFill="1" applyBorder="1" applyAlignment="1">
      <alignment horizontal="center" vertical="center" wrapText="1"/>
    </xf>
    <xf numFmtId="172" fontId="42" fillId="0" borderId="27" xfId="15" applyNumberFormat="1" applyFont="1" applyBorder="1" applyAlignment="1">
      <alignment horizontal="center" vertical="center" wrapText="1"/>
    </xf>
    <xf numFmtId="188" fontId="42" fillId="0" borderId="27" xfId="14" applyNumberFormat="1" applyFont="1" applyBorder="1" applyAlignment="1">
      <alignment vertical="center" wrapText="1"/>
    </xf>
    <xf numFmtId="2" fontId="42" fillId="0" borderId="27" xfId="12" applyNumberFormat="1" applyFont="1" applyBorder="1" applyAlignment="1">
      <alignment horizontal="center" vertical="center" wrapText="1"/>
    </xf>
    <xf numFmtId="188" fontId="42" fillId="0" borderId="47" xfId="14" applyNumberFormat="1" applyFont="1" applyBorder="1" applyAlignment="1">
      <alignment vertical="center" wrapText="1"/>
    </xf>
    <xf numFmtId="0" fontId="42" fillId="0" borderId="36" xfId="12" applyFont="1" applyBorder="1" applyAlignment="1">
      <alignment horizontal="right" vertical="center" wrapText="1"/>
    </xf>
    <xf numFmtId="188" fontId="44" fillId="0" borderId="47" xfId="12" applyNumberFormat="1" applyFont="1" applyBorder="1" applyAlignment="1">
      <alignment vertical="center" wrapText="1"/>
    </xf>
    <xf numFmtId="188" fontId="44" fillId="0" borderId="0" xfId="12" applyNumberFormat="1" applyFont="1" applyAlignment="1">
      <alignment vertical="center" wrapText="1"/>
    </xf>
    <xf numFmtId="0" fontId="44" fillId="5" borderId="36" xfId="12" applyFont="1" applyFill="1" applyBorder="1" applyAlignment="1">
      <alignment horizontal="center" vertical="center" wrapText="1"/>
    </xf>
    <xf numFmtId="177" fontId="44" fillId="5" borderId="23" xfId="14" applyNumberFormat="1" applyFont="1" applyFill="1" applyBorder="1" applyAlignment="1">
      <alignment horizontal="center" vertical="center" wrapText="1"/>
    </xf>
    <xf numFmtId="177" fontId="44" fillId="5" borderId="6" xfId="14" applyNumberFormat="1" applyFont="1" applyFill="1" applyBorder="1" applyAlignment="1">
      <alignment horizontal="center" vertical="center" wrapText="1"/>
    </xf>
    <xf numFmtId="177" fontId="44" fillId="5" borderId="46" xfId="14" applyNumberFormat="1" applyFont="1" applyFill="1" applyBorder="1" applyAlignment="1">
      <alignment horizontal="center" vertical="center" wrapText="1"/>
    </xf>
    <xf numFmtId="0" fontId="44" fillId="0" borderId="0" xfId="12" applyFont="1" applyAlignment="1">
      <alignment horizontal="center" vertical="center" wrapText="1"/>
    </xf>
    <xf numFmtId="0" fontId="44" fillId="5" borderId="24" xfId="12" applyFont="1" applyFill="1" applyBorder="1" applyAlignment="1">
      <alignment horizontal="center" vertical="center" wrapText="1"/>
    </xf>
    <xf numFmtId="0" fontId="44" fillId="5" borderId="27" xfId="12" applyFont="1" applyFill="1" applyBorder="1" applyAlignment="1">
      <alignment horizontal="center" vertical="center" wrapText="1"/>
    </xf>
    <xf numFmtId="188" fontId="42" fillId="0" borderId="27" xfId="14" applyNumberFormat="1" applyFont="1" applyFill="1" applyBorder="1" applyAlignment="1">
      <alignment horizontal="center" vertical="center" wrapText="1"/>
    </xf>
    <xf numFmtId="0" fontId="42" fillId="0" borderId="48" xfId="12" applyFont="1" applyBorder="1" applyAlignment="1">
      <alignment horizontal="right" vertical="center" wrapText="1"/>
    </xf>
    <xf numFmtId="188" fontId="44" fillId="5" borderId="49" xfId="12" applyNumberFormat="1" applyFont="1" applyFill="1" applyBorder="1" applyAlignment="1">
      <alignment vertical="center" wrapText="1"/>
    </xf>
    <xf numFmtId="188" fontId="44" fillId="5" borderId="27" xfId="12" applyNumberFormat="1" applyFont="1" applyFill="1" applyBorder="1" applyAlignment="1">
      <alignment vertical="center" wrapText="1"/>
    </xf>
    <xf numFmtId="0" fontId="44" fillId="0" borderId="0" xfId="12" applyFont="1" applyBorder="1" applyAlignment="1">
      <alignment horizontal="right" vertical="center" wrapText="1"/>
    </xf>
    <xf numFmtId="177" fontId="44" fillId="0" borderId="0" xfId="14" applyNumberFormat="1" applyFont="1" applyBorder="1" applyAlignment="1">
      <alignment horizontal="left" vertical="center" wrapText="1"/>
    </xf>
    <xf numFmtId="177" fontId="42" fillId="0" borderId="0" xfId="14" applyNumberFormat="1" applyFont="1" applyBorder="1" applyAlignment="1">
      <alignment horizontal="left" vertical="center" wrapText="1"/>
    </xf>
    <xf numFmtId="188" fontId="44" fillId="0" borderId="0" xfId="12" applyNumberFormat="1" applyFont="1" applyFill="1" applyBorder="1" applyAlignment="1">
      <alignment vertical="center" wrapText="1"/>
    </xf>
    <xf numFmtId="184" fontId="44" fillId="0" borderId="0" xfId="12" applyNumberFormat="1" applyFont="1" applyAlignment="1">
      <alignment vertical="center" wrapText="1"/>
    </xf>
    <xf numFmtId="0" fontId="42" fillId="0" borderId="0" xfId="12" applyFont="1" applyBorder="1" applyAlignment="1">
      <alignment vertical="center" wrapText="1"/>
    </xf>
    <xf numFmtId="189" fontId="42" fillId="0" borderId="0" xfId="12" applyNumberFormat="1" applyFont="1" applyBorder="1" applyAlignment="1">
      <alignment vertical="center" wrapText="1"/>
    </xf>
    <xf numFmtId="177" fontId="42" fillId="0" borderId="0" xfId="14" applyNumberFormat="1" applyFont="1" applyBorder="1" applyAlignment="1">
      <alignment vertical="center" wrapText="1"/>
    </xf>
    <xf numFmtId="0" fontId="42" fillId="0" borderId="0" xfId="12" applyFont="1" applyAlignment="1">
      <alignment vertical="center" wrapText="1"/>
    </xf>
    <xf numFmtId="188" fontId="44" fillId="0" borderId="0" xfId="12" applyNumberFormat="1" applyFont="1" applyBorder="1" applyAlignment="1">
      <alignment vertical="center" wrapText="1"/>
    </xf>
    <xf numFmtId="0" fontId="44" fillId="0" borderId="0" xfId="12" applyFont="1" applyFill="1" applyAlignment="1">
      <alignment horizontal="right" vertical="center" wrapText="1"/>
    </xf>
    <xf numFmtId="0" fontId="42" fillId="0" borderId="0" xfId="12" applyFont="1" applyFill="1" applyAlignment="1">
      <alignment vertical="center" wrapText="1"/>
    </xf>
    <xf numFmtId="0" fontId="44" fillId="0" borderId="0" xfId="12" applyFont="1" applyFill="1" applyAlignment="1">
      <alignment vertical="center" wrapText="1"/>
    </xf>
    <xf numFmtId="188" fontId="44" fillId="0" borderId="0" xfId="12" applyNumberFormat="1" applyFont="1" applyFill="1" applyAlignment="1">
      <alignment vertical="center" wrapText="1"/>
    </xf>
    <xf numFmtId="177" fontId="42" fillId="0" borderId="0" xfId="12" applyNumberFormat="1" applyFont="1" applyBorder="1" applyAlignment="1">
      <alignment vertical="center" wrapText="1"/>
    </xf>
    <xf numFmtId="177" fontId="42" fillId="0" borderId="0" xfId="12" applyNumberFormat="1" applyFont="1" applyAlignment="1">
      <alignment vertical="center" wrapText="1"/>
    </xf>
    <xf numFmtId="9" fontId="42" fillId="0" borderId="0" xfId="12" applyNumberFormat="1" applyFont="1" applyAlignment="1">
      <alignment vertical="center" wrapText="1"/>
    </xf>
    <xf numFmtId="16" fontId="42" fillId="0" borderId="0" xfId="12" applyNumberFormat="1" applyFont="1" applyAlignment="1">
      <alignment vertical="center" wrapText="1"/>
    </xf>
    <xf numFmtId="185" fontId="30" fillId="0" borderId="0" xfId="7" applyNumberFormat="1" applyFont="1" applyBorder="1" applyAlignment="1">
      <alignment horizontal="center" vertical="center"/>
    </xf>
    <xf numFmtId="0" fontId="30" fillId="0" borderId="0" xfId="12" applyFont="1" applyBorder="1" applyAlignment="1">
      <alignment horizontal="center" vertical="center"/>
    </xf>
    <xf numFmtId="2" fontId="33" fillId="0" borderId="7" xfId="7" applyNumberFormat="1" applyFont="1" applyBorder="1" applyAlignment="1">
      <alignment horizontal="right" vertical="center" wrapText="1"/>
    </xf>
    <xf numFmtId="2" fontId="27" fillId="0" borderId="7" xfId="7" applyNumberFormat="1" applyFont="1" applyFill="1" applyBorder="1" applyAlignment="1">
      <alignment horizontal="center"/>
    </xf>
    <xf numFmtId="0" fontId="30" fillId="0" borderId="0" xfId="12" applyFont="1" applyBorder="1" applyAlignment="1">
      <alignment horizontal="center" vertical="center"/>
    </xf>
    <xf numFmtId="0" fontId="47" fillId="0" borderId="0" xfId="16" applyFont="1" applyAlignment="1"/>
    <xf numFmtId="0" fontId="22" fillId="0" borderId="0" xfId="16"/>
    <xf numFmtId="2" fontId="22" fillId="0" borderId="7" xfId="16" applyNumberFormat="1" applyBorder="1"/>
    <xf numFmtId="0" fontId="46" fillId="0" borderId="7" xfId="16" applyFont="1" applyBorder="1"/>
    <xf numFmtId="0" fontId="46" fillId="0" borderId="7" xfId="16" applyFont="1" applyBorder="1" applyAlignment="1">
      <alignment horizontal="right"/>
    </xf>
    <xf numFmtId="2" fontId="46" fillId="0" borderId="7" xfId="16" applyNumberFormat="1" applyFont="1" applyBorder="1"/>
    <xf numFmtId="0" fontId="22" fillId="0" borderId="0" xfId="16" applyAlignment="1">
      <alignment horizontal="center"/>
    </xf>
    <xf numFmtId="0" fontId="46" fillId="3" borderId="7" xfId="16" applyFont="1" applyFill="1" applyBorder="1" applyAlignment="1">
      <alignment wrapText="1"/>
    </xf>
    <xf numFmtId="2" fontId="30" fillId="0" borderId="0" xfId="12" applyNumberFormat="1" applyFont="1" applyFill="1" applyBorder="1" applyAlignment="1" applyProtection="1">
      <alignment horizontal="center"/>
    </xf>
    <xf numFmtId="0" fontId="46" fillId="0" borderId="7" xfId="16" applyFont="1" applyBorder="1" applyAlignment="1">
      <alignment vertical="center"/>
    </xf>
    <xf numFmtId="0" fontId="46" fillId="0" borderId="7" xfId="16" applyFont="1" applyBorder="1" applyAlignment="1">
      <alignment horizontal="right" vertical="center"/>
    </xf>
    <xf numFmtId="170" fontId="28" fillId="0" borderId="0" xfId="7" applyNumberFormat="1" applyFont="1"/>
    <xf numFmtId="0" fontId="30" fillId="0" borderId="0" xfId="12" applyFont="1" applyBorder="1" applyAlignment="1">
      <alignment horizontal="center" vertical="center"/>
    </xf>
    <xf numFmtId="192" fontId="42" fillId="0" borderId="26" xfId="14" applyNumberFormat="1" applyFont="1" applyBorder="1" applyAlignment="1">
      <alignment horizontal="center" vertical="center" wrapText="1"/>
    </xf>
    <xf numFmtId="0" fontId="51" fillId="0" borderId="0" xfId="7" applyFont="1" applyBorder="1"/>
    <xf numFmtId="185" fontId="52" fillId="0" borderId="7" xfId="7" applyNumberFormat="1" applyFont="1" applyBorder="1" applyAlignment="1">
      <alignment horizontal="left" vertical="center"/>
    </xf>
    <xf numFmtId="185" fontId="51" fillId="0" borderId="7" xfId="7" applyNumberFormat="1" applyFont="1" applyBorder="1" applyAlignment="1">
      <alignment horizontal="center" vertical="center"/>
    </xf>
    <xf numFmtId="0" fontId="51" fillId="0" borderId="0" xfId="12" applyFont="1" applyFill="1" applyBorder="1" applyAlignment="1">
      <alignment horizontal="left" vertical="center"/>
    </xf>
    <xf numFmtId="0" fontId="51" fillId="0" borderId="0" xfId="12" applyFont="1" applyFill="1" applyBorder="1" applyAlignment="1">
      <alignment vertical="center"/>
    </xf>
    <xf numFmtId="170" fontId="51" fillId="0" borderId="0" xfId="7" applyNumberFormat="1" applyFont="1" applyBorder="1" applyAlignment="1">
      <alignment vertical="center"/>
    </xf>
    <xf numFmtId="0" fontId="56" fillId="0" borderId="0" xfId="8" applyFont="1" applyBorder="1" applyAlignment="1">
      <alignment vertical="justify"/>
    </xf>
    <xf numFmtId="0" fontId="57" fillId="0" borderId="0" xfId="7" applyFont="1" applyBorder="1" applyAlignment="1"/>
    <xf numFmtId="0" fontId="56" fillId="0" borderId="0" xfId="8" applyFont="1" applyBorder="1" applyAlignment="1">
      <alignment vertical="center"/>
    </xf>
    <xf numFmtId="0" fontId="51" fillId="0" borderId="0" xfId="12" applyFont="1"/>
    <xf numFmtId="177" fontId="51" fillId="0" borderId="0" xfId="12" applyNumberFormat="1" applyFont="1"/>
    <xf numFmtId="0" fontId="27" fillId="0" borderId="7" xfId="7" applyFont="1" applyBorder="1" applyAlignment="1">
      <alignment horizontal="center"/>
    </xf>
    <xf numFmtId="165" fontId="51" fillId="0" borderId="0" xfId="5" applyFont="1"/>
    <xf numFmtId="0" fontId="28" fillId="0" borderId="31" xfId="7" applyFont="1" applyBorder="1" applyAlignment="1">
      <alignment horizontal="center"/>
    </xf>
    <xf numFmtId="0" fontId="28" fillId="0" borderId="32" xfId="7" applyFont="1" applyBorder="1" applyAlignment="1"/>
    <xf numFmtId="0" fontId="33" fillId="0" borderId="50" xfId="7" applyFont="1" applyBorder="1"/>
    <xf numFmtId="169" fontId="33" fillId="0" borderId="51" xfId="3" applyNumberFormat="1" applyFont="1" applyBorder="1"/>
    <xf numFmtId="0" fontId="28" fillId="0" borderId="31" xfId="7" applyFont="1" applyBorder="1"/>
    <xf numFmtId="0" fontId="28" fillId="0" borderId="32" xfId="7" applyFont="1" applyBorder="1"/>
    <xf numFmtId="0" fontId="27" fillId="0" borderId="51" xfId="7" applyFont="1" applyBorder="1" applyAlignment="1">
      <alignment horizontal="center"/>
    </xf>
    <xf numFmtId="170" fontId="27" fillId="0" borderId="51" xfId="7" applyNumberFormat="1" applyFont="1" applyBorder="1" applyAlignment="1"/>
    <xf numFmtId="170" fontId="29" fillId="0" borderId="51" xfId="7" applyNumberFormat="1" applyFont="1" applyBorder="1" applyAlignment="1">
      <alignment horizontal="center"/>
    </xf>
    <xf numFmtId="170" fontId="27" fillId="0" borderId="51" xfId="7" applyNumberFormat="1" applyFont="1" applyBorder="1" applyAlignment="1">
      <alignment horizontal="right" vertical="center"/>
    </xf>
    <xf numFmtId="0" fontId="27" fillId="0" borderId="50" xfId="7" applyFont="1" applyBorder="1" applyAlignment="1">
      <alignment horizontal="center" vertical="center"/>
    </xf>
    <xf numFmtId="0" fontId="27" fillId="0" borderId="50" xfId="7" applyFont="1" applyBorder="1" applyAlignment="1">
      <alignment vertical="center"/>
    </xf>
    <xf numFmtId="0" fontId="27" fillId="0" borderId="50" xfId="7" applyFont="1" applyBorder="1"/>
    <xf numFmtId="0" fontId="27" fillId="0" borderId="51" xfId="7" applyFont="1" applyBorder="1"/>
    <xf numFmtId="4" fontId="27" fillId="0" borderId="51" xfId="7" applyNumberFormat="1" applyFont="1" applyBorder="1" applyAlignment="1">
      <alignment horizontal="right" vertical="center"/>
    </xf>
    <xf numFmtId="4" fontId="27" fillId="0" borderId="31" xfId="7" applyNumberFormat="1" applyFont="1" applyBorder="1" applyAlignment="1">
      <alignment horizontal="left"/>
    </xf>
    <xf numFmtId="170" fontId="29" fillId="0" borderId="32" xfId="7" applyNumberFormat="1" applyFont="1" applyBorder="1" applyAlignment="1">
      <alignment horizontal="center"/>
    </xf>
    <xf numFmtId="170" fontId="36" fillId="0" borderId="51" xfId="4" applyNumberFormat="1" applyFont="1" applyBorder="1" applyAlignment="1">
      <alignment horizontal="center"/>
    </xf>
    <xf numFmtId="0" fontId="28" fillId="0" borderId="54" xfId="7" applyFont="1" applyBorder="1"/>
    <xf numFmtId="0" fontId="27" fillId="0" borderId="32" xfId="7" applyFont="1" applyBorder="1"/>
    <xf numFmtId="0" fontId="28" fillId="0" borderId="33" xfId="7" applyFont="1" applyBorder="1"/>
    <xf numFmtId="0" fontId="28" fillId="0" borderId="34" xfId="7" applyFont="1" applyBorder="1"/>
    <xf numFmtId="0" fontId="28" fillId="0" borderId="34" xfId="7" applyFont="1" applyBorder="1" applyAlignment="1">
      <alignment horizontal="center"/>
    </xf>
    <xf numFmtId="0" fontId="37" fillId="0" borderId="34" xfId="7" applyFont="1" applyBorder="1"/>
    <xf numFmtId="0" fontId="40" fillId="0" borderId="34" xfId="7" applyFont="1" applyBorder="1"/>
    <xf numFmtId="170" fontId="36" fillId="0" borderId="35" xfId="4" applyNumberFormat="1" applyFont="1" applyBorder="1" applyAlignment="1">
      <alignment horizontal="center"/>
    </xf>
    <xf numFmtId="169" fontId="33" fillId="0" borderId="51" xfId="3" applyNumberFormat="1" applyFont="1" applyBorder="1" applyAlignment="1">
      <alignment vertical="center" wrapText="1"/>
    </xf>
    <xf numFmtId="0" fontId="29" fillId="0" borderId="50" xfId="7" applyFont="1" applyBorder="1" applyAlignment="1">
      <alignment vertical="center"/>
    </xf>
    <xf numFmtId="170" fontId="29" fillId="0" borderId="51" xfId="7" applyNumberFormat="1" applyFont="1" applyBorder="1" applyAlignment="1">
      <alignment horizontal="center" vertical="center"/>
    </xf>
    <xf numFmtId="170" fontId="36" fillId="0" borderId="32" xfId="4" applyNumberFormat="1" applyFont="1" applyBorder="1" applyAlignment="1">
      <alignment horizontal="center"/>
    </xf>
    <xf numFmtId="0" fontId="27" fillId="0" borderId="51" xfId="7" applyFont="1" applyBorder="1" applyAlignment="1">
      <alignment horizontal="center" vertical="center"/>
    </xf>
    <xf numFmtId="0" fontId="27" fillId="0" borderId="31" xfId="7" applyFont="1" applyBorder="1" applyAlignment="1">
      <alignment vertical="center"/>
    </xf>
    <xf numFmtId="170" fontId="27" fillId="0" borderId="32" xfId="7" applyNumberFormat="1" applyFont="1" applyBorder="1" applyAlignment="1">
      <alignment horizontal="right" vertical="center"/>
    </xf>
    <xf numFmtId="180" fontId="52" fillId="0" borderId="0" xfId="12" applyNumberFormat="1" applyFont="1" applyFill="1" applyBorder="1" applyAlignment="1">
      <alignment vertical="center" wrapText="1"/>
    </xf>
    <xf numFmtId="177" fontId="50" fillId="0" borderId="27" xfId="5" applyNumberFormat="1" applyFont="1" applyFill="1" applyBorder="1" applyAlignment="1">
      <alignment horizontal="center" vertical="center" wrapText="1"/>
    </xf>
    <xf numFmtId="177" fontId="50" fillId="0" borderId="57" xfId="5" applyNumberFormat="1" applyFont="1" applyFill="1" applyBorder="1" applyAlignment="1">
      <alignment horizontal="center" vertical="center" wrapText="1"/>
    </xf>
    <xf numFmtId="2" fontId="50" fillId="3" borderId="27" xfId="12" applyNumberFormat="1" applyFont="1" applyFill="1" applyBorder="1" applyAlignment="1">
      <alignment horizontal="center" vertical="center"/>
    </xf>
    <xf numFmtId="0" fontId="50" fillId="3" borderId="27" xfId="12" applyFont="1" applyFill="1" applyBorder="1" applyAlignment="1">
      <alignment horizontal="center" vertical="center" wrapText="1"/>
    </xf>
    <xf numFmtId="0" fontId="50" fillId="3" borderId="27" xfId="12" applyFont="1" applyFill="1" applyBorder="1" applyAlignment="1">
      <alignment horizontal="center" vertical="center"/>
    </xf>
    <xf numFmtId="168" fontId="50" fillId="3" borderId="27" xfId="5" applyNumberFormat="1" applyFont="1" applyFill="1" applyBorder="1" applyAlignment="1">
      <alignment horizontal="center" vertical="center" wrapText="1"/>
    </xf>
    <xf numFmtId="172" fontId="52" fillId="0" borderId="27" xfId="12" applyNumberFormat="1" applyFont="1" applyFill="1" applyBorder="1" applyAlignment="1" applyProtection="1">
      <alignment horizontal="center" vertical="center"/>
    </xf>
    <xf numFmtId="0" fontId="51" fillId="0" borderId="27" xfId="12" applyFont="1" applyFill="1" applyBorder="1" applyAlignment="1" applyProtection="1">
      <alignment horizontal="left" vertical="center" wrapText="1"/>
    </xf>
    <xf numFmtId="0" fontId="52" fillId="3" borderId="27" xfId="12" applyFont="1" applyFill="1" applyBorder="1" applyAlignment="1" applyProtection="1">
      <alignment horizontal="center" vertical="center"/>
    </xf>
    <xf numFmtId="0" fontId="52" fillId="3" borderId="27" xfId="12" applyFont="1" applyFill="1" applyBorder="1" applyAlignment="1" applyProtection="1">
      <alignment horizontal="right" vertical="center" wrapText="1"/>
    </xf>
    <xf numFmtId="0" fontId="51" fillId="3" borderId="27" xfId="12" applyFont="1" applyFill="1" applyBorder="1" applyAlignment="1">
      <alignment horizontal="center" wrapText="1"/>
    </xf>
    <xf numFmtId="2" fontId="51" fillId="3" borderId="27" xfId="12" applyNumberFormat="1" applyFont="1" applyFill="1" applyBorder="1" applyAlignment="1" applyProtection="1">
      <alignment horizontal="center" wrapText="1"/>
    </xf>
    <xf numFmtId="173" fontId="51" fillId="3" borderId="27" xfId="12" applyNumberFormat="1" applyFont="1" applyFill="1" applyBorder="1" applyAlignment="1">
      <alignment wrapText="1"/>
    </xf>
    <xf numFmtId="173" fontId="52" fillId="3" borderId="27" xfId="12" applyNumberFormat="1" applyFont="1" applyFill="1" applyBorder="1" applyAlignment="1">
      <alignment wrapText="1"/>
    </xf>
    <xf numFmtId="0" fontId="54" fillId="0" borderId="27" xfId="12" applyFont="1" applyFill="1" applyBorder="1" applyAlignment="1">
      <alignment horizontal="justify" vertical="center" wrapText="1"/>
    </xf>
    <xf numFmtId="0" fontId="51" fillId="0" borderId="27" xfId="12" applyFont="1" applyFill="1" applyBorder="1" applyAlignment="1">
      <alignment horizontal="center" vertical="center" wrapText="1"/>
    </xf>
    <xf numFmtId="173" fontId="51" fillId="0" borderId="27" xfId="12" applyNumberFormat="1" applyFont="1" applyFill="1" applyBorder="1" applyAlignment="1">
      <alignment vertical="center" wrapText="1"/>
    </xf>
    <xf numFmtId="173" fontId="55" fillId="0" borderId="27" xfId="6" applyNumberFormat="1" applyFont="1" applyFill="1" applyBorder="1" applyAlignment="1">
      <alignment vertical="center" wrapText="1"/>
    </xf>
    <xf numFmtId="0" fontId="51" fillId="0" borderId="27" xfId="12" applyFont="1" applyFill="1" applyBorder="1" applyAlignment="1" applyProtection="1">
      <alignment horizontal="justify" vertical="center" wrapText="1"/>
    </xf>
    <xf numFmtId="0" fontId="51" fillId="0" borderId="27" xfId="12" applyFont="1" applyFill="1" applyBorder="1" applyAlignment="1" applyProtection="1">
      <alignment horizontal="center" vertical="center" wrapText="1"/>
    </xf>
    <xf numFmtId="0" fontId="51" fillId="0" borderId="27" xfId="12" applyFont="1" applyFill="1" applyBorder="1" applyAlignment="1" applyProtection="1">
      <alignment vertical="center" wrapText="1"/>
    </xf>
    <xf numFmtId="172" fontId="31" fillId="0" borderId="27" xfId="12" applyNumberFormat="1" applyFont="1" applyFill="1" applyBorder="1" applyAlignment="1" applyProtection="1">
      <alignment horizontal="center" vertical="center"/>
    </xf>
    <xf numFmtId="0" fontId="31" fillId="3" borderId="27" xfId="12" applyFont="1" applyFill="1" applyBorder="1" applyAlignment="1" applyProtection="1">
      <alignment horizontal="center" vertical="center"/>
    </xf>
    <xf numFmtId="172" fontId="31" fillId="0" borderId="27" xfId="12" applyNumberFormat="1" applyFont="1" applyFill="1" applyBorder="1" applyAlignment="1" applyProtection="1">
      <alignment horizontal="center" vertical="center" wrapText="1"/>
    </xf>
    <xf numFmtId="194" fontId="30" fillId="0" borderId="0" xfId="12" applyNumberFormat="1" applyFont="1" applyAlignment="1">
      <alignment horizontal="center" vertical="center"/>
    </xf>
    <xf numFmtId="172" fontId="35" fillId="0" borderId="27" xfId="12" applyNumberFormat="1" applyFont="1" applyFill="1" applyBorder="1" applyAlignment="1" applyProtection="1">
      <alignment horizontal="center" vertical="center" wrapText="1"/>
    </xf>
    <xf numFmtId="172" fontId="35" fillId="0" borderId="27" xfId="12" applyNumberFormat="1" applyFont="1" applyFill="1" applyBorder="1" applyAlignment="1" applyProtection="1">
      <alignment horizontal="justify" vertical="center" wrapText="1"/>
    </xf>
    <xf numFmtId="0" fontId="35" fillId="3" borderId="27" xfId="12" applyFont="1" applyFill="1" applyBorder="1" applyAlignment="1" applyProtection="1">
      <alignment horizontal="justify" vertical="center" wrapText="1"/>
    </xf>
    <xf numFmtId="177" fontId="58" fillId="0" borderId="0" xfId="14" applyNumberFormat="1" applyFont="1" applyBorder="1" applyAlignment="1">
      <alignment horizontal="left" vertical="center"/>
    </xf>
    <xf numFmtId="0" fontId="59" fillId="0" borderId="0" xfId="12" applyFont="1"/>
    <xf numFmtId="173" fontId="51" fillId="0" borderId="27" xfId="12" applyNumberFormat="1" applyFont="1" applyFill="1" applyBorder="1" applyAlignment="1">
      <alignment horizontal="center" vertical="center" wrapText="1"/>
    </xf>
    <xf numFmtId="173" fontId="55" fillId="0" borderId="27" xfId="6" applyNumberFormat="1" applyFont="1" applyFill="1" applyBorder="1" applyAlignment="1">
      <alignment horizontal="center" vertical="center" wrapText="1"/>
    </xf>
    <xf numFmtId="173" fontId="52" fillId="3" borderId="27" xfId="12" applyNumberFormat="1" applyFont="1" applyFill="1" applyBorder="1" applyAlignment="1">
      <alignment vertical="center" wrapText="1"/>
    </xf>
    <xf numFmtId="0" fontId="42" fillId="0" borderId="0" xfId="12" applyFont="1" applyAlignment="1">
      <alignment vertical="center" wrapText="1"/>
    </xf>
    <xf numFmtId="188" fontId="45" fillId="0" borderId="0" xfId="12" applyNumberFormat="1" applyFont="1" applyAlignment="1">
      <alignment vertical="center" wrapText="1"/>
    </xf>
    <xf numFmtId="188" fontId="42" fillId="0" borderId="0" xfId="12" applyNumberFormat="1" applyFont="1" applyAlignment="1">
      <alignment vertical="center" wrapText="1"/>
    </xf>
    <xf numFmtId="195" fontId="44" fillId="0" borderId="0" xfId="12" applyNumberFormat="1" applyFont="1" applyAlignment="1">
      <alignment vertical="center" wrapText="1"/>
    </xf>
    <xf numFmtId="194" fontId="31" fillId="0" borderId="0" xfId="7" applyNumberFormat="1" applyFont="1"/>
    <xf numFmtId="196" fontId="28" fillId="0" borderId="0" xfId="7" applyNumberFormat="1" applyFont="1"/>
    <xf numFmtId="2" fontId="27" fillId="0" borderId="7" xfId="7" applyNumberFormat="1" applyFont="1" applyFill="1" applyBorder="1" applyAlignment="1">
      <alignment horizontal="center" vertical="center"/>
    </xf>
    <xf numFmtId="2" fontId="28" fillId="0" borderId="0" xfId="7" applyNumberFormat="1" applyFont="1"/>
    <xf numFmtId="0" fontId="27" fillId="0" borderId="7" xfId="7" applyFont="1" applyBorder="1" applyAlignment="1">
      <alignment horizontal="center"/>
    </xf>
    <xf numFmtId="0" fontId="21" fillId="0" borderId="7" xfId="16" applyFont="1" applyBorder="1" applyAlignment="1">
      <alignment horizontal="right"/>
    </xf>
    <xf numFmtId="0" fontId="46" fillId="0" borderId="15" xfId="16" applyFont="1" applyBorder="1" applyAlignment="1"/>
    <xf numFmtId="0" fontId="46" fillId="0" borderId="1" xfId="16" applyFont="1" applyBorder="1" applyAlignment="1"/>
    <xf numFmtId="0" fontId="46" fillId="0" borderId="16" xfId="16" applyFont="1" applyBorder="1" applyAlignment="1"/>
    <xf numFmtId="0" fontId="21" fillId="0" borderId="7" xfId="16" applyFont="1" applyBorder="1"/>
    <xf numFmtId="0" fontId="21" fillId="0" borderId="7" xfId="16" applyFont="1" applyBorder="1" applyAlignment="1">
      <alignment horizontal="right" wrapText="1"/>
    </xf>
    <xf numFmtId="4" fontId="22" fillId="0" borderId="7" xfId="16" applyNumberFormat="1" applyFont="1" applyBorder="1" applyAlignment="1">
      <alignment vertical="center"/>
    </xf>
    <xf numFmtId="0" fontId="21" fillId="0" borderId="7" xfId="16" applyFont="1" applyBorder="1" applyAlignment="1">
      <alignment vertical="center"/>
    </xf>
    <xf numFmtId="4" fontId="48" fillId="0" borderId="7" xfId="16" applyNumberFormat="1" applyFont="1" applyBorder="1" applyAlignment="1">
      <alignment vertical="center"/>
    </xf>
    <xf numFmtId="0" fontId="21" fillId="0" borderId="7" xfId="16" applyFont="1" applyBorder="1" applyAlignment="1">
      <alignment horizontal="right" vertical="center" wrapText="1"/>
    </xf>
    <xf numFmtId="4" fontId="48" fillId="0" borderId="1" xfId="16" applyNumberFormat="1" applyFont="1" applyBorder="1" applyAlignment="1">
      <alignment vertical="center"/>
    </xf>
    <xf numFmtId="0" fontId="46" fillId="0" borderId="16" xfId="16" applyFont="1" applyBorder="1" applyAlignment="1">
      <alignment vertical="center"/>
    </xf>
    <xf numFmtId="4" fontId="48" fillId="3" borderId="7" xfId="16" applyNumberFormat="1" applyFont="1" applyFill="1" applyBorder="1" applyAlignment="1">
      <alignment vertical="center"/>
    </xf>
    <xf numFmtId="0" fontId="22" fillId="0" borderId="0" xfId="16" applyAlignment="1">
      <alignment vertical="center"/>
    </xf>
    <xf numFmtId="0" fontId="22" fillId="0" borderId="7" xfId="16" applyBorder="1" applyAlignment="1">
      <alignment horizontal="right" vertical="center" wrapText="1"/>
    </xf>
    <xf numFmtId="0" fontId="46" fillId="0" borderId="7" xfId="16" applyFont="1" applyBorder="1" applyAlignment="1">
      <alignment horizontal="right" vertical="center" wrapText="1"/>
    </xf>
    <xf numFmtId="0" fontId="21" fillId="0" borderId="7" xfId="16" applyFont="1" applyBorder="1" applyAlignment="1">
      <alignment horizontal="right" vertical="center"/>
    </xf>
    <xf numFmtId="0" fontId="46" fillId="6" borderId="7" xfId="16" applyFont="1" applyFill="1" applyBorder="1"/>
    <xf numFmtId="4" fontId="48" fillId="6" borderId="7" xfId="16" applyNumberFormat="1" applyFont="1" applyFill="1" applyBorder="1" applyAlignment="1">
      <alignment vertical="center"/>
    </xf>
    <xf numFmtId="0" fontId="48" fillId="6" borderId="7" xfId="16" applyFont="1" applyFill="1" applyBorder="1"/>
    <xf numFmtId="0" fontId="46" fillId="0" borderId="15" xfId="16" applyFont="1" applyBorder="1" applyAlignment="1">
      <alignment horizontal="right" vertical="center" wrapText="1"/>
    </xf>
    <xf numFmtId="2" fontId="22" fillId="0" borderId="7" xfId="16" applyNumberFormat="1" applyBorder="1" applyAlignment="1">
      <alignment horizontal="center" vertical="center"/>
    </xf>
    <xf numFmtId="0" fontId="46" fillId="0" borderId="7" xfId="16" applyFont="1" applyBorder="1" applyAlignment="1">
      <alignment horizontal="center" vertical="center"/>
    </xf>
    <xf numFmtId="4" fontId="48" fillId="8" borderId="7" xfId="16" applyNumberFormat="1" applyFont="1" applyFill="1" applyBorder="1" applyAlignment="1">
      <alignment vertical="center"/>
    </xf>
    <xf numFmtId="4" fontId="22" fillId="0" borderId="7" xfId="16" applyNumberFormat="1" applyFont="1" applyBorder="1" applyAlignment="1">
      <alignment horizontal="center" vertical="center"/>
    </xf>
    <xf numFmtId="0" fontId="46" fillId="6" borderId="15" xfId="16" applyFont="1" applyFill="1" applyBorder="1" applyAlignment="1">
      <alignment horizontal="right" vertical="center" wrapText="1"/>
    </xf>
    <xf numFmtId="4" fontId="48" fillId="6" borderId="1" xfId="16" applyNumberFormat="1" applyFont="1" applyFill="1" applyBorder="1" applyAlignment="1">
      <alignment vertical="center"/>
    </xf>
    <xf numFmtId="0" fontId="46" fillId="6" borderId="16" xfId="16" applyFont="1" applyFill="1" applyBorder="1" applyAlignment="1">
      <alignment vertical="center"/>
    </xf>
    <xf numFmtId="2" fontId="22" fillId="0" borderId="7" xfId="16" applyNumberFormat="1" applyBorder="1" applyAlignment="1">
      <alignment horizontal="right" vertical="center"/>
    </xf>
    <xf numFmtId="0" fontId="21" fillId="0" borderId="7" xfId="16" applyFont="1" applyBorder="1" applyAlignment="1">
      <alignment horizontal="center" vertical="center"/>
    </xf>
    <xf numFmtId="2" fontId="48" fillId="3" borderId="7" xfId="16" applyNumberFormat="1" applyFont="1" applyFill="1" applyBorder="1" applyAlignment="1">
      <alignment horizontal="center" vertical="center"/>
    </xf>
    <xf numFmtId="0" fontId="48" fillId="3" borderId="7" xfId="16" applyFont="1" applyFill="1" applyBorder="1" applyAlignment="1">
      <alignment horizontal="center" vertical="center"/>
    </xf>
    <xf numFmtId="0" fontId="48" fillId="6" borderId="7" xfId="16" applyFont="1" applyFill="1" applyBorder="1" applyAlignment="1">
      <alignment horizontal="right" vertical="center"/>
    </xf>
    <xf numFmtId="0" fontId="48" fillId="6" borderId="7" xfId="16" applyFont="1" applyFill="1" applyBorder="1" applyAlignment="1">
      <alignment vertical="center" wrapText="1"/>
    </xf>
    <xf numFmtId="0" fontId="48" fillId="6" borderId="16" xfId="16" applyFont="1" applyFill="1" applyBorder="1" applyAlignment="1">
      <alignment vertical="center"/>
    </xf>
    <xf numFmtId="0" fontId="46" fillId="3" borderId="7" xfId="16" applyFont="1" applyFill="1" applyBorder="1" applyAlignment="1">
      <alignment horizontal="left" vertical="center" wrapText="1"/>
    </xf>
    <xf numFmtId="4" fontId="64" fillId="8" borderId="7" xfId="16" applyNumberFormat="1" applyFont="1" applyFill="1" applyBorder="1" applyAlignment="1">
      <alignment vertical="center"/>
    </xf>
    <xf numFmtId="4" fontId="66" fillId="8" borderId="7" xfId="16" applyNumberFormat="1" applyFont="1" applyFill="1" applyBorder="1" applyAlignment="1">
      <alignment vertical="center"/>
    </xf>
    <xf numFmtId="0" fontId="66" fillId="0" borderId="7" xfId="16" applyFont="1" applyBorder="1" applyAlignment="1">
      <alignment horizontal="right" vertical="center"/>
    </xf>
    <xf numFmtId="0" fontId="66" fillId="0" borderId="7" xfId="16" applyFont="1" applyBorder="1" applyAlignment="1">
      <alignment vertical="center"/>
    </xf>
    <xf numFmtId="4" fontId="48" fillId="8" borderId="7" xfId="16" applyNumberFormat="1" applyFont="1" applyFill="1" applyBorder="1" applyAlignment="1">
      <alignment horizontal="center" vertical="center"/>
    </xf>
    <xf numFmtId="4" fontId="64" fillId="8" borderId="7" xfId="16" applyNumberFormat="1" applyFont="1" applyFill="1" applyBorder="1" applyAlignment="1">
      <alignment horizontal="center" vertical="center"/>
    </xf>
    <xf numFmtId="4" fontId="64" fillId="8" borderId="7" xfId="16" applyNumberFormat="1" applyFont="1" applyFill="1" applyBorder="1" applyAlignment="1">
      <alignment horizontal="right" vertical="center"/>
    </xf>
    <xf numFmtId="4" fontId="51" fillId="0" borderId="27" xfId="12" applyNumberFormat="1" applyFont="1" applyFill="1" applyBorder="1" applyAlignment="1" applyProtection="1">
      <alignment horizontal="center" vertical="center" wrapText="1"/>
    </xf>
    <xf numFmtId="0" fontId="48" fillId="6" borderId="15" xfId="16" applyFont="1" applyFill="1" applyBorder="1" applyAlignment="1">
      <alignment horizontal="center" vertical="center"/>
    </xf>
    <xf numFmtId="0" fontId="48" fillId="6" borderId="1" xfId="16" applyFont="1" applyFill="1" applyBorder="1" applyAlignment="1">
      <alignment horizontal="center" vertical="center"/>
    </xf>
    <xf numFmtId="0" fontId="48" fillId="6" borderId="16" xfId="16" applyFont="1" applyFill="1" applyBorder="1" applyAlignment="1">
      <alignment horizontal="center" vertical="center"/>
    </xf>
    <xf numFmtId="0" fontId="30" fillId="0" borderId="0" xfId="12" applyFont="1" applyBorder="1" applyAlignment="1">
      <alignment horizontal="center" vertical="center"/>
    </xf>
    <xf numFmtId="0" fontId="27" fillId="0" borderId="7" xfId="7" applyFont="1" applyBorder="1" applyAlignment="1">
      <alignment horizontal="center"/>
    </xf>
    <xf numFmtId="0" fontId="20" fillId="0" borderId="7" xfId="16" applyFont="1" applyBorder="1" applyAlignment="1">
      <alignment horizontal="right" wrapText="1"/>
    </xf>
    <xf numFmtId="4" fontId="48" fillId="3" borderId="7" xfId="16" applyNumberFormat="1" applyFont="1" applyFill="1" applyBorder="1" applyAlignment="1">
      <alignment horizontal="center" vertical="center"/>
    </xf>
    <xf numFmtId="0" fontId="46" fillId="9" borderId="15" xfId="16" applyFont="1" applyFill="1" applyBorder="1" applyAlignment="1">
      <alignment horizontal="right" vertical="center" wrapText="1"/>
    </xf>
    <xf numFmtId="4" fontId="48" fillId="9" borderId="1" xfId="16" applyNumberFormat="1" applyFont="1" applyFill="1" applyBorder="1" applyAlignment="1">
      <alignment vertical="center"/>
    </xf>
    <xf numFmtId="0" fontId="46" fillId="9" borderId="16" xfId="16" applyFont="1" applyFill="1" applyBorder="1" applyAlignment="1">
      <alignment vertical="center"/>
    </xf>
    <xf numFmtId="0" fontId="30" fillId="0" borderId="0" xfId="12" applyFont="1" applyBorder="1" applyAlignment="1">
      <alignment horizontal="center" vertical="center"/>
    </xf>
    <xf numFmtId="0" fontId="27" fillId="0" borderId="7" xfId="7" applyFont="1" applyBorder="1" applyAlignment="1">
      <alignment horizontal="center"/>
    </xf>
    <xf numFmtId="0" fontId="46" fillId="0" borderId="7" xfId="16" applyFont="1" applyBorder="1" applyAlignment="1">
      <alignment horizontal="center"/>
    </xf>
    <xf numFmtId="0" fontId="19" fillId="0" borderId="7" xfId="16" applyFont="1" applyBorder="1" applyAlignment="1">
      <alignment horizontal="right" wrapText="1"/>
    </xf>
    <xf numFmtId="4" fontId="19" fillId="0" borderId="7" xfId="16" applyNumberFormat="1" applyFont="1" applyBorder="1" applyAlignment="1">
      <alignment horizontal="center" vertical="center"/>
    </xf>
    <xf numFmtId="0" fontId="19" fillId="0" borderId="7" xfId="16" applyFont="1" applyBorder="1" applyAlignment="1">
      <alignment horizontal="right"/>
    </xf>
    <xf numFmtId="0" fontId="19" fillId="0" borderId="7" xfId="16" applyFont="1" applyBorder="1" applyAlignment="1">
      <alignment horizontal="center" vertical="center"/>
    </xf>
    <xf numFmtId="0" fontId="19" fillId="0" borderId="7" xfId="16" applyFont="1" applyBorder="1" applyAlignment="1">
      <alignment horizontal="right" vertical="center" wrapText="1"/>
    </xf>
    <xf numFmtId="0" fontId="19" fillId="0" borderId="7" xfId="16" applyFont="1" applyBorder="1" applyAlignment="1">
      <alignment vertical="center"/>
    </xf>
    <xf numFmtId="4" fontId="46" fillId="0" borderId="7" xfId="16" applyNumberFormat="1" applyFont="1" applyBorder="1" applyAlignment="1">
      <alignment vertical="center"/>
    </xf>
    <xf numFmtId="4" fontId="46" fillId="0" borderId="7" xfId="16" applyNumberFormat="1" applyFont="1" applyBorder="1" applyAlignment="1">
      <alignment horizontal="center" vertical="center"/>
    </xf>
    <xf numFmtId="0" fontId="19" fillId="0" borderId="7" xfId="16" applyFont="1" applyBorder="1" applyAlignment="1">
      <alignment horizontal="center"/>
    </xf>
    <xf numFmtId="4" fontId="19" fillId="0" borderId="7" xfId="16" applyNumberFormat="1" applyFont="1" applyBorder="1" applyAlignment="1">
      <alignment vertical="center"/>
    </xf>
    <xf numFmtId="172" fontId="35" fillId="0" borderId="27" xfId="12" applyNumberFormat="1" applyFont="1" applyFill="1" applyBorder="1" applyAlignment="1" applyProtection="1">
      <alignment horizontal="justify" vertical="center"/>
    </xf>
    <xf numFmtId="0" fontId="46" fillId="0" borderId="7" xfId="16" applyFont="1" applyBorder="1" applyAlignment="1">
      <alignment horizontal="center" vertical="center" wrapText="1"/>
    </xf>
    <xf numFmtId="4" fontId="48" fillId="0" borderId="7" xfId="16" applyNumberFormat="1" applyFont="1" applyBorder="1" applyAlignment="1">
      <alignment horizontal="center" vertical="center"/>
    </xf>
    <xf numFmtId="197" fontId="33" fillId="0" borderId="50" xfId="7" applyNumberFormat="1" applyFont="1" applyBorder="1" applyAlignment="1">
      <alignment horizontal="center" vertical="center"/>
    </xf>
    <xf numFmtId="2" fontId="52" fillId="0" borderId="27" xfId="12" applyNumberFormat="1" applyFont="1" applyFill="1" applyBorder="1" applyAlignment="1" applyProtection="1">
      <alignment horizontal="center" vertical="center"/>
    </xf>
    <xf numFmtId="49" fontId="52" fillId="0" borderId="27" xfId="12" applyNumberFormat="1" applyFont="1" applyFill="1" applyBorder="1" applyAlignment="1" applyProtection="1">
      <alignment horizontal="center" vertical="center"/>
    </xf>
    <xf numFmtId="49" fontId="33" fillId="0" borderId="50" xfId="7" applyNumberFormat="1" applyFont="1" applyBorder="1" applyAlignment="1">
      <alignment horizontal="center" vertical="center"/>
    </xf>
    <xf numFmtId="0" fontId="28" fillId="0" borderId="0" xfId="7" applyFont="1" applyBorder="1" applyAlignment="1"/>
    <xf numFmtId="177" fontId="45" fillId="0" borderId="31" xfId="14" applyNumberFormat="1" applyFont="1" applyBorder="1" applyAlignment="1">
      <alignment vertical="center"/>
    </xf>
    <xf numFmtId="177" fontId="45" fillId="0" borderId="58" xfId="14" applyNumberFormat="1" applyFont="1" applyBorder="1" applyAlignment="1">
      <alignment vertical="center"/>
    </xf>
    <xf numFmtId="177" fontId="45" fillId="0" borderId="4" xfId="14" applyNumberFormat="1" applyFont="1" applyBorder="1" applyAlignment="1">
      <alignment vertical="center"/>
    </xf>
    <xf numFmtId="177" fontId="45" fillId="0" borderId="0" xfId="14" applyNumberFormat="1" applyFont="1" applyBorder="1" applyAlignment="1">
      <alignment vertical="center"/>
    </xf>
    <xf numFmtId="0" fontId="28" fillId="0" borderId="31" xfId="7" applyFont="1" applyBorder="1" applyAlignment="1"/>
    <xf numFmtId="198" fontId="27" fillId="0" borderId="0" xfId="7" applyNumberFormat="1" applyFont="1"/>
    <xf numFmtId="2" fontId="19" fillId="0" borderId="7" xfId="16" applyNumberFormat="1" applyFont="1" applyBorder="1" applyAlignment="1">
      <alignment vertical="center"/>
    </xf>
    <xf numFmtId="0" fontId="27" fillId="0" borderId="0" xfId="12" applyFont="1"/>
    <xf numFmtId="0" fontId="28" fillId="0" borderId="0" xfId="12" applyFont="1" applyBorder="1" applyAlignment="1">
      <alignment horizontal="center"/>
    </xf>
    <xf numFmtId="0" fontId="28" fillId="0" borderId="0" xfId="12" applyFont="1"/>
    <xf numFmtId="0" fontId="28" fillId="0" borderId="31" xfId="12" applyFont="1" applyBorder="1"/>
    <xf numFmtId="0" fontId="28" fillId="0" borderId="0" xfId="12" applyFont="1" applyBorder="1"/>
    <xf numFmtId="0" fontId="28" fillId="0" borderId="32" xfId="12" applyFont="1" applyBorder="1"/>
    <xf numFmtId="0" fontId="27" fillId="0" borderId="0" xfId="12" applyFont="1" applyBorder="1"/>
    <xf numFmtId="0" fontId="27" fillId="0" borderId="0" xfId="12" applyFont="1" applyBorder="1" applyAlignment="1">
      <alignment horizontal="left" vertical="center" wrapText="1"/>
    </xf>
    <xf numFmtId="0" fontId="27" fillId="0" borderId="7" xfId="12" applyFont="1" applyBorder="1" applyAlignment="1">
      <alignment horizontal="center"/>
    </xf>
    <xf numFmtId="0" fontId="27" fillId="0" borderId="51" xfId="12" applyFont="1" applyBorder="1" applyAlignment="1">
      <alignment horizontal="center"/>
    </xf>
    <xf numFmtId="0" fontId="28" fillId="0" borderId="0" xfId="12" applyFont="1" applyAlignment="1">
      <alignment horizontal="center"/>
    </xf>
    <xf numFmtId="0" fontId="32" fillId="0" borderId="0" xfId="12" applyFont="1" applyBorder="1" applyAlignment="1">
      <alignment horizontal="right" vertical="center"/>
    </xf>
    <xf numFmtId="0" fontId="27" fillId="0" borderId="0" xfId="12" applyFont="1" applyBorder="1" applyAlignment="1">
      <alignment horizontal="left" vertical="center"/>
    </xf>
    <xf numFmtId="0" fontId="27" fillId="0" borderId="0" xfId="12" applyFont="1" applyBorder="1" applyAlignment="1">
      <alignment vertical="center"/>
    </xf>
    <xf numFmtId="170" fontId="27" fillId="0" borderId="7" xfId="12" applyNumberFormat="1" applyFont="1" applyBorder="1" applyAlignment="1">
      <alignment horizontal="center"/>
    </xf>
    <xf numFmtId="181" fontId="27" fillId="0" borderId="7" xfId="12" applyNumberFormat="1" applyFont="1" applyBorder="1" applyAlignment="1">
      <alignment horizontal="center"/>
    </xf>
    <xf numFmtId="170" fontId="27" fillId="0" borderId="51" xfId="12" applyNumberFormat="1" applyFont="1" applyBorder="1" applyAlignment="1"/>
    <xf numFmtId="0" fontId="27" fillId="0" borderId="0" xfId="12" applyFont="1" applyBorder="1" applyAlignment="1">
      <alignment horizontal="center" vertical="center"/>
    </xf>
    <xf numFmtId="2" fontId="27" fillId="0" borderId="7" xfId="12" applyNumberFormat="1" applyFont="1" applyBorder="1" applyAlignment="1">
      <alignment horizontal="center"/>
    </xf>
    <xf numFmtId="0" fontId="35" fillId="0" borderId="0" xfId="12" applyFont="1" applyBorder="1" applyAlignment="1">
      <alignment vertical="center"/>
    </xf>
    <xf numFmtId="0" fontId="32" fillId="0" borderId="0" xfId="12" applyFont="1" applyBorder="1" applyAlignment="1">
      <alignment horizontal="center" vertical="center"/>
    </xf>
    <xf numFmtId="0" fontId="32" fillId="0" borderId="0" xfId="12" applyFont="1" applyBorder="1" applyAlignment="1">
      <alignment vertical="center"/>
    </xf>
    <xf numFmtId="171" fontId="32" fillId="0" borderId="0" xfId="12" applyNumberFormat="1" applyFont="1" applyBorder="1" applyAlignment="1">
      <alignment horizontal="center" vertical="center"/>
    </xf>
    <xf numFmtId="174" fontId="32" fillId="0" borderId="0" xfId="12" applyNumberFormat="1" applyFont="1" applyBorder="1" applyAlignment="1">
      <alignment horizontal="center" vertical="center"/>
    </xf>
    <xf numFmtId="171" fontId="32" fillId="0" borderId="0" xfId="12" applyNumberFormat="1" applyFont="1" applyBorder="1" applyAlignment="1">
      <alignment vertical="center"/>
    </xf>
    <xf numFmtId="171" fontId="32" fillId="0" borderId="0" xfId="12" applyNumberFormat="1" applyFont="1" applyBorder="1" applyAlignment="1">
      <alignment horizontal="right" vertical="center"/>
    </xf>
    <xf numFmtId="1" fontId="27" fillId="0" borderId="7" xfId="12" applyNumberFormat="1" applyFont="1" applyBorder="1" applyAlignment="1">
      <alignment horizontal="center"/>
    </xf>
    <xf numFmtId="4" fontId="32" fillId="0" borderId="0" xfId="12" applyNumberFormat="1" applyFont="1" applyBorder="1" applyAlignment="1">
      <alignment horizontal="center" vertical="center"/>
    </xf>
    <xf numFmtId="0" fontId="29" fillId="0" borderId="7" xfId="12" applyFont="1" applyBorder="1"/>
    <xf numFmtId="0" fontId="27" fillId="0" borderId="7" xfId="12" applyFont="1" applyBorder="1"/>
    <xf numFmtId="170" fontId="27" fillId="0" borderId="7" xfId="12" applyNumberFormat="1" applyFont="1" applyBorder="1"/>
    <xf numFmtId="170" fontId="29" fillId="0" borderId="51" xfId="12" applyNumberFormat="1" applyFont="1" applyBorder="1" applyAlignment="1">
      <alignment horizontal="center"/>
    </xf>
    <xf numFmtId="0" fontId="34" fillId="0" borderId="0" xfId="12" applyFont="1" applyFill="1" applyBorder="1" applyAlignment="1">
      <alignment vertical="justify" wrapText="1"/>
    </xf>
    <xf numFmtId="0" fontId="34" fillId="0" borderId="0" xfId="12" applyFont="1" applyFill="1" applyBorder="1" applyAlignment="1">
      <alignment horizontal="center"/>
    </xf>
    <xf numFmtId="172" fontId="34" fillId="0" borderId="0" xfId="13" applyNumberFormat="1" applyFont="1" applyFill="1" applyBorder="1" applyAlignment="1">
      <alignment horizontal="center"/>
    </xf>
    <xf numFmtId="175" fontId="34" fillId="0" borderId="0" xfId="12" applyNumberFormat="1" applyFont="1" applyFill="1" applyBorder="1"/>
    <xf numFmtId="0" fontId="33" fillId="0" borderId="0" xfId="12" applyFont="1" applyBorder="1"/>
    <xf numFmtId="2" fontId="34" fillId="0" borderId="0" xfId="13" applyNumberFormat="1" applyFont="1" applyFill="1" applyBorder="1" applyAlignment="1">
      <alignment horizontal="center"/>
    </xf>
    <xf numFmtId="0" fontId="27" fillId="0" borderId="7" xfId="12" applyFont="1" applyFill="1" applyBorder="1" applyAlignment="1">
      <alignment horizontal="center"/>
    </xf>
    <xf numFmtId="183" fontId="27" fillId="0" borderId="7" xfId="13" applyNumberFormat="1" applyFont="1" applyFill="1" applyBorder="1" applyAlignment="1">
      <alignment horizontal="center"/>
    </xf>
    <xf numFmtId="170" fontId="27" fillId="0" borderId="7" xfId="12" applyNumberFormat="1" applyFont="1" applyBorder="1" applyAlignment="1">
      <alignment horizontal="right" vertical="center"/>
    </xf>
    <xf numFmtId="170" fontId="27" fillId="0" borderId="51" xfId="12" applyNumberFormat="1" applyFont="1" applyBorder="1" applyAlignment="1">
      <alignment horizontal="right" vertical="center"/>
    </xf>
    <xf numFmtId="49" fontId="27" fillId="0" borderId="7" xfId="12" applyNumberFormat="1" applyFont="1" applyFill="1" applyBorder="1" applyAlignment="1">
      <alignment horizontal="center"/>
    </xf>
    <xf numFmtId="181" fontId="27" fillId="0" borderId="7" xfId="13" applyNumberFormat="1" applyFont="1" applyFill="1" applyBorder="1" applyAlignment="1">
      <alignment horizontal="center"/>
    </xf>
    <xf numFmtId="170" fontId="27" fillId="0" borderId="7" xfId="12" applyNumberFormat="1" applyFont="1" applyBorder="1" applyAlignment="1">
      <alignment horizontal="right"/>
    </xf>
    <xf numFmtId="4" fontId="28" fillId="0" borderId="0" xfId="12" applyNumberFormat="1" applyFont="1" applyBorder="1" applyAlignment="1">
      <alignment horizontal="center"/>
    </xf>
    <xf numFmtId="3" fontId="28" fillId="0" borderId="0" xfId="12" applyNumberFormat="1" applyFont="1" applyBorder="1" applyAlignment="1">
      <alignment horizontal="right"/>
    </xf>
    <xf numFmtId="2" fontId="27" fillId="0" borderId="7" xfId="13" applyNumberFormat="1" applyFont="1" applyFill="1" applyBorder="1" applyAlignment="1">
      <alignment horizontal="center"/>
    </xf>
    <xf numFmtId="176" fontId="28" fillId="0" borderId="0" xfId="12" applyNumberFormat="1" applyFont="1" applyBorder="1" applyAlignment="1">
      <alignment horizontal="center"/>
    </xf>
    <xf numFmtId="3" fontId="28" fillId="0" borderId="0" xfId="12" applyNumberFormat="1" applyFont="1" applyBorder="1" applyAlignment="1">
      <alignment horizontal="center"/>
    </xf>
    <xf numFmtId="4" fontId="27" fillId="0" borderId="0" xfId="12" applyNumberFormat="1" applyFont="1" applyBorder="1" applyAlignment="1">
      <alignment horizontal="center"/>
    </xf>
    <xf numFmtId="4" fontId="27" fillId="0" borderId="7" xfId="12" applyNumberFormat="1" applyFont="1" applyBorder="1" applyAlignment="1">
      <alignment horizontal="center"/>
    </xf>
    <xf numFmtId="4" fontId="27" fillId="0" borderId="0" xfId="12" applyNumberFormat="1" applyFont="1" applyBorder="1" applyAlignment="1"/>
    <xf numFmtId="174" fontId="32" fillId="0" borderId="0" xfId="12" applyNumberFormat="1" applyFont="1" applyBorder="1" applyAlignment="1">
      <alignment vertical="center"/>
    </xf>
    <xf numFmtId="0" fontId="27" fillId="0" borderId="50" xfId="12" applyFont="1" applyBorder="1" applyAlignment="1">
      <alignment horizontal="center" vertical="center"/>
    </xf>
    <xf numFmtId="0" fontId="27" fillId="0" borderId="7" xfId="12" applyFont="1" applyBorder="1" applyAlignment="1">
      <alignment horizontal="center" vertical="center"/>
    </xf>
    <xf numFmtId="0" fontId="27" fillId="0" borderId="50" xfId="12" applyFont="1" applyBorder="1" applyAlignment="1">
      <alignment vertical="center"/>
    </xf>
    <xf numFmtId="170" fontId="27" fillId="0" borderId="7" xfId="12" applyNumberFormat="1" applyFont="1" applyBorder="1" applyAlignment="1">
      <alignment horizontal="center" vertical="center"/>
    </xf>
    <xf numFmtId="10" fontId="27" fillId="0" borderId="7" xfId="12" applyNumberFormat="1" applyFont="1" applyBorder="1" applyAlignment="1">
      <alignment horizontal="center" vertical="center"/>
    </xf>
    <xf numFmtId="171" fontId="27" fillId="0" borderId="7" xfId="12" applyNumberFormat="1" applyFont="1" applyBorder="1" applyAlignment="1">
      <alignment horizontal="center" vertical="center"/>
    </xf>
    <xf numFmtId="170" fontId="27" fillId="0" borderId="7" xfId="12" applyNumberFormat="1" applyFont="1" applyBorder="1" applyAlignment="1">
      <alignment vertical="center"/>
    </xf>
    <xf numFmtId="4" fontId="27" fillId="0" borderId="7" xfId="12" applyNumberFormat="1" applyFont="1" applyBorder="1" applyAlignment="1">
      <alignment horizontal="center" vertical="center"/>
    </xf>
    <xf numFmtId="0" fontId="27" fillId="0" borderId="50" xfId="12" applyFont="1" applyBorder="1"/>
    <xf numFmtId="0" fontId="27" fillId="0" borderId="51" xfId="12" applyFont="1" applyBorder="1"/>
    <xf numFmtId="4" fontId="32" fillId="0" borderId="0" xfId="12" applyNumberFormat="1" applyFont="1" applyBorder="1" applyAlignment="1">
      <alignment vertical="center"/>
    </xf>
    <xf numFmtId="4" fontId="27" fillId="0" borderId="7" xfId="12" applyNumberFormat="1" applyFont="1" applyBorder="1" applyAlignment="1">
      <alignment vertical="center"/>
    </xf>
    <xf numFmtId="4" fontId="27" fillId="0" borderId="51" xfId="12" applyNumberFormat="1" applyFont="1" applyBorder="1" applyAlignment="1">
      <alignment horizontal="right" vertical="center"/>
    </xf>
    <xf numFmtId="0" fontId="29" fillId="0" borderId="50" xfId="12" applyFont="1" applyBorder="1" applyAlignment="1">
      <alignment vertical="center"/>
    </xf>
    <xf numFmtId="0" fontId="29" fillId="0" borderId="7" xfId="12" applyFont="1" applyBorder="1" applyAlignment="1">
      <alignment vertical="center"/>
    </xf>
    <xf numFmtId="170" fontId="29" fillId="0" borderId="51" xfId="12" applyNumberFormat="1" applyFont="1" applyBorder="1" applyAlignment="1">
      <alignment horizontal="center" vertical="center"/>
    </xf>
    <xf numFmtId="171" fontId="35" fillId="0" borderId="0" xfId="12" applyNumberFormat="1" applyFont="1" applyBorder="1" applyAlignment="1">
      <alignment vertical="center"/>
    </xf>
    <xf numFmtId="171" fontId="35" fillId="0" borderId="0" xfId="12" applyNumberFormat="1" applyFont="1" applyBorder="1" applyAlignment="1">
      <alignment horizontal="right" vertical="center"/>
    </xf>
    <xf numFmtId="170" fontId="36" fillId="0" borderId="51" xfId="22" applyNumberFormat="1" applyFont="1" applyBorder="1" applyAlignment="1">
      <alignment horizontal="center"/>
    </xf>
    <xf numFmtId="0" fontId="28" fillId="0" borderId="54" xfId="12" applyFont="1" applyBorder="1"/>
    <xf numFmtId="0" fontId="28" fillId="0" borderId="3" xfId="12" applyFont="1" applyBorder="1"/>
    <xf numFmtId="0" fontId="28" fillId="0" borderId="3" xfId="12" applyFont="1" applyBorder="1" applyAlignment="1">
      <alignment horizontal="center"/>
    </xf>
    <xf numFmtId="0" fontId="37" fillId="0" borderId="0" xfId="12" applyFont="1" applyBorder="1" applyAlignment="1">
      <alignment horizontal="left" vertical="center"/>
    </xf>
    <xf numFmtId="170" fontId="36" fillId="0" borderId="32" xfId="22" applyNumberFormat="1" applyFont="1" applyBorder="1" applyAlignment="1">
      <alignment horizontal="center"/>
    </xf>
    <xf numFmtId="0" fontId="37" fillId="0" borderId="0" xfId="12" applyFont="1" applyBorder="1"/>
    <xf numFmtId="0" fontId="40" fillId="0" borderId="0" xfId="12" applyFont="1" applyBorder="1"/>
    <xf numFmtId="0" fontId="28" fillId="0" borderId="33" xfId="12" applyFont="1" applyBorder="1"/>
    <xf numFmtId="0" fontId="28" fillId="0" borderId="34" xfId="12" applyFont="1" applyBorder="1"/>
    <xf numFmtId="0" fontId="28" fillId="0" borderId="34" xfId="12" applyFont="1" applyBorder="1" applyAlignment="1">
      <alignment horizontal="center"/>
    </xf>
    <xf numFmtId="0" fontId="37" fillId="0" borderId="34" xfId="12" applyFont="1" applyBorder="1"/>
    <xf numFmtId="0" fontId="40" fillId="0" borderId="34" xfId="12" applyFont="1" applyBorder="1"/>
    <xf numFmtId="170" fontId="36" fillId="0" borderId="35" xfId="22" applyNumberFormat="1" applyFont="1" applyBorder="1" applyAlignment="1">
      <alignment horizontal="center"/>
    </xf>
    <xf numFmtId="4" fontId="46" fillId="0" borderId="7" xfId="16" applyNumberFormat="1" applyFont="1" applyBorder="1" applyAlignment="1">
      <alignment horizontal="right" vertical="center"/>
    </xf>
    <xf numFmtId="2" fontId="27" fillId="0" borderId="7" xfId="12" applyNumberFormat="1" applyFont="1" applyFill="1" applyBorder="1" applyAlignment="1">
      <alignment horizontal="center"/>
    </xf>
    <xf numFmtId="4" fontId="27" fillId="0" borderId="31" xfId="12" applyNumberFormat="1" applyFont="1" applyBorder="1" applyAlignment="1">
      <alignment horizontal="left"/>
    </xf>
    <xf numFmtId="4" fontId="27" fillId="0" borderId="0" xfId="12" applyNumberFormat="1" applyFont="1" applyBorder="1" applyAlignment="1">
      <alignment horizontal="left"/>
    </xf>
    <xf numFmtId="0" fontId="29" fillId="0" borderId="0" xfId="12" applyFont="1" applyBorder="1"/>
    <xf numFmtId="170" fontId="27" fillId="0" borderId="0" xfId="12" applyNumberFormat="1" applyFont="1" applyBorder="1"/>
    <xf numFmtId="170" fontId="29" fillId="0" borderId="32" xfId="12" applyNumberFormat="1" applyFont="1" applyBorder="1" applyAlignment="1">
      <alignment horizontal="center"/>
    </xf>
    <xf numFmtId="184" fontId="41" fillId="0" borderId="0" xfId="12" applyNumberFormat="1" applyFont="1" applyAlignment="1">
      <alignment vertical="center"/>
    </xf>
    <xf numFmtId="165" fontId="32" fillId="0" borderId="0" xfId="12" applyNumberFormat="1" applyFont="1" applyBorder="1" applyAlignment="1">
      <alignment horizontal="center" vertical="center"/>
    </xf>
    <xf numFmtId="0" fontId="28" fillId="0" borderId="0" xfId="12" applyFont="1" applyBorder="1" applyAlignment="1">
      <alignment horizontal="left" vertical="center"/>
    </xf>
    <xf numFmtId="0" fontId="27" fillId="0" borderId="32" xfId="12" applyFont="1" applyBorder="1"/>
    <xf numFmtId="170" fontId="32" fillId="0" borderId="0" xfId="12" applyNumberFormat="1" applyFont="1" applyBorder="1" applyAlignment="1">
      <alignment vertical="center"/>
    </xf>
    <xf numFmtId="170" fontId="32" fillId="0" borderId="0" xfId="12" applyNumberFormat="1" applyFont="1" applyBorder="1" applyAlignment="1">
      <alignment horizontal="center" vertical="center"/>
    </xf>
    <xf numFmtId="199" fontId="51" fillId="0" borderId="7" xfId="7" applyNumberFormat="1" applyFont="1" applyBorder="1" applyAlignment="1">
      <alignment horizontal="center" vertical="center"/>
    </xf>
    <xf numFmtId="200" fontId="49" fillId="0" borderId="7" xfId="23" applyNumberFormat="1" applyFont="1" applyFill="1" applyBorder="1" applyAlignment="1">
      <alignment horizontal="center" vertical="center"/>
    </xf>
    <xf numFmtId="0" fontId="30" fillId="0" borderId="7" xfId="7" applyFont="1" applyBorder="1"/>
    <xf numFmtId="194" fontId="51" fillId="0" borderId="7" xfId="7" applyNumberFormat="1" applyFont="1" applyBorder="1" applyAlignment="1">
      <alignment horizontal="center" vertical="center"/>
    </xf>
    <xf numFmtId="0" fontId="68" fillId="0" borderId="0" xfId="7" applyFont="1" applyBorder="1" applyAlignment="1">
      <alignment horizontal="right" vertical="center"/>
    </xf>
    <xf numFmtId="1" fontId="27" fillId="0" borderId="0" xfId="7" applyNumberFormat="1" applyFont="1" applyBorder="1"/>
    <xf numFmtId="172" fontId="32" fillId="0" borderId="0" xfId="7" applyNumberFormat="1" applyFont="1" applyBorder="1" applyAlignment="1">
      <alignment horizontal="center" vertical="center"/>
    </xf>
    <xf numFmtId="0" fontId="27" fillId="0" borderId="0" xfId="7" applyFont="1" applyAlignment="1">
      <alignment horizontal="right" vertical="center"/>
    </xf>
    <xf numFmtId="0" fontId="27" fillId="0" borderId="0" xfId="7" applyFont="1" applyAlignment="1">
      <alignment horizontal="center" vertical="center"/>
    </xf>
    <xf numFmtId="1" fontId="27" fillId="0" borderId="0" xfId="7" applyNumberFormat="1" applyFont="1" applyBorder="1" applyAlignment="1">
      <alignment horizontal="center" vertical="center"/>
    </xf>
    <xf numFmtId="2" fontId="27" fillId="0" borderId="0" xfId="7" applyNumberFormat="1" applyFont="1" applyAlignment="1">
      <alignment horizontal="center" vertical="center"/>
    </xf>
    <xf numFmtId="1" fontId="27" fillId="0" borderId="0" xfId="7" applyNumberFormat="1" applyFont="1" applyBorder="1" applyAlignment="1">
      <alignment horizontal="center"/>
    </xf>
    <xf numFmtId="2" fontId="27" fillId="0" borderId="0" xfId="7" applyNumberFormat="1" applyFont="1" applyBorder="1" applyAlignment="1">
      <alignment horizontal="center"/>
    </xf>
    <xf numFmtId="0" fontId="18" fillId="0" borderId="7" xfId="16" applyFont="1" applyBorder="1" applyAlignment="1">
      <alignment horizontal="right" wrapText="1"/>
    </xf>
    <xf numFmtId="0" fontId="46" fillId="0" borderId="7" xfId="16" applyFont="1" applyBorder="1" applyAlignment="1">
      <alignment horizontal="right" wrapText="1"/>
    </xf>
    <xf numFmtId="4" fontId="27" fillId="0" borderId="52" xfId="12" applyNumberFormat="1" applyFont="1" applyBorder="1" applyAlignment="1">
      <alignment vertical="center"/>
    </xf>
    <xf numFmtId="0" fontId="27" fillId="0" borderId="1" xfId="12" applyFont="1" applyBorder="1" applyAlignment="1">
      <alignment vertical="center"/>
    </xf>
    <xf numFmtId="0" fontId="27" fillId="0" borderId="16" xfId="12" applyFont="1" applyBorder="1" applyAlignment="1">
      <alignment vertical="center"/>
    </xf>
    <xf numFmtId="0" fontId="52" fillId="3" borderId="24" xfId="12" applyFont="1" applyFill="1" applyBorder="1" applyAlignment="1" applyProtection="1">
      <alignment vertical="center"/>
    </xf>
    <xf numFmtId="0" fontId="52" fillId="3" borderId="25" xfId="12" applyFont="1" applyFill="1" applyBorder="1" applyAlignment="1" applyProtection="1">
      <alignment vertical="center"/>
    </xf>
    <xf numFmtId="0" fontId="52" fillId="3" borderId="26" xfId="12" applyFont="1" applyFill="1" applyBorder="1" applyAlignment="1" applyProtection="1">
      <alignment vertical="center"/>
    </xf>
    <xf numFmtId="49" fontId="48" fillId="6" borderId="7" xfId="16" applyNumberFormat="1" applyFont="1" applyFill="1" applyBorder="1" applyAlignment="1">
      <alignment horizontal="right" vertical="center"/>
    </xf>
    <xf numFmtId="2" fontId="48" fillId="6" borderId="7" xfId="16" applyNumberFormat="1" applyFont="1" applyFill="1" applyBorder="1" applyAlignment="1">
      <alignment horizontal="right" vertical="center"/>
    </xf>
    <xf numFmtId="0" fontId="0" fillId="5" borderId="7" xfId="0" applyFill="1" applyBorder="1" applyAlignment="1">
      <alignment horizontal="center"/>
    </xf>
    <xf numFmtId="0" fontId="0" fillId="0" borderId="7" xfId="0" applyBorder="1" applyAlignment="1">
      <alignment horizontal="center"/>
    </xf>
    <xf numFmtId="172" fontId="0" fillId="0" borderId="7" xfId="0" applyNumberFormat="1" applyBorder="1" applyAlignment="1">
      <alignment horizontal="center"/>
    </xf>
    <xf numFmtId="0" fontId="23" fillId="5" borderId="15" xfId="0" applyFont="1" applyFill="1" applyBorder="1" applyAlignment="1">
      <alignment vertical="center" wrapText="1"/>
    </xf>
    <xf numFmtId="0" fontId="0" fillId="5" borderId="15" xfId="0" applyFill="1" applyBorder="1" applyAlignment="1">
      <alignment horizontal="center" vertical="center" wrapText="1"/>
    </xf>
    <xf numFmtId="0" fontId="23" fillId="5" borderId="15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/>
    </xf>
    <xf numFmtId="49" fontId="27" fillId="0" borderId="7" xfId="7" applyNumberFormat="1" applyFont="1" applyFill="1" applyBorder="1" applyAlignment="1">
      <alignment horizontal="center" vertical="center"/>
    </xf>
    <xf numFmtId="181" fontId="27" fillId="0" borderId="7" xfId="1" applyNumberFormat="1" applyFont="1" applyFill="1" applyBorder="1" applyAlignment="1">
      <alignment horizontal="center" vertical="center"/>
    </xf>
    <xf numFmtId="0" fontId="44" fillId="0" borderId="0" xfId="12" applyFont="1" applyAlignment="1">
      <alignment horizontal="center" vertical="center" wrapText="1"/>
    </xf>
    <xf numFmtId="0" fontId="42" fillId="0" borderId="0" xfId="12" applyFont="1" applyAlignment="1">
      <alignment vertical="center" wrapText="1"/>
    </xf>
    <xf numFmtId="49" fontId="44" fillId="0" borderId="24" xfId="14" applyNumberFormat="1" applyFont="1" applyFill="1" applyBorder="1" applyAlignment="1">
      <alignment horizontal="right" vertical="center" wrapText="1"/>
    </xf>
    <xf numFmtId="49" fontId="44" fillId="0" borderId="25" xfId="14" applyNumberFormat="1" applyFont="1" applyFill="1" applyBorder="1" applyAlignment="1">
      <alignment horizontal="right" vertical="center" wrapText="1"/>
    </xf>
    <xf numFmtId="49" fontId="44" fillId="0" borderId="4" xfId="14" applyNumberFormat="1" applyFont="1" applyFill="1" applyBorder="1" applyAlignment="1">
      <alignment horizontal="right" vertical="center" wrapText="1"/>
    </xf>
    <xf numFmtId="49" fontId="44" fillId="0" borderId="5" xfId="14" applyNumberFormat="1" applyFont="1" applyFill="1" applyBorder="1" applyAlignment="1">
      <alignment horizontal="right" vertical="center" wrapText="1"/>
    </xf>
    <xf numFmtId="0" fontId="44" fillId="5" borderId="43" xfId="12" applyFont="1" applyFill="1" applyBorder="1" applyAlignment="1">
      <alignment horizontal="center" vertical="center" wrapText="1"/>
    </xf>
    <xf numFmtId="0" fontId="17" fillId="0" borderId="0" xfId="25" applyFont="1"/>
    <xf numFmtId="0" fontId="70" fillId="0" borderId="0" xfId="12" applyFont="1"/>
    <xf numFmtId="177" fontId="43" fillId="0" borderId="0" xfId="14" applyNumberFormat="1" applyFont="1" applyBorder="1" applyAlignment="1">
      <alignment horizontal="left" vertical="center"/>
    </xf>
    <xf numFmtId="167" fontId="0" fillId="0" borderId="0" xfId="26" applyFont="1"/>
    <xf numFmtId="10" fontId="46" fillId="0" borderId="59" xfId="25" applyNumberFormat="1" applyFont="1" applyBorder="1" applyAlignment="1">
      <alignment horizontal="center" vertical="center"/>
    </xf>
    <xf numFmtId="0" fontId="17" fillId="0" borderId="0" xfId="25" applyFont="1" applyBorder="1"/>
    <xf numFmtId="167" fontId="46" fillId="0" borderId="32" xfId="26" applyFont="1" applyBorder="1" applyAlignment="1">
      <alignment vertical="center"/>
    </xf>
    <xf numFmtId="10" fontId="46" fillId="0" borderId="0" xfId="25" applyNumberFormat="1" applyFont="1" applyBorder="1" applyAlignment="1">
      <alignment horizontal="center" vertical="center"/>
    </xf>
    <xf numFmtId="0" fontId="46" fillId="0" borderId="0" xfId="25" applyFont="1" applyBorder="1" applyAlignment="1">
      <alignment horizontal="left" vertical="center"/>
    </xf>
    <xf numFmtId="0" fontId="46" fillId="0" borderId="31" xfId="25" applyFont="1" applyBorder="1" applyAlignment="1">
      <alignment horizontal="left" vertical="center"/>
    </xf>
    <xf numFmtId="0" fontId="17" fillId="0" borderId="30" xfId="25" applyFont="1" applyBorder="1" applyAlignment="1">
      <alignment vertical="center"/>
    </xf>
    <xf numFmtId="0" fontId="17" fillId="0" borderId="29" xfId="25" applyFont="1" applyBorder="1" applyAlignment="1">
      <alignment vertical="center"/>
    </xf>
    <xf numFmtId="0" fontId="46" fillId="0" borderId="29" xfId="25" applyFont="1" applyBorder="1" applyAlignment="1">
      <alignment vertical="center"/>
    </xf>
    <xf numFmtId="0" fontId="46" fillId="0" borderId="28" xfId="25" applyFont="1" applyBorder="1" applyAlignment="1">
      <alignment vertical="center"/>
    </xf>
    <xf numFmtId="165" fontId="17" fillId="0" borderId="0" xfId="25" applyNumberFormat="1" applyFont="1"/>
    <xf numFmtId="198" fontId="0" fillId="0" borderId="0" xfId="27" applyNumberFormat="1" applyFont="1"/>
    <xf numFmtId="9" fontId="0" fillId="0" borderId="0" xfId="27" applyFont="1"/>
    <xf numFmtId="167" fontId="46" fillId="3" borderId="47" xfId="26" applyFont="1" applyFill="1" applyBorder="1" applyAlignment="1">
      <alignment vertical="center"/>
    </xf>
    <xf numFmtId="10" fontId="17" fillId="0" borderId="27" xfId="25" applyNumberFormat="1" applyFont="1" applyBorder="1" applyAlignment="1">
      <alignment horizontal="center" vertical="center"/>
    </xf>
    <xf numFmtId="10" fontId="71" fillId="0" borderId="27" xfId="25" applyNumberFormat="1" applyFont="1" applyBorder="1" applyAlignment="1">
      <alignment horizontal="center" vertical="center"/>
    </xf>
    <xf numFmtId="0" fontId="71" fillId="0" borderId="26" xfId="25" applyFont="1" applyBorder="1" applyAlignment="1">
      <alignment horizontal="left" vertical="center" wrapText="1"/>
    </xf>
    <xf numFmtId="0" fontId="71" fillId="0" borderId="36" xfId="25" applyFont="1" applyBorder="1" applyAlignment="1">
      <alignment horizontal="left" vertical="center" wrapText="1"/>
    </xf>
    <xf numFmtId="0" fontId="71" fillId="0" borderId="26" xfId="25" applyFont="1" applyBorder="1" applyAlignment="1">
      <alignment horizontal="justify" vertical="center" wrapText="1"/>
    </xf>
    <xf numFmtId="0" fontId="71" fillId="0" borderId="36" xfId="25" applyFont="1" applyBorder="1" applyAlignment="1">
      <alignment horizontal="justify" vertical="center" wrapText="1"/>
    </xf>
    <xf numFmtId="10" fontId="71" fillId="0" borderId="27" xfId="25" applyNumberFormat="1" applyFont="1" applyFill="1" applyBorder="1" applyAlignment="1">
      <alignment horizontal="center" vertical="center"/>
    </xf>
    <xf numFmtId="0" fontId="17" fillId="0" borderId="26" xfId="25" applyFont="1" applyBorder="1" applyAlignment="1">
      <alignment horizontal="justify" vertical="center" wrapText="1"/>
    </xf>
    <xf numFmtId="0" fontId="17" fillId="0" borderId="36" xfId="25" applyFont="1" applyBorder="1" applyAlignment="1">
      <alignment horizontal="justify" vertical="center" wrapText="1"/>
    </xf>
    <xf numFmtId="10" fontId="46" fillId="3" borderId="27" xfId="25" applyNumberFormat="1" applyFont="1" applyFill="1" applyBorder="1" applyAlignment="1">
      <alignment horizontal="center" vertical="center"/>
    </xf>
    <xf numFmtId="167" fontId="46" fillId="3" borderId="27" xfId="26" applyFont="1" applyFill="1" applyBorder="1" applyAlignment="1">
      <alignment vertical="center"/>
    </xf>
    <xf numFmtId="0" fontId="46" fillId="3" borderId="27" xfId="25" applyFont="1" applyFill="1" applyBorder="1" applyAlignment="1">
      <alignment horizontal="center" vertical="center"/>
    </xf>
    <xf numFmtId="0" fontId="46" fillId="3" borderId="26" xfId="25" applyFont="1" applyFill="1" applyBorder="1" applyAlignment="1">
      <alignment horizontal="left" vertical="center" wrapText="1"/>
    </xf>
    <xf numFmtId="0" fontId="46" fillId="3" borderId="36" xfId="25" applyFont="1" applyFill="1" applyBorder="1" applyAlignment="1">
      <alignment horizontal="left" vertical="center" wrapText="1"/>
    </xf>
    <xf numFmtId="10" fontId="0" fillId="0" borderId="0" xfId="27" applyNumberFormat="1" applyFont="1"/>
    <xf numFmtId="0" fontId="17" fillId="0" borderId="46" xfId="25" applyFont="1" applyBorder="1" applyAlignment="1">
      <alignment vertical="center"/>
    </xf>
    <xf numFmtId="0" fontId="17" fillId="0" borderId="25" xfId="25" applyFont="1" applyBorder="1" applyAlignment="1">
      <alignment vertical="center"/>
    </xf>
    <xf numFmtId="0" fontId="17" fillId="0" borderId="37" xfId="25" applyFont="1" applyBorder="1" applyAlignment="1">
      <alignment vertical="center"/>
    </xf>
    <xf numFmtId="0" fontId="17" fillId="0" borderId="26" xfId="25" applyFont="1" applyBorder="1" applyAlignment="1">
      <alignment horizontal="left" vertical="center" wrapText="1"/>
    </xf>
    <xf numFmtId="0" fontId="17" fillId="0" borderId="36" xfId="25" applyFont="1" applyBorder="1" applyAlignment="1">
      <alignment horizontal="left" vertical="center" wrapText="1"/>
    </xf>
    <xf numFmtId="0" fontId="17" fillId="0" borderId="26" xfId="25" applyFont="1" applyBorder="1" applyAlignment="1">
      <alignment horizontal="left" vertical="center"/>
    </xf>
    <xf numFmtId="0" fontId="17" fillId="0" borderId="36" xfId="25" applyFont="1" applyBorder="1" applyAlignment="1">
      <alignment horizontal="left" vertical="center"/>
    </xf>
    <xf numFmtId="0" fontId="46" fillId="3" borderId="27" xfId="25" applyFont="1" applyFill="1" applyBorder="1" applyAlignment="1">
      <alignment horizontal="center" vertical="center" wrapText="1"/>
    </xf>
    <xf numFmtId="2" fontId="17" fillId="0" borderId="27" xfId="25" applyNumberFormat="1" applyFont="1" applyBorder="1" applyAlignment="1">
      <alignment horizontal="center" vertical="center"/>
    </xf>
    <xf numFmtId="9" fontId="17" fillId="0" borderId="27" xfId="25" applyNumberFormat="1" applyFont="1" applyBorder="1" applyAlignment="1">
      <alignment horizontal="center" vertical="center"/>
    </xf>
    <xf numFmtId="166" fontId="46" fillId="3" borderId="27" xfId="28" applyFont="1" applyFill="1" applyBorder="1" applyAlignment="1">
      <alignment vertical="center"/>
    </xf>
    <xf numFmtId="0" fontId="46" fillId="3" borderId="26" xfId="25" applyFont="1" applyFill="1" applyBorder="1" applyAlignment="1">
      <alignment horizontal="left" vertical="center"/>
    </xf>
    <xf numFmtId="0" fontId="46" fillId="3" borderId="36" xfId="25" applyFont="1" applyFill="1" applyBorder="1" applyAlignment="1">
      <alignment horizontal="left" vertical="center"/>
    </xf>
    <xf numFmtId="167" fontId="0" fillId="0" borderId="0" xfId="26" applyFont="1" applyAlignment="1">
      <alignment horizontal="center" vertical="center"/>
    </xf>
    <xf numFmtId="10" fontId="0" fillId="0" borderId="0" xfId="27" applyNumberFormat="1" applyFont="1" applyAlignment="1">
      <alignment horizontal="center" vertical="center"/>
    </xf>
    <xf numFmtId="0" fontId="17" fillId="0" borderId="0" xfId="25" applyFont="1" applyAlignment="1">
      <alignment horizontal="center" vertical="center"/>
    </xf>
    <xf numFmtId="0" fontId="46" fillId="3" borderId="6" xfId="25" applyFont="1" applyFill="1" applyBorder="1" applyAlignment="1">
      <alignment horizontal="justify" vertical="center" wrapText="1"/>
    </xf>
    <xf numFmtId="0" fontId="46" fillId="3" borderId="5" xfId="25" applyFont="1" applyFill="1" applyBorder="1" applyAlignment="1">
      <alignment horizontal="justify" vertical="center" wrapText="1"/>
    </xf>
    <xf numFmtId="0" fontId="46" fillId="10" borderId="45" xfId="25" applyFont="1" applyFill="1" applyBorder="1" applyAlignment="1">
      <alignment horizontal="center" vertical="center"/>
    </xf>
    <xf numFmtId="0" fontId="46" fillId="10" borderId="44" xfId="25" applyFont="1" applyFill="1" applyBorder="1" applyAlignment="1">
      <alignment horizontal="center" vertical="center" wrapText="1"/>
    </xf>
    <xf numFmtId="0" fontId="46" fillId="10" borderId="44" xfId="25" applyFont="1" applyFill="1" applyBorder="1" applyAlignment="1">
      <alignment horizontal="center" vertical="center"/>
    </xf>
    <xf numFmtId="0" fontId="46" fillId="10" borderId="43" xfId="25" applyFont="1" applyFill="1" applyBorder="1" applyAlignment="1">
      <alignment horizontal="center" vertical="center"/>
    </xf>
    <xf numFmtId="0" fontId="46" fillId="10" borderId="41" xfId="25" applyFont="1" applyFill="1" applyBorder="1" applyAlignment="1">
      <alignment horizontal="center" vertical="center"/>
    </xf>
    <xf numFmtId="0" fontId="17" fillId="0" borderId="0" xfId="25" applyFont="1" applyAlignment="1">
      <alignment vertical="center"/>
    </xf>
    <xf numFmtId="10" fontId="17" fillId="0" borderId="0" xfId="25" applyNumberFormat="1" applyFont="1" applyAlignment="1">
      <alignment vertical="center"/>
    </xf>
    <xf numFmtId="0" fontId="17" fillId="0" borderId="27" xfId="25" applyFont="1" applyBorder="1" applyAlignment="1">
      <alignment vertical="center"/>
    </xf>
    <xf numFmtId="177" fontId="72" fillId="0" borderId="0" xfId="14" applyNumberFormat="1" applyFont="1" applyBorder="1" applyAlignment="1">
      <alignment horizontal="left" vertical="center" wrapText="1"/>
    </xf>
    <xf numFmtId="177" fontId="43" fillId="0" borderId="0" xfId="14" applyNumberFormat="1" applyFont="1" applyBorder="1" applyAlignment="1">
      <alignment vertical="center"/>
    </xf>
    <xf numFmtId="0" fontId="42" fillId="0" borderId="49" xfId="14" applyNumberFormat="1" applyFont="1" applyBorder="1" applyAlignment="1">
      <alignment horizontal="center" vertical="center" wrapText="1"/>
    </xf>
    <xf numFmtId="0" fontId="42" fillId="0" borderId="66" xfId="14" applyNumberFormat="1" applyFont="1" applyBorder="1" applyAlignment="1">
      <alignment horizontal="center" vertical="center" wrapText="1"/>
    </xf>
    <xf numFmtId="177" fontId="42" fillId="0" borderId="48" xfId="14" applyNumberFormat="1" applyFont="1" applyBorder="1" applyAlignment="1">
      <alignment horizontal="left" vertical="center" wrapText="1"/>
    </xf>
    <xf numFmtId="0" fontId="42" fillId="0" borderId="47" xfId="14" applyNumberFormat="1" applyFont="1" applyBorder="1" applyAlignment="1">
      <alignment horizontal="center" vertical="center" wrapText="1"/>
    </xf>
    <xf numFmtId="0" fontId="42" fillId="0" borderId="27" xfId="14" applyNumberFormat="1" applyFont="1" applyBorder="1" applyAlignment="1">
      <alignment horizontal="center" vertical="center" wrapText="1"/>
    </xf>
    <xf numFmtId="177" fontId="42" fillId="0" borderId="36" xfId="14" applyNumberFormat="1" applyFont="1" applyBorder="1" applyAlignment="1">
      <alignment horizontal="left" vertical="center" wrapText="1"/>
    </xf>
    <xf numFmtId="177" fontId="42" fillId="0" borderId="45" xfId="14" applyNumberFormat="1" applyFont="1" applyBorder="1" applyAlignment="1">
      <alignment horizontal="center" vertical="center" wrapText="1"/>
    </xf>
    <xf numFmtId="177" fontId="42" fillId="0" borderId="44" xfId="14" applyNumberFormat="1" applyFont="1" applyBorder="1" applyAlignment="1">
      <alignment horizontal="center" vertical="center" wrapText="1"/>
    </xf>
    <xf numFmtId="177" fontId="42" fillId="0" borderId="41" xfId="14" applyNumberFormat="1" applyFont="1" applyBorder="1" applyAlignment="1">
      <alignment horizontal="left" vertical="center" wrapText="1"/>
    </xf>
    <xf numFmtId="188" fontId="42" fillId="0" borderId="25" xfId="14" applyNumberFormat="1" applyFont="1" applyFill="1" applyBorder="1" applyAlignment="1">
      <alignment horizontal="center" vertical="center" wrapText="1"/>
    </xf>
    <xf numFmtId="0" fontId="44" fillId="5" borderId="25" xfId="12" applyFont="1" applyFill="1" applyBorder="1" applyAlignment="1">
      <alignment vertical="center"/>
    </xf>
    <xf numFmtId="0" fontId="44" fillId="5" borderId="24" xfId="12" applyFont="1" applyFill="1" applyBorder="1" applyAlignment="1">
      <alignment vertical="center"/>
    </xf>
    <xf numFmtId="0" fontId="44" fillId="5" borderId="25" xfId="12" applyFont="1" applyFill="1" applyBorder="1" applyAlignment="1">
      <alignment horizontal="center" vertical="center" wrapText="1"/>
    </xf>
    <xf numFmtId="9" fontId="42" fillId="0" borderId="27" xfId="27" applyFont="1" applyBorder="1" applyAlignment="1">
      <alignment horizontal="center" vertical="center" wrapText="1"/>
    </xf>
    <xf numFmtId="10" fontId="42" fillId="0" borderId="26" xfId="27" applyNumberFormat="1" applyFont="1" applyBorder="1" applyAlignment="1">
      <alignment horizontal="center" vertical="center" wrapText="1"/>
    </xf>
    <xf numFmtId="182" fontId="42" fillId="0" borderId="27" xfId="14" applyNumberFormat="1" applyFont="1" applyBorder="1" applyAlignment="1">
      <alignment vertical="center" wrapText="1"/>
    </xf>
    <xf numFmtId="177" fontId="75" fillId="0" borderId="27" xfId="5" applyNumberFormat="1" applyFont="1" applyFill="1" applyBorder="1" applyAlignment="1">
      <alignment horizontal="center" vertical="center" wrapText="1"/>
    </xf>
    <xf numFmtId="0" fontId="77" fillId="0" borderId="67" xfId="29" applyFont="1" applyBorder="1" applyAlignment="1">
      <alignment horizontal="center"/>
    </xf>
    <xf numFmtId="0" fontId="77" fillId="0" borderId="5" xfId="29" applyFont="1" applyBorder="1" applyAlignment="1">
      <alignment horizontal="center"/>
    </xf>
    <xf numFmtId="0" fontId="23" fillId="0" borderId="0" xfId="12"/>
    <xf numFmtId="0" fontId="77" fillId="0" borderId="17" xfId="29" applyFont="1" applyBorder="1" applyAlignment="1">
      <alignment horizontal="center"/>
    </xf>
    <xf numFmtId="0" fontId="77" fillId="0" borderId="18" xfId="29" applyFont="1" applyBorder="1" applyAlignment="1">
      <alignment horizontal="center"/>
    </xf>
    <xf numFmtId="0" fontId="81" fillId="0" borderId="31" xfId="12" applyFont="1" applyFill="1" applyBorder="1" applyProtection="1">
      <protection locked="0"/>
    </xf>
    <xf numFmtId="0" fontId="82" fillId="0" borderId="0" xfId="12" applyFont="1" applyFill="1" applyBorder="1"/>
    <xf numFmtId="0" fontId="82" fillId="0" borderId="0" xfId="12" applyFont="1" applyFill="1" applyBorder="1" applyProtection="1">
      <protection locked="0"/>
    </xf>
    <xf numFmtId="0" fontId="23" fillId="0" borderId="0" xfId="12" applyFill="1" applyBorder="1"/>
    <xf numFmtId="0" fontId="83" fillId="0" borderId="31" xfId="12" applyFont="1" applyFill="1" applyBorder="1" applyProtection="1">
      <protection locked="0"/>
    </xf>
    <xf numFmtId="0" fontId="70" fillId="0" borderId="0" xfId="12" applyFont="1" applyFill="1" applyBorder="1"/>
    <xf numFmtId="0" fontId="70" fillId="0" borderId="0" xfId="12" applyFont="1" applyFill="1" applyBorder="1" applyProtection="1">
      <protection locked="0"/>
    </xf>
    <xf numFmtId="0" fontId="83" fillId="0" borderId="31" xfId="12" applyFont="1" applyFill="1" applyBorder="1" applyAlignment="1" applyProtection="1">
      <alignment vertical="center"/>
      <protection locked="0"/>
    </xf>
    <xf numFmtId="0" fontId="83" fillId="0" borderId="0" xfId="12" applyFont="1" applyFill="1" applyBorder="1" applyAlignment="1" applyProtection="1">
      <alignment vertical="center"/>
      <protection locked="0"/>
    </xf>
    <xf numFmtId="0" fontId="70" fillId="0" borderId="0" xfId="12" applyFont="1" applyFill="1" applyBorder="1" applyAlignment="1" applyProtection="1">
      <alignment horizontal="center" vertical="center"/>
      <protection locked="0"/>
    </xf>
    <xf numFmtId="0" fontId="78" fillId="0" borderId="0" xfId="12" applyFont="1" applyFill="1" applyBorder="1" applyAlignment="1" applyProtection="1">
      <alignment horizontal="left" vertical="center"/>
      <protection locked="0"/>
    </xf>
    <xf numFmtId="0" fontId="83" fillId="0" borderId="0" xfId="12" applyFont="1" applyFill="1" applyBorder="1" applyProtection="1">
      <protection locked="0"/>
    </xf>
    <xf numFmtId="0" fontId="83" fillId="0" borderId="27" xfId="12" applyFont="1" applyBorder="1" applyAlignment="1">
      <alignment horizontal="center" vertical="center"/>
    </xf>
    <xf numFmtId="0" fontId="83" fillId="0" borderId="27" xfId="12" applyFont="1" applyBorder="1" applyAlignment="1">
      <alignment horizontal="center" vertical="center" wrapText="1"/>
    </xf>
    <xf numFmtId="0" fontId="70" fillId="0" borderId="27" xfId="12" applyFont="1" applyBorder="1" applyAlignment="1">
      <alignment horizontal="center" vertical="center"/>
    </xf>
    <xf numFmtId="0" fontId="83" fillId="0" borderId="27" xfId="12" applyFont="1" applyBorder="1" applyAlignment="1">
      <alignment horizontal="left" vertical="center"/>
    </xf>
    <xf numFmtId="0" fontId="70" fillId="0" borderId="27" xfId="12" applyFont="1" applyBorder="1" applyAlignment="1">
      <alignment horizontal="center" vertical="center" wrapText="1"/>
    </xf>
    <xf numFmtId="201" fontId="70" fillId="0" borderId="27" xfId="30" applyNumberFormat="1" applyFont="1" applyBorder="1" applyAlignment="1">
      <alignment horizontal="center" vertical="center"/>
    </xf>
    <xf numFmtId="9" fontId="70" fillId="0" borderId="27" xfId="12" applyNumberFormat="1" applyFont="1" applyBorder="1" applyAlignment="1">
      <alignment horizontal="center" vertical="center"/>
    </xf>
    <xf numFmtId="0" fontId="83" fillId="0" borderId="57" xfId="12" applyFont="1" applyBorder="1" applyAlignment="1">
      <alignment horizontal="left" vertical="center"/>
    </xf>
    <xf numFmtId="0" fontId="70" fillId="0" borderId="57" xfId="12" applyFont="1" applyBorder="1" applyAlignment="1">
      <alignment horizontal="center" vertical="center" wrapText="1"/>
    </xf>
    <xf numFmtId="0" fontId="70" fillId="0" borderId="27" xfId="12" applyFont="1" applyFill="1" applyBorder="1" applyAlignment="1">
      <alignment horizontal="center" vertical="center" wrapText="1"/>
    </xf>
    <xf numFmtId="0" fontId="70" fillId="0" borderId="27" xfId="12" applyFont="1" applyFill="1" applyBorder="1" applyAlignment="1">
      <alignment horizontal="center" vertical="center"/>
    </xf>
    <xf numFmtId="0" fontId="70" fillId="0" borderId="57" xfId="12" applyFont="1" applyBorder="1"/>
    <xf numFmtId="0" fontId="70" fillId="0" borderId="0" xfId="12" applyFont="1" applyBorder="1"/>
    <xf numFmtId="0" fontId="84" fillId="0" borderId="0" xfId="12" applyFont="1" applyBorder="1" applyAlignment="1">
      <alignment horizontal="center"/>
    </xf>
    <xf numFmtId="3" fontId="82" fillId="0" borderId="0" xfId="12" applyNumberFormat="1" applyFont="1" applyBorder="1"/>
    <xf numFmtId="0" fontId="82" fillId="0" borderId="0" xfId="12" applyFont="1" applyBorder="1"/>
    <xf numFmtId="0" fontId="23" fillId="0" borderId="0" xfId="12" applyBorder="1"/>
    <xf numFmtId="177" fontId="44" fillId="0" borderId="0" xfId="31" applyNumberFormat="1" applyFont="1" applyBorder="1" applyAlignment="1">
      <alignment horizontal="left" vertical="center" wrapText="1"/>
    </xf>
    <xf numFmtId="177" fontId="42" fillId="0" borderId="0" xfId="31" applyNumberFormat="1" applyFont="1" applyBorder="1" applyAlignment="1">
      <alignment horizontal="left" vertical="center" wrapText="1"/>
    </xf>
    <xf numFmtId="177" fontId="43" fillId="0" borderId="0" xfId="31" applyNumberFormat="1" applyFont="1" applyBorder="1" applyAlignment="1">
      <alignment horizontal="left" vertical="center"/>
    </xf>
    <xf numFmtId="177" fontId="72" fillId="0" borderId="0" xfId="31" applyNumberFormat="1" applyFont="1" applyBorder="1" applyAlignment="1">
      <alignment horizontal="left" vertical="center" wrapText="1"/>
    </xf>
    <xf numFmtId="167" fontId="70" fillId="0" borderId="0" xfId="30" applyFont="1"/>
    <xf numFmtId="167" fontId="79" fillId="0" borderId="0" xfId="30" applyFont="1"/>
    <xf numFmtId="188" fontId="85" fillId="5" borderId="49" xfId="12" applyNumberFormat="1" applyFont="1" applyFill="1" applyBorder="1" applyAlignment="1">
      <alignment vertical="center" wrapText="1"/>
    </xf>
    <xf numFmtId="0" fontId="17" fillId="0" borderId="0" xfId="25"/>
    <xf numFmtId="0" fontId="88" fillId="0" borderId="23" xfId="25" applyNumberFormat="1" applyFont="1" applyFill="1" applyBorder="1" applyAlignment="1"/>
    <xf numFmtId="0" fontId="17" fillId="0" borderId="3" xfId="25" applyNumberFormat="1" applyFont="1" applyFill="1" applyBorder="1" applyAlignment="1">
      <alignment wrapText="1"/>
    </xf>
    <xf numFmtId="0" fontId="17" fillId="0" borderId="0" xfId="25" applyNumberFormat="1" applyFont="1" applyFill="1" applyBorder="1" applyAlignment="1">
      <alignment wrapText="1"/>
    </xf>
    <xf numFmtId="0" fontId="17" fillId="0" borderId="18" xfId="25" applyNumberFormat="1" applyFont="1" applyFill="1" applyBorder="1" applyAlignment="1">
      <alignment wrapText="1"/>
    </xf>
    <xf numFmtId="0" fontId="17" fillId="0" borderId="6" xfId="25" applyNumberFormat="1" applyFont="1" applyFill="1" applyBorder="1" applyAlignment="1">
      <alignment wrapText="1"/>
    </xf>
    <xf numFmtId="0" fontId="46" fillId="0" borderId="3" xfId="25" applyNumberFormat="1" applyFont="1" applyFill="1" applyBorder="1" applyAlignment="1">
      <alignment horizontal="center" vertical="center" wrapText="1"/>
    </xf>
    <xf numFmtId="1" fontId="17" fillId="0" borderId="3" xfId="25" applyNumberFormat="1" applyFont="1" applyFill="1" applyBorder="1" applyAlignment="1">
      <alignment horizontal="center" vertical="center" wrapText="1"/>
    </xf>
    <xf numFmtId="185" fontId="17" fillId="0" borderId="0" xfId="25" applyNumberFormat="1"/>
    <xf numFmtId="0" fontId="88" fillId="0" borderId="23" xfId="25" applyNumberFormat="1" applyFont="1" applyFill="1" applyBorder="1" applyAlignment="1">
      <alignment horizontal="center"/>
    </xf>
    <xf numFmtId="0" fontId="88" fillId="0" borderId="6" xfId="25" applyNumberFormat="1" applyFont="1" applyFill="1" applyBorder="1" applyAlignment="1">
      <alignment horizontal="center"/>
    </xf>
    <xf numFmtId="0" fontId="91" fillId="0" borderId="27" xfId="25" applyNumberFormat="1" applyFont="1" applyFill="1" applyBorder="1" applyAlignment="1"/>
    <xf numFmtId="0" fontId="88" fillId="0" borderId="24" xfId="25" applyNumberFormat="1" applyFont="1" applyFill="1" applyBorder="1" applyAlignment="1"/>
    <xf numFmtId="0" fontId="92" fillId="0" borderId="25" xfId="25" applyNumberFormat="1" applyFont="1" applyFill="1" applyBorder="1" applyAlignment="1">
      <alignment horizontal="center"/>
    </xf>
    <xf numFmtId="0" fontId="93" fillId="0" borderId="25" xfId="25" applyNumberFormat="1" applyFont="1" applyFill="1" applyBorder="1" applyAlignment="1"/>
    <xf numFmtId="0" fontId="93" fillId="0" borderId="26" xfId="25" applyNumberFormat="1" applyFont="1" applyFill="1" applyBorder="1" applyAlignment="1"/>
    <xf numFmtId="0" fontId="92" fillId="0" borderId="27" xfId="25" applyNumberFormat="1" applyFont="1" applyFill="1" applyBorder="1" applyAlignment="1">
      <alignment horizontal="right"/>
    </xf>
    <xf numFmtId="0" fontId="93" fillId="0" borderId="27" xfId="25" applyNumberFormat="1" applyFont="1" applyFill="1" applyBorder="1" applyAlignment="1">
      <alignment horizontal="left"/>
    </xf>
    <xf numFmtId="0" fontId="88" fillId="0" borderId="3" xfId="25" applyNumberFormat="1" applyFont="1" applyFill="1" applyBorder="1" applyAlignment="1"/>
    <xf numFmtId="0" fontId="91" fillId="0" borderId="3" xfId="25" applyNumberFormat="1" applyFont="1" applyFill="1" applyBorder="1" applyAlignment="1"/>
    <xf numFmtId="10" fontId="91" fillId="0" borderId="3" xfId="25" applyNumberFormat="1" applyFont="1" applyFill="1" applyBorder="1" applyAlignment="1"/>
    <xf numFmtId="10" fontId="91" fillId="0" borderId="6" xfId="25" applyNumberFormat="1" applyFont="1" applyFill="1" applyBorder="1" applyAlignment="1"/>
    <xf numFmtId="0" fontId="91" fillId="0" borderId="27" xfId="25" applyNumberFormat="1" applyFont="1" applyFill="1" applyBorder="1" applyAlignment="1">
      <alignment horizontal="left"/>
    </xf>
    <xf numFmtId="10" fontId="91" fillId="0" borderId="25" xfId="25" applyNumberFormat="1" applyFont="1" applyFill="1" applyBorder="1" applyAlignment="1"/>
    <xf numFmtId="0" fontId="91" fillId="0" borderId="25" xfId="25" applyNumberFormat="1" applyFont="1" applyFill="1" applyBorder="1" applyAlignment="1">
      <alignment horizontal="left"/>
    </xf>
    <xf numFmtId="0" fontId="88" fillId="0" borderId="25" xfId="25" applyNumberFormat="1" applyFont="1" applyFill="1" applyBorder="1" applyAlignment="1"/>
    <xf numFmtId="10" fontId="91" fillId="0" borderId="26" xfId="25" applyNumberFormat="1" applyFont="1" applyFill="1" applyBorder="1" applyAlignment="1"/>
    <xf numFmtId="10" fontId="91" fillId="0" borderId="27" xfId="25" applyNumberFormat="1" applyFont="1" applyFill="1" applyBorder="1" applyAlignment="1"/>
    <xf numFmtId="9" fontId="17" fillId="0" borderId="0" xfId="25" applyNumberFormat="1"/>
    <xf numFmtId="10" fontId="93" fillId="0" borderId="27" xfId="25" applyNumberFormat="1" applyFont="1" applyFill="1" applyBorder="1" applyAlignment="1"/>
    <xf numFmtId="9" fontId="17" fillId="0" borderId="0" xfId="27" applyFont="1"/>
    <xf numFmtId="0" fontId="91" fillId="0" borderId="24" xfId="25" applyNumberFormat="1" applyFont="1" applyFill="1" applyBorder="1" applyAlignment="1"/>
    <xf numFmtId="0" fontId="91" fillId="0" borderId="25" xfId="25" applyNumberFormat="1" applyFont="1" applyFill="1" applyBorder="1" applyAlignment="1"/>
    <xf numFmtId="10" fontId="94" fillId="11" borderId="26" xfId="25" applyNumberFormat="1" applyFont="1" applyFill="1" applyBorder="1" applyAlignment="1"/>
    <xf numFmtId="0" fontId="17" fillId="0" borderId="67" xfId="25" applyNumberFormat="1" applyFont="1" applyFill="1" applyBorder="1" applyAlignment="1">
      <alignment wrapText="1"/>
    </xf>
    <xf numFmtId="0" fontId="17" fillId="0" borderId="4" xfId="25" applyNumberFormat="1" applyFont="1" applyFill="1" applyBorder="1" applyAlignment="1">
      <alignment wrapText="1"/>
    </xf>
    <xf numFmtId="0" fontId="17" fillId="0" borderId="5" xfId="25" applyNumberFormat="1" applyFont="1" applyFill="1" applyBorder="1" applyAlignment="1">
      <alignment wrapText="1"/>
    </xf>
    <xf numFmtId="0" fontId="17" fillId="0" borderId="17" xfId="25" applyBorder="1" applyAlignment="1">
      <alignment vertical="center"/>
    </xf>
    <xf numFmtId="0" fontId="17" fillId="0" borderId="0" xfId="25" applyBorder="1"/>
    <xf numFmtId="0" fontId="17" fillId="0" borderId="0" xfId="25" applyBorder="1" applyAlignment="1">
      <alignment vertical="center"/>
    </xf>
    <xf numFmtId="10" fontId="96" fillId="0" borderId="18" xfId="25" applyNumberFormat="1" applyFont="1" applyFill="1" applyBorder="1" applyAlignment="1"/>
    <xf numFmtId="0" fontId="17" fillId="0" borderId="17" xfId="25" applyBorder="1"/>
    <xf numFmtId="0" fontId="17" fillId="0" borderId="18" xfId="25" applyBorder="1"/>
    <xf numFmtId="177" fontId="43" fillId="0" borderId="0" xfId="32" applyNumberFormat="1" applyFont="1" applyBorder="1" applyAlignment="1">
      <alignment horizontal="left" vertical="center"/>
    </xf>
    <xf numFmtId="0" fontId="17" fillId="0" borderId="23" xfId="25" applyBorder="1"/>
    <xf numFmtId="0" fontId="17" fillId="0" borderId="3" xfId="25" applyBorder="1"/>
    <xf numFmtId="0" fontId="17" fillId="0" borderId="6" xfId="25" applyBorder="1"/>
    <xf numFmtId="167" fontId="17" fillId="0" borderId="0" xfId="25" applyNumberFormat="1" applyFont="1"/>
    <xf numFmtId="167" fontId="46" fillId="3" borderId="27" xfId="26" applyFont="1" applyFill="1" applyBorder="1" applyAlignment="1">
      <alignment horizontal="center" vertical="center" wrapText="1"/>
    </xf>
    <xf numFmtId="10" fontId="0" fillId="0" borderId="0" xfId="24" applyNumberFormat="1" applyFont="1"/>
    <xf numFmtId="10" fontId="17" fillId="0" borderId="0" xfId="24" applyNumberFormat="1" applyFont="1"/>
    <xf numFmtId="10" fontId="17" fillId="0" borderId="0" xfId="25" applyNumberFormat="1" applyFont="1"/>
    <xf numFmtId="173" fontId="46" fillId="0" borderId="40" xfId="26" applyNumberFormat="1" applyFont="1" applyBorder="1" applyAlignment="1">
      <alignment vertical="center"/>
    </xf>
    <xf numFmtId="173" fontId="46" fillId="0" borderId="59" xfId="26" applyNumberFormat="1" applyFont="1" applyBorder="1" applyAlignment="1">
      <alignment vertical="center"/>
    </xf>
    <xf numFmtId="173" fontId="17" fillId="0" borderId="0" xfId="25" applyNumberFormat="1" applyFont="1"/>
    <xf numFmtId="173" fontId="17" fillId="0" borderId="0" xfId="25" applyNumberFormat="1" applyFont="1" applyBorder="1"/>
    <xf numFmtId="173" fontId="0" fillId="0" borderId="0" xfId="26" applyNumberFormat="1" applyFont="1"/>
    <xf numFmtId="173" fontId="0" fillId="0" borderId="27" xfId="26" applyNumberFormat="1" applyFont="1" applyBorder="1" applyAlignment="1">
      <alignment vertical="center"/>
    </xf>
    <xf numFmtId="202" fontId="0" fillId="0" borderId="27" xfId="28" applyNumberFormat="1" applyFont="1" applyBorder="1" applyAlignment="1">
      <alignment vertical="center"/>
    </xf>
    <xf numFmtId="173" fontId="0" fillId="0" borderId="47" xfId="26" applyNumberFormat="1" applyFont="1" applyBorder="1" applyAlignment="1">
      <alignment vertical="center"/>
    </xf>
    <xf numFmtId="173" fontId="0" fillId="0" borderId="47" xfId="26" applyNumberFormat="1" applyFont="1" applyFill="1" applyBorder="1" applyAlignment="1">
      <alignment vertical="center"/>
    </xf>
    <xf numFmtId="173" fontId="0" fillId="0" borderId="47" xfId="26" applyNumberFormat="1" applyFont="1" applyBorder="1" applyAlignment="1">
      <alignment horizontal="right" vertical="center"/>
    </xf>
    <xf numFmtId="9" fontId="46" fillId="0" borderId="59" xfId="25" applyNumberFormat="1" applyFont="1" applyBorder="1" applyAlignment="1">
      <alignment horizontal="center" vertical="center"/>
    </xf>
    <xf numFmtId="0" fontId="88" fillId="0" borderId="3" xfId="25" applyNumberFormat="1" applyFont="1" applyFill="1" applyBorder="1" applyAlignment="1">
      <alignment horizontal="center"/>
    </xf>
    <xf numFmtId="0" fontId="88" fillId="8" borderId="17" xfId="25" applyNumberFormat="1" applyFont="1" applyFill="1" applyBorder="1" applyAlignment="1"/>
    <xf numFmtId="0" fontId="88" fillId="8" borderId="0" xfId="25" applyNumberFormat="1" applyFont="1" applyFill="1" applyBorder="1" applyAlignment="1"/>
    <xf numFmtId="0" fontId="88" fillId="8" borderId="23" xfId="25" applyNumberFormat="1" applyFont="1" applyFill="1" applyBorder="1" applyAlignment="1"/>
    <xf numFmtId="0" fontId="88" fillId="8" borderId="3" xfId="25" applyNumberFormat="1" applyFont="1" applyFill="1" applyBorder="1" applyAlignment="1"/>
    <xf numFmtId="0" fontId="93" fillId="0" borderId="24" xfId="25" applyNumberFormat="1" applyFont="1" applyFill="1" applyBorder="1" applyAlignment="1"/>
    <xf numFmtId="0" fontId="92" fillId="0" borderId="25" xfId="25" applyNumberFormat="1" applyFont="1" applyFill="1" applyBorder="1" applyAlignment="1"/>
    <xf numFmtId="0" fontId="93" fillId="0" borderId="27" xfId="25" applyNumberFormat="1" applyFont="1" applyFill="1" applyBorder="1" applyAlignment="1">
      <alignment horizontal="left" vertical="center"/>
    </xf>
    <xf numFmtId="0" fontId="17" fillId="0" borderId="0" xfId="25" applyAlignment="1">
      <alignment vertical="center"/>
    </xf>
    <xf numFmtId="10" fontId="96" fillId="0" borderId="0" xfId="25" applyNumberFormat="1" applyFont="1" applyFill="1" applyAlignment="1"/>
    <xf numFmtId="177" fontId="43" fillId="0" borderId="0" xfId="33" applyNumberFormat="1" applyFont="1" applyBorder="1" applyAlignment="1">
      <alignment horizontal="left" vertical="center"/>
    </xf>
    <xf numFmtId="0" fontId="16" fillId="0" borderId="0" xfId="34"/>
    <xf numFmtId="0" fontId="16" fillId="0" borderId="0" xfId="34" applyAlignment="1">
      <alignment horizontal="center"/>
    </xf>
    <xf numFmtId="0" fontId="98" fillId="12" borderId="27" xfId="34" applyFont="1" applyFill="1" applyBorder="1" applyAlignment="1">
      <alignment horizontal="center"/>
    </xf>
    <xf numFmtId="0" fontId="16" fillId="0" borderId="0" xfId="34" applyFill="1"/>
    <xf numFmtId="0" fontId="99" fillId="0" borderId="27" xfId="34" applyFont="1" applyBorder="1" applyAlignment="1">
      <alignment horizontal="center" vertical="center"/>
    </xf>
    <xf numFmtId="0" fontId="100" fillId="0" borderId="27" xfId="34" applyFont="1" applyFill="1" applyBorder="1" applyAlignment="1">
      <alignment horizontal="left" vertical="center"/>
    </xf>
    <xf numFmtId="3" fontId="100" fillId="0" borderId="27" xfId="34" applyNumberFormat="1" applyFont="1" applyFill="1" applyBorder="1" applyAlignment="1">
      <alignment horizontal="center" vertical="center"/>
    </xf>
    <xf numFmtId="165" fontId="99" fillId="0" borderId="27" xfId="35" applyFont="1" applyBorder="1" applyAlignment="1">
      <alignment horizontal="justify" vertical="center"/>
    </xf>
    <xf numFmtId="0" fontId="99" fillId="0" borderId="27" xfId="34" applyFont="1" applyFill="1" applyBorder="1" applyAlignment="1">
      <alignment horizontal="center" vertical="center"/>
    </xf>
    <xf numFmtId="165" fontId="99" fillId="0" borderId="27" xfId="35" applyFont="1" applyFill="1" applyBorder="1" applyAlignment="1">
      <alignment horizontal="justify" vertical="center"/>
    </xf>
    <xf numFmtId="0" fontId="100" fillId="0" borderId="27" xfId="34" applyFont="1" applyFill="1" applyBorder="1" applyAlignment="1">
      <alignment horizontal="justify" vertical="center" wrapText="1"/>
    </xf>
    <xf numFmtId="0" fontId="16" fillId="0" borderId="0" xfId="34" applyAlignment="1">
      <alignment horizontal="justify" vertical="center"/>
    </xf>
    <xf numFmtId="0" fontId="100" fillId="0" borderId="27" xfId="34" applyFont="1" applyFill="1" applyBorder="1" applyAlignment="1">
      <alignment horizontal="justify" vertical="center"/>
    </xf>
    <xf numFmtId="0" fontId="32" fillId="0" borderId="0" xfId="12" applyFont="1"/>
    <xf numFmtId="177" fontId="44" fillId="0" borderId="0" xfId="36" applyNumberFormat="1" applyFont="1" applyBorder="1" applyAlignment="1">
      <alignment horizontal="left" vertical="center"/>
    </xf>
    <xf numFmtId="0" fontId="100" fillId="0" borderId="0" xfId="12" applyFont="1" applyBorder="1"/>
    <xf numFmtId="0" fontId="101" fillId="13" borderId="27" xfId="34" applyFont="1" applyFill="1" applyBorder="1" applyAlignment="1">
      <alignment horizontal="center" vertical="center"/>
    </xf>
    <xf numFmtId="165" fontId="0" fillId="0" borderId="0" xfId="36" applyFont="1"/>
    <xf numFmtId="0" fontId="99" fillId="0" borderId="27" xfId="34" applyFont="1" applyFill="1" applyBorder="1" applyAlignment="1">
      <alignment vertical="center"/>
    </xf>
    <xf numFmtId="165" fontId="99" fillId="0" borderId="27" xfId="36" applyFont="1" applyFill="1" applyBorder="1" applyAlignment="1">
      <alignment horizontal="center" vertical="center"/>
    </xf>
    <xf numFmtId="177" fontId="85" fillId="0" borderId="0" xfId="36" applyNumberFormat="1" applyFont="1" applyBorder="1" applyAlignment="1">
      <alignment horizontal="left" vertical="center"/>
    </xf>
    <xf numFmtId="0" fontId="79" fillId="0" borderId="0" xfId="12" applyFont="1" applyBorder="1"/>
    <xf numFmtId="0" fontId="0" fillId="8" borderId="0" xfId="0" applyFill="1" applyBorder="1" applyAlignment="1">
      <alignment horizontal="justify" vertical="top" wrapText="1"/>
    </xf>
    <xf numFmtId="0" fontId="0" fillId="8" borderId="0" xfId="0" applyFill="1" applyBorder="1"/>
    <xf numFmtId="0" fontId="102" fillId="8" borderId="0" xfId="0" applyFont="1" applyFill="1" applyBorder="1" applyAlignment="1">
      <alignment horizontal="center" vertical="center"/>
    </xf>
    <xf numFmtId="0" fontId="46" fillId="8" borderId="0" xfId="0" applyFont="1" applyFill="1" applyBorder="1" applyAlignment="1">
      <alignment horizontal="center" vertical="center"/>
    </xf>
    <xf numFmtId="0" fontId="15" fillId="0" borderId="7" xfId="16" applyFont="1" applyBorder="1" applyAlignment="1">
      <alignment horizontal="right"/>
    </xf>
    <xf numFmtId="0" fontId="48" fillId="6" borderId="15" xfId="16" applyFont="1" applyFill="1" applyBorder="1" applyAlignment="1">
      <alignment horizontal="center" vertical="center"/>
    </xf>
    <xf numFmtId="0" fontId="48" fillId="6" borderId="1" xfId="16" applyFont="1" applyFill="1" applyBorder="1" applyAlignment="1">
      <alignment horizontal="center" vertical="center"/>
    </xf>
    <xf numFmtId="0" fontId="48" fillId="6" borderId="16" xfId="16" applyFont="1" applyFill="1" applyBorder="1" applyAlignment="1">
      <alignment horizontal="center" vertical="center"/>
    </xf>
    <xf numFmtId="0" fontId="30" fillId="0" borderId="0" xfId="12" applyFont="1" applyBorder="1" applyAlignment="1">
      <alignment horizontal="center" vertical="center"/>
    </xf>
    <xf numFmtId="0" fontId="27" fillId="0" borderId="7" xfId="7" applyFont="1" applyBorder="1" applyAlignment="1">
      <alignment horizontal="center"/>
    </xf>
    <xf numFmtId="0" fontId="27" fillId="0" borderId="7" xfId="12" applyFont="1" applyBorder="1" applyAlignment="1">
      <alignment horizontal="center"/>
    </xf>
    <xf numFmtId="4" fontId="0" fillId="0" borderId="7" xfId="0" applyNumberFormat="1" applyBorder="1" applyAlignment="1">
      <alignment horizontal="center"/>
    </xf>
    <xf numFmtId="0" fontId="14" fillId="0" borderId="7" xfId="16" applyFont="1" applyBorder="1" applyAlignment="1">
      <alignment horizontal="right" wrapText="1"/>
    </xf>
    <xf numFmtId="4" fontId="0" fillId="0" borderId="7" xfId="0" applyNumberFormat="1" applyBorder="1" applyAlignment="1">
      <alignment horizontal="justify" wrapText="1"/>
    </xf>
    <xf numFmtId="172" fontId="0" fillId="0" borderId="7" xfId="0" applyNumberFormat="1" applyBorder="1" applyAlignment="1">
      <alignment horizontal="center" vertical="center"/>
    </xf>
    <xf numFmtId="0" fontId="23" fillId="0" borderId="7" xfId="0" applyFont="1" applyBorder="1" applyAlignment="1">
      <alignment horizontal="center" vertical="center"/>
    </xf>
    <xf numFmtId="0" fontId="13" fillId="0" borderId="7" xfId="16" applyFont="1" applyBorder="1" applyAlignment="1">
      <alignment horizontal="right" wrapText="1"/>
    </xf>
    <xf numFmtId="4" fontId="13" fillId="0" borderId="7" xfId="16" applyNumberFormat="1" applyFont="1" applyBorder="1" applyAlignment="1">
      <alignment horizontal="center" vertical="center"/>
    </xf>
    <xf numFmtId="0" fontId="27" fillId="0" borderId="7" xfId="12" applyFont="1" applyBorder="1" applyAlignment="1">
      <alignment horizontal="center"/>
    </xf>
    <xf numFmtId="0" fontId="27" fillId="0" borderId="7" xfId="7" applyFont="1" applyBorder="1" applyAlignment="1">
      <alignment horizontal="center"/>
    </xf>
    <xf numFmtId="170" fontId="27" fillId="0" borderId="20" xfId="12" applyNumberFormat="1" applyFont="1" applyBorder="1" applyAlignment="1"/>
    <xf numFmtId="2" fontId="27" fillId="0" borderId="7" xfId="12" applyNumberFormat="1" applyFont="1" applyBorder="1" applyAlignment="1">
      <alignment horizontal="right"/>
    </xf>
    <xf numFmtId="0" fontId="12" fillId="0" borderId="36" xfId="25" applyFont="1" applyBorder="1" applyAlignment="1">
      <alignment horizontal="justify" vertical="center" wrapText="1"/>
    </xf>
    <xf numFmtId="0" fontId="11" fillId="0" borderId="7" xfId="16" applyFont="1" applyBorder="1" applyAlignment="1">
      <alignment horizontal="right"/>
    </xf>
    <xf numFmtId="0" fontId="11" fillId="0" borderId="7" xfId="16" applyFont="1" applyBorder="1" applyAlignment="1">
      <alignment horizontal="right" wrapText="1"/>
    </xf>
    <xf numFmtId="4" fontId="11" fillId="0" borderId="7" xfId="16" applyNumberFormat="1" applyFont="1" applyBorder="1" applyAlignment="1">
      <alignment horizontal="center" vertical="center"/>
    </xf>
    <xf numFmtId="0" fontId="10" fillId="0" borderId="7" xfId="16" applyFont="1" applyBorder="1" applyAlignment="1">
      <alignment horizontal="right" wrapText="1"/>
    </xf>
    <xf numFmtId="0" fontId="10" fillId="0" borderId="0" xfId="16" applyFont="1"/>
    <xf numFmtId="0" fontId="53" fillId="0" borderId="27" xfId="12" applyFont="1" applyFill="1" applyBorder="1" applyAlignment="1">
      <alignment horizontal="left" vertical="center" wrapText="1"/>
    </xf>
    <xf numFmtId="0" fontId="53" fillId="0" borderId="27" xfId="12" applyFont="1" applyFill="1" applyBorder="1" applyAlignment="1">
      <alignment vertical="center"/>
    </xf>
    <xf numFmtId="0" fontId="53" fillId="0" borderId="27" xfId="12" applyFont="1" applyFill="1" applyBorder="1" applyAlignment="1">
      <alignment vertical="center" wrapText="1"/>
    </xf>
    <xf numFmtId="185" fontId="103" fillId="0" borderId="0" xfId="12" applyNumberFormat="1" applyFont="1"/>
    <xf numFmtId="0" fontId="70" fillId="0" borderId="27" xfId="12" applyFont="1" applyBorder="1" applyAlignment="1">
      <alignment horizontal="center" vertical="center" wrapText="1"/>
    </xf>
    <xf numFmtId="173" fontId="0" fillId="0" borderId="24" xfId="26" applyNumberFormat="1" applyFont="1" applyBorder="1" applyAlignment="1">
      <alignment horizontal="center" vertical="center" wrapText="1"/>
    </xf>
    <xf numFmtId="173" fontId="0" fillId="0" borderId="26" xfId="26" applyNumberFormat="1" applyFont="1" applyBorder="1" applyAlignment="1">
      <alignment horizontal="center" vertical="center" wrapText="1"/>
    </xf>
    <xf numFmtId="0" fontId="9" fillId="0" borderId="7" xfId="16" applyFont="1" applyBorder="1" applyAlignment="1">
      <alignment horizontal="right" vertical="center"/>
    </xf>
    <xf numFmtId="0" fontId="9" fillId="0" borderId="7" xfId="16" applyFont="1" applyBorder="1" applyAlignment="1">
      <alignment vertical="center"/>
    </xf>
    <xf numFmtId="4" fontId="22" fillId="0" borderId="0" xfId="16" applyNumberFormat="1"/>
    <xf numFmtId="0" fontId="27" fillId="0" borderId="7" xfId="7" applyFont="1" applyBorder="1" applyAlignment="1">
      <alignment horizontal="center"/>
    </xf>
    <xf numFmtId="0" fontId="27" fillId="0" borderId="7" xfId="12" applyFont="1" applyBorder="1" applyAlignment="1">
      <alignment horizontal="center"/>
    </xf>
    <xf numFmtId="0" fontId="8" fillId="0" borderId="7" xfId="16" applyFont="1" applyBorder="1" applyAlignment="1">
      <alignment horizontal="right" vertical="center"/>
    </xf>
    <xf numFmtId="0" fontId="8" fillId="0" borderId="7" xfId="16" applyFont="1" applyBorder="1" applyAlignment="1">
      <alignment vertical="center"/>
    </xf>
    <xf numFmtId="0" fontId="8" fillId="0" borderId="7" xfId="16" applyFont="1" applyBorder="1" applyAlignment="1">
      <alignment horizontal="right" vertical="center" wrapText="1"/>
    </xf>
    <xf numFmtId="0" fontId="104" fillId="0" borderId="7" xfId="16" applyFont="1" applyBorder="1" applyAlignment="1">
      <alignment horizontal="right" vertical="center" wrapText="1"/>
    </xf>
    <xf numFmtId="4" fontId="104" fillId="0" borderId="7" xfId="16" applyNumberFormat="1" applyFont="1" applyBorder="1" applyAlignment="1">
      <alignment vertical="center"/>
    </xf>
    <xf numFmtId="0" fontId="104" fillId="0" borderId="7" xfId="16" applyFont="1" applyBorder="1" applyAlignment="1">
      <alignment vertical="center"/>
    </xf>
    <xf numFmtId="4" fontId="8" fillId="0" borderId="7" xfId="16" applyNumberFormat="1" applyFont="1" applyBorder="1" applyAlignment="1">
      <alignment vertical="center"/>
    </xf>
    <xf numFmtId="2" fontId="8" fillId="0" borderId="7" xfId="16" applyNumberFormat="1" applyFont="1" applyBorder="1" applyAlignment="1">
      <alignment vertical="center"/>
    </xf>
    <xf numFmtId="2" fontId="22" fillId="0" borderId="7" xfId="16" applyNumberFormat="1" applyBorder="1" applyAlignment="1">
      <alignment horizontal="right" vertical="center" wrapText="1"/>
    </xf>
    <xf numFmtId="2" fontId="19" fillId="0" borderId="7" xfId="16" applyNumberFormat="1" applyFont="1" applyBorder="1" applyAlignment="1">
      <alignment horizontal="right" vertical="center" wrapText="1"/>
    </xf>
    <xf numFmtId="0" fontId="8" fillId="0" borderId="7" xfId="16" applyFont="1" applyBorder="1" applyAlignment="1">
      <alignment horizontal="right" wrapText="1"/>
    </xf>
    <xf numFmtId="0" fontId="22" fillId="0" borderId="0" xfId="16" applyAlignment="1"/>
    <xf numFmtId="0" fontId="8" fillId="0" borderId="7" xfId="16" applyFont="1" applyBorder="1" applyAlignment="1">
      <alignment horizontal="center" vertical="center"/>
    </xf>
    <xf numFmtId="4" fontId="8" fillId="0" borderId="7" xfId="16" applyNumberFormat="1" applyFont="1" applyBorder="1" applyAlignment="1">
      <alignment horizontal="right" vertical="center"/>
    </xf>
    <xf numFmtId="170" fontId="28" fillId="0" borderId="0" xfId="12" applyNumberFormat="1" applyFont="1"/>
    <xf numFmtId="0" fontId="27" fillId="0" borderId="7" xfId="7" applyFont="1" applyBorder="1" applyAlignment="1">
      <alignment horizontal="center"/>
    </xf>
    <xf numFmtId="0" fontId="27" fillId="0" borderId="7" xfId="12" applyFont="1" applyBorder="1" applyAlignment="1">
      <alignment horizontal="center"/>
    </xf>
    <xf numFmtId="4" fontId="27" fillId="0" borderId="0" xfId="12" applyNumberFormat="1" applyFont="1"/>
    <xf numFmtId="204" fontId="32" fillId="0" borderId="0" xfId="12" applyNumberFormat="1" applyFont="1" applyBorder="1" applyAlignment="1">
      <alignment vertical="center"/>
    </xf>
    <xf numFmtId="196" fontId="32" fillId="0" borderId="0" xfId="7" applyNumberFormat="1" applyFont="1" applyBorder="1" applyAlignment="1">
      <alignment vertical="center"/>
    </xf>
    <xf numFmtId="0" fontId="105" fillId="0" borderId="0" xfId="12" applyFont="1"/>
    <xf numFmtId="0" fontId="105" fillId="0" borderId="31" xfId="12" applyFont="1" applyBorder="1"/>
    <xf numFmtId="0" fontId="105" fillId="0" borderId="0" xfId="12" applyFont="1" applyBorder="1"/>
    <xf numFmtId="0" fontId="105" fillId="0" borderId="0" xfId="12" applyFont="1" applyBorder="1" applyAlignment="1">
      <alignment horizontal="center"/>
    </xf>
    <xf numFmtId="0" fontId="105" fillId="0" borderId="32" xfId="12" applyFont="1" applyBorder="1"/>
    <xf numFmtId="0" fontId="105" fillId="0" borderId="0" xfId="12" applyFont="1" applyBorder="1" applyAlignment="1">
      <alignment horizontal="left" vertical="center" wrapText="1"/>
    </xf>
    <xf numFmtId="0" fontId="105" fillId="0" borderId="0" xfId="12" applyFont="1" applyAlignment="1">
      <alignment horizontal="center"/>
    </xf>
    <xf numFmtId="0" fontId="105" fillId="0" borderId="0" xfId="12" applyFont="1" applyBorder="1" applyAlignment="1">
      <alignment horizontal="right" vertical="center"/>
    </xf>
    <xf numFmtId="0" fontId="105" fillId="0" borderId="0" xfId="12" applyFont="1" applyBorder="1" applyAlignment="1">
      <alignment horizontal="left" vertical="center"/>
    </xf>
    <xf numFmtId="0" fontId="105" fillId="0" borderId="0" xfId="12" applyFont="1" applyBorder="1" applyAlignment="1">
      <alignment vertical="center"/>
    </xf>
    <xf numFmtId="4" fontId="105" fillId="0" borderId="7" xfId="12" applyNumberFormat="1" applyFont="1" applyBorder="1" applyAlignment="1"/>
    <xf numFmtId="0" fontId="105" fillId="0" borderId="7" xfId="12" applyFont="1" applyBorder="1" applyAlignment="1">
      <alignment horizontal="center"/>
    </xf>
    <xf numFmtId="170" fontId="105" fillId="0" borderId="7" xfId="12" applyNumberFormat="1" applyFont="1" applyBorder="1" applyAlignment="1">
      <alignment horizontal="center"/>
    </xf>
    <xf numFmtId="181" fontId="105" fillId="0" borderId="7" xfId="12" applyNumberFormat="1" applyFont="1" applyBorder="1" applyAlignment="1">
      <alignment horizontal="center"/>
    </xf>
    <xf numFmtId="170" fontId="105" fillId="0" borderId="51" xfId="12" applyNumberFormat="1" applyFont="1" applyBorder="1" applyAlignment="1"/>
    <xf numFmtId="0" fontId="105" fillId="0" borderId="0" xfId="12" applyFont="1" applyBorder="1" applyAlignment="1">
      <alignment horizontal="center" vertical="center"/>
    </xf>
    <xf numFmtId="0" fontId="105" fillId="0" borderId="7" xfId="12" applyFont="1" applyBorder="1" applyAlignment="1"/>
    <xf numFmtId="2" fontId="105" fillId="0" borderId="7" xfId="12" applyNumberFormat="1" applyFont="1" applyBorder="1" applyAlignment="1">
      <alignment horizontal="center"/>
    </xf>
    <xf numFmtId="0" fontId="106" fillId="0" borderId="0" xfId="12" applyFont="1" applyBorder="1" applyAlignment="1">
      <alignment vertical="center"/>
    </xf>
    <xf numFmtId="171" fontId="105" fillId="0" borderId="0" xfId="12" applyNumberFormat="1" applyFont="1" applyBorder="1" applyAlignment="1">
      <alignment horizontal="center" vertical="center"/>
    </xf>
    <xf numFmtId="174" fontId="105" fillId="0" borderId="0" xfId="12" applyNumberFormat="1" applyFont="1" applyBorder="1" applyAlignment="1">
      <alignment horizontal="center" vertical="center"/>
    </xf>
    <xf numFmtId="171" fontId="105" fillId="0" borderId="0" xfId="12" applyNumberFormat="1" applyFont="1" applyBorder="1" applyAlignment="1">
      <alignment vertical="center"/>
    </xf>
    <xf numFmtId="171" fontId="105" fillId="0" borderId="0" xfId="12" applyNumberFormat="1" applyFont="1" applyBorder="1" applyAlignment="1">
      <alignment horizontal="right" vertical="center"/>
    </xf>
    <xf numFmtId="1" fontId="105" fillId="0" borderId="7" xfId="12" applyNumberFormat="1" applyFont="1" applyBorder="1" applyAlignment="1">
      <alignment horizontal="center"/>
    </xf>
    <xf numFmtId="4" fontId="105" fillId="0" borderId="0" xfId="12" applyNumberFormat="1" applyFont="1" applyBorder="1" applyAlignment="1">
      <alignment horizontal="center" vertical="center"/>
    </xf>
    <xf numFmtId="0" fontId="106" fillId="0" borderId="7" xfId="12" applyFont="1" applyBorder="1"/>
    <xf numFmtId="0" fontId="105" fillId="0" borderId="7" xfId="12" applyFont="1" applyBorder="1"/>
    <xf numFmtId="170" fontId="105" fillId="0" borderId="7" xfId="12" applyNumberFormat="1" applyFont="1" applyBorder="1"/>
    <xf numFmtId="170" fontId="106" fillId="0" borderId="51" xfId="12" applyNumberFormat="1" applyFont="1" applyBorder="1" applyAlignment="1">
      <alignment horizontal="center"/>
    </xf>
    <xf numFmtId="0" fontId="105" fillId="0" borderId="0" xfId="12" applyFont="1" applyFill="1" applyBorder="1" applyAlignment="1">
      <alignment vertical="justify" wrapText="1"/>
    </xf>
    <xf numFmtId="0" fontId="105" fillId="0" borderId="0" xfId="12" applyFont="1" applyFill="1" applyBorder="1" applyAlignment="1">
      <alignment horizontal="center"/>
    </xf>
    <xf numFmtId="172" fontId="105" fillId="0" borderId="0" xfId="13" applyNumberFormat="1" applyFont="1" applyFill="1" applyBorder="1" applyAlignment="1">
      <alignment horizontal="center"/>
    </xf>
    <xf numFmtId="175" fontId="105" fillId="0" borderId="0" xfId="12" applyNumberFormat="1" applyFont="1" applyFill="1" applyBorder="1"/>
    <xf numFmtId="0" fontId="106" fillId="0" borderId="0" xfId="12" applyFont="1" applyBorder="1"/>
    <xf numFmtId="2" fontId="105" fillId="0" borderId="0" xfId="13" applyNumberFormat="1" applyFont="1" applyFill="1" applyBorder="1" applyAlignment="1">
      <alignment horizontal="center"/>
    </xf>
    <xf numFmtId="0" fontId="105" fillId="0" borderId="7" xfId="12" applyFont="1" applyFill="1" applyBorder="1" applyAlignment="1">
      <alignment horizontal="center"/>
    </xf>
    <xf numFmtId="181" fontId="105" fillId="0" borderId="7" xfId="13" applyNumberFormat="1" applyFont="1" applyFill="1" applyBorder="1" applyAlignment="1">
      <alignment horizontal="center"/>
    </xf>
    <xf numFmtId="170" fontId="105" fillId="0" borderId="7" xfId="12" applyNumberFormat="1" applyFont="1" applyBorder="1" applyAlignment="1">
      <alignment horizontal="right" vertical="center"/>
    </xf>
    <xf numFmtId="170" fontId="105" fillId="0" borderId="51" xfId="12" applyNumberFormat="1" applyFont="1" applyBorder="1" applyAlignment="1">
      <alignment horizontal="right" vertical="center"/>
    </xf>
    <xf numFmtId="49" fontId="105" fillId="0" borderId="7" xfId="12" applyNumberFormat="1" applyFont="1" applyFill="1" applyBorder="1" applyAlignment="1">
      <alignment horizontal="center"/>
    </xf>
    <xf numFmtId="170" fontId="105" fillId="0" borderId="7" xfId="12" applyNumberFormat="1" applyFont="1" applyBorder="1" applyAlignment="1">
      <alignment horizontal="right"/>
    </xf>
    <xf numFmtId="4" fontId="105" fillId="0" borderId="0" xfId="12" applyNumberFormat="1" applyFont="1" applyBorder="1" applyAlignment="1">
      <alignment horizontal="center"/>
    </xf>
    <xf numFmtId="3" fontId="105" fillId="0" borderId="0" xfId="12" applyNumberFormat="1" applyFont="1" applyBorder="1" applyAlignment="1">
      <alignment horizontal="right"/>
    </xf>
    <xf numFmtId="2" fontId="105" fillId="0" borderId="7" xfId="13" applyNumberFormat="1" applyFont="1" applyFill="1" applyBorder="1" applyAlignment="1">
      <alignment horizontal="center"/>
    </xf>
    <xf numFmtId="183" fontId="105" fillId="0" borderId="7" xfId="13" applyNumberFormat="1" applyFont="1" applyFill="1" applyBorder="1" applyAlignment="1">
      <alignment horizontal="center"/>
    </xf>
    <xf numFmtId="176" fontId="105" fillId="0" borderId="0" xfId="12" applyNumberFormat="1" applyFont="1" applyBorder="1" applyAlignment="1">
      <alignment horizontal="center"/>
    </xf>
    <xf numFmtId="3" fontId="105" fillId="0" borderId="0" xfId="12" applyNumberFormat="1" applyFont="1" applyBorder="1" applyAlignment="1">
      <alignment horizontal="center"/>
    </xf>
    <xf numFmtId="4" fontId="105" fillId="0" borderId="7" xfId="12" applyNumberFormat="1" applyFont="1" applyBorder="1" applyAlignment="1">
      <alignment horizontal="center"/>
    </xf>
    <xf numFmtId="4" fontId="105" fillId="0" borderId="0" xfId="12" applyNumberFormat="1" applyFont="1" applyBorder="1" applyAlignment="1"/>
    <xf numFmtId="174" fontId="105" fillId="0" borderId="0" xfId="12" applyNumberFormat="1" applyFont="1" applyBorder="1" applyAlignment="1">
      <alignment vertical="center"/>
    </xf>
    <xf numFmtId="0" fontId="105" fillId="0" borderId="50" xfId="12" applyFont="1" applyBorder="1" applyAlignment="1">
      <alignment vertical="center"/>
    </xf>
    <xf numFmtId="170" fontId="105" fillId="0" borderId="7" xfId="12" applyNumberFormat="1" applyFont="1" applyBorder="1" applyAlignment="1">
      <alignment horizontal="center" vertical="center"/>
    </xf>
    <xf numFmtId="10" fontId="105" fillId="0" borderId="7" xfId="12" applyNumberFormat="1" applyFont="1" applyBorder="1" applyAlignment="1">
      <alignment horizontal="center" vertical="center"/>
    </xf>
    <xf numFmtId="171" fontId="105" fillId="0" borderId="7" xfId="12" applyNumberFormat="1" applyFont="1" applyBorder="1" applyAlignment="1">
      <alignment horizontal="center" vertical="center"/>
    </xf>
    <xf numFmtId="170" fontId="105" fillId="0" borderId="7" xfId="12" applyNumberFormat="1" applyFont="1" applyBorder="1" applyAlignment="1">
      <alignment vertical="center"/>
    </xf>
    <xf numFmtId="4" fontId="105" fillId="0" borderId="7" xfId="12" applyNumberFormat="1" applyFont="1" applyBorder="1" applyAlignment="1">
      <alignment horizontal="center" vertical="center"/>
    </xf>
    <xf numFmtId="0" fontId="105" fillId="0" borderId="50" xfId="12" applyFont="1" applyBorder="1"/>
    <xf numFmtId="0" fontId="105" fillId="0" borderId="51" xfId="12" applyFont="1" applyBorder="1"/>
    <xf numFmtId="4" fontId="105" fillId="0" borderId="0" xfId="12" applyNumberFormat="1" applyFont="1" applyBorder="1" applyAlignment="1">
      <alignment vertical="center"/>
    </xf>
    <xf numFmtId="4" fontId="105" fillId="0" borderId="7" xfId="12" applyNumberFormat="1" applyFont="1" applyBorder="1" applyAlignment="1">
      <alignment vertical="center"/>
    </xf>
    <xf numFmtId="4" fontId="105" fillId="0" borderId="51" xfId="12" applyNumberFormat="1" applyFont="1" applyBorder="1" applyAlignment="1">
      <alignment horizontal="right" vertical="center"/>
    </xf>
    <xf numFmtId="0" fontId="106" fillId="0" borderId="50" xfId="12" applyFont="1" applyBorder="1" applyAlignment="1">
      <alignment vertical="center"/>
    </xf>
    <xf numFmtId="0" fontId="106" fillId="0" borderId="7" xfId="12" applyFont="1" applyBorder="1" applyAlignment="1">
      <alignment vertical="center"/>
    </xf>
    <xf numFmtId="170" fontId="106" fillId="0" borderId="51" xfId="12" applyNumberFormat="1" applyFont="1" applyBorder="1" applyAlignment="1">
      <alignment horizontal="center" vertical="center"/>
    </xf>
    <xf numFmtId="171" fontId="106" fillId="0" borderId="0" xfId="12" applyNumberFormat="1" applyFont="1" applyBorder="1" applyAlignment="1">
      <alignment vertical="center"/>
    </xf>
    <xf numFmtId="171" fontId="106" fillId="0" borderId="0" xfId="12" applyNumberFormat="1" applyFont="1" applyBorder="1" applyAlignment="1">
      <alignment horizontal="right" vertical="center"/>
    </xf>
    <xf numFmtId="170" fontId="108" fillId="0" borderId="51" xfId="22" applyNumberFormat="1" applyFont="1" applyBorder="1" applyAlignment="1">
      <alignment horizontal="center"/>
    </xf>
    <xf numFmtId="170" fontId="105" fillId="0" borderId="0" xfId="12" applyNumberFormat="1" applyFont="1" applyBorder="1" applyAlignment="1">
      <alignment vertical="center"/>
    </xf>
    <xf numFmtId="170" fontId="105" fillId="0" borderId="0" xfId="12" applyNumberFormat="1" applyFont="1" applyBorder="1" applyAlignment="1">
      <alignment horizontal="center" vertical="center"/>
    </xf>
    <xf numFmtId="0" fontId="107" fillId="0" borderId="0" xfId="12" applyFont="1" applyBorder="1" applyAlignment="1">
      <alignment horizontal="left" vertical="center"/>
    </xf>
    <xf numFmtId="170" fontId="108" fillId="0" borderId="32" xfId="22" applyNumberFormat="1" applyFont="1" applyBorder="1" applyAlignment="1">
      <alignment horizontal="center"/>
    </xf>
    <xf numFmtId="0" fontId="107" fillId="0" borderId="0" xfId="12" applyFont="1" applyBorder="1"/>
    <xf numFmtId="0" fontId="109" fillId="0" borderId="0" xfId="12" applyFont="1" applyBorder="1"/>
    <xf numFmtId="0" fontId="105" fillId="0" borderId="33" xfId="12" applyFont="1" applyBorder="1"/>
    <xf numFmtId="0" fontId="105" fillId="0" borderId="34" xfId="12" applyFont="1" applyBorder="1"/>
    <xf numFmtId="0" fontId="105" fillId="0" borderId="34" xfId="12" applyFont="1" applyBorder="1" applyAlignment="1">
      <alignment horizontal="center"/>
    </xf>
    <xf numFmtId="0" fontId="107" fillId="0" borderId="34" xfId="12" applyFont="1" applyBorder="1"/>
    <xf numFmtId="0" fontId="109" fillId="0" borderId="34" xfId="12" applyFont="1" applyBorder="1"/>
    <xf numFmtId="170" fontId="108" fillId="0" borderId="35" xfId="22" applyNumberFormat="1" applyFont="1" applyBorder="1" applyAlignment="1">
      <alignment horizontal="center"/>
    </xf>
    <xf numFmtId="0" fontId="105" fillId="0" borderId="0" xfId="12" applyFont="1" applyBorder="1" applyAlignment="1"/>
    <xf numFmtId="0" fontId="105" fillId="0" borderId="31" xfId="12" applyFont="1" applyBorder="1" applyAlignment="1"/>
    <xf numFmtId="0" fontId="7" fillId="0" borderId="7" xfId="16" applyFont="1" applyBorder="1" applyAlignment="1">
      <alignment horizontal="right"/>
    </xf>
    <xf numFmtId="2" fontId="30" fillId="0" borderId="7" xfId="12" applyNumberFormat="1" applyFont="1" applyFill="1" applyBorder="1" applyAlignment="1" applyProtection="1">
      <alignment horizontal="center"/>
    </xf>
    <xf numFmtId="181" fontId="7" fillId="0" borderId="7" xfId="16" applyNumberFormat="1" applyFont="1" applyBorder="1" applyAlignment="1">
      <alignment horizontal="right"/>
    </xf>
    <xf numFmtId="0" fontId="7" fillId="0" borderId="7" xfId="16" applyFont="1" applyBorder="1" applyAlignment="1">
      <alignment horizontal="right" wrapText="1"/>
    </xf>
    <xf numFmtId="0" fontId="48" fillId="6" borderId="15" xfId="16" applyFont="1" applyFill="1" applyBorder="1" applyAlignment="1">
      <alignment horizontal="center" vertical="center"/>
    </xf>
    <xf numFmtId="0" fontId="48" fillId="6" borderId="1" xfId="16" applyFont="1" applyFill="1" applyBorder="1" applyAlignment="1">
      <alignment horizontal="center" vertical="center"/>
    </xf>
    <xf numFmtId="0" fontId="48" fillId="6" borderId="16" xfId="16" applyFont="1" applyFill="1" applyBorder="1" applyAlignment="1">
      <alignment horizontal="center" vertical="center"/>
    </xf>
    <xf numFmtId="0" fontId="30" fillId="0" borderId="0" xfId="12" applyFont="1" applyBorder="1" applyAlignment="1">
      <alignment horizontal="center" vertical="center"/>
    </xf>
    <xf numFmtId="0" fontId="27" fillId="0" borderId="7" xfId="7" applyFont="1" applyBorder="1" applyAlignment="1">
      <alignment horizontal="center"/>
    </xf>
    <xf numFmtId="0" fontId="6" fillId="0" borderId="7" xfId="16" applyFont="1" applyBorder="1" applyAlignment="1">
      <alignment horizontal="right" wrapText="1"/>
    </xf>
    <xf numFmtId="4" fontId="6" fillId="0" borderId="7" xfId="16" applyNumberFormat="1" applyFont="1" applyBorder="1" applyAlignment="1">
      <alignment horizontal="center" vertical="center"/>
    </xf>
    <xf numFmtId="0" fontId="6" fillId="0" borderId="7" xfId="16" applyFont="1" applyBorder="1" applyAlignment="1">
      <alignment horizontal="right"/>
    </xf>
    <xf numFmtId="0" fontId="33" fillId="0" borderId="50" xfId="7" applyNumberFormat="1" applyFont="1" applyBorder="1" applyAlignment="1">
      <alignment horizontal="center" vertical="center"/>
    </xf>
    <xf numFmtId="172" fontId="48" fillId="6" borderId="7" xfId="16" applyNumberFormat="1" applyFont="1" applyFill="1" applyBorder="1" applyAlignment="1">
      <alignment horizontal="right" vertical="center"/>
    </xf>
    <xf numFmtId="0" fontId="46" fillId="0" borderId="37" xfId="25" applyFont="1" applyBorder="1" applyAlignment="1">
      <alignment vertical="center" wrapText="1"/>
    </xf>
    <xf numFmtId="0" fontId="46" fillId="0" borderId="25" xfId="25" applyFont="1" applyBorder="1" applyAlignment="1">
      <alignment vertical="center" wrapText="1"/>
    </xf>
    <xf numFmtId="0" fontId="46" fillId="0" borderId="46" xfId="25" applyFont="1" applyBorder="1" applyAlignment="1">
      <alignment vertical="center" wrapText="1"/>
    </xf>
    <xf numFmtId="0" fontId="46" fillId="0" borderId="15" xfId="16" applyFont="1" applyBorder="1" applyAlignment="1">
      <alignment horizontal="center" vertical="center" wrapText="1"/>
    </xf>
    <xf numFmtId="4" fontId="48" fillId="0" borderId="1" xfId="16" applyNumberFormat="1" applyFont="1" applyBorder="1" applyAlignment="1">
      <alignment horizontal="center" vertical="center"/>
    </xf>
    <xf numFmtId="12" fontId="46" fillId="0" borderId="7" xfId="16" applyNumberFormat="1" applyFont="1" applyBorder="1" applyAlignment="1">
      <alignment horizontal="center" vertical="center" wrapText="1"/>
    </xf>
    <xf numFmtId="0" fontId="5" fillId="0" borderId="0" xfId="16" applyFont="1" applyAlignment="1">
      <alignment horizontal="center" vertical="center"/>
    </xf>
    <xf numFmtId="1" fontId="22" fillId="0" borderId="0" xfId="16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111" fillId="0" borderId="7" xfId="0" applyFont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7" xfId="0" applyBorder="1"/>
    <xf numFmtId="0" fontId="0" fillId="0" borderId="0" xfId="0" applyAlignment="1"/>
    <xf numFmtId="0" fontId="111" fillId="3" borderId="7" xfId="0" applyFont="1" applyFill="1" applyBorder="1" applyAlignment="1">
      <alignment horizontal="center"/>
    </xf>
    <xf numFmtId="0" fontId="23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206" fontId="27" fillId="0" borderId="20" xfId="7" applyNumberFormat="1" applyFont="1" applyBorder="1" applyAlignment="1">
      <alignment horizontal="right" vertical="center"/>
    </xf>
    <xf numFmtId="0" fontId="46" fillId="0" borderId="2" xfId="16" applyFont="1" applyBorder="1" applyAlignment="1"/>
    <xf numFmtId="205" fontId="0" fillId="0" borderId="7" xfId="0" applyNumberFormat="1" applyBorder="1" applyAlignment="1">
      <alignment horizontal="center" vertical="center"/>
    </xf>
    <xf numFmtId="172" fontId="0" fillId="0" borderId="7" xfId="0" applyNumberFormat="1" applyBorder="1" applyAlignment="1"/>
    <xf numFmtId="172" fontId="0" fillId="0" borderId="7" xfId="0" applyNumberFormat="1" applyBorder="1"/>
    <xf numFmtId="0" fontId="23" fillId="0" borderId="7" xfId="0" applyFont="1" applyBorder="1" applyAlignment="1">
      <alignment horizontal="left" vertical="center"/>
    </xf>
    <xf numFmtId="0" fontId="5" fillId="0" borderId="7" xfId="16" applyFont="1" applyBorder="1" applyAlignment="1">
      <alignment horizontal="right" wrapText="1"/>
    </xf>
    <xf numFmtId="2" fontId="5" fillId="0" borderId="7" xfId="16" applyNumberFormat="1" applyFont="1" applyBorder="1" applyAlignment="1">
      <alignment horizontal="center" vertical="center"/>
    </xf>
    <xf numFmtId="2" fontId="46" fillId="0" borderId="7" xfId="16" applyNumberFormat="1" applyFont="1" applyBorder="1" applyAlignment="1">
      <alignment horizontal="right" vertical="center"/>
    </xf>
    <xf numFmtId="2" fontId="46" fillId="0" borderId="7" xfId="16" applyNumberFormat="1" applyFont="1" applyBorder="1" applyAlignment="1">
      <alignment horizontal="center" vertical="center"/>
    </xf>
    <xf numFmtId="2" fontId="48" fillId="0" borderId="7" xfId="16" applyNumberFormat="1" applyFont="1" applyBorder="1"/>
    <xf numFmtId="0" fontId="56" fillId="4" borderId="13" xfId="8" applyFont="1" applyFill="1" applyBorder="1" applyAlignment="1">
      <alignment horizontal="center" vertical="center" wrapText="1"/>
    </xf>
    <xf numFmtId="0" fontId="30" fillId="0" borderId="0" xfId="12" applyFont="1" applyBorder="1" applyAlignment="1">
      <alignment horizontal="center" vertical="center"/>
    </xf>
    <xf numFmtId="0" fontId="46" fillId="3" borderId="27" xfId="25" applyFont="1" applyFill="1" applyBorder="1" applyAlignment="1">
      <alignment horizontal="center" vertical="center"/>
    </xf>
    <xf numFmtId="0" fontId="46" fillId="3" borderId="24" xfId="25" applyFont="1" applyFill="1" applyBorder="1" applyAlignment="1">
      <alignment horizontal="center" vertical="center"/>
    </xf>
    <xf numFmtId="0" fontId="27" fillId="0" borderId="7" xfId="7" applyFont="1" applyBorder="1" applyAlignment="1">
      <alignment horizontal="center"/>
    </xf>
    <xf numFmtId="0" fontId="4" fillId="0" borderId="0" xfId="37"/>
    <xf numFmtId="0" fontId="4" fillId="5" borderId="68" xfId="37" applyFill="1" applyBorder="1" applyAlignment="1">
      <alignment horizontal="center"/>
    </xf>
    <xf numFmtId="0" fontId="4" fillId="5" borderId="69" xfId="37" applyFill="1" applyBorder="1" applyAlignment="1">
      <alignment horizontal="center"/>
    </xf>
    <xf numFmtId="0" fontId="4" fillId="0" borderId="68" xfId="37" applyBorder="1" applyAlignment="1">
      <alignment horizontal="center"/>
    </xf>
    <xf numFmtId="0" fontId="4" fillId="0" borderId="68" xfId="37" applyBorder="1" applyAlignment="1">
      <alignment horizontal="right"/>
    </xf>
    <xf numFmtId="0" fontId="4" fillId="0" borderId="70" xfId="37" applyBorder="1" applyAlignment="1">
      <alignment horizontal="center"/>
    </xf>
    <xf numFmtId="0" fontId="4" fillId="0" borderId="70" xfId="37" applyBorder="1" applyAlignment="1">
      <alignment horizontal="right"/>
    </xf>
    <xf numFmtId="0" fontId="4" fillId="0" borderId="69" xfId="37" applyBorder="1" applyAlignment="1">
      <alignment horizontal="center"/>
    </xf>
    <xf numFmtId="0" fontId="4" fillId="0" borderId="69" xfId="37" applyBorder="1" applyAlignment="1">
      <alignment horizontal="right"/>
    </xf>
    <xf numFmtId="0" fontId="0" fillId="14" borderId="71" xfId="0" applyFill="1" applyBorder="1" applyAlignment="1">
      <alignment horizontal="center" vertical="center"/>
    </xf>
    <xf numFmtId="0" fontId="0" fillId="0" borderId="71" xfId="0" applyBorder="1"/>
    <xf numFmtId="181" fontId="0" fillId="0" borderId="71" xfId="0" applyNumberFormat="1" applyBorder="1" applyAlignment="1">
      <alignment horizontal="right"/>
    </xf>
    <xf numFmtId="2" fontId="0" fillId="0" borderId="71" xfId="0" applyNumberFormat="1" applyBorder="1" applyAlignment="1">
      <alignment horizontal="right"/>
    </xf>
    <xf numFmtId="0" fontId="0" fillId="0" borderId="71" xfId="0" applyBorder="1" applyAlignment="1">
      <alignment horizontal="right"/>
    </xf>
    <xf numFmtId="0" fontId="0" fillId="0" borderId="71" xfId="0" applyFill="1" applyBorder="1" applyAlignment="1">
      <alignment horizontal="right"/>
    </xf>
    <xf numFmtId="0" fontId="46" fillId="0" borderId="0" xfId="0" applyFont="1" applyAlignment="1">
      <alignment horizontal="left" vertical="center"/>
    </xf>
    <xf numFmtId="0" fontId="0" fillId="0" borderId="72" xfId="0" applyBorder="1" applyAlignment="1">
      <alignment wrapText="1"/>
    </xf>
    <xf numFmtId="0" fontId="0" fillId="0" borderId="72" xfId="0" applyBorder="1"/>
    <xf numFmtId="183" fontId="0" fillId="0" borderId="72" xfId="0" applyNumberFormat="1" applyBorder="1"/>
    <xf numFmtId="0" fontId="0" fillId="0" borderId="72" xfId="0" applyFill="1" applyBorder="1" applyAlignment="1">
      <alignment horizontal="right"/>
    </xf>
    <xf numFmtId="2" fontId="0" fillId="0" borderId="72" xfId="0" applyNumberFormat="1" applyBorder="1"/>
    <xf numFmtId="181" fontId="0" fillId="0" borderId="72" xfId="0" applyNumberFormat="1" applyBorder="1"/>
    <xf numFmtId="0" fontId="4" fillId="0" borderId="72" xfId="37" applyBorder="1"/>
    <xf numFmtId="2" fontId="46" fillId="0" borderId="72" xfId="0" applyNumberFormat="1" applyFont="1" applyBorder="1"/>
    <xf numFmtId="0" fontId="0" fillId="0" borderId="73" xfId="0" applyBorder="1"/>
    <xf numFmtId="0" fontId="4" fillId="5" borderId="74" xfId="37" applyFill="1" applyBorder="1" applyAlignment="1">
      <alignment horizontal="center"/>
    </xf>
    <xf numFmtId="0" fontId="4" fillId="5" borderId="75" xfId="37" applyFill="1" applyBorder="1" applyAlignment="1">
      <alignment horizontal="center"/>
    </xf>
    <xf numFmtId="0" fontId="4" fillId="0" borderId="74" xfId="37" applyBorder="1" applyAlignment="1">
      <alignment horizontal="center"/>
    </xf>
    <xf numFmtId="0" fontId="4" fillId="0" borderId="75" xfId="37" applyBorder="1" applyAlignment="1">
      <alignment horizontal="right"/>
    </xf>
    <xf numFmtId="0" fontId="4" fillId="0" borderId="76" xfId="37" applyBorder="1" applyAlignment="1">
      <alignment horizontal="right"/>
    </xf>
    <xf numFmtId="0" fontId="4" fillId="0" borderId="7" xfId="16" applyFont="1" applyBorder="1" applyAlignment="1">
      <alignment horizontal="right" wrapText="1"/>
    </xf>
    <xf numFmtId="0" fontId="3" fillId="0" borderId="7" xfId="16" applyFont="1" applyBorder="1" applyAlignment="1">
      <alignment horizontal="right" vertical="center" wrapText="1"/>
    </xf>
    <xf numFmtId="0" fontId="3" fillId="0" borderId="7" xfId="16" applyFont="1" applyBorder="1" applyAlignment="1">
      <alignment horizontal="right"/>
    </xf>
    <xf numFmtId="0" fontId="3" fillId="0" borderId="7" xfId="16" applyFont="1" applyBorder="1" applyAlignment="1">
      <alignment horizontal="center" vertical="center"/>
    </xf>
    <xf numFmtId="173" fontId="0" fillId="0" borderId="0" xfId="26" applyNumberFormat="1" applyFont="1" applyBorder="1" applyAlignment="1">
      <alignment vertical="center"/>
    </xf>
    <xf numFmtId="10" fontId="71" fillId="0" borderId="24" xfId="25" applyNumberFormat="1" applyFont="1" applyFill="1" applyBorder="1" applyAlignment="1">
      <alignment horizontal="center" vertical="center"/>
    </xf>
    <xf numFmtId="10" fontId="71" fillId="0" borderId="24" xfId="25" applyNumberFormat="1" applyFont="1" applyBorder="1" applyAlignment="1">
      <alignment horizontal="center" vertical="center"/>
    </xf>
    <xf numFmtId="10" fontId="0" fillId="0" borderId="27" xfId="24" applyNumberFormat="1" applyFont="1" applyBorder="1" applyAlignment="1">
      <alignment vertical="center"/>
    </xf>
    <xf numFmtId="0" fontId="3" fillId="0" borderId="36" xfId="25" applyFont="1" applyBorder="1" applyAlignment="1">
      <alignment horizontal="justify" vertical="center" wrapText="1"/>
    </xf>
    <xf numFmtId="0" fontId="3" fillId="0" borderId="0" xfId="25" applyFont="1"/>
    <xf numFmtId="10" fontId="27" fillId="0" borderId="7" xfId="24" applyNumberFormat="1" applyFont="1" applyBorder="1" applyAlignment="1">
      <alignment horizontal="center" vertical="center"/>
    </xf>
    <xf numFmtId="10" fontId="27" fillId="0" borderId="7" xfId="24" applyNumberFormat="1" applyFont="1" applyBorder="1" applyAlignment="1">
      <alignment horizontal="center"/>
    </xf>
    <xf numFmtId="10" fontId="105" fillId="0" borderId="7" xfId="24" applyNumberFormat="1" applyFont="1" applyBorder="1" applyAlignment="1">
      <alignment horizontal="center"/>
    </xf>
    <xf numFmtId="172" fontId="52" fillId="0" borderId="27" xfId="12" applyNumberFormat="1" applyFont="1" applyFill="1" applyBorder="1" applyAlignment="1" applyProtection="1">
      <alignment horizontal="left" vertical="center"/>
    </xf>
    <xf numFmtId="0" fontId="51" fillId="0" borderId="7" xfId="7" applyNumberFormat="1" applyFont="1" applyBorder="1" applyAlignment="1">
      <alignment horizontal="center" vertical="center"/>
    </xf>
    <xf numFmtId="0" fontId="53" fillId="0" borderId="24" xfId="12" applyFont="1" applyFill="1" applyBorder="1" applyAlignment="1">
      <alignment vertical="center"/>
    </xf>
    <xf numFmtId="0" fontId="53" fillId="0" borderId="25" xfId="12" applyFont="1" applyFill="1" applyBorder="1" applyAlignment="1">
      <alignment vertical="center"/>
    </xf>
    <xf numFmtId="0" fontId="53" fillId="0" borderId="26" xfId="12" applyFont="1" applyFill="1" applyBorder="1" applyAlignment="1">
      <alignment vertical="center"/>
    </xf>
    <xf numFmtId="200" fontId="49" fillId="0" borderId="0" xfId="23" applyNumberFormat="1" applyFont="1" applyFill="1" applyBorder="1" applyAlignment="1">
      <alignment horizontal="center" vertical="center"/>
    </xf>
    <xf numFmtId="0" fontId="3" fillId="0" borderId="0" xfId="38"/>
    <xf numFmtId="0" fontId="46" fillId="0" borderId="28" xfId="38" applyFont="1" applyBorder="1" applyAlignment="1">
      <alignment horizontal="center" vertical="center"/>
    </xf>
    <xf numFmtId="0" fontId="46" fillId="0" borderId="28" xfId="38" applyFont="1" applyBorder="1" applyAlignment="1">
      <alignment vertical="center"/>
    </xf>
    <xf numFmtId="0" fontId="46" fillId="0" borderId="29" xfId="38" applyFont="1" applyBorder="1" applyAlignment="1">
      <alignment vertical="center"/>
    </xf>
    <xf numFmtId="0" fontId="46" fillId="0" borderId="30" xfId="38" applyFont="1" applyBorder="1" applyAlignment="1">
      <alignment vertical="center"/>
    </xf>
    <xf numFmtId="0" fontId="46" fillId="0" borderId="38" xfId="38" applyFont="1" applyBorder="1" applyAlignment="1">
      <alignment horizontal="center" vertical="center"/>
    </xf>
    <xf numFmtId="0" fontId="46" fillId="0" borderId="41" xfId="38" applyFont="1" applyBorder="1" applyAlignment="1">
      <alignment horizontal="center" vertical="center"/>
    </xf>
    <xf numFmtId="0" fontId="46" fillId="0" borderId="44" xfId="38" applyFont="1" applyBorder="1" applyAlignment="1">
      <alignment horizontal="center" vertical="center"/>
    </xf>
    <xf numFmtId="0" fontId="46" fillId="0" borderId="45" xfId="38" applyFont="1" applyBorder="1" applyAlignment="1">
      <alignment horizontal="center" vertical="center"/>
    </xf>
    <xf numFmtId="0" fontId="3" fillId="0" borderId="36" xfId="38" applyBorder="1"/>
    <xf numFmtId="0" fontId="3" fillId="0" borderId="27" xfId="38" applyBorder="1" applyAlignment="1">
      <alignment horizontal="center"/>
    </xf>
    <xf numFmtId="188" fontId="3" fillId="0" borderId="47" xfId="38" applyNumberFormat="1" applyBorder="1"/>
    <xf numFmtId="188" fontId="3" fillId="0" borderId="59" xfId="38" applyNumberFormat="1" applyBorder="1"/>
    <xf numFmtId="0" fontId="112" fillId="8" borderId="0" xfId="12" applyFont="1" applyFill="1" applyBorder="1" applyAlignment="1"/>
    <xf numFmtId="177" fontId="113" fillId="8" borderId="0" xfId="5" applyNumberFormat="1" applyFont="1" applyFill="1" applyBorder="1" applyAlignment="1">
      <alignment horizontal="center" vertical="center" wrapText="1"/>
    </xf>
    <xf numFmtId="0" fontId="46" fillId="3" borderId="27" xfId="25" applyFont="1" applyFill="1" applyBorder="1" applyAlignment="1">
      <alignment horizontal="center" vertical="center"/>
    </xf>
    <xf numFmtId="10" fontId="46" fillId="3" borderId="27" xfId="25" applyNumberFormat="1" applyFont="1" applyFill="1" applyBorder="1" applyAlignment="1">
      <alignment horizontal="center" vertical="center"/>
    </xf>
    <xf numFmtId="0" fontId="46" fillId="3" borderId="24" xfId="25" applyFont="1" applyFill="1" applyBorder="1" applyAlignment="1">
      <alignment horizontal="center" vertical="center"/>
    </xf>
    <xf numFmtId="0" fontId="1" fillId="0" borderId="36" xfId="25" applyFont="1" applyBorder="1" applyAlignment="1">
      <alignment horizontal="left" vertical="center"/>
    </xf>
    <xf numFmtId="10" fontId="46" fillId="3" borderId="24" xfId="24" applyNumberFormat="1" applyFont="1" applyFill="1" applyBorder="1" applyAlignment="1">
      <alignment horizontal="center" vertical="center"/>
    </xf>
    <xf numFmtId="0" fontId="51" fillId="0" borderId="0" xfId="7" applyFont="1"/>
    <xf numFmtId="0" fontId="50" fillId="0" borderId="0" xfId="8" applyFont="1" applyBorder="1" applyAlignment="1">
      <alignment vertical="justify"/>
    </xf>
    <xf numFmtId="0" fontId="51" fillId="0" borderId="7" xfId="7" applyFont="1" applyBorder="1" applyAlignment="1">
      <alignment horizontal="center" vertical="center"/>
    </xf>
    <xf numFmtId="0" fontId="51" fillId="0" borderId="0" xfId="7" applyFont="1" applyBorder="1" applyAlignment="1">
      <alignment horizontal="center" vertical="center"/>
    </xf>
    <xf numFmtId="0" fontId="51" fillId="0" borderId="0" xfId="12" applyFont="1" applyAlignment="1"/>
    <xf numFmtId="0" fontId="46" fillId="14" borderId="7" xfId="23" applyFont="1" applyFill="1" applyBorder="1" applyAlignment="1">
      <alignment horizontal="center" textRotation="90"/>
    </xf>
    <xf numFmtId="199" fontId="51" fillId="14" borderId="7" xfId="7" applyNumberFormat="1" applyFont="1" applyFill="1" applyBorder="1" applyAlignment="1">
      <alignment horizontal="center" vertical="center"/>
    </xf>
    <xf numFmtId="0" fontId="30" fillId="14" borderId="0" xfId="12" applyFont="1" applyFill="1" applyBorder="1"/>
    <xf numFmtId="2" fontId="50" fillId="14" borderId="27" xfId="12" applyNumberFormat="1" applyFont="1" applyFill="1" applyBorder="1" applyAlignment="1">
      <alignment horizontal="center" vertical="center"/>
    </xf>
    <xf numFmtId="0" fontId="50" fillId="14" borderId="27" xfId="12" applyFont="1" applyFill="1" applyBorder="1" applyAlignment="1">
      <alignment horizontal="center" vertical="center" wrapText="1"/>
    </xf>
    <xf numFmtId="0" fontId="50" fillId="14" borderId="27" xfId="12" applyFont="1" applyFill="1" applyBorder="1" applyAlignment="1">
      <alignment horizontal="center" vertical="center"/>
    </xf>
    <xf numFmtId="168" fontId="50" fillId="14" borderId="27" xfId="5" applyNumberFormat="1" applyFont="1" applyFill="1" applyBorder="1" applyAlignment="1">
      <alignment horizontal="center" vertical="center" wrapText="1"/>
    </xf>
    <xf numFmtId="0" fontId="52" fillId="0" borderId="24" xfId="12" applyFont="1" applyFill="1" applyBorder="1" applyAlignment="1" applyProtection="1">
      <alignment vertical="center"/>
    </xf>
    <xf numFmtId="0" fontId="52" fillId="0" borderId="25" xfId="12" applyFont="1" applyFill="1" applyBorder="1" applyAlignment="1" applyProtection="1">
      <alignment vertical="center"/>
    </xf>
    <xf numFmtId="173" fontId="52" fillId="0" borderId="27" xfId="12" applyNumberFormat="1" applyFont="1" applyFill="1" applyBorder="1" applyAlignment="1">
      <alignment wrapText="1"/>
    </xf>
    <xf numFmtId="0" fontId="68" fillId="0" borderId="0" xfId="7" applyFont="1" applyFill="1" applyBorder="1" applyAlignment="1">
      <alignment horizontal="right" vertical="center"/>
    </xf>
    <xf numFmtId="0" fontId="51" fillId="0" borderId="7" xfId="7" applyFont="1" applyFill="1" applyBorder="1" applyAlignment="1">
      <alignment horizontal="center" vertical="center"/>
    </xf>
    <xf numFmtId="194" fontId="51" fillId="0" borderId="7" xfId="7" applyNumberFormat="1" applyFont="1" applyFill="1" applyBorder="1" applyAlignment="1">
      <alignment horizontal="center" vertical="center"/>
    </xf>
    <xf numFmtId="0" fontId="30" fillId="0" borderId="0" xfId="12" applyFont="1" applyFill="1" applyBorder="1"/>
    <xf numFmtId="2" fontId="30" fillId="0" borderId="0" xfId="12" applyNumberFormat="1" applyFont="1" applyFill="1" applyBorder="1" applyAlignment="1">
      <alignment horizontal="center" vertical="center"/>
    </xf>
    <xf numFmtId="172" fontId="52" fillId="15" borderId="27" xfId="12" applyNumberFormat="1" applyFont="1" applyFill="1" applyBorder="1" applyAlignment="1" applyProtection="1">
      <alignment horizontal="center" vertical="center"/>
    </xf>
    <xf numFmtId="0" fontId="53" fillId="15" borderId="27" xfId="12" applyFont="1" applyFill="1" applyBorder="1" applyAlignment="1">
      <alignment vertical="center"/>
    </xf>
    <xf numFmtId="0" fontId="51" fillId="15" borderId="0" xfId="7" applyFont="1" applyFill="1" applyBorder="1"/>
    <xf numFmtId="0" fontId="51" fillId="15" borderId="7" xfId="7" applyFont="1" applyFill="1" applyBorder="1"/>
    <xf numFmtId="0" fontId="30" fillId="15" borderId="7" xfId="7" applyFont="1" applyFill="1" applyBorder="1"/>
    <xf numFmtId="185" fontId="52" fillId="15" borderId="7" xfId="7" applyNumberFormat="1" applyFont="1" applyFill="1" applyBorder="1" applyAlignment="1">
      <alignment horizontal="left" vertical="center"/>
    </xf>
    <xf numFmtId="185" fontId="51" fillId="15" borderId="7" xfId="7" applyNumberFormat="1" applyFont="1" applyFill="1" applyBorder="1" applyAlignment="1">
      <alignment horizontal="center" vertical="center"/>
    </xf>
    <xf numFmtId="185" fontId="30" fillId="15" borderId="0" xfId="7" applyNumberFormat="1" applyFont="1" applyFill="1" applyBorder="1" applyAlignment="1">
      <alignment horizontal="center" vertical="center"/>
    </xf>
    <xf numFmtId="0" fontId="30" fillId="15" borderId="0" xfId="12" applyFont="1" applyFill="1" applyBorder="1"/>
    <xf numFmtId="0" fontId="30" fillId="15" borderId="0" xfId="12" applyFont="1" applyFill="1" applyBorder="1" applyAlignment="1">
      <alignment horizontal="center" vertical="center"/>
    </xf>
    <xf numFmtId="0" fontId="53" fillId="15" borderId="27" xfId="12" applyFont="1" applyFill="1" applyBorder="1" applyAlignment="1">
      <alignment vertical="center" wrapText="1"/>
    </xf>
    <xf numFmtId="0" fontId="68" fillId="15" borderId="0" xfId="7" applyFont="1" applyFill="1" applyBorder="1" applyAlignment="1">
      <alignment horizontal="right" vertical="center"/>
    </xf>
    <xf numFmtId="0" fontId="51" fillId="15" borderId="7" xfId="7" applyFont="1" applyFill="1" applyBorder="1" applyAlignment="1">
      <alignment horizontal="center" vertical="center"/>
    </xf>
    <xf numFmtId="200" fontId="49" fillId="15" borderId="7" xfId="23" applyNumberFormat="1" applyFont="1" applyFill="1" applyBorder="1" applyAlignment="1">
      <alignment horizontal="center" vertical="center"/>
    </xf>
    <xf numFmtId="0" fontId="27" fillId="15" borderId="7" xfId="7" applyFont="1" applyFill="1" applyBorder="1" applyAlignment="1">
      <alignment horizontal="center" vertical="center"/>
    </xf>
    <xf numFmtId="194" fontId="51" fillId="15" borderId="7" xfId="7" applyNumberFormat="1" applyFont="1" applyFill="1" applyBorder="1" applyAlignment="1">
      <alignment horizontal="center" vertical="center"/>
    </xf>
    <xf numFmtId="172" fontId="52" fillId="16" borderId="27" xfId="12" applyNumberFormat="1" applyFont="1" applyFill="1" applyBorder="1" applyAlignment="1" applyProtection="1">
      <alignment horizontal="center" vertical="center"/>
    </xf>
    <xf numFmtId="0" fontId="53" fillId="16" borderId="27" xfId="12" applyFont="1" applyFill="1" applyBorder="1" applyAlignment="1">
      <alignment horizontal="left" vertical="center" wrapText="1"/>
    </xf>
    <xf numFmtId="0" fontId="68" fillId="16" borderId="0" xfId="7" applyFont="1" applyFill="1" applyBorder="1" applyAlignment="1">
      <alignment horizontal="right" vertical="center"/>
    </xf>
    <xf numFmtId="0" fontId="51" fillId="16" borderId="7" xfId="7" applyFont="1" applyFill="1" applyBorder="1" applyAlignment="1">
      <alignment horizontal="center" vertical="center"/>
    </xf>
    <xf numFmtId="200" fontId="49" fillId="16" borderId="7" xfId="23" applyNumberFormat="1" applyFont="1" applyFill="1" applyBorder="1" applyAlignment="1">
      <alignment horizontal="center" vertical="center"/>
    </xf>
    <xf numFmtId="0" fontId="27" fillId="16" borderId="7" xfId="7" applyFont="1" applyFill="1" applyBorder="1" applyAlignment="1">
      <alignment horizontal="center" vertical="center"/>
    </xf>
    <xf numFmtId="194" fontId="51" fillId="16" borderId="7" xfId="7" applyNumberFormat="1" applyFont="1" applyFill="1" applyBorder="1" applyAlignment="1">
      <alignment horizontal="center" vertical="center"/>
    </xf>
    <xf numFmtId="0" fontId="30" fillId="16" borderId="0" xfId="12" applyFont="1" applyFill="1" applyBorder="1"/>
    <xf numFmtId="0" fontId="30" fillId="16" borderId="0" xfId="12" applyFont="1" applyFill="1" applyBorder="1" applyAlignment="1">
      <alignment horizontal="center" vertical="center"/>
    </xf>
    <xf numFmtId="2" fontId="52" fillId="16" borderId="27" xfId="12" applyNumberFormat="1" applyFont="1" applyFill="1" applyBorder="1" applyAlignment="1" applyProtection="1">
      <alignment horizontal="center" vertical="center"/>
    </xf>
    <xf numFmtId="0" fontId="52" fillId="16" borderId="27" xfId="12" applyFont="1" applyFill="1" applyBorder="1" applyAlignment="1" applyProtection="1">
      <alignment vertical="center" wrapText="1"/>
    </xf>
    <xf numFmtId="0" fontId="51" fillId="16" borderId="27" xfId="12" applyFont="1" applyFill="1" applyBorder="1" applyAlignment="1" applyProtection="1">
      <alignment horizontal="center" vertical="center" wrapText="1"/>
    </xf>
    <xf numFmtId="173" fontId="55" fillId="16" borderId="27" xfId="6" applyNumberFormat="1" applyFont="1" applyFill="1" applyBorder="1" applyAlignment="1">
      <alignment horizontal="center" vertical="center" wrapText="1"/>
    </xf>
    <xf numFmtId="0" fontId="30" fillId="16" borderId="0" xfId="12" applyFont="1" applyFill="1" applyBorder="1" applyAlignment="1">
      <alignment vertical="center"/>
    </xf>
    <xf numFmtId="208" fontId="51" fillId="0" borderId="7" xfId="7" applyNumberFormat="1" applyFont="1" applyBorder="1" applyAlignment="1">
      <alignment horizontal="center" vertical="center"/>
    </xf>
    <xf numFmtId="0" fontId="27" fillId="0" borderId="13" xfId="7" applyFont="1" applyBorder="1" applyAlignment="1">
      <alignment horizontal="center" vertical="center"/>
    </xf>
    <xf numFmtId="194" fontId="51" fillId="0" borderId="13" xfId="7" applyNumberFormat="1" applyFont="1" applyBorder="1" applyAlignment="1">
      <alignment horizontal="center" vertical="center"/>
    </xf>
    <xf numFmtId="177" fontId="27" fillId="0" borderId="7" xfId="7" applyNumberFormat="1" applyFont="1" applyBorder="1" applyAlignment="1">
      <alignment horizontal="center" vertical="center"/>
    </xf>
    <xf numFmtId="0" fontId="60" fillId="0" borderId="0" xfId="12" applyFont="1" applyAlignment="1">
      <alignment horizontal="center" vertical="center"/>
    </xf>
    <xf numFmtId="173" fontId="46" fillId="0" borderId="77" xfId="26" applyNumberFormat="1" applyFont="1" applyBorder="1" applyAlignment="1">
      <alignment vertical="center"/>
    </xf>
    <xf numFmtId="177" fontId="30" fillId="0" borderId="0" xfId="12" applyNumberFormat="1" applyFont="1"/>
    <xf numFmtId="3" fontId="115" fillId="0" borderId="0" xfId="0" applyNumberFormat="1" applyFont="1"/>
    <xf numFmtId="0" fontId="60" fillId="0" borderId="0" xfId="12" applyFont="1" applyBorder="1" applyAlignment="1">
      <alignment horizontal="center" vertical="center"/>
    </xf>
    <xf numFmtId="0" fontId="61" fillId="4" borderId="0" xfId="8" applyFont="1" applyFill="1" applyBorder="1" applyAlignment="1">
      <alignment horizontal="center" vertical="center" wrapText="1"/>
    </xf>
    <xf numFmtId="168" fontId="50" fillId="3" borderId="0" xfId="5" applyNumberFormat="1" applyFont="1" applyFill="1" applyBorder="1" applyAlignment="1">
      <alignment horizontal="center" vertical="center" wrapText="1"/>
    </xf>
    <xf numFmtId="0" fontId="53" fillId="0" borderId="0" xfId="12" applyFont="1" applyFill="1" applyBorder="1" applyAlignment="1">
      <alignment vertical="center"/>
    </xf>
    <xf numFmtId="173" fontId="51" fillId="0" borderId="0" xfId="12" applyNumberFormat="1" applyFont="1" applyFill="1" applyBorder="1" applyAlignment="1">
      <alignment vertical="center" wrapText="1"/>
    </xf>
    <xf numFmtId="173" fontId="52" fillId="3" borderId="0" xfId="12" applyNumberFormat="1" applyFont="1" applyFill="1" applyBorder="1" applyAlignment="1">
      <alignment wrapText="1"/>
    </xf>
    <xf numFmtId="0" fontId="53" fillId="0" borderId="0" xfId="12" applyFont="1" applyFill="1" applyBorder="1" applyAlignment="1">
      <alignment vertical="center" wrapText="1"/>
    </xf>
    <xf numFmtId="173" fontId="55" fillId="0" borderId="0" xfId="6" applyNumberFormat="1" applyFont="1" applyFill="1" applyBorder="1" applyAlignment="1">
      <alignment vertical="center" wrapText="1"/>
    </xf>
    <xf numFmtId="173" fontId="52" fillId="3" borderId="0" xfId="12" applyNumberFormat="1" applyFont="1" applyFill="1" applyBorder="1" applyAlignment="1">
      <alignment vertical="center" wrapText="1"/>
    </xf>
    <xf numFmtId="0" fontId="53" fillId="0" borderId="0" xfId="12" applyFont="1" applyFill="1" applyBorder="1" applyAlignment="1">
      <alignment horizontal="left" vertical="center" wrapText="1"/>
    </xf>
    <xf numFmtId="173" fontId="55" fillId="0" borderId="0" xfId="6" applyNumberFormat="1" applyFont="1" applyFill="1" applyBorder="1" applyAlignment="1">
      <alignment horizontal="center" vertical="center" wrapText="1"/>
    </xf>
    <xf numFmtId="177" fontId="50" fillId="0" borderId="0" xfId="5" applyNumberFormat="1" applyFont="1" applyFill="1" applyBorder="1" applyAlignment="1">
      <alignment horizontal="center" vertical="center" wrapText="1"/>
    </xf>
    <xf numFmtId="177" fontId="75" fillId="0" borderId="0" xfId="5" applyNumberFormat="1" applyFont="1" applyFill="1" applyBorder="1" applyAlignment="1">
      <alignment horizontal="center" vertical="center" wrapText="1"/>
    </xf>
    <xf numFmtId="3" fontId="115" fillId="0" borderId="0" xfId="0" applyNumberFormat="1" applyFont="1" applyBorder="1"/>
    <xf numFmtId="177" fontId="51" fillId="0" borderId="0" xfId="12" applyNumberFormat="1" applyFont="1" applyBorder="1"/>
    <xf numFmtId="177" fontId="30" fillId="0" borderId="0" xfId="12" applyNumberFormat="1" applyFont="1" applyBorder="1"/>
    <xf numFmtId="165" fontId="17" fillId="0" borderId="0" xfId="5" applyFont="1"/>
    <xf numFmtId="0" fontId="16" fillId="0" borderId="27" xfId="34" applyBorder="1" applyAlignment="1">
      <alignment horizontal="center" vertical="center"/>
    </xf>
    <xf numFmtId="0" fontId="97" fillId="0" borderId="27" xfId="34" applyFont="1" applyBorder="1" applyAlignment="1">
      <alignment horizontal="center" vertical="center" wrapText="1"/>
    </xf>
    <xf numFmtId="0" fontId="16" fillId="0" borderId="27" xfId="34" applyBorder="1" applyAlignment="1">
      <alignment horizontal="center" vertical="center" wrapText="1"/>
    </xf>
    <xf numFmtId="173" fontId="0" fillId="0" borderId="24" xfId="26" applyNumberFormat="1" applyFont="1" applyBorder="1" applyAlignment="1">
      <alignment horizontal="center" vertical="center" wrapText="1"/>
    </xf>
    <xf numFmtId="173" fontId="0" fillId="0" borderId="26" xfId="26" applyNumberFormat="1" applyFont="1" applyBorder="1" applyAlignment="1">
      <alignment horizontal="center" vertical="center" wrapText="1"/>
    </xf>
    <xf numFmtId="0" fontId="46" fillId="3" borderId="24" xfId="25" applyFont="1" applyFill="1" applyBorder="1" applyAlignment="1">
      <alignment horizontal="center" vertical="center"/>
    </xf>
    <xf numFmtId="0" fontId="46" fillId="3" borderId="26" xfId="25" applyFont="1" applyFill="1" applyBorder="1" applyAlignment="1">
      <alignment horizontal="center" vertical="center"/>
    </xf>
    <xf numFmtId="0" fontId="46" fillId="0" borderId="63" xfId="25" applyFont="1" applyBorder="1" applyAlignment="1">
      <alignment horizontal="left" vertical="center"/>
    </xf>
    <xf numFmtId="0" fontId="46" fillId="0" borderId="62" xfId="25" applyFont="1" applyBorder="1" applyAlignment="1">
      <alignment horizontal="left" vertical="center"/>
    </xf>
    <xf numFmtId="0" fontId="46" fillId="0" borderId="61" xfId="25" applyFont="1" applyBorder="1" applyAlignment="1">
      <alignment horizontal="left" vertical="center"/>
    </xf>
    <xf numFmtId="0" fontId="46" fillId="0" borderId="60" xfId="25" applyFont="1" applyBorder="1" applyAlignment="1">
      <alignment horizontal="left" vertical="center"/>
    </xf>
    <xf numFmtId="0" fontId="66" fillId="0" borderId="38" xfId="25" applyFont="1" applyBorder="1" applyAlignment="1">
      <alignment horizontal="center" vertical="center"/>
    </xf>
    <xf numFmtId="0" fontId="66" fillId="0" borderId="39" xfId="25" applyFont="1" applyBorder="1" applyAlignment="1">
      <alignment horizontal="center" vertical="center"/>
    </xf>
    <xf numFmtId="0" fontId="17" fillId="3" borderId="36" xfId="25" applyFont="1" applyFill="1" applyBorder="1" applyAlignment="1">
      <alignment horizontal="center" vertical="center" wrapText="1"/>
    </xf>
    <xf numFmtId="0" fontId="17" fillId="3" borderId="26" xfId="25" applyFont="1" applyFill="1" applyBorder="1" applyAlignment="1">
      <alignment horizontal="center" vertical="center" wrapText="1"/>
    </xf>
    <xf numFmtId="0" fontId="17" fillId="3" borderId="27" xfId="25" applyFont="1" applyFill="1" applyBorder="1" applyAlignment="1">
      <alignment horizontal="center" vertical="center" wrapText="1"/>
    </xf>
    <xf numFmtId="0" fontId="46" fillId="0" borderId="38" xfId="25" applyFont="1" applyBorder="1" applyAlignment="1">
      <alignment horizontal="left" vertical="center"/>
    </xf>
    <xf numFmtId="0" fontId="46" fillId="0" borderId="39" xfId="25" applyFont="1" applyBorder="1" applyAlignment="1">
      <alignment horizontal="left" vertical="center"/>
    </xf>
    <xf numFmtId="0" fontId="46" fillId="0" borderId="40" xfId="25" applyFont="1" applyBorder="1" applyAlignment="1">
      <alignment horizontal="left" vertical="center"/>
    </xf>
    <xf numFmtId="0" fontId="62" fillId="0" borderId="28" xfId="25" applyFont="1" applyBorder="1" applyAlignment="1">
      <alignment horizontal="center" vertical="center"/>
    </xf>
    <xf numFmtId="0" fontId="62" fillId="0" borderId="29" xfId="25" applyFont="1" applyBorder="1" applyAlignment="1">
      <alignment horizontal="center" vertical="center"/>
    </xf>
    <xf numFmtId="0" fontId="62" fillId="0" borderId="30" xfId="25" applyFont="1" applyBorder="1" applyAlignment="1">
      <alignment horizontal="center" vertical="center"/>
    </xf>
    <xf numFmtId="0" fontId="62" fillId="0" borderId="31" xfId="25" applyFont="1" applyBorder="1" applyAlignment="1">
      <alignment horizontal="center" vertical="center"/>
    </xf>
    <xf numFmtId="0" fontId="62" fillId="0" borderId="0" xfId="25" applyFont="1" applyBorder="1" applyAlignment="1">
      <alignment horizontal="center" vertical="center"/>
    </xf>
    <xf numFmtId="0" fontId="62" fillId="0" borderId="32" xfId="25" applyFont="1" applyBorder="1" applyAlignment="1">
      <alignment horizontal="center" vertical="center"/>
    </xf>
    <xf numFmtId="0" fontId="46" fillId="0" borderId="28" xfId="25" applyFont="1" applyBorder="1" applyAlignment="1">
      <alignment horizontal="center" vertical="center" wrapText="1"/>
    </xf>
    <xf numFmtId="0" fontId="46" fillId="0" borderId="29" xfId="25" applyFont="1" applyBorder="1" applyAlignment="1">
      <alignment horizontal="center" vertical="center" wrapText="1"/>
    </xf>
    <xf numFmtId="0" fontId="46" fillId="0" borderId="30" xfId="25" applyFont="1" applyBorder="1" applyAlignment="1">
      <alignment horizontal="center" vertical="center" wrapText="1"/>
    </xf>
    <xf numFmtId="0" fontId="46" fillId="0" borderId="33" xfId="25" applyFont="1" applyBorder="1" applyAlignment="1">
      <alignment horizontal="center" vertical="center" wrapText="1"/>
    </xf>
    <xf numFmtId="0" fontId="46" fillId="0" borderId="34" xfId="25" applyFont="1" applyBorder="1" applyAlignment="1">
      <alignment horizontal="center" vertical="center" wrapText="1"/>
    </xf>
    <xf numFmtId="0" fontId="46" fillId="0" borderId="35" xfId="25" applyFont="1" applyBorder="1" applyAlignment="1">
      <alignment horizontal="center" vertical="center" wrapText="1"/>
    </xf>
    <xf numFmtId="0" fontId="48" fillId="0" borderId="28" xfId="25" applyFont="1" applyBorder="1" applyAlignment="1">
      <alignment horizontal="center" vertical="center" wrapText="1"/>
    </xf>
    <xf numFmtId="0" fontId="48" fillId="0" borderId="29" xfId="25" applyFont="1" applyBorder="1" applyAlignment="1">
      <alignment horizontal="center" vertical="center" wrapText="1"/>
    </xf>
    <xf numFmtId="0" fontId="48" fillId="0" borderId="30" xfId="25" applyFont="1" applyBorder="1" applyAlignment="1">
      <alignment horizontal="center" vertical="center" wrapText="1"/>
    </xf>
    <xf numFmtId="0" fontId="48" fillId="0" borderId="33" xfId="25" applyFont="1" applyBorder="1" applyAlignment="1">
      <alignment horizontal="center" vertical="center" wrapText="1"/>
    </xf>
    <xf numFmtId="0" fontId="48" fillId="0" borderId="34" xfId="25" applyFont="1" applyBorder="1" applyAlignment="1">
      <alignment horizontal="center" vertical="center" wrapText="1"/>
    </xf>
    <xf numFmtId="0" fontId="48" fillId="0" borderId="35" xfId="25" applyFont="1" applyBorder="1" applyAlignment="1">
      <alignment horizontal="center" vertical="center" wrapText="1"/>
    </xf>
    <xf numFmtId="0" fontId="17" fillId="0" borderId="28" xfId="25" applyFont="1" applyBorder="1" applyAlignment="1">
      <alignment horizontal="center" vertical="center" wrapText="1"/>
    </xf>
    <xf numFmtId="0" fontId="17" fillId="0" borderId="29" xfId="25" applyFont="1" applyBorder="1" applyAlignment="1">
      <alignment horizontal="center" vertical="center" wrapText="1"/>
    </xf>
    <xf numFmtId="0" fontId="17" fillId="0" borderId="30" xfId="25" applyFont="1" applyBorder="1" applyAlignment="1">
      <alignment horizontal="center" vertical="center" wrapText="1"/>
    </xf>
    <xf numFmtId="0" fontId="17" fillId="0" borderId="33" xfId="25" applyFont="1" applyBorder="1" applyAlignment="1">
      <alignment horizontal="center" vertical="center" wrapText="1"/>
    </xf>
    <xf numFmtId="0" fontId="17" fillId="0" borderId="34" xfId="25" applyFont="1" applyBorder="1" applyAlignment="1">
      <alignment horizontal="center" vertical="center" wrapText="1"/>
    </xf>
    <xf numFmtId="0" fontId="17" fillId="0" borderId="35" xfId="25" applyFont="1" applyBorder="1" applyAlignment="1">
      <alignment horizontal="center" vertical="center" wrapText="1"/>
    </xf>
    <xf numFmtId="0" fontId="46" fillId="3" borderId="65" xfId="25" applyFont="1" applyFill="1" applyBorder="1" applyAlignment="1">
      <alignment horizontal="justify" vertical="center" wrapText="1"/>
    </xf>
    <xf numFmtId="0" fontId="46" fillId="3" borderId="64" xfId="25" applyFont="1" applyFill="1" applyBorder="1" applyAlignment="1">
      <alignment horizontal="justify" vertical="center" wrapText="1"/>
    </xf>
    <xf numFmtId="167" fontId="46" fillId="3" borderId="27" xfId="26" applyFont="1" applyFill="1" applyBorder="1" applyAlignment="1">
      <alignment horizontal="center" vertical="center"/>
    </xf>
    <xf numFmtId="0" fontId="46" fillId="3" borderId="27" xfId="25" applyFont="1" applyFill="1" applyBorder="1" applyAlignment="1">
      <alignment horizontal="center" vertical="center"/>
    </xf>
    <xf numFmtId="10" fontId="46" fillId="3" borderId="27" xfId="25" applyNumberFormat="1" applyFont="1" applyFill="1" applyBorder="1" applyAlignment="1">
      <alignment horizontal="center" vertical="center"/>
    </xf>
    <xf numFmtId="167" fontId="46" fillId="3" borderId="47" xfId="26" applyFont="1" applyFill="1" applyBorder="1" applyAlignment="1">
      <alignment horizontal="center" vertical="center"/>
    </xf>
    <xf numFmtId="167" fontId="46" fillId="3" borderId="55" xfId="26" applyFont="1" applyFill="1" applyBorder="1" applyAlignment="1">
      <alignment horizontal="center" vertical="center"/>
    </xf>
    <xf numFmtId="167" fontId="46" fillId="3" borderId="57" xfId="26" applyFont="1" applyFill="1" applyBorder="1" applyAlignment="1">
      <alignment horizontal="center" vertical="center"/>
    </xf>
    <xf numFmtId="193" fontId="74" fillId="0" borderId="27" xfId="12" applyNumberFormat="1" applyFont="1" applyFill="1" applyBorder="1" applyAlignment="1">
      <alignment horizontal="right" vertical="center" wrapText="1"/>
    </xf>
    <xf numFmtId="0" fontId="60" fillId="0" borderId="0" xfId="12" applyFont="1" applyAlignment="1">
      <alignment horizontal="center" vertical="center" wrapText="1"/>
    </xf>
    <xf numFmtId="0" fontId="60" fillId="0" borderId="0" xfId="12" applyFont="1" applyAlignment="1">
      <alignment horizontal="center" vertical="center"/>
    </xf>
    <xf numFmtId="0" fontId="60" fillId="0" borderId="3" xfId="12" applyFont="1" applyBorder="1" applyAlignment="1">
      <alignment horizontal="center" vertical="center"/>
    </xf>
    <xf numFmtId="0" fontId="61" fillId="4" borderId="27" xfId="8" applyFont="1" applyFill="1" applyBorder="1" applyAlignment="1">
      <alignment horizontal="center" vertical="center" wrapText="1"/>
    </xf>
    <xf numFmtId="0" fontId="30" fillId="0" borderId="0" xfId="12" applyFont="1" applyBorder="1" applyAlignment="1">
      <alignment horizontal="center" vertical="center"/>
    </xf>
    <xf numFmtId="0" fontId="52" fillId="0" borderId="27" xfId="12" applyFont="1" applyFill="1" applyBorder="1" applyAlignment="1">
      <alignment horizontal="right" vertical="center" indent="2"/>
    </xf>
    <xf numFmtId="207" fontId="52" fillId="0" borderId="27" xfId="12" applyNumberFormat="1" applyFont="1" applyFill="1" applyBorder="1" applyAlignment="1">
      <alignment horizontal="right" vertical="center" indent="2"/>
    </xf>
    <xf numFmtId="0" fontId="56" fillId="4" borderId="8" xfId="8" applyFont="1" applyFill="1" applyBorder="1" applyAlignment="1">
      <alignment horizontal="center" vertical="center" wrapText="1"/>
    </xf>
    <xf numFmtId="0" fontId="56" fillId="4" borderId="9" xfId="8" applyFont="1" applyFill="1" applyBorder="1" applyAlignment="1">
      <alignment horizontal="center" vertical="center" wrapText="1"/>
    </xf>
    <xf numFmtId="0" fontId="56" fillId="4" borderId="10" xfId="8" applyFont="1" applyFill="1" applyBorder="1" applyAlignment="1">
      <alignment horizontal="center" vertical="center" wrapText="1"/>
    </xf>
    <xf numFmtId="0" fontId="56" fillId="4" borderId="11" xfId="8" applyFont="1" applyFill="1" applyBorder="1" applyAlignment="1">
      <alignment horizontal="center" vertical="center" wrapText="1"/>
    </xf>
    <xf numFmtId="0" fontId="56" fillId="4" borderId="0" xfId="8" applyFont="1" applyFill="1" applyBorder="1" applyAlignment="1">
      <alignment horizontal="center" vertical="center" wrapText="1"/>
    </xf>
    <xf numFmtId="0" fontId="56" fillId="4" borderId="12" xfId="8" applyFont="1" applyFill="1" applyBorder="1" applyAlignment="1">
      <alignment horizontal="center" vertical="center" wrapText="1"/>
    </xf>
    <xf numFmtId="0" fontId="56" fillId="4" borderId="13" xfId="8" applyFont="1" applyFill="1" applyBorder="1" applyAlignment="1">
      <alignment horizontal="center" vertical="center" wrapText="1"/>
    </xf>
    <xf numFmtId="0" fontId="56" fillId="4" borderId="2" xfId="8" applyFont="1" applyFill="1" applyBorder="1" applyAlignment="1">
      <alignment horizontal="center" vertical="center" wrapText="1"/>
    </xf>
    <xf numFmtId="0" fontId="56" fillId="4" borderId="14" xfId="8" applyFont="1" applyFill="1" applyBorder="1" applyAlignment="1">
      <alignment horizontal="center" vertical="center" wrapText="1"/>
    </xf>
    <xf numFmtId="0" fontId="51" fillId="0" borderId="15" xfId="7" applyFont="1" applyBorder="1" applyAlignment="1">
      <alignment horizontal="center"/>
    </xf>
    <xf numFmtId="0" fontId="51" fillId="0" borderId="1" xfId="7" applyFont="1" applyBorder="1" applyAlignment="1">
      <alignment horizontal="center"/>
    </xf>
    <xf numFmtId="0" fontId="51" fillId="0" borderId="16" xfId="7" applyFont="1" applyBorder="1" applyAlignment="1">
      <alignment horizontal="center"/>
    </xf>
    <xf numFmtId="2" fontId="38" fillId="3" borderId="24" xfId="12" applyNumberFormat="1" applyFont="1" applyFill="1" applyBorder="1" applyAlignment="1">
      <alignment horizontal="center" vertical="center"/>
    </xf>
    <xf numFmtId="2" fontId="38" fillId="3" borderId="26" xfId="12" applyNumberFormat="1" applyFont="1" applyFill="1" applyBorder="1" applyAlignment="1">
      <alignment horizontal="center" vertical="center"/>
    </xf>
    <xf numFmtId="0" fontId="52" fillId="0" borderId="27" xfId="12" applyFont="1" applyFill="1" applyBorder="1" applyAlignment="1">
      <alignment horizontal="right" vertical="center" wrapText="1"/>
    </xf>
    <xf numFmtId="0" fontId="46" fillId="0" borderId="7" xfId="23" applyFont="1" applyFill="1" applyBorder="1" applyAlignment="1">
      <alignment horizontal="center" textRotation="90"/>
    </xf>
    <xf numFmtId="0" fontId="74" fillId="0" borderId="27" xfId="12" applyFont="1" applyFill="1" applyBorder="1" applyAlignment="1">
      <alignment horizontal="right" vertical="center" wrapText="1"/>
    </xf>
    <xf numFmtId="0" fontId="52" fillId="0" borderId="24" xfId="12" applyFont="1" applyFill="1" applyBorder="1" applyAlignment="1">
      <alignment horizontal="right" vertical="center"/>
    </xf>
    <xf numFmtId="0" fontId="52" fillId="0" borderId="25" xfId="12" applyFont="1" applyFill="1" applyBorder="1" applyAlignment="1">
      <alignment horizontal="right" vertical="center"/>
    </xf>
    <xf numFmtId="0" fontId="52" fillId="0" borderId="26" xfId="12" applyFont="1" applyFill="1" applyBorder="1" applyAlignment="1">
      <alignment horizontal="right" vertical="center"/>
    </xf>
    <xf numFmtId="178" fontId="114" fillId="0" borderId="27" xfId="12" applyNumberFormat="1" applyFont="1" applyFill="1" applyBorder="1" applyAlignment="1">
      <alignment horizontal="right" vertical="center" wrapText="1"/>
    </xf>
    <xf numFmtId="0" fontId="46" fillId="4" borderId="8" xfId="23" applyFont="1" applyFill="1" applyBorder="1" applyAlignment="1">
      <alignment horizontal="center" vertical="center" wrapText="1"/>
    </xf>
    <xf numFmtId="0" fontId="46" fillId="4" borderId="9" xfId="23" applyFont="1" applyFill="1" applyBorder="1" applyAlignment="1">
      <alignment horizontal="center" vertical="center" wrapText="1"/>
    </xf>
    <xf numFmtId="0" fontId="46" fillId="4" borderId="11" xfId="23" applyFont="1" applyFill="1" applyBorder="1" applyAlignment="1">
      <alignment horizontal="center" vertical="center" wrapText="1"/>
    </xf>
    <xf numFmtId="0" fontId="46" fillId="4" borderId="0" xfId="23" applyFont="1" applyFill="1" applyBorder="1" applyAlignment="1">
      <alignment horizontal="center" vertical="center" wrapText="1"/>
    </xf>
    <xf numFmtId="0" fontId="46" fillId="4" borderId="13" xfId="23" applyFont="1" applyFill="1" applyBorder="1" applyAlignment="1">
      <alignment horizontal="center" vertical="center" wrapText="1"/>
    </xf>
    <xf numFmtId="0" fontId="46" fillId="4" borderId="2" xfId="23" applyFont="1" applyFill="1" applyBorder="1" applyAlignment="1">
      <alignment horizontal="center" vertical="center" wrapText="1"/>
    </xf>
    <xf numFmtId="0" fontId="47" fillId="14" borderId="7" xfId="23" applyFont="1" applyFill="1" applyBorder="1" applyAlignment="1">
      <alignment horizontal="center" textRotation="90"/>
    </xf>
    <xf numFmtId="0" fontId="46" fillId="14" borderId="7" xfId="23" applyFont="1" applyFill="1" applyBorder="1" applyAlignment="1">
      <alignment horizontal="center" textRotation="90"/>
    </xf>
    <xf numFmtId="179" fontId="114" fillId="0" borderId="27" xfId="12" applyNumberFormat="1" applyFont="1" applyFill="1" applyBorder="1" applyAlignment="1">
      <alignment horizontal="right" vertical="center" wrapText="1"/>
    </xf>
    <xf numFmtId="0" fontId="83" fillId="8" borderId="0" xfId="12" applyFont="1" applyFill="1" applyAlignment="1">
      <alignment horizontal="left"/>
    </xf>
    <xf numFmtId="0" fontId="83" fillId="0" borderId="0" xfId="12" applyFont="1" applyBorder="1" applyAlignment="1">
      <alignment horizontal="center"/>
    </xf>
    <xf numFmtId="0" fontId="83" fillId="0" borderId="24" xfId="12" applyFont="1" applyBorder="1" applyAlignment="1">
      <alignment horizontal="center" vertical="center"/>
    </xf>
    <xf numFmtId="0" fontId="83" fillId="0" borderId="25" xfId="12" applyFont="1" applyBorder="1" applyAlignment="1">
      <alignment horizontal="center" vertical="center"/>
    </xf>
    <xf numFmtId="0" fontId="83" fillId="0" borderId="26" xfId="12" applyFont="1" applyBorder="1" applyAlignment="1">
      <alignment horizontal="center" vertical="center"/>
    </xf>
    <xf numFmtId="0" fontId="70" fillId="0" borderId="27" xfId="12" applyFont="1" applyBorder="1" applyAlignment="1">
      <alignment horizontal="center" vertical="center" wrapText="1"/>
    </xf>
    <xf numFmtId="0" fontId="70" fillId="0" borderId="0" xfId="12" applyFont="1" applyBorder="1" applyAlignment="1">
      <alignment horizontal="left" vertical="center" wrapText="1"/>
    </xf>
    <xf numFmtId="0" fontId="70" fillId="0" borderId="55" xfId="12" applyFont="1" applyBorder="1" applyAlignment="1">
      <alignment horizontal="center" vertical="center"/>
    </xf>
    <xf numFmtId="0" fontId="70" fillId="0" borderId="57" xfId="12" applyFont="1" applyBorder="1" applyAlignment="1">
      <alignment horizontal="center" vertical="center"/>
    </xf>
    <xf numFmtId="0" fontId="83" fillId="0" borderId="55" xfId="12" applyFont="1" applyBorder="1" applyAlignment="1">
      <alignment horizontal="left" vertical="center"/>
    </xf>
    <xf numFmtId="0" fontId="83" fillId="0" borderId="57" xfId="12" applyFont="1" applyBorder="1" applyAlignment="1">
      <alignment horizontal="left" vertical="center"/>
    </xf>
    <xf numFmtId="0" fontId="70" fillId="0" borderId="55" xfId="12" applyFont="1" applyBorder="1" applyAlignment="1">
      <alignment horizontal="center" vertical="center" wrapText="1"/>
    </xf>
    <xf numFmtId="0" fontId="70" fillId="0" borderId="57" xfId="12" applyFont="1" applyBorder="1" applyAlignment="1">
      <alignment horizontal="center" vertical="center" wrapText="1"/>
    </xf>
    <xf numFmtId="0" fontId="83" fillId="0" borderId="27" xfId="12" applyFont="1" applyBorder="1" applyAlignment="1">
      <alignment horizontal="center" vertical="center" wrapText="1"/>
    </xf>
    <xf numFmtId="0" fontId="80" fillId="0" borderId="23" xfId="29" applyFont="1" applyBorder="1" applyAlignment="1">
      <alignment horizontal="center" vertical="center" wrapText="1"/>
    </xf>
    <xf numFmtId="0" fontId="80" fillId="0" borderId="6" xfId="29" applyFont="1" applyBorder="1" applyAlignment="1">
      <alignment horizontal="center" vertical="center" wrapText="1"/>
    </xf>
    <xf numFmtId="0" fontId="78" fillId="0" borderId="23" xfId="29" applyFont="1" applyBorder="1" applyAlignment="1">
      <alignment horizontal="center"/>
    </xf>
    <xf numFmtId="0" fontId="78" fillId="0" borderId="3" xfId="29" applyFont="1" applyBorder="1" applyAlignment="1">
      <alignment horizontal="center"/>
    </xf>
    <xf numFmtId="0" fontId="78" fillId="0" borderId="6" xfId="29" applyFont="1" applyBorder="1" applyAlignment="1">
      <alignment horizontal="center"/>
    </xf>
    <xf numFmtId="0" fontId="59" fillId="0" borderId="0" xfId="12" applyFont="1" applyFill="1" applyAlignment="1">
      <alignment horizontal="center" vertical="center" wrapText="1"/>
    </xf>
    <xf numFmtId="0" fontId="83" fillId="0" borderId="27" xfId="12" applyFont="1" applyBorder="1" applyAlignment="1">
      <alignment horizontal="center" vertical="center" textRotation="180" wrapText="1"/>
    </xf>
    <xf numFmtId="0" fontId="83" fillId="0" borderId="27" xfId="12" applyFont="1" applyBorder="1" applyAlignment="1">
      <alignment horizontal="center" vertical="center"/>
    </xf>
    <xf numFmtId="0" fontId="78" fillId="0" borderId="67" xfId="29" applyFont="1" applyBorder="1" applyAlignment="1">
      <alignment horizontal="center"/>
    </xf>
    <xf numFmtId="0" fontId="78" fillId="0" borderId="4" xfId="29" applyFont="1" applyBorder="1" applyAlignment="1">
      <alignment horizontal="center"/>
    </xf>
    <xf numFmtId="0" fontId="78" fillId="0" borderId="5" xfId="29" applyFont="1" applyBorder="1" applyAlignment="1">
      <alignment horizontal="center"/>
    </xf>
    <xf numFmtId="0" fontId="79" fillId="0" borderId="27" xfId="29" applyFont="1" applyBorder="1" applyAlignment="1">
      <alignment horizontal="left" vertical="center"/>
    </xf>
    <xf numFmtId="0" fontId="79" fillId="0" borderId="67" xfId="29" applyFont="1" applyBorder="1" applyAlignment="1">
      <alignment horizontal="center" vertical="center"/>
    </xf>
    <xf numFmtId="0" fontId="79" fillId="0" borderId="4" xfId="29" applyFont="1" applyBorder="1" applyAlignment="1">
      <alignment horizontal="center" vertical="center"/>
    </xf>
    <xf numFmtId="0" fontId="79" fillId="0" borderId="5" xfId="29" applyFont="1" applyBorder="1" applyAlignment="1">
      <alignment horizontal="center" vertical="center"/>
    </xf>
    <xf numFmtId="0" fontId="79" fillId="0" borderId="23" xfId="29" applyFont="1" applyBorder="1" applyAlignment="1">
      <alignment horizontal="center" vertical="center"/>
    </xf>
    <xf numFmtId="0" fontId="79" fillId="0" borderId="3" xfId="29" applyFont="1" applyBorder="1" applyAlignment="1">
      <alignment horizontal="center" vertical="center"/>
    </xf>
    <xf numFmtId="0" fontId="79" fillId="0" borderId="6" xfId="29" applyFont="1" applyBorder="1" applyAlignment="1">
      <alignment horizontal="center" vertical="center"/>
    </xf>
    <xf numFmtId="0" fontId="78" fillId="0" borderId="17" xfId="29" applyFont="1" applyBorder="1" applyAlignment="1">
      <alignment horizontal="center"/>
    </xf>
    <xf numFmtId="0" fontId="78" fillId="0" borderId="0" xfId="29" applyFont="1" applyBorder="1" applyAlignment="1">
      <alignment horizontal="center"/>
    </xf>
    <xf numFmtId="0" fontId="78" fillId="0" borderId="18" xfId="29" applyFont="1" applyBorder="1" applyAlignment="1">
      <alignment horizontal="center"/>
    </xf>
    <xf numFmtId="0" fontId="79" fillId="0" borderId="17" xfId="29" applyFont="1" applyBorder="1" applyAlignment="1">
      <alignment horizontal="center" vertical="center"/>
    </xf>
    <xf numFmtId="0" fontId="79" fillId="0" borderId="0" xfId="29" applyFont="1" applyBorder="1" applyAlignment="1">
      <alignment horizontal="center" vertical="center"/>
    </xf>
    <xf numFmtId="0" fontId="79" fillId="0" borderId="18" xfId="29" applyFont="1" applyBorder="1" applyAlignment="1">
      <alignment horizontal="center" vertical="center"/>
    </xf>
    <xf numFmtId="0" fontId="79" fillId="0" borderId="27" xfId="29" applyFont="1" applyBorder="1" applyAlignment="1">
      <alignment horizontal="center" vertical="center"/>
    </xf>
    <xf numFmtId="0" fontId="79" fillId="0" borderId="55" xfId="29" applyFont="1" applyBorder="1" applyAlignment="1">
      <alignment horizontal="center" vertical="center"/>
    </xf>
    <xf numFmtId="0" fontId="79" fillId="0" borderId="57" xfId="29" applyFont="1" applyBorder="1" applyAlignment="1">
      <alignment horizontal="center" vertical="center"/>
    </xf>
    <xf numFmtId="0" fontId="43" fillId="0" borderId="0" xfId="12" applyFont="1" applyAlignment="1">
      <alignment horizontal="center" vertical="center" wrapText="1"/>
    </xf>
    <xf numFmtId="0" fontId="73" fillId="0" borderId="34" xfId="12" applyFont="1" applyBorder="1" applyAlignment="1">
      <alignment horizontal="center" vertical="center" wrapText="1"/>
    </xf>
    <xf numFmtId="0" fontId="44" fillId="0" borderId="28" xfId="12" applyFont="1" applyBorder="1" applyAlignment="1">
      <alignment horizontal="center" vertical="center" wrapText="1"/>
    </xf>
    <xf numFmtId="0" fontId="44" fillId="0" borderId="29" xfId="12" applyFont="1" applyBorder="1" applyAlignment="1">
      <alignment horizontal="center" vertical="center" wrapText="1"/>
    </xf>
    <xf numFmtId="0" fontId="44" fillId="0" borderId="30" xfId="12" applyFont="1" applyBorder="1" applyAlignment="1">
      <alignment horizontal="center" vertical="center" wrapText="1"/>
    </xf>
    <xf numFmtId="0" fontId="44" fillId="0" borderId="31" xfId="12" applyFont="1" applyBorder="1" applyAlignment="1">
      <alignment horizontal="center" vertical="center" wrapText="1"/>
    </xf>
    <xf numFmtId="0" fontId="44" fillId="0" borderId="0" xfId="12" applyFont="1" applyBorder="1" applyAlignment="1">
      <alignment horizontal="center" vertical="center" wrapText="1"/>
    </xf>
    <xf numFmtId="0" fontId="44" fillId="0" borderId="32" xfId="12" applyFont="1" applyBorder="1" applyAlignment="1">
      <alignment horizontal="center" vertical="center" wrapText="1"/>
    </xf>
    <xf numFmtId="0" fontId="44" fillId="0" borderId="33" xfId="12" applyFont="1" applyBorder="1" applyAlignment="1">
      <alignment horizontal="center" vertical="center" wrapText="1"/>
    </xf>
    <xf numFmtId="0" fontId="44" fillId="0" borderId="34" xfId="12" applyFont="1" applyBorder="1" applyAlignment="1">
      <alignment horizontal="center" vertical="center" wrapText="1"/>
    </xf>
    <xf numFmtId="0" fontId="44" fillId="0" borderId="35" xfId="12" applyFont="1" applyBorder="1" applyAlignment="1">
      <alignment horizontal="center" vertical="center" wrapText="1"/>
    </xf>
    <xf numFmtId="0" fontId="45" fillId="0" borderId="38" xfId="12" applyFont="1" applyBorder="1" applyAlignment="1">
      <alignment horizontal="center" vertical="center" wrapText="1"/>
    </xf>
    <xf numFmtId="0" fontId="45" fillId="0" borderId="39" xfId="12" applyFont="1" applyBorder="1" applyAlignment="1">
      <alignment horizontal="center" vertical="center" wrapText="1"/>
    </xf>
    <xf numFmtId="0" fontId="45" fillId="0" borderId="40" xfId="12" applyFont="1" applyBorder="1" applyAlignment="1">
      <alignment horizontal="center" vertical="center" wrapText="1"/>
    </xf>
    <xf numFmtId="49" fontId="44" fillId="0" borderId="24" xfId="14" applyNumberFormat="1" applyFont="1" applyFill="1" applyBorder="1" applyAlignment="1">
      <alignment horizontal="right" vertical="center" wrapText="1"/>
    </xf>
    <xf numFmtId="49" fontId="44" fillId="0" borderId="25" xfId="14" applyNumberFormat="1" applyFont="1" applyFill="1" applyBorder="1" applyAlignment="1">
      <alignment horizontal="right" vertical="center" wrapText="1"/>
    </xf>
    <xf numFmtId="49" fontId="44" fillId="0" borderId="4" xfId="14" applyNumberFormat="1" applyFont="1" applyFill="1" applyBorder="1" applyAlignment="1">
      <alignment horizontal="right" vertical="center" wrapText="1"/>
    </xf>
    <xf numFmtId="49" fontId="44" fillId="0" borderId="5" xfId="14" applyNumberFormat="1" applyFont="1" applyFill="1" applyBorder="1" applyAlignment="1">
      <alignment horizontal="right" vertical="center" wrapText="1"/>
    </xf>
    <xf numFmtId="0" fontId="44" fillId="5" borderId="24" xfId="12" applyFont="1" applyFill="1" applyBorder="1" applyAlignment="1">
      <alignment horizontal="center" vertical="center" wrapText="1"/>
    </xf>
    <xf numFmtId="0" fontId="44" fillId="5" borderId="26" xfId="12" applyFont="1" applyFill="1" applyBorder="1" applyAlignment="1">
      <alignment horizontal="center" vertical="center" wrapText="1"/>
    </xf>
    <xf numFmtId="0" fontId="45" fillId="0" borderId="28" xfId="12" applyFont="1" applyBorder="1" applyAlignment="1">
      <alignment horizontal="center" vertical="center" wrapText="1"/>
    </xf>
    <xf numFmtId="0" fontId="45" fillId="0" borderId="29" xfId="12" applyFont="1" applyBorder="1" applyAlignment="1">
      <alignment horizontal="center" vertical="center" wrapText="1"/>
    </xf>
    <xf numFmtId="0" fontId="45" fillId="0" borderId="30" xfId="12" applyFont="1" applyBorder="1" applyAlignment="1">
      <alignment horizontal="center" vertical="center" wrapText="1"/>
    </xf>
    <xf numFmtId="0" fontId="45" fillId="0" borderId="31" xfId="12" applyFont="1" applyBorder="1" applyAlignment="1">
      <alignment horizontal="center" vertical="center" wrapText="1"/>
    </xf>
    <xf numFmtId="0" fontId="45" fillId="0" borderId="0" xfId="12" applyFont="1" applyBorder="1" applyAlignment="1">
      <alignment horizontal="center" vertical="center" wrapText="1"/>
    </xf>
    <xf numFmtId="0" fontId="45" fillId="0" borderId="32" xfId="12" applyFont="1" applyBorder="1" applyAlignment="1">
      <alignment horizontal="center" vertical="center" wrapText="1"/>
    </xf>
    <xf numFmtId="0" fontId="45" fillId="0" borderId="33" xfId="12" applyFont="1" applyBorder="1" applyAlignment="1">
      <alignment horizontal="center" vertical="center" wrapText="1"/>
    </xf>
    <xf numFmtId="0" fontId="45" fillId="0" borderId="34" xfId="12" applyFont="1" applyBorder="1" applyAlignment="1">
      <alignment horizontal="center" vertical="center" wrapText="1"/>
    </xf>
    <xf numFmtId="0" fontId="45" fillId="0" borderId="35" xfId="12" applyFont="1" applyBorder="1" applyAlignment="1">
      <alignment horizontal="center" vertical="center" wrapText="1"/>
    </xf>
    <xf numFmtId="0" fontId="44" fillId="5" borderId="42" xfId="12" applyFont="1" applyFill="1" applyBorder="1" applyAlignment="1">
      <alignment horizontal="center" vertical="center" wrapText="1"/>
    </xf>
    <xf numFmtId="0" fontId="44" fillId="5" borderId="43" xfId="12" applyFont="1" applyFill="1" applyBorder="1" applyAlignment="1">
      <alignment horizontal="center" vertical="center" wrapText="1"/>
    </xf>
    <xf numFmtId="0" fontId="44" fillId="5" borderId="24" xfId="12" applyFont="1" applyFill="1" applyBorder="1" applyAlignment="1">
      <alignment horizontal="left" vertical="center" wrapText="1"/>
    </xf>
    <xf numFmtId="0" fontId="44" fillId="5" borderId="25" xfId="12" applyFont="1" applyFill="1" applyBorder="1" applyAlignment="1">
      <alignment horizontal="left" vertical="center" wrapText="1"/>
    </xf>
    <xf numFmtId="49" fontId="42" fillId="0" borderId="24" xfId="14" applyNumberFormat="1" applyFont="1" applyFill="1" applyBorder="1" applyAlignment="1">
      <alignment horizontal="left" vertical="center" wrapText="1"/>
    </xf>
    <xf numFmtId="49" fontId="42" fillId="0" borderId="26" xfId="14" applyNumberFormat="1" applyFont="1" applyFill="1" applyBorder="1" applyAlignment="1">
      <alignment horizontal="left" vertical="center" wrapText="1"/>
    </xf>
    <xf numFmtId="177" fontId="44" fillId="0" borderId="0" xfId="14" applyNumberFormat="1" applyFont="1" applyBorder="1" applyAlignment="1">
      <alignment horizontal="center" vertical="center" wrapText="1"/>
    </xf>
    <xf numFmtId="177" fontId="42" fillId="0" borderId="0" xfId="14" applyNumberFormat="1" applyFont="1" applyBorder="1" applyAlignment="1">
      <alignment horizontal="center" vertical="center" wrapText="1"/>
    </xf>
    <xf numFmtId="49" fontId="42" fillId="0" borderId="0" xfId="14" applyNumberFormat="1" applyFont="1" applyBorder="1" applyAlignment="1">
      <alignment horizontal="left" vertical="center" wrapText="1"/>
    </xf>
    <xf numFmtId="49" fontId="42" fillId="0" borderId="24" xfId="14" applyNumberFormat="1" applyFont="1" applyFill="1" applyBorder="1" applyAlignment="1">
      <alignment horizontal="justify" vertical="center" wrapText="1"/>
    </xf>
    <xf numFmtId="49" fontId="42" fillId="0" borderId="26" xfId="14" applyNumberFormat="1" applyFont="1" applyFill="1" applyBorder="1" applyAlignment="1">
      <alignment horizontal="justify" vertical="center" wrapText="1"/>
    </xf>
    <xf numFmtId="188" fontId="42" fillId="0" borderId="24" xfId="14" applyNumberFormat="1" applyFont="1" applyFill="1" applyBorder="1" applyAlignment="1">
      <alignment horizontal="center" vertical="center" wrapText="1"/>
    </xf>
    <xf numFmtId="188" fontId="42" fillId="0" borderId="26" xfId="14" applyNumberFormat="1" applyFont="1" applyFill="1" applyBorder="1" applyAlignment="1">
      <alignment horizontal="center" vertical="center" wrapText="1"/>
    </xf>
    <xf numFmtId="172" fontId="42" fillId="0" borderId="24" xfId="15" applyNumberFormat="1" applyFont="1" applyBorder="1" applyAlignment="1">
      <alignment horizontal="center" vertical="center" wrapText="1"/>
    </xf>
    <xf numFmtId="172" fontId="42" fillId="0" borderId="26" xfId="15" applyNumberFormat="1" applyFont="1" applyBorder="1" applyAlignment="1">
      <alignment horizontal="center" vertical="center" wrapText="1"/>
    </xf>
    <xf numFmtId="188" fontId="42" fillId="0" borderId="24" xfId="14" applyNumberFormat="1" applyFont="1" applyBorder="1" applyAlignment="1">
      <alignment horizontal="center" vertical="center" wrapText="1"/>
    </xf>
    <xf numFmtId="188" fontId="42" fillId="0" borderId="26" xfId="14" applyNumberFormat="1" applyFont="1" applyBorder="1" applyAlignment="1">
      <alignment horizontal="center" vertical="center" wrapText="1"/>
    </xf>
    <xf numFmtId="0" fontId="44" fillId="0" borderId="66" xfId="12" applyFont="1" applyBorder="1" applyAlignment="1">
      <alignment horizontal="left" vertical="center" wrapText="1"/>
    </xf>
    <xf numFmtId="0" fontId="42" fillId="0" borderId="0" xfId="12" applyFont="1" applyAlignment="1">
      <alignment vertical="center" wrapText="1"/>
    </xf>
    <xf numFmtId="0" fontId="44" fillId="0" borderId="0" xfId="12" applyFont="1" applyAlignment="1">
      <alignment horizontal="center" vertical="center" wrapText="1"/>
    </xf>
    <xf numFmtId="0" fontId="42" fillId="0" borderId="0" xfId="12" applyFont="1" applyBorder="1" applyAlignment="1">
      <alignment horizontal="center" vertical="center" wrapText="1"/>
    </xf>
    <xf numFmtId="0" fontId="67" fillId="6" borderId="15" xfId="16" applyFont="1" applyFill="1" applyBorder="1" applyAlignment="1">
      <alignment horizontal="left" vertical="center" wrapText="1"/>
    </xf>
    <xf numFmtId="0" fontId="67" fillId="6" borderId="16" xfId="16" applyFont="1" applyFill="1" applyBorder="1" applyAlignment="1">
      <alignment horizontal="left" vertical="center" wrapText="1"/>
    </xf>
    <xf numFmtId="0" fontId="48" fillId="4" borderId="1" xfId="16" applyFont="1" applyFill="1" applyBorder="1" applyAlignment="1">
      <alignment horizontal="center" vertical="center"/>
    </xf>
    <xf numFmtId="0" fontId="65" fillId="8" borderId="15" xfId="16" applyFont="1" applyFill="1" applyBorder="1" applyAlignment="1">
      <alignment horizontal="center" vertical="center"/>
    </xf>
    <xf numFmtId="0" fontId="65" fillId="8" borderId="1" xfId="16" applyFont="1" applyFill="1" applyBorder="1" applyAlignment="1">
      <alignment horizontal="center" vertical="center"/>
    </xf>
    <xf numFmtId="0" fontId="65" fillId="8" borderId="16" xfId="16" applyFont="1" applyFill="1" applyBorder="1" applyAlignment="1">
      <alignment horizontal="center" vertical="center"/>
    </xf>
    <xf numFmtId="0" fontId="48" fillId="6" borderId="15" xfId="16" applyFont="1" applyFill="1" applyBorder="1" applyAlignment="1">
      <alignment horizontal="center" vertical="center"/>
    </xf>
    <xf numFmtId="0" fontId="48" fillId="6" borderId="1" xfId="16" applyFont="1" applyFill="1" applyBorder="1" applyAlignment="1">
      <alignment horizontal="center" vertical="center"/>
    </xf>
    <xf numFmtId="0" fontId="48" fillId="6" borderId="16" xfId="16" applyFont="1" applyFill="1" applyBorder="1" applyAlignment="1">
      <alignment horizontal="center" vertical="center"/>
    </xf>
    <xf numFmtId="0" fontId="63" fillId="8" borderId="15" xfId="16" applyFont="1" applyFill="1" applyBorder="1" applyAlignment="1">
      <alignment horizontal="center" vertical="center"/>
    </xf>
    <xf numFmtId="0" fontId="63" fillId="8" borderId="1" xfId="16" applyFont="1" applyFill="1" applyBorder="1" applyAlignment="1">
      <alignment horizontal="center" vertical="center"/>
    </xf>
    <xf numFmtId="0" fontId="63" fillId="8" borderId="16" xfId="16" applyFont="1" applyFill="1" applyBorder="1" applyAlignment="1">
      <alignment horizontal="center" vertical="center"/>
    </xf>
    <xf numFmtId="0" fontId="22" fillId="0" borderId="7" xfId="16" applyBorder="1" applyAlignment="1">
      <alignment horizontal="center"/>
    </xf>
    <xf numFmtId="0" fontId="110" fillId="6" borderId="15" xfId="16" applyFont="1" applyFill="1" applyBorder="1" applyAlignment="1">
      <alignment horizontal="center" vertical="center" wrapText="1"/>
    </xf>
    <xf numFmtId="0" fontId="110" fillId="6" borderId="1" xfId="16" applyFont="1" applyFill="1" applyBorder="1" applyAlignment="1">
      <alignment horizontal="center" vertical="center" wrapText="1"/>
    </xf>
    <xf numFmtId="0" fontId="110" fillId="6" borderId="16" xfId="16" applyFont="1" applyFill="1" applyBorder="1" applyAlignment="1">
      <alignment horizontal="center" vertical="center" wrapText="1"/>
    </xf>
    <xf numFmtId="0" fontId="22" fillId="0" borderId="2" xfId="16" applyBorder="1" applyAlignment="1">
      <alignment horizontal="center"/>
    </xf>
    <xf numFmtId="0" fontId="62" fillId="6" borderId="0" xfId="16" applyFont="1" applyFill="1" applyAlignment="1">
      <alignment horizontal="center" vertical="center"/>
    </xf>
    <xf numFmtId="0" fontId="21" fillId="0" borderId="0" xfId="16" applyFont="1" applyAlignment="1">
      <alignment horizontal="center" vertical="center" wrapText="1"/>
    </xf>
    <xf numFmtId="0" fontId="22" fillId="0" borderId="0" xfId="16" applyAlignment="1">
      <alignment horizontal="center" vertical="center" wrapText="1"/>
    </xf>
    <xf numFmtId="0" fontId="48" fillId="7" borderId="2" xfId="16" applyFont="1" applyFill="1" applyBorder="1" applyAlignment="1">
      <alignment horizontal="center" vertical="center"/>
    </xf>
    <xf numFmtId="0" fontId="48" fillId="6" borderId="15" xfId="16" applyFont="1" applyFill="1" applyBorder="1" applyAlignment="1">
      <alignment horizontal="left" vertical="center" wrapText="1"/>
    </xf>
    <xf numFmtId="0" fontId="48" fillId="6" borderId="16" xfId="16" applyFont="1" applyFill="1" applyBorder="1" applyAlignment="1">
      <alignment horizontal="left" vertical="center" wrapText="1"/>
    </xf>
    <xf numFmtId="0" fontId="23" fillId="0" borderId="15" xfId="0" applyFont="1" applyBorder="1" applyAlignment="1">
      <alignment horizontal="left" vertical="center"/>
    </xf>
    <xf numFmtId="0" fontId="23" fillId="0" borderId="1" xfId="0" applyFont="1" applyBorder="1" applyAlignment="1">
      <alignment horizontal="left" vertical="center"/>
    </xf>
    <xf numFmtId="0" fontId="23" fillId="0" borderId="16" xfId="0" applyFont="1" applyBorder="1" applyAlignment="1">
      <alignment horizontal="left" vertical="center"/>
    </xf>
    <xf numFmtId="0" fontId="111" fillId="0" borderId="7" xfId="0" applyFont="1" applyBorder="1" applyAlignment="1">
      <alignment horizontal="center"/>
    </xf>
    <xf numFmtId="0" fontId="111" fillId="0" borderId="2" xfId="0" applyFont="1" applyBorder="1" applyAlignment="1">
      <alignment horizontal="center"/>
    </xf>
    <xf numFmtId="0" fontId="111" fillId="3" borderId="15" xfId="0" applyFont="1" applyFill="1" applyBorder="1" applyAlignment="1">
      <alignment horizontal="center"/>
    </xf>
    <xf numFmtId="0" fontId="111" fillId="3" borderId="1" xfId="0" applyFont="1" applyFill="1" applyBorder="1" applyAlignment="1">
      <alignment horizontal="center"/>
    </xf>
    <xf numFmtId="0" fontId="111" fillId="3" borderId="16" xfId="0" applyFont="1" applyFill="1" applyBorder="1" applyAlignment="1">
      <alignment horizontal="center"/>
    </xf>
    <xf numFmtId="0" fontId="0" fillId="5" borderId="72" xfId="0" applyFill="1" applyBorder="1" applyAlignment="1">
      <alignment horizontal="center" vertical="center" wrapText="1"/>
    </xf>
    <xf numFmtId="0" fontId="46" fillId="0" borderId="0" xfId="0" applyFont="1" applyAlignment="1">
      <alignment horizontal="center"/>
    </xf>
    <xf numFmtId="0" fontId="46" fillId="0" borderId="0" xfId="0" applyFont="1" applyAlignment="1">
      <alignment horizontal="center" vertical="center"/>
    </xf>
    <xf numFmtId="0" fontId="4" fillId="5" borderId="76" xfId="37" applyFill="1" applyBorder="1" applyAlignment="1">
      <alignment horizontal="center" wrapText="1"/>
    </xf>
    <xf numFmtId="0" fontId="4" fillId="5" borderId="75" xfId="37" applyFill="1" applyBorder="1" applyAlignment="1">
      <alignment horizontal="center" wrapText="1"/>
    </xf>
    <xf numFmtId="0" fontId="0" fillId="5" borderId="72" xfId="0" applyFill="1" applyBorder="1" applyAlignment="1">
      <alignment horizontal="center" wrapText="1"/>
    </xf>
    <xf numFmtId="0" fontId="0" fillId="5" borderId="73" xfId="0" applyFill="1" applyBorder="1" applyAlignment="1">
      <alignment horizontal="center" vertical="center" wrapText="1"/>
    </xf>
    <xf numFmtId="0" fontId="44" fillId="0" borderId="56" xfId="12" applyFont="1" applyBorder="1" applyAlignment="1">
      <alignment horizontal="left" vertical="center" wrapText="1"/>
    </xf>
    <xf numFmtId="0" fontId="44" fillId="0" borderId="27" xfId="12" applyFont="1" applyBorder="1" applyAlignment="1">
      <alignment horizontal="left" vertical="center" wrapText="1"/>
    </xf>
    <xf numFmtId="0" fontId="44" fillId="0" borderId="55" xfId="12" applyFont="1" applyBorder="1" applyAlignment="1">
      <alignment horizontal="left" vertical="center" wrapText="1"/>
    </xf>
    <xf numFmtId="0" fontId="42" fillId="0" borderId="24" xfId="14" applyNumberFormat="1" applyFont="1" applyFill="1" applyBorder="1" applyAlignment="1">
      <alignment horizontal="left" vertical="center" wrapText="1"/>
    </xf>
    <xf numFmtId="0" fontId="42" fillId="0" borderId="26" xfId="14" applyNumberFormat="1" applyFont="1" applyFill="1" applyBorder="1" applyAlignment="1">
      <alignment horizontal="left" vertical="center" wrapText="1"/>
    </xf>
    <xf numFmtId="0" fontId="43" fillId="0" borderId="28" xfId="12" applyFont="1" applyBorder="1" applyAlignment="1">
      <alignment horizontal="center" vertical="center" wrapText="1"/>
    </xf>
    <xf numFmtId="0" fontId="43" fillId="0" borderId="29" xfId="12" applyFont="1" applyBorder="1" applyAlignment="1">
      <alignment horizontal="center" vertical="center" wrapText="1"/>
    </xf>
    <xf numFmtId="0" fontId="43" fillId="0" borderId="30" xfId="12" applyFont="1" applyBorder="1" applyAlignment="1">
      <alignment horizontal="center" vertical="center" wrapText="1"/>
    </xf>
    <xf numFmtId="0" fontId="43" fillId="0" borderId="31" xfId="12" applyFont="1" applyBorder="1" applyAlignment="1">
      <alignment horizontal="center" vertical="center" wrapText="1"/>
    </xf>
    <xf numFmtId="0" fontId="43" fillId="0" borderId="0" xfId="12" applyFont="1" applyBorder="1" applyAlignment="1">
      <alignment horizontal="center" vertical="center" wrapText="1"/>
    </xf>
    <xf numFmtId="0" fontId="43" fillId="0" borderId="32" xfId="12" applyFont="1" applyBorder="1" applyAlignment="1">
      <alignment horizontal="center" vertical="center" wrapText="1"/>
    </xf>
    <xf numFmtId="0" fontId="43" fillId="0" borderId="33" xfId="12" applyFont="1" applyBorder="1" applyAlignment="1">
      <alignment horizontal="center" vertical="center" wrapText="1"/>
    </xf>
    <xf numFmtId="0" fontId="43" fillId="0" borderId="34" xfId="12" applyFont="1" applyBorder="1" applyAlignment="1">
      <alignment horizontal="center" vertical="center" wrapText="1"/>
    </xf>
    <xf numFmtId="0" fontId="43" fillId="0" borderId="35" xfId="12" applyFont="1" applyBorder="1" applyAlignment="1">
      <alignment horizontal="center" vertical="center" wrapText="1"/>
    </xf>
    <xf numFmtId="0" fontId="42" fillId="0" borderId="24" xfId="14" applyNumberFormat="1" applyFont="1" applyFill="1" applyBorder="1" applyAlignment="1">
      <alignment horizontal="justify" vertical="center" wrapText="1"/>
    </xf>
    <xf numFmtId="0" fontId="42" fillId="0" borderId="26" xfId="14" applyNumberFormat="1" applyFont="1" applyFill="1" applyBorder="1" applyAlignment="1">
      <alignment horizontal="justify" vertical="center" wrapText="1"/>
    </xf>
    <xf numFmtId="49" fontId="42" fillId="0" borderId="25" xfId="14" applyNumberFormat="1" applyFont="1" applyFill="1" applyBorder="1" applyAlignment="1">
      <alignment horizontal="justify" vertical="center" wrapText="1"/>
    </xf>
    <xf numFmtId="49" fontId="42" fillId="0" borderId="46" xfId="14" applyNumberFormat="1" applyFont="1" applyFill="1" applyBorder="1" applyAlignment="1">
      <alignment horizontal="justify" vertical="center" wrapText="1"/>
    </xf>
    <xf numFmtId="0" fontId="94" fillId="11" borderId="24" xfId="25" applyNumberFormat="1" applyFont="1" applyFill="1" applyBorder="1" applyAlignment="1">
      <alignment horizontal="center"/>
    </xf>
    <xf numFmtId="0" fontId="95" fillId="11" borderId="25" xfId="25" applyNumberFormat="1" applyFont="1" applyFill="1" applyBorder="1" applyAlignment="1">
      <alignment wrapText="1"/>
    </xf>
    <xf numFmtId="0" fontId="91" fillId="0" borderId="24" xfId="25" applyNumberFormat="1" applyFont="1" applyFill="1" applyBorder="1" applyAlignment="1">
      <alignment horizontal="left"/>
    </xf>
    <xf numFmtId="0" fontId="17" fillId="0" borderId="25" xfId="25" applyNumberFormat="1" applyFont="1" applyFill="1" applyBorder="1" applyAlignment="1">
      <alignment wrapText="1"/>
    </xf>
    <xf numFmtId="0" fontId="17" fillId="0" borderId="26" xfId="25" applyNumberFormat="1" applyFont="1" applyFill="1" applyBorder="1" applyAlignment="1">
      <alignment wrapText="1"/>
    </xf>
    <xf numFmtId="0" fontId="93" fillId="0" borderId="25" xfId="25" applyNumberFormat="1" applyFont="1" applyFill="1" applyBorder="1" applyAlignment="1">
      <alignment horizontal="right"/>
    </xf>
    <xf numFmtId="0" fontId="92" fillId="0" borderId="24" xfId="25" applyNumberFormat="1" applyFont="1" applyFill="1" applyBorder="1" applyAlignment="1">
      <alignment horizontal="left"/>
    </xf>
    <xf numFmtId="0" fontId="92" fillId="0" borderId="24" xfId="25" applyNumberFormat="1" applyFont="1" applyFill="1" applyBorder="1" applyAlignment="1">
      <alignment horizontal="left" vertical="center" wrapText="1"/>
    </xf>
    <xf numFmtId="0" fontId="17" fillId="0" borderId="25" xfId="25" applyNumberFormat="1" applyFont="1" applyFill="1" applyBorder="1" applyAlignment="1">
      <alignment vertical="center" wrapText="1"/>
    </xf>
    <xf numFmtId="0" fontId="86" fillId="0" borderId="17" xfId="25" applyNumberFormat="1" applyFont="1" applyFill="1" applyBorder="1" applyAlignment="1">
      <alignment horizontal="center" vertical="center"/>
    </xf>
    <xf numFmtId="0" fontId="86" fillId="0" borderId="0" xfId="25" applyNumberFormat="1" applyFont="1" applyFill="1" applyBorder="1" applyAlignment="1">
      <alignment horizontal="center" vertical="center"/>
    </xf>
    <xf numFmtId="0" fontId="86" fillId="0" borderId="18" xfId="25" applyNumberFormat="1" applyFont="1" applyFill="1" applyBorder="1" applyAlignment="1">
      <alignment horizontal="center" vertical="center"/>
    </xf>
    <xf numFmtId="0" fontId="87" fillId="0" borderId="17" xfId="25" applyNumberFormat="1" applyFont="1" applyFill="1" applyBorder="1" applyAlignment="1">
      <alignment horizontal="center"/>
    </xf>
    <xf numFmtId="0" fontId="87" fillId="0" borderId="0" xfId="25" applyNumberFormat="1" applyFont="1" applyFill="1" applyBorder="1" applyAlignment="1">
      <alignment horizontal="center"/>
    </xf>
    <xf numFmtId="0" fontId="88" fillId="0" borderId="23" xfId="25" applyNumberFormat="1" applyFont="1" applyFill="1" applyBorder="1" applyAlignment="1">
      <alignment horizontal="center"/>
    </xf>
    <xf numFmtId="0" fontId="17" fillId="0" borderId="3" xfId="25" applyNumberFormat="1" applyFont="1" applyFill="1" applyBorder="1" applyAlignment="1">
      <alignment wrapText="1"/>
    </xf>
    <xf numFmtId="0" fontId="88" fillId="8" borderId="67" xfId="25" applyNumberFormat="1" applyFont="1" applyFill="1" applyBorder="1" applyAlignment="1">
      <alignment horizontal="center" vertical="center" wrapText="1"/>
    </xf>
    <xf numFmtId="0" fontId="88" fillId="8" borderId="4" xfId="25" applyNumberFormat="1" applyFont="1" applyFill="1" applyBorder="1" applyAlignment="1">
      <alignment horizontal="center" vertical="center" wrapText="1"/>
    </xf>
    <xf numFmtId="0" fontId="92" fillId="0" borderId="67" xfId="25" applyNumberFormat="1" applyFont="1" applyFill="1" applyBorder="1" applyAlignment="1">
      <alignment horizontal="left"/>
    </xf>
    <xf numFmtId="0" fontId="17" fillId="0" borderId="4" xfId="25" applyNumberFormat="1" applyFont="1" applyFill="1" applyBorder="1" applyAlignment="1">
      <alignment wrapText="1"/>
    </xf>
    <xf numFmtId="0" fontId="17" fillId="0" borderId="24" xfId="25" applyNumberFormat="1" applyFont="1" applyFill="1" applyBorder="1" applyAlignment="1">
      <alignment vertical="center" wrapText="1"/>
    </xf>
    <xf numFmtId="194" fontId="17" fillId="0" borderId="27" xfId="25" applyNumberFormat="1" applyFont="1" applyFill="1" applyBorder="1" applyAlignment="1">
      <alignment horizontal="center" vertical="center" wrapText="1"/>
    </xf>
    <xf numFmtId="194" fontId="17" fillId="0" borderId="27" xfId="25" applyNumberFormat="1" applyBorder="1" applyAlignment="1">
      <alignment horizontal="right" vertical="center"/>
    </xf>
    <xf numFmtId="0" fontId="17" fillId="0" borderId="5" xfId="25" applyNumberFormat="1" applyFont="1" applyFill="1" applyBorder="1" applyAlignment="1">
      <alignment wrapText="1"/>
    </xf>
    <xf numFmtId="0" fontId="46" fillId="0" borderId="27" xfId="25" applyNumberFormat="1" applyFont="1" applyFill="1" applyBorder="1" applyAlignment="1">
      <alignment horizontal="center" vertical="center" wrapText="1"/>
    </xf>
    <xf numFmtId="0" fontId="46" fillId="0" borderId="27" xfId="25" applyFont="1" applyBorder="1" applyAlignment="1">
      <alignment horizontal="center" vertical="center"/>
    </xf>
    <xf numFmtId="0" fontId="86" fillId="0" borderId="67" xfId="25" applyNumberFormat="1" applyFont="1" applyFill="1" applyBorder="1" applyAlignment="1">
      <alignment horizontal="center" vertical="center"/>
    </xf>
    <xf numFmtId="0" fontId="86" fillId="0" borderId="4" xfId="25" applyNumberFormat="1" applyFont="1" applyFill="1" applyBorder="1" applyAlignment="1">
      <alignment horizontal="center" vertical="center"/>
    </xf>
    <xf numFmtId="0" fontId="86" fillId="0" borderId="5" xfId="25" applyNumberFormat="1" applyFont="1" applyFill="1" applyBorder="1" applyAlignment="1">
      <alignment horizontal="center" vertical="center"/>
    </xf>
    <xf numFmtId="0" fontId="87" fillId="0" borderId="17" xfId="25" applyNumberFormat="1" applyFont="1" applyFill="1" applyBorder="1" applyAlignment="1">
      <alignment horizontal="center" vertical="center" wrapText="1"/>
    </xf>
    <xf numFmtId="0" fontId="87" fillId="0" borderId="0" xfId="25" applyNumberFormat="1" applyFont="1" applyFill="1" applyBorder="1" applyAlignment="1">
      <alignment horizontal="center" vertical="center"/>
    </xf>
    <xf numFmtId="0" fontId="87" fillId="0" borderId="18" xfId="25" applyNumberFormat="1" applyFont="1" applyFill="1" applyBorder="1" applyAlignment="1">
      <alignment horizontal="center" vertical="center"/>
    </xf>
    <xf numFmtId="0" fontId="89" fillId="0" borderId="27" xfId="25" applyNumberFormat="1" applyFont="1" applyFill="1" applyBorder="1" applyAlignment="1">
      <alignment horizontal="right" vertical="center" wrapText="1"/>
    </xf>
    <xf numFmtId="185" fontId="66" fillId="0" borderId="27" xfId="27" applyNumberFormat="1" applyFont="1" applyFill="1" applyBorder="1" applyAlignment="1">
      <alignment horizontal="center" vertical="center" wrapText="1"/>
    </xf>
    <xf numFmtId="10" fontId="66" fillId="0" borderId="27" xfId="27" applyNumberFormat="1" applyFont="1" applyFill="1" applyBorder="1" applyAlignment="1">
      <alignment horizontal="center" vertical="center" wrapText="1"/>
    </xf>
    <xf numFmtId="0" fontId="90" fillId="0" borderId="24" xfId="25" applyNumberFormat="1" applyFont="1" applyFill="1" applyBorder="1" applyAlignment="1">
      <alignment horizontal="center" vertical="center"/>
    </xf>
    <xf numFmtId="0" fontId="90" fillId="0" borderId="25" xfId="25" applyNumberFormat="1" applyFont="1" applyFill="1" applyBorder="1" applyAlignment="1">
      <alignment horizontal="center" vertical="center"/>
    </xf>
    <xf numFmtId="0" fontId="46" fillId="0" borderId="38" xfId="38" applyFont="1" applyBorder="1" applyAlignment="1">
      <alignment horizontal="center" vertical="center"/>
    </xf>
    <xf numFmtId="0" fontId="46" fillId="0" borderId="39" xfId="38" applyFont="1" applyBorder="1" applyAlignment="1">
      <alignment horizontal="center" vertical="center"/>
    </xf>
    <xf numFmtId="0" fontId="46" fillId="0" borderId="40" xfId="38" applyFont="1" applyBorder="1" applyAlignment="1">
      <alignment horizontal="center" vertical="center"/>
    </xf>
    <xf numFmtId="0" fontId="46" fillId="0" borderId="38" xfId="38" applyFont="1" applyBorder="1" applyAlignment="1">
      <alignment horizontal="left" vertical="center" wrapText="1"/>
    </xf>
    <xf numFmtId="0" fontId="46" fillId="0" borderId="39" xfId="38" applyFont="1" applyBorder="1" applyAlignment="1">
      <alignment horizontal="left" vertical="center" wrapText="1"/>
    </xf>
    <xf numFmtId="0" fontId="46" fillId="0" borderId="40" xfId="38" applyFont="1" applyBorder="1" applyAlignment="1">
      <alignment horizontal="left" vertical="center" wrapText="1"/>
    </xf>
    <xf numFmtId="0" fontId="2" fillId="0" borderId="38" xfId="38" applyFont="1" applyBorder="1" applyAlignment="1">
      <alignment horizontal="center"/>
    </xf>
    <xf numFmtId="0" fontId="3" fillId="0" borderId="39" xfId="38" applyBorder="1" applyAlignment="1">
      <alignment horizontal="center"/>
    </xf>
    <xf numFmtId="0" fontId="3" fillId="0" borderId="40" xfId="38" applyBorder="1" applyAlignment="1">
      <alignment horizontal="center"/>
    </xf>
    <xf numFmtId="0" fontId="50" fillId="0" borderId="28" xfId="8" applyFont="1" applyBorder="1" applyAlignment="1">
      <alignment horizontal="center" vertical="center" wrapText="1"/>
    </xf>
    <xf numFmtId="0" fontId="50" fillId="0" borderId="29" xfId="8" applyFont="1" applyBorder="1" applyAlignment="1">
      <alignment horizontal="center" vertical="center" wrapText="1"/>
    </xf>
    <xf numFmtId="0" fontId="50" fillId="0" borderId="30" xfId="8" applyFont="1" applyBorder="1" applyAlignment="1">
      <alignment horizontal="center" vertical="center" wrapText="1"/>
    </xf>
    <xf numFmtId="0" fontId="27" fillId="0" borderId="15" xfId="8" applyFont="1" applyBorder="1" applyAlignment="1">
      <alignment horizontal="left" vertical="center" wrapText="1"/>
    </xf>
    <xf numFmtId="0" fontId="27" fillId="0" borderId="1" xfId="8" applyFont="1" applyBorder="1" applyAlignment="1">
      <alignment horizontal="left" vertical="center" wrapText="1"/>
    </xf>
    <xf numFmtId="0" fontId="27" fillId="0" borderId="16" xfId="8" applyFont="1" applyBorder="1" applyAlignment="1">
      <alignment horizontal="left" vertical="center" wrapText="1"/>
    </xf>
    <xf numFmtId="4" fontId="27" fillId="0" borderId="50" xfId="7" applyNumberFormat="1" applyFont="1" applyBorder="1" applyAlignment="1">
      <alignment horizontal="left"/>
    </xf>
    <xf numFmtId="4" fontId="27" fillId="0" borderId="7" xfId="7" applyNumberFormat="1" applyFont="1" applyBorder="1" applyAlignment="1">
      <alignment horizontal="left"/>
    </xf>
    <xf numFmtId="0" fontId="33" fillId="2" borderId="52" xfId="7" applyFont="1" applyFill="1" applyBorder="1" applyAlignment="1">
      <alignment horizontal="left" vertical="center"/>
    </xf>
    <xf numFmtId="0" fontId="33" fillId="2" borderId="1" xfId="7" applyFont="1" applyFill="1" applyBorder="1" applyAlignment="1">
      <alignment horizontal="left" vertical="center"/>
    </xf>
    <xf numFmtId="0" fontId="33" fillId="2" borderId="53" xfId="7" applyFont="1" applyFill="1" applyBorder="1" applyAlignment="1">
      <alignment horizontal="left" vertical="center"/>
    </xf>
    <xf numFmtId="0" fontId="37" fillId="0" borderId="15" xfId="7" applyFont="1" applyBorder="1" applyAlignment="1">
      <alignment horizontal="left" vertical="center"/>
    </xf>
    <xf numFmtId="0" fontId="37" fillId="0" borderId="1" xfId="7" applyFont="1" applyBorder="1" applyAlignment="1">
      <alignment horizontal="left" vertical="center"/>
    </xf>
    <xf numFmtId="0" fontId="37" fillId="0" borderId="16" xfId="7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 wrapText="1"/>
    </xf>
    <xf numFmtId="0" fontId="27" fillId="0" borderId="7" xfId="0" applyFont="1" applyBorder="1" applyAlignment="1">
      <alignment horizontal="left" vertical="center" wrapText="1"/>
    </xf>
    <xf numFmtId="0" fontId="61" fillId="0" borderId="31" xfId="8" applyFont="1" applyBorder="1" applyAlignment="1">
      <alignment horizontal="center" vertical="center"/>
    </xf>
    <xf numFmtId="0" fontId="61" fillId="0" borderId="0" xfId="8" applyFont="1" applyBorder="1" applyAlignment="1">
      <alignment horizontal="center" vertical="center"/>
    </xf>
    <xf numFmtId="0" fontId="61" fillId="0" borderId="32" xfId="8" applyFont="1" applyBorder="1" applyAlignment="1">
      <alignment horizontal="center" vertical="center"/>
    </xf>
    <xf numFmtId="0" fontId="27" fillId="0" borderId="50" xfId="0" applyFont="1" applyBorder="1" applyAlignment="1">
      <alignment horizontal="left" vertical="center"/>
    </xf>
    <xf numFmtId="0" fontId="27" fillId="0" borderId="7" xfId="0" applyFont="1" applyBorder="1" applyAlignment="1">
      <alignment horizontal="left" vertical="center"/>
    </xf>
    <xf numFmtId="0" fontId="29" fillId="0" borderId="31" xfId="8" applyNumberFormat="1" applyFont="1" applyBorder="1" applyAlignment="1">
      <alignment horizontal="center" vertical="center" wrapText="1" shrinkToFit="1"/>
    </xf>
    <xf numFmtId="0" fontId="27" fillId="0" borderId="0" xfId="7" applyNumberFormat="1" applyFont="1" applyBorder="1" applyAlignment="1">
      <alignment horizontal="center" vertical="center"/>
    </xf>
    <xf numFmtId="0" fontId="27" fillId="0" borderId="32" xfId="7" applyNumberFormat="1" applyFont="1" applyBorder="1" applyAlignment="1">
      <alignment horizontal="center" vertical="center"/>
    </xf>
    <xf numFmtId="0" fontId="27" fillId="0" borderId="31" xfId="7" applyNumberFormat="1" applyFont="1" applyBorder="1" applyAlignment="1">
      <alignment horizontal="center" vertical="center"/>
    </xf>
    <xf numFmtId="0" fontId="27" fillId="0" borderId="50" xfId="7" applyFont="1" applyBorder="1" applyAlignment="1">
      <alignment horizontal="left"/>
    </xf>
    <xf numFmtId="0" fontId="27" fillId="0" borderId="7" xfId="7" applyFont="1" applyBorder="1" applyAlignment="1">
      <alignment horizontal="left"/>
    </xf>
    <xf numFmtId="0" fontId="27" fillId="0" borderId="50" xfId="7" applyFont="1" applyBorder="1" applyAlignment="1">
      <alignment horizontal="center"/>
    </xf>
    <xf numFmtId="0" fontId="27" fillId="0" borderId="7" xfId="7" applyFont="1" applyBorder="1" applyAlignment="1">
      <alignment horizontal="center"/>
    </xf>
    <xf numFmtId="0" fontId="27" fillId="0" borderId="50" xfId="0" applyFont="1" applyBorder="1" applyAlignment="1">
      <alignment horizontal="left"/>
    </xf>
    <xf numFmtId="0" fontId="27" fillId="0" borderId="7" xfId="0" applyFont="1" applyBorder="1" applyAlignment="1">
      <alignment horizontal="left"/>
    </xf>
    <xf numFmtId="4" fontId="27" fillId="0" borderId="50" xfId="7" applyNumberFormat="1" applyFont="1" applyBorder="1" applyAlignment="1">
      <alignment horizontal="left" wrapText="1"/>
    </xf>
    <xf numFmtId="4" fontId="27" fillId="0" borderId="7" xfId="7" applyNumberFormat="1" applyFont="1" applyBorder="1" applyAlignment="1">
      <alignment horizontal="left" wrapText="1"/>
    </xf>
    <xf numFmtId="0" fontId="27" fillId="0" borderId="52" xfId="7" applyFont="1" applyBorder="1" applyAlignment="1">
      <alignment horizontal="center" wrapText="1"/>
    </xf>
    <xf numFmtId="0" fontId="27" fillId="0" borderId="1" xfId="7" applyFont="1" applyBorder="1" applyAlignment="1">
      <alignment horizontal="center" wrapText="1"/>
    </xf>
    <xf numFmtId="0" fontId="27" fillId="0" borderId="53" xfId="7" applyFont="1" applyBorder="1" applyAlignment="1">
      <alignment horizontal="center" wrapText="1"/>
    </xf>
    <xf numFmtId="0" fontId="27" fillId="0" borderId="50" xfId="7" applyFont="1" applyBorder="1" applyAlignment="1">
      <alignment horizontal="left" vertical="center"/>
    </xf>
    <xf numFmtId="0" fontId="27" fillId="0" borderId="7" xfId="7" applyFont="1" applyBorder="1" applyAlignment="1">
      <alignment horizontal="left" vertical="center"/>
    </xf>
    <xf numFmtId="0" fontId="23" fillId="0" borderId="31" xfId="12" applyFont="1" applyBorder="1" applyAlignment="1">
      <alignment horizontal="left"/>
    </xf>
    <xf numFmtId="0" fontId="23" fillId="0" borderId="0" xfId="12" applyFont="1" applyBorder="1" applyAlignment="1">
      <alignment horizontal="left"/>
    </xf>
    <xf numFmtId="4" fontId="27" fillId="0" borderId="19" xfId="7" applyNumberFormat="1" applyFont="1" applyBorder="1" applyAlignment="1">
      <alignment horizontal="left"/>
    </xf>
    <xf numFmtId="4" fontId="27" fillId="0" borderId="50" xfId="12" applyNumberFormat="1" applyFont="1" applyBorder="1" applyAlignment="1">
      <alignment horizontal="left"/>
    </xf>
    <xf numFmtId="4" fontId="27" fillId="0" borderId="7" xfId="12" applyNumberFormat="1" applyFont="1" applyBorder="1" applyAlignment="1">
      <alignment horizontal="left"/>
    </xf>
    <xf numFmtId="4" fontId="27" fillId="0" borderId="19" xfId="12" applyNumberFormat="1" applyFont="1" applyBorder="1" applyAlignment="1">
      <alignment horizontal="left"/>
    </xf>
    <xf numFmtId="0" fontId="27" fillId="0" borderId="19" xfId="7" applyFont="1" applyBorder="1" applyAlignment="1">
      <alignment horizontal="left"/>
    </xf>
    <xf numFmtId="0" fontId="27" fillId="0" borderId="19" xfId="7" applyFont="1" applyBorder="1" applyAlignment="1">
      <alignment horizontal="center"/>
    </xf>
    <xf numFmtId="0" fontId="29" fillId="0" borderId="17" xfId="8" applyNumberFormat="1" applyFont="1" applyBorder="1" applyAlignment="1">
      <alignment horizontal="center" vertical="center" wrapText="1" shrinkToFit="1"/>
    </xf>
    <xf numFmtId="0" fontId="27" fillId="0" borderId="18" xfId="7" applyNumberFormat="1" applyFont="1" applyBorder="1" applyAlignment="1">
      <alignment horizontal="center" vertical="center"/>
    </xf>
    <xf numFmtId="0" fontId="27" fillId="0" borderId="17" xfId="7" applyNumberFormat="1" applyFont="1" applyBorder="1" applyAlignment="1">
      <alignment horizontal="center" vertical="center"/>
    </xf>
    <xf numFmtId="0" fontId="33" fillId="2" borderId="21" xfId="7" applyFont="1" applyFill="1" applyBorder="1" applyAlignment="1">
      <alignment horizontal="left" vertical="center"/>
    </xf>
    <xf numFmtId="0" fontId="33" fillId="2" borderId="22" xfId="7" applyFont="1" applyFill="1" applyBorder="1" applyAlignment="1">
      <alignment horizontal="left" vertical="center"/>
    </xf>
    <xf numFmtId="0" fontId="61" fillId="0" borderId="17" xfId="8" applyFont="1" applyBorder="1" applyAlignment="1">
      <alignment horizontal="center" vertical="center"/>
    </xf>
    <xf numFmtId="0" fontId="61" fillId="0" borderId="18" xfId="8" applyFont="1" applyBorder="1" applyAlignment="1">
      <alignment horizontal="center" vertical="center"/>
    </xf>
    <xf numFmtId="4" fontId="27" fillId="0" borderId="21" xfId="7" applyNumberFormat="1" applyFont="1" applyBorder="1" applyAlignment="1">
      <alignment horizontal="left" wrapText="1"/>
    </xf>
    <xf numFmtId="4" fontId="27" fillId="0" borderId="1" xfId="7" applyNumberFormat="1" applyFont="1" applyBorder="1" applyAlignment="1">
      <alignment horizontal="left" wrapText="1"/>
    </xf>
    <xf numFmtId="4" fontId="27" fillId="0" borderId="16" xfId="7" applyNumberFormat="1" applyFont="1" applyBorder="1" applyAlignment="1">
      <alignment horizontal="left" wrapText="1"/>
    </xf>
    <xf numFmtId="0" fontId="27" fillId="0" borderId="21" xfId="0" applyFont="1" applyBorder="1" applyAlignment="1">
      <alignment horizontal="justify" vertical="center" wrapText="1"/>
    </xf>
    <xf numFmtId="0" fontId="27" fillId="0" borderId="1" xfId="0" applyFont="1" applyBorder="1" applyAlignment="1">
      <alignment horizontal="justify" vertical="center" wrapText="1"/>
    </xf>
    <xf numFmtId="0" fontId="27" fillId="0" borderId="16" xfId="0" applyFont="1" applyBorder="1" applyAlignment="1">
      <alignment horizontal="justify" vertical="center" wrapText="1"/>
    </xf>
    <xf numFmtId="0" fontId="27" fillId="0" borderId="19" xfId="0" applyFont="1" applyBorder="1" applyAlignment="1">
      <alignment horizontal="left" vertical="center"/>
    </xf>
    <xf numFmtId="0" fontId="27" fillId="0" borderId="50" xfId="12" applyFont="1" applyBorder="1" applyAlignment="1">
      <alignment horizontal="center"/>
    </xf>
    <xf numFmtId="0" fontId="27" fillId="0" borderId="7" xfId="12" applyFont="1" applyBorder="1" applyAlignment="1">
      <alignment horizontal="center"/>
    </xf>
    <xf numFmtId="0" fontId="33" fillId="2" borderId="52" xfId="12" applyFont="1" applyFill="1" applyBorder="1" applyAlignment="1">
      <alignment horizontal="left" vertical="center"/>
    </xf>
    <xf numFmtId="0" fontId="33" fillId="2" borderId="1" xfId="12" applyFont="1" applyFill="1" applyBorder="1" applyAlignment="1">
      <alignment horizontal="left" vertical="center"/>
    </xf>
    <xf numFmtId="0" fontId="33" fillId="2" borderId="53" xfId="12" applyFont="1" applyFill="1" applyBorder="1" applyAlignment="1">
      <alignment horizontal="left" vertical="center"/>
    </xf>
    <xf numFmtId="0" fontId="27" fillId="0" borderId="50" xfId="12" applyFont="1" applyBorder="1" applyAlignment="1">
      <alignment horizontal="left"/>
    </xf>
    <xf numFmtId="0" fontId="27" fillId="0" borderId="7" xfId="12" applyFont="1" applyBorder="1" applyAlignment="1">
      <alignment horizontal="left"/>
    </xf>
    <xf numFmtId="0" fontId="27" fillId="0" borderId="50" xfId="12" applyFont="1" applyBorder="1" applyAlignment="1">
      <alignment horizontal="left" vertical="center"/>
    </xf>
    <xf numFmtId="0" fontId="27" fillId="0" borderId="7" xfId="12" applyFont="1" applyBorder="1" applyAlignment="1">
      <alignment horizontal="left" vertical="center"/>
    </xf>
    <xf numFmtId="0" fontId="37" fillId="0" borderId="15" xfId="12" applyFont="1" applyBorder="1" applyAlignment="1">
      <alignment horizontal="left" vertical="center"/>
    </xf>
    <xf numFmtId="0" fontId="37" fillId="0" borderId="1" xfId="12" applyFont="1" applyBorder="1" applyAlignment="1">
      <alignment horizontal="left" vertical="center"/>
    </xf>
    <xf numFmtId="0" fontId="37" fillId="0" borderId="16" xfId="12" applyFont="1" applyBorder="1" applyAlignment="1">
      <alignment horizontal="left" vertical="center"/>
    </xf>
    <xf numFmtId="0" fontId="107" fillId="0" borderId="15" xfId="12" applyFont="1" applyBorder="1" applyAlignment="1">
      <alignment horizontal="left" vertical="center"/>
    </xf>
    <xf numFmtId="0" fontId="107" fillId="0" borderId="1" xfId="12" applyFont="1" applyBorder="1" applyAlignment="1">
      <alignment horizontal="left" vertical="center"/>
    </xf>
    <xf numFmtId="0" fontId="107" fillId="0" borderId="16" xfId="12" applyFont="1" applyBorder="1" applyAlignment="1">
      <alignment horizontal="left" vertical="center"/>
    </xf>
    <xf numFmtId="4" fontId="105" fillId="0" borderId="50" xfId="12" applyNumberFormat="1" applyFont="1" applyBorder="1" applyAlignment="1">
      <alignment horizontal="left"/>
    </xf>
    <xf numFmtId="4" fontId="105" fillId="0" borderId="7" xfId="12" applyNumberFormat="1" applyFont="1" applyBorder="1" applyAlignment="1">
      <alignment horizontal="left"/>
    </xf>
    <xf numFmtId="4" fontId="105" fillId="0" borderId="52" xfId="12" applyNumberFormat="1" applyFont="1" applyBorder="1" applyAlignment="1"/>
    <xf numFmtId="4" fontId="105" fillId="0" borderId="16" xfId="12" applyNumberFormat="1" applyFont="1" applyBorder="1" applyAlignment="1"/>
    <xf numFmtId="0" fontId="105" fillId="0" borderId="52" xfId="12" applyFont="1" applyBorder="1" applyAlignment="1"/>
    <xf numFmtId="0" fontId="105" fillId="0" borderId="16" xfId="12" applyFont="1" applyBorder="1" applyAlignment="1"/>
    <xf numFmtId="0" fontId="105" fillId="0" borderId="50" xfId="12" applyFont="1" applyBorder="1" applyAlignment="1">
      <alignment horizontal="left"/>
    </xf>
    <xf numFmtId="0" fontId="105" fillId="0" borderId="7" xfId="12" applyFont="1" applyBorder="1" applyAlignment="1">
      <alignment horizontal="left"/>
    </xf>
    <xf numFmtId="0" fontId="105" fillId="0" borderId="50" xfId="12" applyFont="1" applyBorder="1" applyAlignment="1">
      <alignment horizontal="left" vertical="center"/>
    </xf>
    <xf numFmtId="0" fontId="105" fillId="0" borderId="7" xfId="12" applyFont="1" applyBorder="1" applyAlignment="1">
      <alignment horizontal="left" vertical="center"/>
    </xf>
    <xf numFmtId="0" fontId="27" fillId="0" borderId="15" xfId="8" applyFont="1" applyBorder="1" applyAlignment="1">
      <alignment horizontal="justify" vertical="center" wrapText="1"/>
    </xf>
    <xf numFmtId="0" fontId="27" fillId="0" borderId="1" xfId="8" applyFont="1" applyBorder="1" applyAlignment="1">
      <alignment horizontal="justify" vertical="center" wrapText="1"/>
    </xf>
    <xf numFmtId="0" fontId="27" fillId="0" borderId="16" xfId="8" applyFont="1" applyBorder="1" applyAlignment="1">
      <alignment horizontal="justify" vertical="center" wrapText="1"/>
    </xf>
    <xf numFmtId="4" fontId="27" fillId="0" borderId="50" xfId="12" applyNumberFormat="1" applyFont="1" applyBorder="1" applyAlignment="1">
      <alignment horizontal="left" vertical="center"/>
    </xf>
    <xf numFmtId="0" fontId="27" fillId="0" borderId="50" xfId="7" applyFont="1" applyBorder="1" applyAlignment="1">
      <alignment horizontal="left" vertical="center" wrapText="1"/>
    </xf>
    <xf numFmtId="0" fontId="27" fillId="0" borderId="7" xfId="7" applyFont="1" applyBorder="1" applyAlignment="1">
      <alignment horizontal="left" vertical="center" wrapText="1"/>
    </xf>
    <xf numFmtId="4" fontId="27" fillId="0" borderId="50" xfId="7" applyNumberFormat="1" applyFont="1" applyBorder="1" applyAlignment="1">
      <alignment horizontal="left" vertical="center"/>
    </xf>
    <xf numFmtId="4" fontId="27" fillId="0" borderId="52" xfId="12" applyNumberFormat="1" applyFont="1" applyBorder="1" applyAlignment="1">
      <alignment horizontal="left" vertical="center"/>
    </xf>
    <xf numFmtId="4" fontId="27" fillId="0" borderId="1" xfId="12" applyNumberFormat="1" applyFont="1" applyBorder="1" applyAlignment="1">
      <alignment horizontal="left" vertical="center"/>
    </xf>
    <xf numFmtId="4" fontId="27" fillId="0" borderId="16" xfId="12" applyNumberFormat="1" applyFont="1" applyBorder="1" applyAlignment="1">
      <alignment horizontal="left" vertical="center"/>
    </xf>
    <xf numFmtId="0" fontId="27" fillId="0" borderId="52" xfId="7" applyFont="1" applyBorder="1" applyAlignment="1">
      <alignment horizontal="left" vertical="center" wrapText="1"/>
    </xf>
    <xf numFmtId="0" fontId="27" fillId="0" borderId="1" xfId="7" applyFont="1" applyBorder="1" applyAlignment="1">
      <alignment horizontal="left" vertical="center" wrapText="1"/>
    </xf>
    <xf numFmtId="0" fontId="27" fillId="0" borderId="16" xfId="7" applyFont="1" applyBorder="1" applyAlignment="1">
      <alignment horizontal="left" vertical="center" wrapText="1"/>
    </xf>
    <xf numFmtId="0" fontId="27" fillId="0" borderId="52" xfId="0" applyFont="1" applyBorder="1" applyAlignment="1">
      <alignment horizontal="justify" vertical="center" wrapText="1"/>
    </xf>
    <xf numFmtId="0" fontId="50" fillId="0" borderId="31" xfId="8" applyFont="1" applyBorder="1" applyAlignment="1">
      <alignment horizontal="center" vertical="center" wrapText="1"/>
    </xf>
    <xf numFmtId="0" fontId="50" fillId="0" borderId="0" xfId="8" applyFont="1" applyBorder="1" applyAlignment="1">
      <alignment horizontal="center" vertical="center" wrapText="1"/>
    </xf>
    <xf numFmtId="0" fontId="50" fillId="0" borderId="32" xfId="8" applyFont="1" applyBorder="1" applyAlignment="1">
      <alignment horizontal="center" vertical="center" wrapText="1"/>
    </xf>
    <xf numFmtId="0" fontId="61" fillId="0" borderId="31" xfId="8" applyFont="1" applyBorder="1" applyAlignment="1">
      <alignment horizontal="left" vertical="center" indent="14"/>
    </xf>
    <xf numFmtId="0" fontId="61" fillId="0" borderId="0" xfId="8" applyFont="1" applyBorder="1" applyAlignment="1">
      <alignment horizontal="left" vertical="center" indent="14"/>
    </xf>
    <xf numFmtId="0" fontId="61" fillId="0" borderId="32" xfId="8" applyFont="1" applyBorder="1" applyAlignment="1">
      <alignment horizontal="left" vertical="center" indent="14"/>
    </xf>
    <xf numFmtId="0" fontId="27" fillId="0" borderId="7" xfId="8" applyFont="1" applyBorder="1" applyAlignment="1">
      <alignment horizontal="center"/>
    </xf>
    <xf numFmtId="4" fontId="27" fillId="0" borderId="52" xfId="7" applyNumberFormat="1" applyFont="1" applyBorder="1" applyAlignment="1">
      <alignment horizontal="left"/>
    </xf>
    <xf numFmtId="4" fontId="27" fillId="0" borderId="1" xfId="7" applyNumberFormat="1" applyFont="1" applyBorder="1" applyAlignment="1">
      <alignment horizontal="left"/>
    </xf>
    <xf numFmtId="4" fontId="27" fillId="0" borderId="16" xfId="7" applyNumberFormat="1" applyFont="1" applyBorder="1" applyAlignment="1">
      <alignment horizontal="left"/>
    </xf>
  </cellXfs>
  <cellStyles count="39">
    <cellStyle name="Euro" xfId="17"/>
    <cellStyle name="Millares [0]" xfId="11" builtinId="6"/>
    <cellStyle name="Millares [0] 2" xfId="1"/>
    <cellStyle name="Millares [0] 2 2" xfId="13"/>
    <cellStyle name="Millares [0] 3" xfId="2"/>
    <cellStyle name="Millares [0] 3 2" xfId="9"/>
    <cellStyle name="Millares [0] 4" xfId="10"/>
    <cellStyle name="Millares 2" xfId="3"/>
    <cellStyle name="Millares 2 2" xfId="21"/>
    <cellStyle name="Millares 3" xfId="15"/>
    <cellStyle name="Millares 4" xfId="28"/>
    <cellStyle name="Millares_Hoja1 2" xfId="4"/>
    <cellStyle name="Millares_Hoja1 2 2" xfId="22"/>
    <cellStyle name="Moneda" xfId="5" builtinId="4"/>
    <cellStyle name="Moneda 2" xfId="6"/>
    <cellStyle name="Moneda 3" xfId="14"/>
    <cellStyle name="Moneda 3 2" xfId="31"/>
    <cellStyle name="Moneda 3 3" xfId="32"/>
    <cellStyle name="Moneda 3 4" xfId="33"/>
    <cellStyle name="Moneda 3 5" xfId="36"/>
    <cellStyle name="Moneda 4" xfId="26"/>
    <cellStyle name="Moneda 5" xfId="30"/>
    <cellStyle name="Moneda 6" xfId="35"/>
    <cellStyle name="Normal" xfId="0" builtinId="0"/>
    <cellStyle name="Normal 2" xfId="7"/>
    <cellStyle name="Normal 2 2" xfId="12"/>
    <cellStyle name="Normal 3" xfId="16"/>
    <cellStyle name="Normal 4" xfId="25"/>
    <cellStyle name="Normal 5" xfId="34"/>
    <cellStyle name="Normal 6" xfId="23"/>
    <cellStyle name="Normal 7" xfId="37"/>
    <cellStyle name="Normal 8" xfId="38"/>
    <cellStyle name="Normal_Hoja1" xfId="8"/>
    <cellStyle name="Normal_modelo ACTA OBRA y MODIFICACION" xfId="29"/>
    <cellStyle name="Porcentaje" xfId="24" builtinId="5"/>
    <cellStyle name="Porcentaje 2" xfId="18"/>
    <cellStyle name="Porcentaje 3" xfId="27"/>
    <cellStyle name="Porcentual 2" xfId="19"/>
    <cellStyle name="Währung" xfId="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63" Type="http://schemas.openxmlformats.org/officeDocument/2006/relationships/worksheet" Target="worksheets/sheet63.xml"/><Relationship Id="rId84" Type="http://schemas.openxmlformats.org/officeDocument/2006/relationships/worksheet" Target="worksheets/sheet84.xml"/><Relationship Id="rId138" Type="http://schemas.openxmlformats.org/officeDocument/2006/relationships/externalLink" Target="externalLinks/externalLink22.xml"/><Relationship Id="rId159" Type="http://schemas.openxmlformats.org/officeDocument/2006/relationships/externalLink" Target="externalLinks/externalLink43.xml"/><Relationship Id="rId170" Type="http://schemas.openxmlformats.org/officeDocument/2006/relationships/sharedStrings" Target="sharedStrings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53" Type="http://schemas.openxmlformats.org/officeDocument/2006/relationships/worksheet" Target="worksheets/sheet53.xml"/><Relationship Id="rId74" Type="http://schemas.openxmlformats.org/officeDocument/2006/relationships/worksheet" Target="worksheets/sheet74.xml"/><Relationship Id="rId128" Type="http://schemas.openxmlformats.org/officeDocument/2006/relationships/externalLink" Target="externalLinks/externalLink12.xml"/><Relationship Id="rId149" Type="http://schemas.openxmlformats.org/officeDocument/2006/relationships/externalLink" Target="externalLinks/externalLink33.xml"/><Relationship Id="rId5" Type="http://schemas.openxmlformats.org/officeDocument/2006/relationships/worksheet" Target="worksheets/sheet5.xml"/><Relationship Id="rId95" Type="http://schemas.openxmlformats.org/officeDocument/2006/relationships/worksheet" Target="worksheets/sheet95.xml"/><Relationship Id="rId160" Type="http://schemas.openxmlformats.org/officeDocument/2006/relationships/externalLink" Target="externalLinks/externalLink44.xml"/><Relationship Id="rId22" Type="http://schemas.openxmlformats.org/officeDocument/2006/relationships/worksheet" Target="worksheets/sheet22.xml"/><Relationship Id="rId43" Type="http://schemas.openxmlformats.org/officeDocument/2006/relationships/worksheet" Target="worksheets/sheet43.xml"/><Relationship Id="rId64" Type="http://schemas.openxmlformats.org/officeDocument/2006/relationships/worksheet" Target="worksheets/sheet64.xml"/><Relationship Id="rId118" Type="http://schemas.openxmlformats.org/officeDocument/2006/relationships/externalLink" Target="externalLinks/externalLink2.xml"/><Relationship Id="rId139" Type="http://schemas.openxmlformats.org/officeDocument/2006/relationships/externalLink" Target="externalLinks/externalLink23.xml"/><Relationship Id="rId85" Type="http://schemas.openxmlformats.org/officeDocument/2006/relationships/worksheet" Target="worksheets/sheet85.xml"/><Relationship Id="rId150" Type="http://schemas.openxmlformats.org/officeDocument/2006/relationships/externalLink" Target="externalLinks/externalLink34.xml"/><Relationship Id="rId171" Type="http://schemas.openxmlformats.org/officeDocument/2006/relationships/calcChain" Target="calcChain.xml"/><Relationship Id="rId12" Type="http://schemas.openxmlformats.org/officeDocument/2006/relationships/worksheet" Target="worksheets/sheet12.xml"/><Relationship Id="rId33" Type="http://schemas.openxmlformats.org/officeDocument/2006/relationships/worksheet" Target="worksheets/sheet33.xml"/><Relationship Id="rId108" Type="http://schemas.openxmlformats.org/officeDocument/2006/relationships/worksheet" Target="worksheets/sheet108.xml"/><Relationship Id="rId129" Type="http://schemas.openxmlformats.org/officeDocument/2006/relationships/externalLink" Target="externalLinks/externalLink13.xml"/><Relationship Id="rId54" Type="http://schemas.openxmlformats.org/officeDocument/2006/relationships/worksheet" Target="worksheets/sheet54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40" Type="http://schemas.openxmlformats.org/officeDocument/2006/relationships/externalLink" Target="externalLinks/externalLink24.xml"/><Relationship Id="rId145" Type="http://schemas.openxmlformats.org/officeDocument/2006/relationships/externalLink" Target="externalLinks/externalLink29.xml"/><Relationship Id="rId161" Type="http://schemas.openxmlformats.org/officeDocument/2006/relationships/externalLink" Target="externalLinks/externalLink45.xml"/><Relationship Id="rId166" Type="http://schemas.openxmlformats.org/officeDocument/2006/relationships/externalLink" Target="externalLinks/externalLink5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119" Type="http://schemas.openxmlformats.org/officeDocument/2006/relationships/externalLink" Target="externalLinks/externalLink3.xml"/><Relationship Id="rId44" Type="http://schemas.openxmlformats.org/officeDocument/2006/relationships/worksheet" Target="worksheets/sheet44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130" Type="http://schemas.openxmlformats.org/officeDocument/2006/relationships/externalLink" Target="externalLinks/externalLink14.xml"/><Relationship Id="rId135" Type="http://schemas.openxmlformats.org/officeDocument/2006/relationships/externalLink" Target="externalLinks/externalLink19.xml"/><Relationship Id="rId151" Type="http://schemas.openxmlformats.org/officeDocument/2006/relationships/externalLink" Target="externalLinks/externalLink35.xml"/><Relationship Id="rId156" Type="http://schemas.openxmlformats.org/officeDocument/2006/relationships/externalLink" Target="externalLinks/externalLink40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120" Type="http://schemas.openxmlformats.org/officeDocument/2006/relationships/externalLink" Target="externalLinks/externalLink4.xml"/><Relationship Id="rId125" Type="http://schemas.openxmlformats.org/officeDocument/2006/relationships/externalLink" Target="externalLinks/externalLink9.xml"/><Relationship Id="rId141" Type="http://schemas.openxmlformats.org/officeDocument/2006/relationships/externalLink" Target="externalLinks/externalLink25.xml"/><Relationship Id="rId146" Type="http://schemas.openxmlformats.org/officeDocument/2006/relationships/externalLink" Target="externalLinks/externalLink30.xml"/><Relationship Id="rId167" Type="http://schemas.openxmlformats.org/officeDocument/2006/relationships/externalLink" Target="externalLinks/externalLink51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162" Type="http://schemas.openxmlformats.org/officeDocument/2006/relationships/externalLink" Target="externalLinks/externalLink46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Relationship Id="rId131" Type="http://schemas.openxmlformats.org/officeDocument/2006/relationships/externalLink" Target="externalLinks/externalLink15.xml"/><Relationship Id="rId136" Type="http://schemas.openxmlformats.org/officeDocument/2006/relationships/externalLink" Target="externalLinks/externalLink20.xml"/><Relationship Id="rId157" Type="http://schemas.openxmlformats.org/officeDocument/2006/relationships/externalLink" Target="externalLinks/externalLink41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52" Type="http://schemas.openxmlformats.org/officeDocument/2006/relationships/externalLink" Target="externalLinks/externalLink36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126" Type="http://schemas.openxmlformats.org/officeDocument/2006/relationships/externalLink" Target="externalLinks/externalLink10.xml"/><Relationship Id="rId147" Type="http://schemas.openxmlformats.org/officeDocument/2006/relationships/externalLink" Target="externalLinks/externalLink31.xml"/><Relationship Id="rId168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121" Type="http://schemas.openxmlformats.org/officeDocument/2006/relationships/externalLink" Target="externalLinks/externalLink5.xml"/><Relationship Id="rId142" Type="http://schemas.openxmlformats.org/officeDocument/2006/relationships/externalLink" Target="externalLinks/externalLink26.xml"/><Relationship Id="rId163" Type="http://schemas.openxmlformats.org/officeDocument/2006/relationships/externalLink" Target="externalLinks/externalLink47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116" Type="http://schemas.openxmlformats.org/officeDocument/2006/relationships/worksheet" Target="worksheets/sheet116.xml"/><Relationship Id="rId137" Type="http://schemas.openxmlformats.org/officeDocument/2006/relationships/externalLink" Target="externalLinks/externalLink21.xml"/><Relationship Id="rId158" Type="http://schemas.openxmlformats.org/officeDocument/2006/relationships/externalLink" Target="externalLinks/externalLink42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32" Type="http://schemas.openxmlformats.org/officeDocument/2006/relationships/externalLink" Target="externalLinks/externalLink16.xml"/><Relationship Id="rId153" Type="http://schemas.openxmlformats.org/officeDocument/2006/relationships/externalLink" Target="externalLinks/externalLink37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27" Type="http://schemas.openxmlformats.org/officeDocument/2006/relationships/externalLink" Target="externalLinks/externalLink11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externalLink" Target="externalLinks/externalLink6.xml"/><Relationship Id="rId143" Type="http://schemas.openxmlformats.org/officeDocument/2006/relationships/externalLink" Target="externalLinks/externalLink27.xml"/><Relationship Id="rId148" Type="http://schemas.openxmlformats.org/officeDocument/2006/relationships/externalLink" Target="externalLinks/externalLink32.xml"/><Relationship Id="rId164" Type="http://schemas.openxmlformats.org/officeDocument/2006/relationships/externalLink" Target="externalLinks/externalLink48.xml"/><Relationship Id="rId16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26" Type="http://schemas.openxmlformats.org/officeDocument/2006/relationships/worksheet" Target="worksheets/sheet26.xml"/><Relationship Id="rId47" Type="http://schemas.openxmlformats.org/officeDocument/2006/relationships/worksheet" Target="worksheets/sheet47.xml"/><Relationship Id="rId68" Type="http://schemas.openxmlformats.org/officeDocument/2006/relationships/worksheet" Target="worksheets/sheet68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externalLink" Target="externalLinks/externalLink17.xml"/><Relationship Id="rId154" Type="http://schemas.openxmlformats.org/officeDocument/2006/relationships/externalLink" Target="externalLinks/externalLink38.xml"/><Relationship Id="rId16" Type="http://schemas.openxmlformats.org/officeDocument/2006/relationships/worksheet" Target="worksheets/sheet16.xml"/><Relationship Id="rId37" Type="http://schemas.openxmlformats.org/officeDocument/2006/relationships/worksheet" Target="worksheets/sheet37.xml"/><Relationship Id="rId58" Type="http://schemas.openxmlformats.org/officeDocument/2006/relationships/worksheet" Target="worksheets/sheet58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externalLink" Target="externalLinks/externalLink7.xml"/><Relationship Id="rId144" Type="http://schemas.openxmlformats.org/officeDocument/2006/relationships/externalLink" Target="externalLinks/externalLink28.xml"/><Relationship Id="rId90" Type="http://schemas.openxmlformats.org/officeDocument/2006/relationships/worksheet" Target="worksheets/sheet90.xml"/><Relationship Id="rId165" Type="http://schemas.openxmlformats.org/officeDocument/2006/relationships/externalLink" Target="externalLinks/externalLink49.xml"/><Relationship Id="rId27" Type="http://schemas.openxmlformats.org/officeDocument/2006/relationships/worksheet" Target="worksheets/sheet27.xml"/><Relationship Id="rId48" Type="http://schemas.openxmlformats.org/officeDocument/2006/relationships/worksheet" Target="worksheets/sheet48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34" Type="http://schemas.openxmlformats.org/officeDocument/2006/relationships/externalLink" Target="externalLinks/externalLink18.xml"/><Relationship Id="rId80" Type="http://schemas.openxmlformats.org/officeDocument/2006/relationships/worksheet" Target="worksheets/sheet80.xml"/><Relationship Id="rId155" Type="http://schemas.openxmlformats.org/officeDocument/2006/relationships/externalLink" Target="externalLinks/externalLink39.xml"/><Relationship Id="rId17" Type="http://schemas.openxmlformats.org/officeDocument/2006/relationships/worksheet" Target="worksheets/sheet17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24" Type="http://schemas.openxmlformats.org/officeDocument/2006/relationships/externalLink" Target="externalLinks/externalLink8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jpeg"/><Relationship Id="rId1" Type="http://schemas.openxmlformats.org/officeDocument/2006/relationships/image" Target="../media/image3.emf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6.jpeg"/><Relationship Id="rId1" Type="http://schemas.openxmlformats.org/officeDocument/2006/relationships/image" Target="../media/image3.emf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8.jpeg"/><Relationship Id="rId1" Type="http://schemas.openxmlformats.org/officeDocument/2006/relationships/image" Target="../media/image7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9.jpe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10.jpe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3.jpeg"/><Relationship Id="rId2" Type="http://schemas.openxmlformats.org/officeDocument/2006/relationships/image" Target="../media/image12.png"/><Relationship Id="rId1" Type="http://schemas.openxmlformats.org/officeDocument/2006/relationships/image" Target="../media/image11.png"/><Relationship Id="rId4" Type="http://schemas.openxmlformats.org/officeDocument/2006/relationships/image" Target="../media/image5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533401</xdr:colOff>
      <xdr:row>0</xdr:row>
      <xdr:rowOff>95251</xdr:rowOff>
    </xdr:from>
    <xdr:to>
      <xdr:col>10</xdr:col>
      <xdr:colOff>990600</xdr:colOff>
      <xdr:row>3</xdr:row>
      <xdr:rowOff>47625</xdr:rowOff>
    </xdr:to>
    <xdr:pic>
      <xdr:nvPicPr>
        <xdr:cNvPr id="2" name="Imagen 1" descr="Escudo de El Bagre.jpg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15351" y="95251"/>
          <a:ext cx="457199" cy="43814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1324532</xdr:colOff>
      <xdr:row>4</xdr:row>
      <xdr:rowOff>60035</xdr:rowOff>
    </xdr:to>
    <xdr:pic>
      <xdr:nvPicPr>
        <xdr:cNvPr id="3" name="Imagen 2" descr="Descripción: C:\Users\Apoyo contratacion\Downloads\faber trespalacio2.png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246" t="19792" r="6791" b="21875"/>
        <a:stretch/>
      </xdr:blipFill>
      <xdr:spPr bwMode="auto">
        <a:xfrm>
          <a:off x="114300" y="0"/>
          <a:ext cx="1324532" cy="65058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1362075</xdr:colOff>
      <xdr:row>8</xdr:row>
      <xdr:rowOff>0</xdr:rowOff>
    </xdr:from>
    <xdr:to>
      <xdr:col>4</xdr:col>
      <xdr:colOff>1371600</xdr:colOff>
      <xdr:row>8</xdr:row>
      <xdr:rowOff>104775</xdr:rowOff>
    </xdr:to>
    <xdr:pic>
      <xdr:nvPicPr>
        <xdr:cNvPr id="2" name="2 Imagen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990600"/>
          <a:ext cx="952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1362075</xdr:colOff>
      <xdr:row>8</xdr:row>
      <xdr:rowOff>0</xdr:rowOff>
    </xdr:from>
    <xdr:to>
      <xdr:col>4</xdr:col>
      <xdr:colOff>1371600</xdr:colOff>
      <xdr:row>8</xdr:row>
      <xdr:rowOff>104775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990600"/>
          <a:ext cx="952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344583</xdr:colOff>
      <xdr:row>2</xdr:row>
      <xdr:rowOff>44824</xdr:rowOff>
    </xdr:from>
    <xdr:to>
      <xdr:col>8</xdr:col>
      <xdr:colOff>1299883</xdr:colOff>
      <xdr:row>4</xdr:row>
      <xdr:rowOff>0</xdr:rowOff>
    </xdr:to>
    <xdr:pic>
      <xdr:nvPicPr>
        <xdr:cNvPr id="4" name="Imagen 3" descr="Escudo de El Bagre.jpg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17818" y="235324"/>
          <a:ext cx="955300" cy="94129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100853</xdr:colOff>
      <xdr:row>2</xdr:row>
      <xdr:rowOff>56030</xdr:rowOff>
    </xdr:from>
    <xdr:to>
      <xdr:col>4</xdr:col>
      <xdr:colOff>1048310</xdr:colOff>
      <xdr:row>4</xdr:row>
      <xdr:rowOff>3362</xdr:rowOff>
    </xdr:to>
    <xdr:pic>
      <xdr:nvPicPr>
        <xdr:cNvPr id="5" name="Imagen 4" descr="Descripción: C:\Users\Apoyo contratacion\Downloads\faber trespalacio2.png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/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246" t="19792" r="6791" b="21875"/>
        <a:stretch/>
      </xdr:blipFill>
      <xdr:spPr bwMode="auto">
        <a:xfrm>
          <a:off x="1848971" y="246530"/>
          <a:ext cx="1876424" cy="9334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1362075</xdr:colOff>
      <xdr:row>10</xdr:row>
      <xdr:rowOff>0</xdr:rowOff>
    </xdr:from>
    <xdr:to>
      <xdr:col>4</xdr:col>
      <xdr:colOff>1371600</xdr:colOff>
      <xdr:row>10</xdr:row>
      <xdr:rowOff>104775</xdr:rowOff>
    </xdr:to>
    <xdr:pic>
      <xdr:nvPicPr>
        <xdr:cNvPr id="2" name="2 Imagen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05225" y="2038350"/>
          <a:ext cx="952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1362075</xdr:colOff>
      <xdr:row>10</xdr:row>
      <xdr:rowOff>0</xdr:rowOff>
    </xdr:from>
    <xdr:to>
      <xdr:col>4</xdr:col>
      <xdr:colOff>1371600</xdr:colOff>
      <xdr:row>10</xdr:row>
      <xdr:rowOff>104775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05225" y="2038350"/>
          <a:ext cx="952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344583</xdr:colOff>
      <xdr:row>2</xdr:row>
      <xdr:rowOff>44824</xdr:rowOff>
    </xdr:from>
    <xdr:to>
      <xdr:col>6</xdr:col>
      <xdr:colOff>1299883</xdr:colOff>
      <xdr:row>4</xdr:row>
      <xdr:rowOff>0</xdr:rowOff>
    </xdr:to>
    <xdr:pic>
      <xdr:nvPicPr>
        <xdr:cNvPr id="4" name="Imagen 3" descr="Escudo de El Bagre.jpg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17258" y="225799"/>
          <a:ext cx="955300" cy="93625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100853</xdr:colOff>
      <xdr:row>2</xdr:row>
      <xdr:rowOff>56030</xdr:rowOff>
    </xdr:from>
    <xdr:to>
      <xdr:col>4</xdr:col>
      <xdr:colOff>1372160</xdr:colOff>
      <xdr:row>4</xdr:row>
      <xdr:rowOff>3362</xdr:rowOff>
    </xdr:to>
    <xdr:pic>
      <xdr:nvPicPr>
        <xdr:cNvPr id="5" name="Imagen 4" descr="Descripción: C:\Users\Apoyo contratacion\Downloads\faber trespalacio2.png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/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246" t="19792" r="6791" b="21875"/>
        <a:stretch/>
      </xdr:blipFill>
      <xdr:spPr bwMode="auto">
        <a:xfrm>
          <a:off x="1843928" y="237005"/>
          <a:ext cx="1871382" cy="92840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707572</xdr:colOff>
      <xdr:row>4</xdr:row>
      <xdr:rowOff>1</xdr:rowOff>
    </xdr:from>
    <xdr:to>
      <xdr:col>16</xdr:col>
      <xdr:colOff>752475</xdr:colOff>
      <xdr:row>6</xdr:row>
      <xdr:rowOff>428626</xdr:rowOff>
    </xdr:to>
    <xdr:pic>
      <xdr:nvPicPr>
        <xdr:cNvPr id="2" name="Picture 819" descr="Invias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79536" y="925287"/>
          <a:ext cx="929368" cy="8912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292554</xdr:colOff>
      <xdr:row>4</xdr:row>
      <xdr:rowOff>40821</xdr:rowOff>
    </xdr:from>
    <xdr:to>
      <xdr:col>3</xdr:col>
      <xdr:colOff>136071</xdr:colOff>
      <xdr:row>6</xdr:row>
      <xdr:rowOff>462641</xdr:rowOff>
    </xdr:to>
    <xdr:pic>
      <xdr:nvPicPr>
        <xdr:cNvPr id="4" name="Imagen 3" descr="Escudo de El Bagre.jpg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06411" y="966107"/>
          <a:ext cx="945696" cy="884463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68035</xdr:colOff>
      <xdr:row>1</xdr:row>
      <xdr:rowOff>40822</xdr:rowOff>
    </xdr:from>
    <xdr:to>
      <xdr:col>1</xdr:col>
      <xdr:colOff>1168852</xdr:colOff>
      <xdr:row>5</xdr:row>
      <xdr:rowOff>48986</xdr:rowOff>
    </xdr:to>
    <xdr:pic>
      <xdr:nvPicPr>
        <xdr:cNvPr id="5" name="Imagen 4" descr="Descripción: C:\Users\Apoyo contratacion\Downloads\faber trespalacio2.png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/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246" t="19792" r="6791" b="21875"/>
        <a:stretch/>
      </xdr:blipFill>
      <xdr:spPr bwMode="auto">
        <a:xfrm>
          <a:off x="68035" y="272143"/>
          <a:ext cx="1876424" cy="9334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219076</xdr:colOff>
      <xdr:row>2</xdr:row>
      <xdr:rowOff>19051</xdr:rowOff>
    </xdr:from>
    <xdr:to>
      <xdr:col>3</xdr:col>
      <xdr:colOff>304801</xdr:colOff>
      <xdr:row>4</xdr:row>
      <xdr:rowOff>190501</xdr:rowOff>
    </xdr:to>
    <xdr:pic>
      <xdr:nvPicPr>
        <xdr:cNvPr id="3" name="Imagen 2" descr="Escudo de El Bagre.jpg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66951" y="466726"/>
          <a:ext cx="647700" cy="6286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66675</xdr:colOff>
      <xdr:row>3</xdr:row>
      <xdr:rowOff>104775</xdr:rowOff>
    </xdr:from>
    <xdr:to>
      <xdr:col>1</xdr:col>
      <xdr:colOff>1447799</xdr:colOff>
      <xdr:row>6</xdr:row>
      <xdr:rowOff>285750</xdr:rowOff>
    </xdr:to>
    <xdr:pic>
      <xdr:nvPicPr>
        <xdr:cNvPr id="4" name="Imagen 3" descr="Descripción: C:\Users\Apoyo contratacion\Downloads\faber trespalacio2.png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246" t="19792" r="6791" b="21875"/>
        <a:stretch/>
      </xdr:blipFill>
      <xdr:spPr bwMode="auto">
        <a:xfrm>
          <a:off x="66675" y="733425"/>
          <a:ext cx="1876424" cy="9334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647701</xdr:colOff>
      <xdr:row>0</xdr:row>
      <xdr:rowOff>19050</xdr:rowOff>
    </xdr:from>
    <xdr:to>
      <xdr:col>9</xdr:col>
      <xdr:colOff>1238250</xdr:colOff>
      <xdr:row>4</xdr:row>
      <xdr:rowOff>142875</xdr:rowOff>
    </xdr:to>
    <xdr:pic>
      <xdr:nvPicPr>
        <xdr:cNvPr id="3" name="Imagen 2" descr="Escudo de El Bagre.jpg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10476" y="19050"/>
          <a:ext cx="590549" cy="5715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266700</xdr:colOff>
      <xdr:row>2</xdr:row>
      <xdr:rowOff>95250</xdr:rowOff>
    </xdr:from>
    <xdr:to>
      <xdr:col>1</xdr:col>
      <xdr:colOff>1647824</xdr:colOff>
      <xdr:row>6</xdr:row>
      <xdr:rowOff>466725</xdr:rowOff>
    </xdr:to>
    <xdr:pic>
      <xdr:nvPicPr>
        <xdr:cNvPr id="4" name="Imagen 3" descr="Descripción: C:\Users\Apoyo contratacion\Downloads\faber trespalacio2.png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246" t="19792" r="6791" b="21875"/>
        <a:stretch/>
      </xdr:blipFill>
      <xdr:spPr bwMode="auto">
        <a:xfrm>
          <a:off x="266700" y="314325"/>
          <a:ext cx="1876424" cy="9334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134472</xdr:colOff>
      <xdr:row>5</xdr:row>
      <xdr:rowOff>11206</xdr:rowOff>
    </xdr:from>
    <xdr:to>
      <xdr:col>8</xdr:col>
      <xdr:colOff>896472</xdr:colOff>
      <xdr:row>11</xdr:row>
      <xdr:rowOff>280147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50088" t="47328" r="33243" b="29140"/>
        <a:stretch/>
      </xdr:blipFill>
      <xdr:spPr>
        <a:xfrm>
          <a:off x="4382622" y="1897156"/>
          <a:ext cx="2286000" cy="1983441"/>
        </a:xfrm>
        <a:prstGeom prst="rect">
          <a:avLst/>
        </a:prstGeom>
      </xdr:spPr>
    </xdr:pic>
    <xdr:clientData/>
  </xdr:twoCellAnchor>
  <xdr:twoCellAnchor editAs="oneCell">
    <xdr:from>
      <xdr:col>0</xdr:col>
      <xdr:colOff>235321</xdr:colOff>
      <xdr:row>4</xdr:row>
      <xdr:rowOff>11207</xdr:rowOff>
    </xdr:from>
    <xdr:to>
      <xdr:col>5</xdr:col>
      <xdr:colOff>212911</xdr:colOff>
      <xdr:row>13</xdr:row>
      <xdr:rowOff>190500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32111" t="31114" r="42639" b="36202"/>
        <a:stretch/>
      </xdr:blipFill>
      <xdr:spPr>
        <a:xfrm>
          <a:off x="235321" y="1611407"/>
          <a:ext cx="3463740" cy="2751043"/>
        </a:xfrm>
        <a:prstGeom prst="rect">
          <a:avLst/>
        </a:prstGeom>
      </xdr:spPr>
    </xdr:pic>
    <xdr:clientData/>
  </xdr:twoCellAnchor>
  <xdr:twoCellAnchor editAs="oneCell">
    <xdr:from>
      <xdr:col>7</xdr:col>
      <xdr:colOff>501464</xdr:colOff>
      <xdr:row>0</xdr:row>
      <xdr:rowOff>134472</xdr:rowOff>
    </xdr:from>
    <xdr:to>
      <xdr:col>8</xdr:col>
      <xdr:colOff>313764</xdr:colOff>
      <xdr:row>1</xdr:row>
      <xdr:rowOff>11206</xdr:rowOff>
    </xdr:to>
    <xdr:pic>
      <xdr:nvPicPr>
        <xdr:cNvPr id="4" name="Imagen 3" descr="Escudo de El Bagre.jpg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10493" y="134472"/>
          <a:ext cx="574300" cy="549087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78441</xdr:colOff>
      <xdr:row>0</xdr:row>
      <xdr:rowOff>22412</xdr:rowOff>
    </xdr:from>
    <xdr:to>
      <xdr:col>2</xdr:col>
      <xdr:colOff>543192</xdr:colOff>
      <xdr:row>1</xdr:row>
      <xdr:rowOff>165370</xdr:rowOff>
    </xdr:to>
    <xdr:pic>
      <xdr:nvPicPr>
        <xdr:cNvPr id="5" name="Imagen 4" descr="Descripción: C:\Users\Apoyo contratacion\Downloads\faber trespalacio2.png">
          <a:extLst>
            <a:ext uri="{FF2B5EF4-FFF2-40B4-BE49-F238E27FC236}">
              <a16:creationId xmlns:a16="http://schemas.microsoft.com/office/drawing/2014/main" id="{00000000-0008-0000-0C00-000005000000}"/>
            </a:ext>
          </a:extLst>
        </xdr:cNvPr>
        <xdr:cNvPicPr/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246" t="19792" r="6791" b="21875"/>
        <a:stretch/>
      </xdr:blipFill>
      <xdr:spPr bwMode="auto">
        <a:xfrm>
          <a:off x="78441" y="22412"/>
          <a:ext cx="1663780" cy="815311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142875</xdr:colOff>
      <xdr:row>6</xdr:row>
      <xdr:rowOff>28575</xdr:rowOff>
    </xdr:from>
    <xdr:to>
      <xdr:col>10</xdr:col>
      <xdr:colOff>361950</xdr:colOff>
      <xdr:row>43</xdr:row>
      <xdr:rowOff>9525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6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15100" y="2343150"/>
          <a:ext cx="2238375" cy="5895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3E58D362\aCCIDENTES%20DE%201995%20-%201996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PROYECTOS%20NOVIEMBRE/ESCUELA%20EL%20CERRO%20VALLE/MGA%20CHARTA%201/anexos/anexos/AiuApoSaraBrut2000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a%20%20aaInformaci&#243;n%20GRUPO%204/A%20MInformes%20Mensuales/Informe%20de%20estado%20vial%20ene/aCCIDENTES%20DE%201995%20-%201996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80C58CC\a%20%20aaInformaci&#243;n%20GRUPO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001%20PROY/516%20VIA%20TAR%202.4K/PAV%20RURAL%20-%20CAUCANA%202.4/002%20Presupuesto%20y%20desgloses/CAUCANA%20TOTAL%20PPTO%202.4/CAUCANA%20-%20PRESUPUESTO%20VIA%20TRAMOS%202.4%20Km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ALIRIO/Acued%20y%20Alcant/Presup%20Colector%20Aux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bucaramanga/Presupuesto%20GDN%20modificado%20ULTIMO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001%20PROY/026%20TARAZ&#192;%20VIAS%20URBANAS%20Y%20RURAL/PROYECTOS%20COMPLETOS/002%20Presupuesto%20y%20desgloses/CAUCANA%20PAV%20OCAD%20PAZ/METODOLO1/Usuario/proyecto%20valle%20mantenimiento/PE_01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LATO%20PALERMO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/001%20PROY/513%20VIA%20TAR%20CAU%201400m/SEGUIMIENTO%20Y%20CONTROL%20COMPRAS.xlsm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\Nueva%20carpeta%20(3)\OBRAS%20PUBLICAS%20JULIAN%20BERMUDEZ\PROYECTOS\TARAZA\PROYECTO%20DE%20PAVIMENTACION\PRESUPUESTO\VILLA%20TAKOA\Presupuesto\APUS%20VILLA%20TAKO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ngaritab/Downloads/PRESUPUESTOS%2017%20-%2010%20-%202013/21-PRESUPUESTO%20EL%20CARMEN%20-%20YARIMA/Gepa/PRECIOS%20INVIAS/apus%20febrero%20de%202012%20-%20GRUPO%203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ownloads/apus%20febrero%202012%20BOYACA%20(1)/apus%20febrero%20de%202012%20-%20GRUPO%201.xlsx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/AAA%20FINANCIERA%20EDUCACION/PROYECTOS%20COMPLETOS/MUNICIPIO%20DE%20GUACA/DOCUMENTOS/PRESUPUESTO%20Y%20APU%20GUACA.xlsx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/Presupuestos%20Convenios%20Milton%202012/Users/Usuario/AppData/Local/Temp/Rar$DI05.444/APU%20-%20Inv..GRUPO%20I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/AMVB%2009/Inf.%20Accidentalidad/ADMON/GRUPO5/PRESUP~1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/Parque%20Giraldo/Presupuesto/Presupuesto%20Parque%20Multifuncional%20Giraldo%20TOTAL%20Vr%202.xlsx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mrojast\A%20Max\Emergencias\INFORMES\PROYECTOS%20FNC\237%20mil\CORDOBA\CAUCACIA%20-%20PLANETA%20RICA.xlsx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/ADM%20VIAL%2003%20-%20CORDOBA/ESTADO%20DE%20RED/2103mar%20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/Presupuestos%20Convenios%20Milton%202012/ARCHIVO%20RED%20%20TERCIARIA%2020011/MUNICIPIO%20DE%20SAHAGUN/JOGREHDEZ/ADM%20VIAL%2003%20-%20CORDOBA/ESTADO%20DE%20RED/2103mar%20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bernal\nover\Cod.precios\Especif_Part\BASETOL1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os%20Alvaro/1%20YONDO/Contratos%202014/Proyecto%20Adoquin/Presupuestos/Presupuesto%20final%20adoquines.xlsx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/001%20PROY/023%20TARAZ&#193;%20-%20MORGUE/EJECUCION/PPTO%20-%20PLANEACION%20-%20CANT%20MATERIALES.xlsx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a%20%20aaInformaci&#243;n%20GRUPO%204\A%20MInformes%20Mensuales\Informe%20de%20estado%20vial%20ene\aCCIDENTES%20DE%201995%20-%201996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%20%20aaInformaci&#243;n%20GRUPO%204\A%20MInformes%20Mensuales\Informe%20de%20estado%20vial%20ene\aCCIDENTES%20DE%201995%20-%201996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2-BOL/EST.V&#205;A%20CRIT.TECNICO%20AMB-BOL-02/DICIEMBRE-2008/EST.V&#205;A%20CRITERIO%20TECNICO%2090BLB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/Presupuestos%20Convenios%20Milton%202012/Mis%20Documentos/AMV-02-BOL/EST.V&#205;A%20CRITERIO%20TECNICO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/EST.V&#205;A%20CRITERIO%20TECNICO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radamanuel/Documents/EL%20FARO%20MEDELLIN/CANTIDADES%20Y%20PRESUPUESTO/INFORME/ANEXOS/ANEXO%203%20-PRESUPUESTO%20DE%20OBRA/2012_12_18_PRESUPUESTO_REDES_DEFINITIVO_v2.xlsx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/001%20PROY/510%20GIRALDO%20MTTO%20140/001%20PPTO%20ESCUELAS/PPTO%20ESCUELAS%20%20-%20PLANEACION%20-%20CANT%20MATERIALES%20-%20MMNo.1.xlsx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izarralde\pliegos\andres\Temporal%202001\A&#241;o_%202001\LICITACIONES%2001\SCV%20%2041%202001\BASE%2041%2001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EF95DBD\BOCCID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/001%20PROY/513%20VIA%20TAR%20CAU%201400m/INFORMES%20SEMANALES%20Y%20SEGUIMIENTO.xlsm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alism\BUZON%20DALIS\SIMULACI&#211;NEDIFICIO.ok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AVICOL\MSOFFICE\LICITAR\analisis%20del%20AIU\AIU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/001%20PROY/505%20GIRALDO%20-%20MTTO%20ESCUELAS/PRESUPUESTO%20%20ESCUELAS%20URBANAS%20Y%20RURALES%20-%20APU%20-%20PROP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/001%20PROYECTOS/005%20GIRALDO%20-%20CENTRO%20DIA/PROYECTO%20COMPLETO/ok%20002%20Presupuesto%20y%20desgloses/Presupuesto%20Cancha%20Tigre%20V1.xlsx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/001%20PROY/026%20TARAZ&#192;%20VIAS%20URBANAS%20Y%20RURAL/PROYECTOS%20COMPLETOS/002%20Presupuesto%20y%20desgloses/CAUCANA%20PAV%20OCAD%20PAZ/Factor%20Multiplicador%20Interventori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OSTOS UNITARIOS"/>
      <sheetName val="CA-2909"/>
      <sheetName val="TRAYECTO 1"/>
      <sheetName val="CABG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Varios"/>
      <sheetName val=""/>
      <sheetName val="Seguim-16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proveedores"/>
      <sheetName val="APU´s"/>
      <sheetName val="Información"/>
    </sheetNames>
    <sheetDataSet>
      <sheetData sheetId="0"/>
      <sheetData sheetId="1"/>
      <sheetData sheetId="2" refreshError="1"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/>
      <sheetData sheetId="52" refreshError="1"/>
      <sheetData sheetId="53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 refreshError="1"/>
      <sheetData sheetId="75"/>
      <sheetData sheetId="76"/>
      <sheetData sheetId="77"/>
      <sheetData sheetId="78"/>
      <sheetData sheetId="79"/>
      <sheetData sheetId="80"/>
      <sheetData sheetId="81" refreshError="1"/>
      <sheetData sheetId="82" refreshError="1"/>
      <sheetData sheetId="83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 refreshError="1"/>
      <sheetData sheetId="231" refreshError="1"/>
      <sheetData sheetId="232"/>
      <sheetData sheetId="233"/>
      <sheetData sheetId="234"/>
      <sheetData sheetId="235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 refreshError="1"/>
      <sheetData sheetId="276" refreshError="1"/>
      <sheetData sheetId="27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\a  aaInformación GRUPO 4\A MIn"/>
      <sheetName val="aCCIDENTES%20DE%201995%20-%2019"/>
      <sheetName val="CONT_ADI"/>
      <sheetName val="aCCIDENTES DE 1995 - 1996.xls"/>
      <sheetName val="items"/>
      <sheetName val="ACTA DE MODIFICACION  (2)"/>
      <sheetName val="INDICMICROEMP"/>
      <sheetName val="#¡REF"/>
      <sheetName val="MATERIALES"/>
      <sheetName val="Informacion"/>
      <sheetName val="Informe"/>
      <sheetName val="Seguim-16"/>
      <sheetName val="SUB APU"/>
      <sheetName val="Datos Básicos"/>
      <sheetName val="SALARIOS"/>
      <sheetName val="INV"/>
      <sheetName val="AASHTO"/>
      <sheetName val="Formulario N° 4"/>
      <sheetName val="EQUIPO"/>
      <sheetName val="PESOS"/>
      <sheetName val="Base Muestras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Res-Accide-10"/>
      <sheetName val="_a  aaInformación GRUPO 4_A MIn"/>
      <sheetName val="\\Escritorio\amv 2011\a  aaInfo"/>
      <sheetName val="\Users\avargase\AppData\Local\M"/>
      <sheetName val="ESTADO VÍA-CRIT.TECNICO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/>
      <sheetData sheetId="54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items"/>
      <sheetName val="aCCIDENTES%20DE%201995%20-%2019"/>
      <sheetName val="#¡REF"/>
      <sheetName val="aCCIDENTES DE 1995 - 1996.xls"/>
      <sheetName val="ACTA DE MODIFICACION  (2)"/>
      <sheetName val="CONT_ADI"/>
      <sheetName val="Informe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#¡REF"/>
      <sheetName val="Informacion"/>
      <sheetName val="INDICMICROEMP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CDItem"/>
    </sheetNames>
    <sheetDataSet>
      <sheetData sheetId="0" refreshError="1"/>
      <sheetData sheetId="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"/>
      <sheetName val="Eq"/>
      <sheetName val="FP"/>
      <sheetName val="FM"/>
      <sheetName val="AIU"/>
      <sheetName val="PMT"/>
      <sheetName val="PAGA"/>
      <sheetName val="MC"/>
      <sheetName val="PPTO"/>
      <sheetName val="FLUJO DE CAJA"/>
      <sheetName val="INT"/>
      <sheetName val="2.1"/>
      <sheetName val="2.2"/>
      <sheetName val="2.3"/>
      <sheetName val="2.4"/>
      <sheetName val="2.5"/>
      <sheetName val="2.6"/>
      <sheetName val="3.1"/>
      <sheetName val="4.1"/>
      <sheetName val="4.2"/>
      <sheetName val="4.3"/>
      <sheetName val="4.4"/>
      <sheetName val="4.5"/>
      <sheetName val="4.6"/>
      <sheetName val="4.7"/>
      <sheetName val="4.8"/>
      <sheetName val="4.9"/>
      <sheetName val="4.10"/>
      <sheetName val="4.11"/>
      <sheetName val="5.1"/>
      <sheetName val="5.2"/>
      <sheetName val="5.3"/>
      <sheetName val="5.4"/>
      <sheetName val="5.5"/>
      <sheetName val="6.1"/>
      <sheetName val="CONC 3000 PSI"/>
      <sheetName val="CONC 4000 PSI "/>
    </sheetNames>
    <sheetDataSet>
      <sheetData sheetId="0"/>
      <sheetData sheetId="1"/>
      <sheetData sheetId="2">
        <row r="32">
          <cell r="I32">
            <v>0.75</v>
          </cell>
        </row>
      </sheetData>
      <sheetData sheetId="3"/>
      <sheetData sheetId="4"/>
      <sheetData sheetId="5"/>
      <sheetData sheetId="6"/>
      <sheetData sheetId="7"/>
      <sheetData sheetId="8"/>
      <sheetData sheetId="9">
        <row r="32">
          <cell r="C32" t="str">
            <v>Construccion de Bordillos en concreto de  3000 PSI, h=0.15 y A= 0.15 sobrepuestos en placa de concreto de pavimento, incluye acero de refuerzo longitudinal y transversal embebido en placa.</v>
          </cell>
        </row>
      </sheetData>
      <sheetData sheetId="10"/>
      <sheetData sheetId="11">
        <row r="36">
          <cell r="B36">
            <v>60000</v>
          </cell>
        </row>
        <row r="37">
          <cell r="B37">
            <v>40000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43">
          <cell r="G43">
            <v>5040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>
        <row r="44">
          <cell r="G44">
            <v>410270</v>
          </cell>
        </row>
      </sheetData>
      <sheetData sheetId="36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Hoja2"/>
      <sheetName val="Hoja3"/>
      <sheetName val="Hoja4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BaseUnitarios"/>
      <sheetName val="Insumos"/>
      <sheetName val="BaseDat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>
        <row r="2">
          <cell r="A2">
            <v>101</v>
          </cell>
          <cell r="B2" t="str">
            <v>Teodolito</v>
          </cell>
          <cell r="C2">
            <v>2250</v>
          </cell>
          <cell r="D2" t="str">
            <v>Alquiler / hora</v>
          </cell>
        </row>
        <row r="3">
          <cell r="A3">
            <v>102</v>
          </cell>
          <cell r="B3" t="str">
            <v>Nivel de precisión</v>
          </cell>
          <cell r="C3">
            <v>1562.5</v>
          </cell>
          <cell r="D3" t="str">
            <v>Alquiler / hora</v>
          </cell>
        </row>
        <row r="4">
          <cell r="A4">
            <v>103</v>
          </cell>
          <cell r="B4" t="str">
            <v>Equipo menor</v>
          </cell>
          <cell r="C4">
            <v>625</v>
          </cell>
          <cell r="D4" t="str">
            <v>Alquiler / hora</v>
          </cell>
        </row>
        <row r="5">
          <cell r="A5">
            <v>104</v>
          </cell>
          <cell r="B5" t="str">
            <v>Herramientas</v>
          </cell>
          <cell r="C5" t="str">
            <v>Variable</v>
          </cell>
          <cell r="D5" t="str">
            <v>Glb.</v>
          </cell>
        </row>
        <row r="6">
          <cell r="A6">
            <v>105</v>
          </cell>
          <cell r="B6" t="str">
            <v>Mezcladora</v>
          </cell>
          <cell r="C6">
            <v>9000</v>
          </cell>
          <cell r="D6" t="str">
            <v>Alquiler / hora</v>
          </cell>
        </row>
        <row r="7">
          <cell r="A7">
            <v>106</v>
          </cell>
          <cell r="B7" t="str">
            <v>Vibrador</v>
          </cell>
          <cell r="C7">
            <v>5000</v>
          </cell>
          <cell r="D7" t="str">
            <v>Alquiler / hora</v>
          </cell>
        </row>
        <row r="8">
          <cell r="A8">
            <v>107</v>
          </cell>
          <cell r="B8" t="str">
            <v>Formaleta</v>
          </cell>
          <cell r="C8">
            <v>5000</v>
          </cell>
          <cell r="D8" t="str">
            <v>m²</v>
          </cell>
        </row>
        <row r="9">
          <cell r="A9">
            <v>108</v>
          </cell>
          <cell r="B9" t="str">
            <v>Andamio</v>
          </cell>
          <cell r="C9">
            <v>50</v>
          </cell>
          <cell r="D9" t="str">
            <v>Alquiler / hora</v>
          </cell>
        </row>
        <row r="10">
          <cell r="A10">
            <v>109</v>
          </cell>
          <cell r="B10" t="str">
            <v>Mira</v>
          </cell>
          <cell r="C10">
            <v>437.5</v>
          </cell>
          <cell r="D10" t="str">
            <v>Alquiler / hora</v>
          </cell>
        </row>
        <row r="11">
          <cell r="A11">
            <v>110</v>
          </cell>
          <cell r="B11" t="str">
            <v>Compresor</v>
          </cell>
          <cell r="C11">
            <v>35000</v>
          </cell>
          <cell r="D11" t="str">
            <v>Alquiler / hora</v>
          </cell>
        </row>
        <row r="12">
          <cell r="A12">
            <v>111</v>
          </cell>
          <cell r="B12" t="str">
            <v>Compactador mecánico (rana)</v>
          </cell>
          <cell r="C12">
            <v>4000</v>
          </cell>
          <cell r="D12" t="str">
            <v>Alquiler / hora</v>
          </cell>
        </row>
        <row r="13">
          <cell r="A13">
            <v>112</v>
          </cell>
          <cell r="C13">
            <v>0</v>
          </cell>
        </row>
        <row r="14">
          <cell r="A14">
            <v>113</v>
          </cell>
          <cell r="C14">
            <v>0</v>
          </cell>
        </row>
        <row r="15">
          <cell r="A15">
            <v>114</v>
          </cell>
          <cell r="C15">
            <v>0</v>
          </cell>
        </row>
        <row r="16">
          <cell r="A16">
            <v>115</v>
          </cell>
          <cell r="C16">
            <v>0</v>
          </cell>
        </row>
        <row r="17">
          <cell r="A17">
            <v>116</v>
          </cell>
          <cell r="C17">
            <v>0</v>
          </cell>
        </row>
        <row r="18">
          <cell r="A18">
            <v>117</v>
          </cell>
          <cell r="C18">
            <v>0</v>
          </cell>
        </row>
        <row r="19">
          <cell r="A19">
            <v>118</v>
          </cell>
          <cell r="C19">
            <v>0</v>
          </cell>
        </row>
        <row r="20">
          <cell r="A20">
            <v>119</v>
          </cell>
          <cell r="C20">
            <v>0</v>
          </cell>
        </row>
        <row r="21">
          <cell r="A21">
            <v>120</v>
          </cell>
          <cell r="C21">
            <v>0</v>
          </cell>
        </row>
        <row r="22">
          <cell r="A22">
            <v>121</v>
          </cell>
          <cell r="C22">
            <v>0</v>
          </cell>
        </row>
        <row r="23">
          <cell r="A23">
            <v>122</v>
          </cell>
          <cell r="C23">
            <v>0</v>
          </cell>
        </row>
        <row r="24">
          <cell r="A24">
            <v>123</v>
          </cell>
          <cell r="C24">
            <v>0</v>
          </cell>
        </row>
        <row r="25">
          <cell r="A25">
            <v>124</v>
          </cell>
          <cell r="C25">
            <v>0</v>
          </cell>
        </row>
        <row r="26">
          <cell r="A26">
            <v>125</v>
          </cell>
          <cell r="C26">
            <v>0</v>
          </cell>
        </row>
        <row r="27">
          <cell r="A27">
            <v>126</v>
          </cell>
          <cell r="C27">
            <v>0</v>
          </cell>
        </row>
        <row r="28">
          <cell r="A28">
            <v>127</v>
          </cell>
          <cell r="C28">
            <v>0</v>
          </cell>
        </row>
        <row r="29">
          <cell r="A29">
            <v>128</v>
          </cell>
          <cell r="C29">
            <v>0</v>
          </cell>
        </row>
        <row r="30">
          <cell r="A30">
            <v>129</v>
          </cell>
          <cell r="C30">
            <v>0</v>
          </cell>
        </row>
        <row r="31">
          <cell r="A31">
            <v>130</v>
          </cell>
          <cell r="C31">
            <v>0</v>
          </cell>
        </row>
        <row r="32">
          <cell r="A32">
            <v>131</v>
          </cell>
          <cell r="C32">
            <v>0</v>
          </cell>
        </row>
        <row r="33">
          <cell r="A33">
            <v>132</v>
          </cell>
          <cell r="C33">
            <v>0</v>
          </cell>
        </row>
        <row r="34">
          <cell r="A34">
            <v>133</v>
          </cell>
          <cell r="C34">
            <v>0</v>
          </cell>
        </row>
        <row r="35">
          <cell r="A35">
            <v>134</v>
          </cell>
          <cell r="C35">
            <v>0</v>
          </cell>
        </row>
        <row r="36">
          <cell r="A36">
            <v>135</v>
          </cell>
          <cell r="C36">
            <v>0</v>
          </cell>
        </row>
        <row r="37">
          <cell r="A37">
            <v>136</v>
          </cell>
          <cell r="C37">
            <v>0</v>
          </cell>
        </row>
        <row r="38">
          <cell r="A38">
            <v>137</v>
          </cell>
          <cell r="C38">
            <v>0</v>
          </cell>
        </row>
        <row r="39">
          <cell r="A39">
            <v>138</v>
          </cell>
          <cell r="C39">
            <v>0</v>
          </cell>
        </row>
        <row r="40">
          <cell r="A40">
            <v>139</v>
          </cell>
          <cell r="C40">
            <v>0</v>
          </cell>
        </row>
        <row r="41">
          <cell r="A41">
            <v>140</v>
          </cell>
          <cell r="C41">
            <v>0</v>
          </cell>
        </row>
        <row r="42">
          <cell r="A42">
            <v>141</v>
          </cell>
          <cell r="C42">
            <v>0</v>
          </cell>
        </row>
        <row r="43">
          <cell r="A43">
            <v>142</v>
          </cell>
          <cell r="C43">
            <v>0</v>
          </cell>
        </row>
        <row r="44">
          <cell r="A44">
            <v>143</v>
          </cell>
          <cell r="C44">
            <v>0</v>
          </cell>
        </row>
        <row r="45">
          <cell r="A45">
            <v>144</v>
          </cell>
          <cell r="C45">
            <v>0</v>
          </cell>
        </row>
        <row r="46">
          <cell r="A46">
            <v>145</v>
          </cell>
          <cell r="C46">
            <v>0</v>
          </cell>
        </row>
        <row r="47">
          <cell r="A47">
            <v>146</v>
          </cell>
          <cell r="C47">
            <v>0</v>
          </cell>
        </row>
        <row r="48">
          <cell r="A48">
            <v>147</v>
          </cell>
          <cell r="C48">
            <v>0</v>
          </cell>
        </row>
        <row r="49">
          <cell r="A49">
            <v>148</v>
          </cell>
          <cell r="C49">
            <v>0</v>
          </cell>
        </row>
        <row r="50">
          <cell r="A50">
            <v>149</v>
          </cell>
          <cell r="C50">
            <v>0</v>
          </cell>
        </row>
        <row r="51">
          <cell r="A51">
            <v>150</v>
          </cell>
          <cell r="C51">
            <v>0</v>
          </cell>
        </row>
        <row r="52">
          <cell r="A52">
            <v>151</v>
          </cell>
          <cell r="C52">
            <v>0</v>
          </cell>
        </row>
        <row r="53">
          <cell r="A53">
            <v>152</v>
          </cell>
          <cell r="C53">
            <v>0</v>
          </cell>
        </row>
        <row r="54">
          <cell r="A54">
            <v>153</v>
          </cell>
          <cell r="C54">
            <v>0</v>
          </cell>
        </row>
        <row r="55">
          <cell r="A55">
            <v>154</v>
          </cell>
          <cell r="C55">
            <v>0</v>
          </cell>
        </row>
        <row r="56">
          <cell r="A56">
            <v>155</v>
          </cell>
          <cell r="C56">
            <v>0</v>
          </cell>
        </row>
        <row r="57">
          <cell r="A57">
            <v>156</v>
          </cell>
          <cell r="C57">
            <v>0</v>
          </cell>
        </row>
        <row r="58">
          <cell r="A58">
            <v>157</v>
          </cell>
          <cell r="C58">
            <v>0</v>
          </cell>
        </row>
        <row r="59">
          <cell r="A59">
            <v>158</v>
          </cell>
          <cell r="C59">
            <v>0</v>
          </cell>
        </row>
        <row r="60">
          <cell r="A60">
            <v>159</v>
          </cell>
          <cell r="C60">
            <v>0</v>
          </cell>
        </row>
        <row r="61">
          <cell r="A61">
            <v>160</v>
          </cell>
          <cell r="C61">
            <v>0</v>
          </cell>
        </row>
        <row r="62">
          <cell r="A62">
            <v>161</v>
          </cell>
          <cell r="C62">
            <v>0</v>
          </cell>
        </row>
        <row r="63">
          <cell r="A63">
            <v>162</v>
          </cell>
          <cell r="C63">
            <v>0</v>
          </cell>
        </row>
        <row r="64">
          <cell r="A64">
            <v>163</v>
          </cell>
          <cell r="C64">
            <v>0</v>
          </cell>
        </row>
        <row r="65">
          <cell r="A65">
            <v>164</v>
          </cell>
          <cell r="C65">
            <v>0</v>
          </cell>
        </row>
        <row r="66">
          <cell r="A66">
            <v>165</v>
          </cell>
          <cell r="C66">
            <v>0</v>
          </cell>
        </row>
        <row r="67">
          <cell r="A67">
            <v>166</v>
          </cell>
          <cell r="C67">
            <v>0</v>
          </cell>
        </row>
        <row r="68">
          <cell r="A68">
            <v>167</v>
          </cell>
          <cell r="C68">
            <v>0</v>
          </cell>
        </row>
        <row r="69">
          <cell r="A69">
            <v>168</v>
          </cell>
          <cell r="C69">
            <v>0</v>
          </cell>
        </row>
        <row r="70">
          <cell r="A70">
            <v>169</v>
          </cell>
          <cell r="C70">
            <v>0</v>
          </cell>
        </row>
        <row r="71">
          <cell r="A71">
            <v>170</v>
          </cell>
          <cell r="C71">
            <v>0</v>
          </cell>
        </row>
        <row r="72">
          <cell r="A72">
            <v>171</v>
          </cell>
          <cell r="C72">
            <v>0</v>
          </cell>
        </row>
        <row r="73">
          <cell r="A73">
            <v>172</v>
          </cell>
          <cell r="C73">
            <v>0</v>
          </cell>
        </row>
        <row r="74">
          <cell r="A74">
            <v>173</v>
          </cell>
          <cell r="C74">
            <v>0</v>
          </cell>
        </row>
        <row r="75">
          <cell r="A75">
            <v>174</v>
          </cell>
          <cell r="C75">
            <v>0</v>
          </cell>
        </row>
        <row r="76">
          <cell r="A76">
            <v>175</v>
          </cell>
          <cell r="C76">
            <v>0</v>
          </cell>
        </row>
        <row r="77">
          <cell r="A77">
            <v>176</v>
          </cell>
          <cell r="C77">
            <v>0</v>
          </cell>
        </row>
        <row r="78">
          <cell r="A78">
            <v>177</v>
          </cell>
          <cell r="C78">
            <v>0</v>
          </cell>
        </row>
        <row r="79">
          <cell r="A79">
            <v>178</v>
          </cell>
          <cell r="C79">
            <v>0</v>
          </cell>
        </row>
        <row r="80">
          <cell r="A80">
            <v>179</v>
          </cell>
          <cell r="C80">
            <v>0</v>
          </cell>
        </row>
        <row r="81">
          <cell r="A81">
            <v>180</v>
          </cell>
          <cell r="C81">
            <v>0</v>
          </cell>
        </row>
        <row r="82">
          <cell r="A82">
            <v>181</v>
          </cell>
          <cell r="C82">
            <v>0</v>
          </cell>
        </row>
        <row r="83">
          <cell r="A83">
            <v>182</v>
          </cell>
          <cell r="C83">
            <v>0</v>
          </cell>
        </row>
        <row r="84">
          <cell r="A84">
            <v>183</v>
          </cell>
          <cell r="C84">
            <v>0</v>
          </cell>
        </row>
        <row r="85">
          <cell r="A85">
            <v>184</v>
          </cell>
          <cell r="C85">
            <v>0</v>
          </cell>
        </row>
        <row r="86">
          <cell r="A86">
            <v>185</v>
          </cell>
          <cell r="C86">
            <v>0</v>
          </cell>
        </row>
        <row r="87">
          <cell r="A87">
            <v>186</v>
          </cell>
          <cell r="C87">
            <v>0</v>
          </cell>
        </row>
        <row r="88">
          <cell r="A88">
            <v>187</v>
          </cell>
          <cell r="C88">
            <v>0</v>
          </cell>
        </row>
        <row r="89">
          <cell r="A89">
            <v>188</v>
          </cell>
          <cell r="C89">
            <v>0</v>
          </cell>
        </row>
        <row r="90">
          <cell r="A90">
            <v>189</v>
          </cell>
          <cell r="C90">
            <v>0</v>
          </cell>
        </row>
        <row r="91">
          <cell r="A91">
            <v>190</v>
          </cell>
          <cell r="B91" t="str">
            <v>Dinamita</v>
          </cell>
          <cell r="C91">
            <v>3500</v>
          </cell>
          <cell r="D91" t="str">
            <v>Taco</v>
          </cell>
        </row>
        <row r="92">
          <cell r="A92">
            <v>191</v>
          </cell>
          <cell r="B92" t="str">
            <v>Estopín</v>
          </cell>
          <cell r="C92">
            <v>1000</v>
          </cell>
          <cell r="D92" t="str">
            <v>Und.</v>
          </cell>
        </row>
        <row r="93">
          <cell r="A93">
            <v>192</v>
          </cell>
          <cell r="B93" t="str">
            <v>Mecha lenta</v>
          </cell>
          <cell r="C93">
            <v>2000</v>
          </cell>
          <cell r="D93" t="str">
            <v>ml.</v>
          </cell>
        </row>
        <row r="94">
          <cell r="A94">
            <v>193</v>
          </cell>
          <cell r="C94">
            <v>0</v>
          </cell>
        </row>
        <row r="95">
          <cell r="A95">
            <v>194</v>
          </cell>
          <cell r="C95">
            <v>0</v>
          </cell>
        </row>
        <row r="96">
          <cell r="A96">
            <v>195</v>
          </cell>
          <cell r="C96">
            <v>0</v>
          </cell>
        </row>
        <row r="97">
          <cell r="A97">
            <v>196</v>
          </cell>
          <cell r="C97">
            <v>0</v>
          </cell>
        </row>
        <row r="98">
          <cell r="A98">
            <v>197</v>
          </cell>
          <cell r="C98">
            <v>0</v>
          </cell>
        </row>
        <row r="99">
          <cell r="A99">
            <v>198</v>
          </cell>
          <cell r="C99">
            <v>0</v>
          </cell>
        </row>
        <row r="100">
          <cell r="A100">
            <v>199</v>
          </cell>
          <cell r="B100" t="str">
            <v>Madera para estacas</v>
          </cell>
          <cell r="C100">
            <v>50</v>
          </cell>
          <cell r="D100" t="str">
            <v>Und.</v>
          </cell>
        </row>
        <row r="101">
          <cell r="A101">
            <v>200</v>
          </cell>
          <cell r="B101" t="str">
            <v>Estacas para topografía</v>
          </cell>
          <cell r="C101">
            <v>100</v>
          </cell>
          <cell r="D101" t="str">
            <v>Und.</v>
          </cell>
          <cell r="E101">
            <v>0.2</v>
          </cell>
        </row>
        <row r="102">
          <cell r="A102">
            <v>201</v>
          </cell>
          <cell r="B102" t="str">
            <v>Pintura</v>
          </cell>
          <cell r="C102">
            <v>25000</v>
          </cell>
          <cell r="D102" t="str">
            <v>Galón</v>
          </cell>
          <cell r="E102">
            <v>50</v>
          </cell>
        </row>
        <row r="103">
          <cell r="A103">
            <v>202</v>
          </cell>
          <cell r="B103" t="str">
            <v>Cemento gris</v>
          </cell>
          <cell r="C103">
            <v>320</v>
          </cell>
          <cell r="D103" t="str">
            <v>kg.</v>
          </cell>
          <cell r="E103">
            <v>2.56</v>
          </cell>
        </row>
        <row r="104">
          <cell r="A104">
            <v>203</v>
          </cell>
          <cell r="B104" t="str">
            <v>Arena</v>
          </cell>
          <cell r="C104">
            <v>25000</v>
          </cell>
          <cell r="D104" t="str">
            <v>m³</v>
          </cell>
          <cell r="E104">
            <v>500</v>
          </cell>
        </row>
        <row r="105">
          <cell r="A105">
            <v>204</v>
          </cell>
          <cell r="B105" t="str">
            <v>Triturado</v>
          </cell>
          <cell r="C105">
            <v>32000</v>
          </cell>
          <cell r="D105" t="str">
            <v>m³</v>
          </cell>
          <cell r="E105">
            <v>640</v>
          </cell>
        </row>
        <row r="106">
          <cell r="A106">
            <v>205</v>
          </cell>
          <cell r="B106" t="str">
            <v>Agua</v>
          </cell>
          <cell r="C106">
            <v>10</v>
          </cell>
          <cell r="D106" t="str">
            <v>lts</v>
          </cell>
          <cell r="E106">
            <v>0.02</v>
          </cell>
        </row>
        <row r="107">
          <cell r="A107">
            <v>206</v>
          </cell>
          <cell r="B107" t="str">
            <v>Piedra rajón</v>
          </cell>
          <cell r="C107">
            <v>8000</v>
          </cell>
          <cell r="D107" t="str">
            <v>m³</v>
          </cell>
          <cell r="E107">
            <v>160</v>
          </cell>
        </row>
        <row r="108">
          <cell r="A108">
            <v>207</v>
          </cell>
          <cell r="B108" t="str">
            <v>Puntillas</v>
          </cell>
          <cell r="C108">
            <v>1900</v>
          </cell>
          <cell r="D108" t="str">
            <v>kg.</v>
          </cell>
          <cell r="E108">
            <v>3.8000000000000003</v>
          </cell>
        </row>
        <row r="109">
          <cell r="A109">
            <v>208</v>
          </cell>
          <cell r="B109" t="str">
            <v>Puntillón para fijación</v>
          </cell>
          <cell r="C109">
            <v>50</v>
          </cell>
          <cell r="D109" t="str">
            <v>Und.</v>
          </cell>
          <cell r="E109">
            <v>0.1</v>
          </cell>
        </row>
        <row r="110">
          <cell r="A110">
            <v>209</v>
          </cell>
          <cell r="B110" t="str">
            <v>Malla para friso sin vena 0.53 x 2.4 m</v>
          </cell>
          <cell r="C110">
            <v>1176</v>
          </cell>
          <cell r="D110" t="str">
            <v>Und.</v>
          </cell>
          <cell r="E110">
            <v>2.3519999999999999</v>
          </cell>
        </row>
        <row r="111">
          <cell r="A111">
            <v>210</v>
          </cell>
          <cell r="B111" t="str">
            <v>Acero fy=60000PSI</v>
          </cell>
          <cell r="C111">
            <v>990</v>
          </cell>
          <cell r="D111" t="str">
            <v>kg</v>
          </cell>
          <cell r="E111">
            <v>1.98</v>
          </cell>
        </row>
        <row r="112">
          <cell r="A112">
            <v>211</v>
          </cell>
          <cell r="B112" t="str">
            <v>Acero fy=37000PSI</v>
          </cell>
          <cell r="C112">
            <v>990</v>
          </cell>
          <cell r="D112" t="str">
            <v>kg</v>
          </cell>
          <cell r="E112">
            <v>1.98</v>
          </cell>
        </row>
        <row r="113">
          <cell r="A113">
            <v>212</v>
          </cell>
          <cell r="C113">
            <v>0</v>
          </cell>
          <cell r="E113">
            <v>0</v>
          </cell>
        </row>
        <row r="114">
          <cell r="A114">
            <v>213</v>
          </cell>
          <cell r="C114">
            <v>0</v>
          </cell>
          <cell r="E114">
            <v>0</v>
          </cell>
        </row>
        <row r="115">
          <cell r="A115">
            <v>214</v>
          </cell>
          <cell r="C115">
            <v>0</v>
          </cell>
          <cell r="E115">
            <v>0</v>
          </cell>
        </row>
        <row r="116">
          <cell r="A116">
            <v>215</v>
          </cell>
          <cell r="B116" t="str">
            <v>Alambre</v>
          </cell>
          <cell r="C116">
            <v>1250</v>
          </cell>
          <cell r="D116" t="str">
            <v>kg</v>
          </cell>
          <cell r="E116">
            <v>1.25</v>
          </cell>
        </row>
        <row r="117">
          <cell r="A117">
            <v>216</v>
          </cell>
          <cell r="C117">
            <v>0</v>
          </cell>
          <cell r="E117">
            <v>0</v>
          </cell>
        </row>
        <row r="118">
          <cell r="A118">
            <v>217</v>
          </cell>
          <cell r="B118" t="str">
            <v>Tabla para entibar</v>
          </cell>
          <cell r="C118">
            <v>3000</v>
          </cell>
          <cell r="D118" t="str">
            <v>Und.</v>
          </cell>
          <cell r="E118">
            <v>3</v>
          </cell>
        </row>
        <row r="119">
          <cell r="A119">
            <v>218</v>
          </cell>
          <cell r="B119" t="str">
            <v>Cerco de 4 x 4 x 240</v>
          </cell>
          <cell r="C119">
            <v>4000</v>
          </cell>
          <cell r="D119" t="str">
            <v>Und.</v>
          </cell>
          <cell r="E119">
            <v>4</v>
          </cell>
        </row>
        <row r="120">
          <cell r="A120">
            <v>219</v>
          </cell>
          <cell r="C120">
            <v>0</v>
          </cell>
          <cell r="E120">
            <v>0</v>
          </cell>
        </row>
        <row r="121">
          <cell r="A121">
            <v>220</v>
          </cell>
          <cell r="B121" t="str">
            <v>Cimbra sencilla</v>
          </cell>
          <cell r="C121">
            <v>46880</v>
          </cell>
          <cell r="D121" t="str">
            <v>ml.</v>
          </cell>
          <cell r="E121">
            <v>140.64000000000001</v>
          </cell>
        </row>
        <row r="122">
          <cell r="A122">
            <v>221</v>
          </cell>
          <cell r="B122" t="str">
            <v>Cimbra semidoble</v>
          </cell>
          <cell r="C122">
            <v>54690</v>
          </cell>
          <cell r="D122" t="str">
            <v>ml.</v>
          </cell>
          <cell r="E122">
            <v>164.07</v>
          </cell>
        </row>
        <row r="123">
          <cell r="A123">
            <v>222</v>
          </cell>
          <cell r="B123" t="str">
            <v>Cimbra doble</v>
          </cell>
          <cell r="C123">
            <v>62500</v>
          </cell>
          <cell r="D123" t="str">
            <v>ml.</v>
          </cell>
          <cell r="E123">
            <v>187.5</v>
          </cell>
        </row>
        <row r="124">
          <cell r="A124">
            <v>223</v>
          </cell>
          <cell r="C124">
            <v>0</v>
          </cell>
          <cell r="E124">
            <v>0</v>
          </cell>
        </row>
        <row r="125">
          <cell r="A125">
            <v>224</v>
          </cell>
          <cell r="C125">
            <v>0</v>
          </cell>
          <cell r="E125">
            <v>0</v>
          </cell>
        </row>
        <row r="126">
          <cell r="A126">
            <v>225</v>
          </cell>
          <cell r="B126" t="str">
            <v>Icopor</v>
          </cell>
          <cell r="C126">
            <v>4690</v>
          </cell>
          <cell r="D126" t="str">
            <v>m²</v>
          </cell>
          <cell r="E126">
            <v>4.6900000000000004</v>
          </cell>
        </row>
        <row r="127">
          <cell r="A127">
            <v>226</v>
          </cell>
          <cell r="C127">
            <v>0</v>
          </cell>
          <cell r="E127">
            <v>0</v>
          </cell>
        </row>
        <row r="128">
          <cell r="A128">
            <v>227</v>
          </cell>
          <cell r="C128">
            <v>0</v>
          </cell>
          <cell r="E128">
            <v>0</v>
          </cell>
        </row>
        <row r="129">
          <cell r="A129">
            <v>228</v>
          </cell>
          <cell r="C129">
            <v>0</v>
          </cell>
          <cell r="E129">
            <v>0</v>
          </cell>
        </row>
        <row r="130">
          <cell r="A130">
            <v>229</v>
          </cell>
          <cell r="C130">
            <v>0</v>
          </cell>
          <cell r="E130">
            <v>0</v>
          </cell>
        </row>
        <row r="131">
          <cell r="A131">
            <v>230</v>
          </cell>
          <cell r="B131" t="str">
            <v>Caseta (campamento, bodega etc.)</v>
          </cell>
          <cell r="C131">
            <v>2000000</v>
          </cell>
          <cell r="D131" t="str">
            <v>Glb.</v>
          </cell>
          <cell r="E131">
            <v>4000</v>
          </cell>
        </row>
        <row r="132">
          <cell r="A132">
            <v>231</v>
          </cell>
          <cell r="B132" t="str">
            <v>Caseta oficinas</v>
          </cell>
          <cell r="C132">
            <v>1500000</v>
          </cell>
          <cell r="D132" t="str">
            <v>Glb.</v>
          </cell>
          <cell r="E132">
            <v>3000</v>
          </cell>
        </row>
        <row r="133">
          <cell r="A133">
            <v>232</v>
          </cell>
          <cell r="B133" t="str">
            <v>Valla de aviso de la obra</v>
          </cell>
          <cell r="C133">
            <v>400000</v>
          </cell>
          <cell r="D133" t="str">
            <v>Glb.</v>
          </cell>
          <cell r="E133">
            <v>800</v>
          </cell>
        </row>
        <row r="134">
          <cell r="A134">
            <v>233</v>
          </cell>
          <cell r="C134">
            <v>0</v>
          </cell>
          <cell r="E134">
            <v>0</v>
          </cell>
        </row>
        <row r="135">
          <cell r="A135">
            <v>234</v>
          </cell>
          <cell r="C135">
            <v>0</v>
          </cell>
          <cell r="E135">
            <v>0</v>
          </cell>
        </row>
        <row r="136">
          <cell r="A136">
            <v>235</v>
          </cell>
          <cell r="C136">
            <v>0</v>
          </cell>
          <cell r="E136">
            <v>0</v>
          </cell>
        </row>
        <row r="137">
          <cell r="A137">
            <v>236</v>
          </cell>
          <cell r="C137">
            <v>0</v>
          </cell>
          <cell r="E137">
            <v>0</v>
          </cell>
        </row>
        <row r="138">
          <cell r="A138">
            <v>237</v>
          </cell>
          <cell r="C138">
            <v>0</v>
          </cell>
          <cell r="E138">
            <v>0</v>
          </cell>
        </row>
        <row r="139">
          <cell r="A139">
            <v>238</v>
          </cell>
          <cell r="C139">
            <v>0</v>
          </cell>
          <cell r="E139">
            <v>0</v>
          </cell>
        </row>
        <row r="140">
          <cell r="A140">
            <v>239</v>
          </cell>
          <cell r="C140">
            <v>0</v>
          </cell>
          <cell r="E140">
            <v>0</v>
          </cell>
        </row>
        <row r="141">
          <cell r="A141">
            <v>240</v>
          </cell>
          <cell r="B141" t="str">
            <v>Tubería sanitaria PVC 2"</v>
          </cell>
          <cell r="C141">
            <v>3653</v>
          </cell>
          <cell r="D141" t="str">
            <v>ml.</v>
          </cell>
          <cell r="E141">
            <v>3.653</v>
          </cell>
        </row>
        <row r="142">
          <cell r="A142">
            <v>241</v>
          </cell>
          <cell r="B142" t="str">
            <v>Tubería sanitaria PVC 3"</v>
          </cell>
          <cell r="C142">
            <v>5274</v>
          </cell>
          <cell r="D142" t="str">
            <v>ml.</v>
          </cell>
          <cell r="E142">
            <v>5.274</v>
          </cell>
        </row>
        <row r="143">
          <cell r="A143">
            <v>242</v>
          </cell>
          <cell r="B143" t="str">
            <v>Tubería sanitaria PVC 4"</v>
          </cell>
          <cell r="C143">
            <v>7608</v>
          </cell>
          <cell r="D143" t="str">
            <v>ml.</v>
          </cell>
          <cell r="E143">
            <v>7.6080000000000005</v>
          </cell>
        </row>
        <row r="144">
          <cell r="A144">
            <v>243</v>
          </cell>
          <cell r="B144" t="str">
            <v>Tubería sanitaria PVC 6"</v>
          </cell>
          <cell r="C144">
            <v>15402</v>
          </cell>
          <cell r="D144" t="str">
            <v>ml.</v>
          </cell>
          <cell r="E144">
            <v>15.402000000000001</v>
          </cell>
        </row>
        <row r="145">
          <cell r="A145">
            <v>244</v>
          </cell>
          <cell r="C145">
            <v>0</v>
          </cell>
          <cell r="E145">
            <v>0</v>
          </cell>
        </row>
        <row r="146">
          <cell r="A146">
            <v>245</v>
          </cell>
          <cell r="C146">
            <v>0</v>
          </cell>
          <cell r="E146">
            <v>0</v>
          </cell>
        </row>
        <row r="147">
          <cell r="A147">
            <v>246</v>
          </cell>
          <cell r="B147" t="str">
            <v>Rejilla para drenaje  Ø = 4"</v>
          </cell>
          <cell r="C147">
            <v>4000</v>
          </cell>
          <cell r="D147" t="str">
            <v>Und.</v>
          </cell>
          <cell r="E147">
            <v>4</v>
          </cell>
        </row>
        <row r="148">
          <cell r="A148">
            <v>247</v>
          </cell>
          <cell r="C148">
            <v>0</v>
          </cell>
          <cell r="E148">
            <v>0</v>
          </cell>
        </row>
        <row r="149">
          <cell r="A149">
            <v>248</v>
          </cell>
          <cell r="C149">
            <v>0</v>
          </cell>
          <cell r="E149">
            <v>0</v>
          </cell>
        </row>
        <row r="150">
          <cell r="A150">
            <v>249</v>
          </cell>
          <cell r="C150">
            <v>0</v>
          </cell>
          <cell r="E150">
            <v>0</v>
          </cell>
        </row>
        <row r="151">
          <cell r="A151">
            <v>250</v>
          </cell>
          <cell r="B151" t="str">
            <v>Escombros</v>
          </cell>
          <cell r="C151">
            <v>0</v>
          </cell>
          <cell r="D151" t="str">
            <v>m³</v>
          </cell>
          <cell r="E151">
            <v>100</v>
          </cell>
        </row>
        <row r="152">
          <cell r="A152">
            <v>251</v>
          </cell>
          <cell r="C152">
            <v>0</v>
          </cell>
          <cell r="E152">
            <v>0</v>
          </cell>
        </row>
        <row r="153">
          <cell r="A153">
            <v>252</v>
          </cell>
          <cell r="C153">
            <v>0</v>
          </cell>
          <cell r="E153">
            <v>0</v>
          </cell>
        </row>
        <row r="154">
          <cell r="A154">
            <v>253</v>
          </cell>
          <cell r="C154">
            <v>0</v>
          </cell>
          <cell r="E154">
            <v>0</v>
          </cell>
        </row>
        <row r="155">
          <cell r="A155">
            <v>254</v>
          </cell>
          <cell r="C155">
            <v>0</v>
          </cell>
          <cell r="E155">
            <v>0</v>
          </cell>
        </row>
        <row r="156">
          <cell r="A156">
            <v>255</v>
          </cell>
          <cell r="B156" t="str">
            <v>Almoadilla de Neopreno dureza 60  e=4"</v>
          </cell>
          <cell r="C156">
            <v>150000</v>
          </cell>
          <cell r="D156" t="str">
            <v>m²</v>
          </cell>
          <cell r="E156">
            <v>150</v>
          </cell>
        </row>
        <row r="157">
          <cell r="A157">
            <v>256</v>
          </cell>
          <cell r="C157">
            <v>0</v>
          </cell>
          <cell r="E157">
            <v>0</v>
          </cell>
        </row>
        <row r="158">
          <cell r="A158">
            <v>257</v>
          </cell>
          <cell r="C158">
            <v>0</v>
          </cell>
          <cell r="E158">
            <v>0</v>
          </cell>
        </row>
        <row r="159">
          <cell r="A159">
            <v>258</v>
          </cell>
          <cell r="C159">
            <v>0</v>
          </cell>
          <cell r="E159">
            <v>0</v>
          </cell>
        </row>
        <row r="160">
          <cell r="A160">
            <v>259</v>
          </cell>
          <cell r="C160">
            <v>0</v>
          </cell>
          <cell r="E160">
            <v>0</v>
          </cell>
        </row>
        <row r="161">
          <cell r="A161">
            <v>260</v>
          </cell>
          <cell r="B161" t="str">
            <v>Ladrillo tolette</v>
          </cell>
          <cell r="C161">
            <v>365</v>
          </cell>
          <cell r="D161" t="str">
            <v>Und</v>
          </cell>
          <cell r="E161">
            <v>3.65</v>
          </cell>
        </row>
        <row r="162">
          <cell r="A162">
            <v>261</v>
          </cell>
          <cell r="C162">
            <v>0</v>
          </cell>
          <cell r="E162">
            <v>0</v>
          </cell>
        </row>
        <row r="163">
          <cell r="A163">
            <v>262</v>
          </cell>
          <cell r="C163">
            <v>0</v>
          </cell>
          <cell r="E163">
            <v>0</v>
          </cell>
        </row>
        <row r="164">
          <cell r="A164">
            <v>263</v>
          </cell>
          <cell r="C164">
            <v>0</v>
          </cell>
          <cell r="E164">
            <v>0</v>
          </cell>
        </row>
        <row r="165">
          <cell r="A165">
            <v>264</v>
          </cell>
          <cell r="C165">
            <v>0</v>
          </cell>
          <cell r="E165">
            <v>0</v>
          </cell>
        </row>
        <row r="166">
          <cell r="A166">
            <v>265</v>
          </cell>
          <cell r="C166">
            <v>0</v>
          </cell>
          <cell r="E166">
            <v>0</v>
          </cell>
        </row>
        <row r="167">
          <cell r="A167">
            <v>266</v>
          </cell>
          <cell r="C167">
            <v>0</v>
          </cell>
          <cell r="E167">
            <v>0</v>
          </cell>
        </row>
        <row r="168">
          <cell r="A168">
            <v>267</v>
          </cell>
          <cell r="C168">
            <v>0</v>
          </cell>
          <cell r="E168">
            <v>0</v>
          </cell>
        </row>
        <row r="169">
          <cell r="A169">
            <v>268</v>
          </cell>
          <cell r="C169">
            <v>0</v>
          </cell>
          <cell r="E169">
            <v>0</v>
          </cell>
        </row>
        <row r="170">
          <cell r="A170">
            <v>269</v>
          </cell>
          <cell r="C170">
            <v>0</v>
          </cell>
          <cell r="E170">
            <v>0</v>
          </cell>
        </row>
        <row r="171">
          <cell r="A171">
            <v>270</v>
          </cell>
          <cell r="B171" t="str">
            <v>Tubería Novafort de 8"</v>
          </cell>
          <cell r="C171">
            <v>27237</v>
          </cell>
          <cell r="D171" t="str">
            <v>ml.</v>
          </cell>
          <cell r="E171">
            <v>13.618500000000001</v>
          </cell>
        </row>
        <row r="172">
          <cell r="A172">
            <v>271</v>
          </cell>
          <cell r="B172" t="str">
            <v>Tubería Novafort de 10"</v>
          </cell>
          <cell r="C172">
            <v>40064</v>
          </cell>
          <cell r="D172" t="str">
            <v>ml.</v>
          </cell>
          <cell r="E172">
            <v>20.032</v>
          </cell>
        </row>
        <row r="173">
          <cell r="A173">
            <v>272</v>
          </cell>
          <cell r="B173" t="str">
            <v>Tubería Novafort de 12"</v>
          </cell>
          <cell r="C173">
            <v>56807</v>
          </cell>
          <cell r="D173" t="str">
            <v>ml.</v>
          </cell>
          <cell r="E173">
            <v>28.403500000000001</v>
          </cell>
        </row>
        <row r="174">
          <cell r="A174">
            <v>273</v>
          </cell>
          <cell r="B174" t="str">
            <v>Tubería Novafort de 16"</v>
          </cell>
          <cell r="C174">
            <v>89622</v>
          </cell>
          <cell r="D174" t="str">
            <v>ml.</v>
          </cell>
          <cell r="E174">
            <v>44.811</v>
          </cell>
        </row>
        <row r="175">
          <cell r="A175">
            <v>274</v>
          </cell>
          <cell r="C175">
            <v>0</v>
          </cell>
          <cell r="E175">
            <v>0</v>
          </cell>
        </row>
        <row r="176">
          <cell r="A176">
            <v>275</v>
          </cell>
          <cell r="B176" t="str">
            <v>Lubricante PVC</v>
          </cell>
          <cell r="C176">
            <v>8450</v>
          </cell>
          <cell r="D176" t="str">
            <v>lb</v>
          </cell>
          <cell r="E176">
            <v>8.4499999999999993</v>
          </cell>
        </row>
        <row r="177">
          <cell r="A177">
            <v>276</v>
          </cell>
          <cell r="C177">
            <v>0</v>
          </cell>
          <cell r="E177">
            <v>0</v>
          </cell>
        </row>
        <row r="178">
          <cell r="A178">
            <v>277</v>
          </cell>
          <cell r="C178">
            <v>0</v>
          </cell>
          <cell r="E178">
            <v>0</v>
          </cell>
        </row>
        <row r="179">
          <cell r="A179">
            <v>278</v>
          </cell>
          <cell r="C179">
            <v>0</v>
          </cell>
          <cell r="E179">
            <v>0</v>
          </cell>
        </row>
        <row r="180">
          <cell r="A180">
            <v>279</v>
          </cell>
          <cell r="C180">
            <v>0</v>
          </cell>
          <cell r="E180">
            <v>0</v>
          </cell>
        </row>
        <row r="181">
          <cell r="A181">
            <v>280</v>
          </cell>
          <cell r="B181" t="str">
            <v>Mortero 1:3</v>
          </cell>
          <cell r="C181">
            <v>122850</v>
          </cell>
          <cell r="D181" t="str">
            <v>m³</v>
          </cell>
          <cell r="E181">
            <v>122.85000000000001</v>
          </cell>
        </row>
        <row r="182">
          <cell r="A182">
            <v>281</v>
          </cell>
          <cell r="B182" t="str">
            <v>Concreto 3000psi</v>
          </cell>
          <cell r="C182">
            <v>0</v>
          </cell>
          <cell r="D182" t="str">
            <v>m³</v>
          </cell>
          <cell r="E182">
            <v>0</v>
          </cell>
        </row>
        <row r="183">
          <cell r="A183">
            <v>282</v>
          </cell>
          <cell r="B183" t="str">
            <v>Concreto 4000psi</v>
          </cell>
          <cell r="C183">
            <v>0</v>
          </cell>
          <cell r="D183" t="str">
            <v>m³</v>
          </cell>
          <cell r="E183">
            <v>0</v>
          </cell>
        </row>
        <row r="184">
          <cell r="A184">
            <v>283</v>
          </cell>
          <cell r="B184" t="str">
            <v>Mortero de pega</v>
          </cell>
          <cell r="C184">
            <v>135135</v>
          </cell>
          <cell r="D184" t="str">
            <v>m³</v>
          </cell>
          <cell r="E184">
            <v>135.13499999999999</v>
          </cell>
        </row>
        <row r="185">
          <cell r="A185">
            <v>284</v>
          </cell>
          <cell r="C185">
            <v>0</v>
          </cell>
          <cell r="E185">
            <v>0</v>
          </cell>
        </row>
        <row r="186">
          <cell r="A186">
            <v>285</v>
          </cell>
          <cell r="C186">
            <v>0</v>
          </cell>
          <cell r="E186">
            <v>0</v>
          </cell>
        </row>
        <row r="187">
          <cell r="A187">
            <v>286</v>
          </cell>
          <cell r="C187">
            <v>0</v>
          </cell>
          <cell r="E187">
            <v>0</v>
          </cell>
        </row>
        <row r="188">
          <cell r="A188">
            <v>287</v>
          </cell>
          <cell r="C188">
            <v>0</v>
          </cell>
          <cell r="E188">
            <v>0</v>
          </cell>
        </row>
        <row r="189">
          <cell r="A189">
            <v>288</v>
          </cell>
          <cell r="C189">
            <v>0</v>
          </cell>
          <cell r="E189">
            <v>0</v>
          </cell>
        </row>
        <row r="190">
          <cell r="A190">
            <v>289</v>
          </cell>
          <cell r="C190">
            <v>0</v>
          </cell>
          <cell r="E190">
            <v>0</v>
          </cell>
        </row>
        <row r="191">
          <cell r="A191">
            <v>290</v>
          </cell>
          <cell r="B191" t="str">
            <v>Sika-1</v>
          </cell>
          <cell r="C191">
            <v>2430</v>
          </cell>
          <cell r="D191" t="str">
            <v>kg</v>
          </cell>
          <cell r="E191">
            <v>2.4300000000000002</v>
          </cell>
        </row>
        <row r="192">
          <cell r="A192">
            <v>291</v>
          </cell>
          <cell r="C192">
            <v>0</v>
          </cell>
          <cell r="E192">
            <v>0</v>
          </cell>
        </row>
        <row r="193">
          <cell r="A193">
            <v>292</v>
          </cell>
          <cell r="C193">
            <v>0</v>
          </cell>
          <cell r="E193">
            <v>0</v>
          </cell>
        </row>
        <row r="194">
          <cell r="A194">
            <v>293</v>
          </cell>
          <cell r="C194">
            <v>0</v>
          </cell>
          <cell r="E194">
            <v>0</v>
          </cell>
        </row>
        <row r="195">
          <cell r="A195">
            <v>294</v>
          </cell>
          <cell r="C195">
            <v>0</v>
          </cell>
          <cell r="E195">
            <v>0</v>
          </cell>
        </row>
        <row r="196">
          <cell r="A196">
            <v>295</v>
          </cell>
          <cell r="C196">
            <v>0</v>
          </cell>
          <cell r="E196">
            <v>0</v>
          </cell>
        </row>
        <row r="197">
          <cell r="A197">
            <v>296</v>
          </cell>
          <cell r="C197">
            <v>0</v>
          </cell>
          <cell r="E197">
            <v>0</v>
          </cell>
        </row>
        <row r="198">
          <cell r="A198">
            <v>297</v>
          </cell>
          <cell r="C198">
            <v>0</v>
          </cell>
          <cell r="E198">
            <v>0</v>
          </cell>
        </row>
        <row r="199">
          <cell r="A199">
            <v>298</v>
          </cell>
          <cell r="C199">
            <v>0</v>
          </cell>
          <cell r="E199">
            <v>0</v>
          </cell>
        </row>
        <row r="200">
          <cell r="A200">
            <v>299</v>
          </cell>
          <cell r="C200">
            <v>0</v>
          </cell>
          <cell r="E200">
            <v>0</v>
          </cell>
        </row>
        <row r="201">
          <cell r="A201">
            <v>300</v>
          </cell>
          <cell r="B201" t="str">
            <v>Material común de relleno</v>
          </cell>
          <cell r="C201">
            <v>3000</v>
          </cell>
          <cell r="D201" t="str">
            <v>m³</v>
          </cell>
          <cell r="E201">
            <v>30</v>
          </cell>
        </row>
        <row r="202">
          <cell r="A202">
            <v>301</v>
          </cell>
          <cell r="B202" t="str">
            <v>Material seleccionado de relleno</v>
          </cell>
          <cell r="C202">
            <v>8500</v>
          </cell>
          <cell r="D202" t="str">
            <v>m³</v>
          </cell>
          <cell r="E202">
            <v>85</v>
          </cell>
        </row>
        <row r="203">
          <cell r="A203">
            <v>302</v>
          </cell>
          <cell r="C203">
            <v>0</v>
          </cell>
        </row>
        <row r="204">
          <cell r="A204">
            <v>303</v>
          </cell>
          <cell r="C204">
            <v>0</v>
          </cell>
        </row>
        <row r="205">
          <cell r="A205">
            <v>304</v>
          </cell>
          <cell r="C205">
            <v>0</v>
          </cell>
        </row>
        <row r="206">
          <cell r="A206">
            <v>305</v>
          </cell>
          <cell r="C206">
            <v>0</v>
          </cell>
        </row>
        <row r="207">
          <cell r="A207">
            <v>306</v>
          </cell>
          <cell r="C207">
            <v>0</v>
          </cell>
        </row>
        <row r="208">
          <cell r="A208">
            <v>307</v>
          </cell>
          <cell r="C208">
            <v>0</v>
          </cell>
        </row>
        <row r="209">
          <cell r="A209">
            <v>308</v>
          </cell>
          <cell r="C209">
            <v>0</v>
          </cell>
        </row>
        <row r="210">
          <cell r="A210">
            <v>309</v>
          </cell>
          <cell r="C210">
            <v>0</v>
          </cell>
        </row>
        <row r="211">
          <cell r="A211">
            <v>310</v>
          </cell>
          <cell r="B211" t="str">
            <v>Tapa y anillo en hierro fundido</v>
          </cell>
          <cell r="C211">
            <v>132600</v>
          </cell>
          <cell r="D211" t="str">
            <v>Und.</v>
          </cell>
        </row>
        <row r="212">
          <cell r="A212">
            <v>311</v>
          </cell>
          <cell r="C212">
            <v>0</v>
          </cell>
        </row>
        <row r="213">
          <cell r="A213">
            <v>312</v>
          </cell>
          <cell r="C213">
            <v>0</v>
          </cell>
        </row>
        <row r="214">
          <cell r="A214">
            <v>313</v>
          </cell>
          <cell r="C214">
            <v>0</v>
          </cell>
        </row>
        <row r="215">
          <cell r="A215">
            <v>314</v>
          </cell>
          <cell r="C215">
            <v>0</v>
          </cell>
        </row>
        <row r="216">
          <cell r="A216">
            <v>315</v>
          </cell>
          <cell r="C216">
            <v>0</v>
          </cell>
        </row>
        <row r="217">
          <cell r="A217">
            <v>316</v>
          </cell>
          <cell r="C217">
            <v>0</v>
          </cell>
        </row>
        <row r="218">
          <cell r="A218">
            <v>317</v>
          </cell>
          <cell r="C218">
            <v>0</v>
          </cell>
        </row>
        <row r="219">
          <cell r="A219">
            <v>318</v>
          </cell>
          <cell r="C219">
            <v>0</v>
          </cell>
        </row>
        <row r="220">
          <cell r="A220">
            <v>319</v>
          </cell>
          <cell r="C220">
            <v>0</v>
          </cell>
        </row>
        <row r="221">
          <cell r="A221">
            <v>320</v>
          </cell>
          <cell r="C221">
            <v>0</v>
          </cell>
        </row>
        <row r="222">
          <cell r="A222">
            <v>321</v>
          </cell>
          <cell r="C222">
            <v>0</v>
          </cell>
        </row>
        <row r="223">
          <cell r="A223">
            <v>322</v>
          </cell>
          <cell r="C223">
            <v>0</v>
          </cell>
        </row>
        <row r="224">
          <cell r="A224">
            <v>323</v>
          </cell>
          <cell r="C224">
            <v>0</v>
          </cell>
        </row>
        <row r="225">
          <cell r="A225">
            <v>324</v>
          </cell>
          <cell r="C225">
            <v>0</v>
          </cell>
        </row>
        <row r="226">
          <cell r="A226">
            <v>325</v>
          </cell>
          <cell r="C226">
            <v>0</v>
          </cell>
        </row>
        <row r="227">
          <cell r="A227">
            <v>326</v>
          </cell>
          <cell r="C227">
            <v>0</v>
          </cell>
        </row>
        <row r="228">
          <cell r="A228">
            <v>327</v>
          </cell>
          <cell r="C228">
            <v>0</v>
          </cell>
        </row>
        <row r="229">
          <cell r="A229">
            <v>328</v>
          </cell>
          <cell r="C229">
            <v>0</v>
          </cell>
        </row>
        <row r="230">
          <cell r="A230">
            <v>329</v>
          </cell>
          <cell r="C230">
            <v>0</v>
          </cell>
        </row>
        <row r="231">
          <cell r="A231">
            <v>330</v>
          </cell>
          <cell r="C231">
            <v>0</v>
          </cell>
        </row>
        <row r="232">
          <cell r="A232">
            <v>331</v>
          </cell>
          <cell r="C232">
            <v>0</v>
          </cell>
        </row>
        <row r="233">
          <cell r="A233">
            <v>332</v>
          </cell>
          <cell r="C233">
            <v>0</v>
          </cell>
        </row>
        <row r="234">
          <cell r="A234">
            <v>333</v>
          </cell>
          <cell r="C234">
            <v>0</v>
          </cell>
        </row>
        <row r="235">
          <cell r="A235">
            <v>334</v>
          </cell>
          <cell r="C235">
            <v>0</v>
          </cell>
        </row>
        <row r="236">
          <cell r="A236">
            <v>335</v>
          </cell>
          <cell r="C236">
            <v>0</v>
          </cell>
        </row>
        <row r="237">
          <cell r="A237">
            <v>336</v>
          </cell>
          <cell r="C237">
            <v>0</v>
          </cell>
        </row>
        <row r="238">
          <cell r="A238">
            <v>337</v>
          </cell>
          <cell r="C238">
            <v>0</v>
          </cell>
        </row>
        <row r="239">
          <cell r="A239">
            <v>338</v>
          </cell>
          <cell r="C239">
            <v>0</v>
          </cell>
        </row>
        <row r="240">
          <cell r="A240">
            <v>339</v>
          </cell>
          <cell r="C240">
            <v>0</v>
          </cell>
        </row>
        <row r="241">
          <cell r="A241">
            <v>340</v>
          </cell>
          <cell r="C241">
            <v>0</v>
          </cell>
        </row>
        <row r="242">
          <cell r="A242">
            <v>341</v>
          </cell>
          <cell r="C242">
            <v>0</v>
          </cell>
        </row>
        <row r="243">
          <cell r="A243">
            <v>342</v>
          </cell>
          <cell r="C243">
            <v>0</v>
          </cell>
        </row>
        <row r="244">
          <cell r="A244">
            <v>343</v>
          </cell>
          <cell r="C244">
            <v>0</v>
          </cell>
        </row>
        <row r="245">
          <cell r="A245">
            <v>344</v>
          </cell>
          <cell r="C245">
            <v>0</v>
          </cell>
        </row>
        <row r="246">
          <cell r="A246">
            <v>345</v>
          </cell>
          <cell r="C246">
            <v>0</v>
          </cell>
        </row>
        <row r="247">
          <cell r="A247">
            <v>346</v>
          </cell>
          <cell r="C247">
            <v>0</v>
          </cell>
        </row>
        <row r="248">
          <cell r="A248">
            <v>347</v>
          </cell>
          <cell r="C248">
            <v>0</v>
          </cell>
        </row>
        <row r="249">
          <cell r="A249">
            <v>348</v>
          </cell>
          <cell r="C249">
            <v>0</v>
          </cell>
        </row>
        <row r="250">
          <cell r="A250">
            <v>349</v>
          </cell>
          <cell r="C250">
            <v>0</v>
          </cell>
        </row>
        <row r="251">
          <cell r="A251">
            <v>350</v>
          </cell>
          <cell r="C251">
            <v>0</v>
          </cell>
        </row>
        <row r="252">
          <cell r="A252">
            <v>351</v>
          </cell>
          <cell r="C252">
            <v>0</v>
          </cell>
        </row>
        <row r="253">
          <cell r="A253">
            <v>352</v>
          </cell>
          <cell r="C253">
            <v>0</v>
          </cell>
        </row>
        <row r="254">
          <cell r="A254">
            <v>353</v>
          </cell>
          <cell r="C254">
            <v>0</v>
          </cell>
        </row>
        <row r="255">
          <cell r="A255">
            <v>354</v>
          </cell>
          <cell r="C255">
            <v>0</v>
          </cell>
        </row>
        <row r="256">
          <cell r="A256">
            <v>355</v>
          </cell>
          <cell r="C256">
            <v>0</v>
          </cell>
        </row>
        <row r="257">
          <cell r="A257">
            <v>356</v>
          </cell>
          <cell r="C257">
            <v>0</v>
          </cell>
        </row>
        <row r="258">
          <cell r="A258">
            <v>357</v>
          </cell>
          <cell r="C258">
            <v>0</v>
          </cell>
        </row>
        <row r="259">
          <cell r="A259">
            <v>358</v>
          </cell>
          <cell r="C259">
            <v>0</v>
          </cell>
        </row>
        <row r="260">
          <cell r="A260">
            <v>359</v>
          </cell>
          <cell r="C260">
            <v>0</v>
          </cell>
        </row>
        <row r="261">
          <cell r="A261">
            <v>360</v>
          </cell>
          <cell r="C261">
            <v>0</v>
          </cell>
        </row>
        <row r="262">
          <cell r="A262">
            <v>361</v>
          </cell>
          <cell r="C262">
            <v>0</v>
          </cell>
        </row>
        <row r="263">
          <cell r="A263">
            <v>362</v>
          </cell>
          <cell r="C263">
            <v>0</v>
          </cell>
        </row>
        <row r="264">
          <cell r="A264">
            <v>363</v>
          </cell>
          <cell r="C264">
            <v>0</v>
          </cell>
        </row>
        <row r="265">
          <cell r="A265">
            <v>364</v>
          </cell>
          <cell r="C265">
            <v>0</v>
          </cell>
        </row>
        <row r="266">
          <cell r="A266">
            <v>365</v>
          </cell>
          <cell r="C266">
            <v>0</v>
          </cell>
        </row>
        <row r="267">
          <cell r="A267">
            <v>366</v>
          </cell>
          <cell r="C267">
            <v>0</v>
          </cell>
        </row>
        <row r="268">
          <cell r="A268">
            <v>367</v>
          </cell>
          <cell r="C268">
            <v>0</v>
          </cell>
        </row>
        <row r="269">
          <cell r="A269">
            <v>368</v>
          </cell>
          <cell r="C269">
            <v>0</v>
          </cell>
        </row>
        <row r="270">
          <cell r="A270">
            <v>369</v>
          </cell>
          <cell r="C270">
            <v>0</v>
          </cell>
        </row>
        <row r="271">
          <cell r="A271">
            <v>370</v>
          </cell>
          <cell r="C271">
            <v>0</v>
          </cell>
        </row>
        <row r="272">
          <cell r="A272">
            <v>371</v>
          </cell>
          <cell r="C272">
            <v>0</v>
          </cell>
        </row>
        <row r="273">
          <cell r="A273">
            <v>372</v>
          </cell>
          <cell r="C273">
            <v>0</v>
          </cell>
        </row>
        <row r="274">
          <cell r="A274">
            <v>373</v>
          </cell>
          <cell r="C274">
            <v>0</v>
          </cell>
        </row>
        <row r="275">
          <cell r="A275">
            <v>374</v>
          </cell>
          <cell r="C275">
            <v>0</v>
          </cell>
        </row>
        <row r="276">
          <cell r="A276">
            <v>375</v>
          </cell>
          <cell r="C276">
            <v>0</v>
          </cell>
        </row>
        <row r="277">
          <cell r="A277">
            <v>376</v>
          </cell>
          <cell r="C277">
            <v>0</v>
          </cell>
        </row>
        <row r="278">
          <cell r="A278">
            <v>377</v>
          </cell>
          <cell r="C278">
            <v>0</v>
          </cell>
        </row>
        <row r="279">
          <cell r="A279">
            <v>378</v>
          </cell>
          <cell r="C279">
            <v>0</v>
          </cell>
        </row>
        <row r="280">
          <cell r="A280">
            <v>379</v>
          </cell>
          <cell r="C280">
            <v>0</v>
          </cell>
        </row>
        <row r="281">
          <cell r="A281">
            <v>380</v>
          </cell>
          <cell r="C281">
            <v>0</v>
          </cell>
        </row>
        <row r="282">
          <cell r="A282">
            <v>381</v>
          </cell>
          <cell r="C282">
            <v>0</v>
          </cell>
        </row>
        <row r="283">
          <cell r="A283">
            <v>382</v>
          </cell>
          <cell r="C283">
            <v>0</v>
          </cell>
        </row>
        <row r="284">
          <cell r="A284">
            <v>383</v>
          </cell>
          <cell r="C284">
            <v>0</v>
          </cell>
        </row>
        <row r="285">
          <cell r="A285">
            <v>384</v>
          </cell>
          <cell r="C285">
            <v>0</v>
          </cell>
        </row>
        <row r="286">
          <cell r="A286">
            <v>385</v>
          </cell>
          <cell r="C286">
            <v>0</v>
          </cell>
        </row>
        <row r="287">
          <cell r="A287">
            <v>386</v>
          </cell>
          <cell r="C287">
            <v>0</v>
          </cell>
        </row>
        <row r="288">
          <cell r="A288">
            <v>387</v>
          </cell>
          <cell r="C288">
            <v>0</v>
          </cell>
        </row>
        <row r="289">
          <cell r="A289">
            <v>388</v>
          </cell>
          <cell r="C289">
            <v>0</v>
          </cell>
        </row>
        <row r="290">
          <cell r="A290">
            <v>389</v>
          </cell>
          <cell r="C290">
            <v>0</v>
          </cell>
        </row>
        <row r="291">
          <cell r="A291">
            <v>390</v>
          </cell>
          <cell r="C291">
            <v>0</v>
          </cell>
        </row>
        <row r="292">
          <cell r="A292">
            <v>391</v>
          </cell>
          <cell r="C292">
            <v>0</v>
          </cell>
        </row>
        <row r="293">
          <cell r="A293">
            <v>392</v>
          </cell>
          <cell r="C293">
            <v>0</v>
          </cell>
        </row>
        <row r="294">
          <cell r="A294">
            <v>393</v>
          </cell>
          <cell r="C294">
            <v>0</v>
          </cell>
        </row>
        <row r="295">
          <cell r="A295">
            <v>394</v>
          </cell>
          <cell r="C295">
            <v>0</v>
          </cell>
        </row>
        <row r="296">
          <cell r="A296">
            <v>395</v>
          </cell>
          <cell r="C296">
            <v>0</v>
          </cell>
        </row>
        <row r="297">
          <cell r="A297">
            <v>396</v>
          </cell>
          <cell r="C297">
            <v>0</v>
          </cell>
        </row>
        <row r="298">
          <cell r="A298">
            <v>397</v>
          </cell>
          <cell r="C298">
            <v>0</v>
          </cell>
        </row>
        <row r="299">
          <cell r="A299">
            <v>398</v>
          </cell>
          <cell r="C299">
            <v>0</v>
          </cell>
        </row>
        <row r="300">
          <cell r="A300">
            <v>399</v>
          </cell>
          <cell r="C300">
            <v>0</v>
          </cell>
        </row>
        <row r="301">
          <cell r="A301">
            <v>400</v>
          </cell>
          <cell r="B301" t="str">
            <v>Ingeniero</v>
          </cell>
          <cell r="C301">
            <v>25000</v>
          </cell>
        </row>
        <row r="302">
          <cell r="A302">
            <v>401</v>
          </cell>
          <cell r="B302" t="str">
            <v>Topógrafo</v>
          </cell>
          <cell r="C302">
            <v>12500</v>
          </cell>
        </row>
        <row r="303">
          <cell r="A303">
            <v>402</v>
          </cell>
          <cell r="B303" t="str">
            <v>Maestro</v>
          </cell>
          <cell r="C303">
            <v>12500</v>
          </cell>
        </row>
        <row r="304">
          <cell r="A304">
            <v>403</v>
          </cell>
          <cell r="B304" t="str">
            <v>Oficial</v>
          </cell>
          <cell r="C304">
            <v>5000</v>
          </cell>
        </row>
        <row r="305">
          <cell r="A305">
            <v>404</v>
          </cell>
          <cell r="B305" t="str">
            <v>Ayudante</v>
          </cell>
          <cell r="C305">
            <v>5000</v>
          </cell>
        </row>
        <row r="306">
          <cell r="A306">
            <v>405</v>
          </cell>
          <cell r="B306" t="str">
            <v>Cadenero 1º</v>
          </cell>
          <cell r="C306">
            <v>8000</v>
          </cell>
        </row>
        <row r="307">
          <cell r="A307">
            <v>406</v>
          </cell>
          <cell r="B307" t="str">
            <v>Cadenero 2º</v>
          </cell>
          <cell r="C307">
            <v>5000</v>
          </cell>
        </row>
        <row r="308">
          <cell r="A308">
            <v>407</v>
          </cell>
          <cell r="B308" t="str">
            <v>Técnico especializado</v>
          </cell>
          <cell r="C308">
            <v>15000</v>
          </cell>
        </row>
        <row r="309">
          <cell r="A309">
            <v>408</v>
          </cell>
          <cell r="C309">
            <v>0</v>
          </cell>
        </row>
        <row r="310">
          <cell r="A310">
            <v>409</v>
          </cell>
          <cell r="C310">
            <v>0</v>
          </cell>
        </row>
        <row r="311">
          <cell r="A311">
            <v>410</v>
          </cell>
          <cell r="C311">
            <v>0</v>
          </cell>
        </row>
        <row r="312">
          <cell r="A312">
            <v>411</v>
          </cell>
          <cell r="C312">
            <v>0</v>
          </cell>
        </row>
        <row r="313">
          <cell r="A313">
            <v>412</v>
          </cell>
          <cell r="C313">
            <v>0</v>
          </cell>
        </row>
        <row r="314">
          <cell r="A314">
            <v>413</v>
          </cell>
          <cell r="C314">
            <v>0</v>
          </cell>
        </row>
        <row r="315">
          <cell r="A315">
            <v>414</v>
          </cell>
          <cell r="C315">
            <v>0</v>
          </cell>
        </row>
        <row r="316">
          <cell r="A316">
            <v>415</v>
          </cell>
          <cell r="C316">
            <v>0</v>
          </cell>
        </row>
        <row r="317">
          <cell r="A317">
            <v>416</v>
          </cell>
          <cell r="C317">
            <v>0</v>
          </cell>
        </row>
        <row r="318">
          <cell r="A318">
            <v>417</v>
          </cell>
          <cell r="C318">
            <v>0</v>
          </cell>
        </row>
        <row r="319">
          <cell r="A319">
            <v>418</v>
          </cell>
          <cell r="C319">
            <v>0</v>
          </cell>
        </row>
        <row r="320">
          <cell r="A320">
            <v>419</v>
          </cell>
          <cell r="C320">
            <v>0</v>
          </cell>
        </row>
        <row r="321">
          <cell r="A321">
            <v>420</v>
          </cell>
          <cell r="C321">
            <v>0</v>
          </cell>
        </row>
        <row r="322">
          <cell r="A322">
            <v>421</v>
          </cell>
          <cell r="C322">
            <v>0</v>
          </cell>
        </row>
        <row r="323">
          <cell r="A323">
            <v>422</v>
          </cell>
          <cell r="C323">
            <v>0</v>
          </cell>
        </row>
        <row r="324">
          <cell r="A324">
            <v>423</v>
          </cell>
          <cell r="C324">
            <v>0</v>
          </cell>
        </row>
        <row r="325">
          <cell r="A325">
            <v>424</v>
          </cell>
          <cell r="C325">
            <v>0</v>
          </cell>
        </row>
        <row r="326">
          <cell r="A326">
            <v>425</v>
          </cell>
          <cell r="C326">
            <v>0</v>
          </cell>
        </row>
        <row r="327">
          <cell r="A327">
            <v>426</v>
          </cell>
          <cell r="C327">
            <v>0</v>
          </cell>
        </row>
        <row r="328">
          <cell r="A328">
            <v>427</v>
          </cell>
          <cell r="C328">
            <v>0</v>
          </cell>
        </row>
        <row r="329">
          <cell r="A329">
            <v>428</v>
          </cell>
          <cell r="C329">
            <v>0</v>
          </cell>
        </row>
        <row r="330">
          <cell r="A330">
            <v>429</v>
          </cell>
          <cell r="C330">
            <v>0</v>
          </cell>
        </row>
        <row r="331">
          <cell r="A331">
            <v>430</v>
          </cell>
          <cell r="C331">
            <v>0</v>
          </cell>
        </row>
        <row r="332">
          <cell r="A332">
            <v>431</v>
          </cell>
          <cell r="C332">
            <v>0</v>
          </cell>
        </row>
        <row r="333">
          <cell r="A333">
            <v>432</v>
          </cell>
          <cell r="C333">
            <v>0</v>
          </cell>
        </row>
        <row r="334">
          <cell r="A334">
            <v>433</v>
          </cell>
          <cell r="C334">
            <v>0</v>
          </cell>
        </row>
        <row r="335">
          <cell r="A335">
            <v>434</v>
          </cell>
          <cell r="C335">
            <v>0</v>
          </cell>
        </row>
        <row r="336">
          <cell r="A336">
            <v>435</v>
          </cell>
          <cell r="C336">
            <v>0</v>
          </cell>
        </row>
        <row r="337">
          <cell r="A337">
            <v>436</v>
          </cell>
          <cell r="C337">
            <v>0</v>
          </cell>
        </row>
        <row r="338">
          <cell r="A338">
            <v>437</v>
          </cell>
          <cell r="C338">
            <v>0</v>
          </cell>
        </row>
        <row r="339">
          <cell r="A339">
            <v>438</v>
          </cell>
          <cell r="C339">
            <v>0</v>
          </cell>
        </row>
        <row r="340">
          <cell r="A340">
            <v>439</v>
          </cell>
          <cell r="C340">
            <v>0</v>
          </cell>
        </row>
        <row r="341">
          <cell r="A341">
            <v>440</v>
          </cell>
          <cell r="C341">
            <v>0</v>
          </cell>
        </row>
        <row r="342">
          <cell r="A342">
            <v>441</v>
          </cell>
          <cell r="C342">
            <v>0</v>
          </cell>
        </row>
        <row r="343">
          <cell r="A343">
            <v>442</v>
          </cell>
          <cell r="C343">
            <v>0</v>
          </cell>
        </row>
        <row r="344">
          <cell r="A344">
            <v>443</v>
          </cell>
          <cell r="C344">
            <v>0</v>
          </cell>
        </row>
        <row r="345">
          <cell r="A345">
            <v>444</v>
          </cell>
          <cell r="C345">
            <v>0</v>
          </cell>
        </row>
        <row r="346">
          <cell r="A346">
            <v>445</v>
          </cell>
          <cell r="C346">
            <v>0</v>
          </cell>
        </row>
        <row r="347">
          <cell r="A347">
            <v>446</v>
          </cell>
          <cell r="C347">
            <v>0</v>
          </cell>
        </row>
        <row r="348">
          <cell r="A348">
            <v>447</v>
          </cell>
          <cell r="C348">
            <v>0</v>
          </cell>
        </row>
        <row r="349">
          <cell r="A349">
            <v>448</v>
          </cell>
          <cell r="C349">
            <v>0</v>
          </cell>
        </row>
        <row r="350">
          <cell r="A350">
            <v>449</v>
          </cell>
          <cell r="C350">
            <v>0</v>
          </cell>
        </row>
        <row r="351">
          <cell r="A351">
            <v>450</v>
          </cell>
          <cell r="C351">
            <v>0</v>
          </cell>
        </row>
        <row r="352">
          <cell r="A352">
            <v>451</v>
          </cell>
          <cell r="C352">
            <v>0</v>
          </cell>
        </row>
        <row r="353">
          <cell r="A353">
            <v>452</v>
          </cell>
          <cell r="C353">
            <v>0</v>
          </cell>
        </row>
        <row r="354">
          <cell r="A354">
            <v>453</v>
          </cell>
          <cell r="C354">
            <v>0</v>
          </cell>
        </row>
        <row r="355">
          <cell r="A355">
            <v>454</v>
          </cell>
          <cell r="C355">
            <v>0</v>
          </cell>
        </row>
        <row r="356">
          <cell r="A356">
            <v>455</v>
          </cell>
          <cell r="C356">
            <v>0</v>
          </cell>
        </row>
        <row r="357">
          <cell r="A357">
            <v>456</v>
          </cell>
          <cell r="C357">
            <v>0</v>
          </cell>
        </row>
        <row r="358">
          <cell r="A358">
            <v>457</v>
          </cell>
          <cell r="C358">
            <v>0</v>
          </cell>
        </row>
        <row r="359">
          <cell r="A359">
            <v>458</v>
          </cell>
          <cell r="C359">
            <v>0</v>
          </cell>
        </row>
        <row r="360">
          <cell r="A360">
            <v>459</v>
          </cell>
          <cell r="C360">
            <v>0</v>
          </cell>
        </row>
        <row r="361">
          <cell r="A361">
            <v>460</v>
          </cell>
          <cell r="C361">
            <v>0</v>
          </cell>
        </row>
        <row r="362">
          <cell r="A362">
            <v>461</v>
          </cell>
          <cell r="C362">
            <v>0</v>
          </cell>
        </row>
        <row r="363">
          <cell r="A363">
            <v>462</v>
          </cell>
          <cell r="C363">
            <v>0</v>
          </cell>
        </row>
        <row r="364">
          <cell r="A364">
            <v>463</v>
          </cell>
          <cell r="C364">
            <v>0</v>
          </cell>
        </row>
        <row r="365">
          <cell r="A365">
            <v>464</v>
          </cell>
          <cell r="C365">
            <v>0</v>
          </cell>
        </row>
        <row r="366">
          <cell r="A366">
            <v>465</v>
          </cell>
          <cell r="C366">
            <v>0</v>
          </cell>
        </row>
        <row r="367">
          <cell r="A367">
            <v>466</v>
          </cell>
          <cell r="C367">
            <v>0</v>
          </cell>
        </row>
        <row r="368">
          <cell r="A368">
            <v>467</v>
          </cell>
          <cell r="C368">
            <v>0</v>
          </cell>
        </row>
        <row r="369">
          <cell r="A369">
            <v>468</v>
          </cell>
          <cell r="C369">
            <v>0</v>
          </cell>
        </row>
        <row r="370">
          <cell r="A370">
            <v>469</v>
          </cell>
          <cell r="C370">
            <v>0</v>
          </cell>
        </row>
        <row r="371">
          <cell r="A371">
            <v>470</v>
          </cell>
          <cell r="C371">
            <v>0</v>
          </cell>
        </row>
        <row r="372">
          <cell r="A372">
            <v>471</v>
          </cell>
          <cell r="C372">
            <v>0</v>
          </cell>
        </row>
        <row r="373">
          <cell r="A373">
            <v>472</v>
          </cell>
          <cell r="C373">
            <v>0</v>
          </cell>
        </row>
        <row r="374">
          <cell r="A374">
            <v>473</v>
          </cell>
          <cell r="C374">
            <v>0</v>
          </cell>
        </row>
        <row r="375">
          <cell r="A375">
            <v>474</v>
          </cell>
          <cell r="C375">
            <v>0</v>
          </cell>
        </row>
        <row r="376">
          <cell r="A376">
            <v>475</v>
          </cell>
          <cell r="C376">
            <v>0</v>
          </cell>
        </row>
        <row r="377">
          <cell r="A377">
            <v>476</v>
          </cell>
          <cell r="C377">
            <v>0</v>
          </cell>
        </row>
        <row r="378">
          <cell r="A378">
            <v>477</v>
          </cell>
          <cell r="C378">
            <v>0</v>
          </cell>
        </row>
        <row r="379">
          <cell r="A379">
            <v>478</v>
          </cell>
          <cell r="C379">
            <v>0</v>
          </cell>
        </row>
        <row r="380">
          <cell r="A380">
            <v>479</v>
          </cell>
          <cell r="C380">
            <v>0</v>
          </cell>
        </row>
        <row r="381">
          <cell r="A381">
            <v>480</v>
          </cell>
          <cell r="C381">
            <v>0</v>
          </cell>
        </row>
        <row r="382">
          <cell r="A382">
            <v>481</v>
          </cell>
          <cell r="C382">
            <v>0</v>
          </cell>
        </row>
        <row r="383">
          <cell r="A383">
            <v>482</v>
          </cell>
          <cell r="C383">
            <v>0</v>
          </cell>
        </row>
        <row r="384">
          <cell r="A384">
            <v>483</v>
          </cell>
          <cell r="C384">
            <v>0</v>
          </cell>
        </row>
        <row r="385">
          <cell r="A385">
            <v>484</v>
          </cell>
          <cell r="C385">
            <v>0</v>
          </cell>
        </row>
        <row r="386">
          <cell r="A386">
            <v>485</v>
          </cell>
          <cell r="C386">
            <v>0</v>
          </cell>
        </row>
        <row r="387">
          <cell r="A387">
            <v>486</v>
          </cell>
          <cell r="C387">
            <v>0</v>
          </cell>
        </row>
        <row r="388">
          <cell r="A388">
            <v>487</v>
          </cell>
          <cell r="C388">
            <v>0</v>
          </cell>
        </row>
        <row r="389">
          <cell r="A389">
            <v>488</v>
          </cell>
          <cell r="C389">
            <v>0</v>
          </cell>
        </row>
        <row r="390">
          <cell r="A390">
            <v>489</v>
          </cell>
          <cell r="C390">
            <v>0</v>
          </cell>
        </row>
        <row r="391">
          <cell r="A391">
            <v>490</v>
          </cell>
          <cell r="C391">
            <v>0</v>
          </cell>
        </row>
        <row r="392">
          <cell r="A392">
            <v>491</v>
          </cell>
          <cell r="C392">
            <v>0</v>
          </cell>
        </row>
        <row r="393">
          <cell r="A393">
            <v>492</v>
          </cell>
          <cell r="C393">
            <v>0</v>
          </cell>
        </row>
        <row r="394">
          <cell r="A394">
            <v>493</v>
          </cell>
          <cell r="C394">
            <v>0</v>
          </cell>
        </row>
        <row r="395">
          <cell r="A395">
            <v>494</v>
          </cell>
          <cell r="C395">
            <v>0</v>
          </cell>
        </row>
        <row r="396">
          <cell r="A396">
            <v>495</v>
          </cell>
          <cell r="C396">
            <v>0</v>
          </cell>
        </row>
        <row r="397">
          <cell r="A397">
            <v>496</v>
          </cell>
          <cell r="C397">
            <v>0</v>
          </cell>
        </row>
        <row r="398">
          <cell r="A398">
            <v>497</v>
          </cell>
          <cell r="C398">
            <v>0</v>
          </cell>
        </row>
        <row r="399">
          <cell r="A399">
            <v>498</v>
          </cell>
          <cell r="C399">
            <v>0</v>
          </cell>
        </row>
        <row r="400">
          <cell r="A400">
            <v>499</v>
          </cell>
          <cell r="C400">
            <v>0</v>
          </cell>
        </row>
        <row r="401">
          <cell r="A401">
            <v>500</v>
          </cell>
          <cell r="B401" t="str">
            <v>A. I .U</v>
          </cell>
          <cell r="C401">
            <v>0.25</v>
          </cell>
        </row>
        <row r="402">
          <cell r="A402">
            <v>501</v>
          </cell>
          <cell r="B402" t="str">
            <v>Interventoría</v>
          </cell>
          <cell r="C402">
            <v>0.08</v>
          </cell>
        </row>
        <row r="403">
          <cell r="A403">
            <v>502</v>
          </cell>
          <cell r="B403" t="str">
            <v>Prestaciones Sociales de los Trabajadores</v>
          </cell>
          <cell r="C403">
            <v>0.25</v>
          </cell>
        </row>
        <row r="404">
          <cell r="A404">
            <v>503</v>
          </cell>
          <cell r="B404" t="str">
            <v>Desperdicio materiales</v>
          </cell>
          <cell r="C404">
            <v>0.05</v>
          </cell>
        </row>
        <row r="405">
          <cell r="A405">
            <v>504</v>
          </cell>
          <cell r="B405" t="str">
            <v>Estudios y diseños</v>
          </cell>
          <cell r="C405">
            <v>0.1</v>
          </cell>
        </row>
        <row r="406">
          <cell r="A406">
            <v>505</v>
          </cell>
          <cell r="B406" t="str">
            <v>Administración Mano de Obra O.N.G.</v>
          </cell>
          <cell r="C406">
            <v>0.06</v>
          </cell>
        </row>
        <row r="407">
          <cell r="A407">
            <v>506</v>
          </cell>
          <cell r="B407" t="str">
            <v>Administración Materiales O.N.G.</v>
          </cell>
          <cell r="C407">
            <v>0.04</v>
          </cell>
        </row>
        <row r="408">
          <cell r="A408">
            <v>507</v>
          </cell>
          <cell r="B408" t="str">
            <v>Administración de aportes en especie del municipio</v>
          </cell>
          <cell r="C408">
            <v>0.04</v>
          </cell>
        </row>
        <row r="409">
          <cell r="A409">
            <v>508</v>
          </cell>
        </row>
        <row r="410">
          <cell r="A410">
            <v>509</v>
          </cell>
        </row>
        <row r="411">
          <cell r="A411">
            <v>510</v>
          </cell>
          <cell r="B411" t="str">
            <v>Total Costos Indirectos según presupuesto</v>
          </cell>
          <cell r="C411">
            <v>0.23771416420831784</v>
          </cell>
        </row>
        <row r="412">
          <cell r="A412">
            <v>511</v>
          </cell>
        </row>
        <row r="413">
          <cell r="A413">
            <v>512</v>
          </cell>
        </row>
        <row r="414">
          <cell r="A414">
            <v>513</v>
          </cell>
        </row>
        <row r="415">
          <cell r="A415">
            <v>514</v>
          </cell>
        </row>
        <row r="416">
          <cell r="A416">
            <v>515</v>
          </cell>
        </row>
        <row r="417">
          <cell r="A417">
            <v>516</v>
          </cell>
        </row>
        <row r="418">
          <cell r="A418">
            <v>517</v>
          </cell>
        </row>
        <row r="419">
          <cell r="A419">
            <v>518</v>
          </cell>
        </row>
        <row r="420">
          <cell r="A420">
            <v>519</v>
          </cell>
        </row>
        <row r="421">
          <cell r="A421">
            <v>520</v>
          </cell>
        </row>
        <row r="422">
          <cell r="A422">
            <v>521</v>
          </cell>
        </row>
        <row r="423">
          <cell r="A423">
            <v>522</v>
          </cell>
        </row>
        <row r="424">
          <cell r="A424">
            <v>523</v>
          </cell>
        </row>
        <row r="425">
          <cell r="A425">
            <v>524</v>
          </cell>
        </row>
        <row r="426">
          <cell r="A426">
            <v>525</v>
          </cell>
        </row>
        <row r="427">
          <cell r="A427">
            <v>526</v>
          </cell>
        </row>
        <row r="428">
          <cell r="A428">
            <v>527</v>
          </cell>
        </row>
        <row r="429">
          <cell r="A429">
            <v>528</v>
          </cell>
        </row>
        <row r="430">
          <cell r="A430">
            <v>529</v>
          </cell>
        </row>
        <row r="431">
          <cell r="A431">
            <v>530</v>
          </cell>
        </row>
        <row r="432">
          <cell r="A432">
            <v>531</v>
          </cell>
        </row>
        <row r="433">
          <cell r="A433">
            <v>532</v>
          </cell>
        </row>
        <row r="434">
          <cell r="A434">
            <v>533</v>
          </cell>
        </row>
        <row r="435">
          <cell r="A435">
            <v>534</v>
          </cell>
        </row>
        <row r="436">
          <cell r="A436">
            <v>535</v>
          </cell>
        </row>
        <row r="437">
          <cell r="A437">
            <v>536</v>
          </cell>
        </row>
        <row r="438">
          <cell r="A438">
            <v>537</v>
          </cell>
        </row>
        <row r="439">
          <cell r="A439">
            <v>538</v>
          </cell>
        </row>
        <row r="440">
          <cell r="A440">
            <v>539</v>
          </cell>
        </row>
        <row r="441">
          <cell r="A441">
            <v>540</v>
          </cell>
        </row>
        <row r="442">
          <cell r="A442">
            <v>541</v>
          </cell>
        </row>
        <row r="443">
          <cell r="A443">
            <v>542</v>
          </cell>
        </row>
        <row r="444">
          <cell r="A444">
            <v>543</v>
          </cell>
        </row>
        <row r="445">
          <cell r="A445">
            <v>544</v>
          </cell>
        </row>
        <row r="446">
          <cell r="A446">
            <v>545</v>
          </cell>
        </row>
        <row r="447">
          <cell r="A447">
            <v>546</v>
          </cell>
        </row>
        <row r="448">
          <cell r="A448">
            <v>547</v>
          </cell>
        </row>
        <row r="449">
          <cell r="A449">
            <v>548</v>
          </cell>
        </row>
        <row r="450">
          <cell r="A450">
            <v>549</v>
          </cell>
        </row>
        <row r="504">
          <cell r="A504" t="str">
            <v>OTROS</v>
          </cell>
          <cell r="B504" t="str">
            <v>Distancia Puente 1</v>
          </cell>
          <cell r="C504">
            <v>62</v>
          </cell>
        </row>
        <row r="505">
          <cell r="A505" t="str">
            <v>DATOS</v>
          </cell>
          <cell r="B505" t="str">
            <v>Distancia Puente 2</v>
          </cell>
          <cell r="C505">
            <v>70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e Datos"/>
      <sheetName val="Presupuesto"/>
      <sheetName val="Localizacion"/>
      <sheetName val="Excavacion"/>
      <sheetName val="Mampost"/>
      <sheetName val="Pint pañete"/>
      <sheetName val="Relleno"/>
      <sheetName val="Ventanas"/>
      <sheetName val="reja seguridad"/>
      <sheetName val="Acero"/>
      <sheetName val="C 3000"/>
      <sheetName val="C 2500"/>
      <sheetName val="C1500"/>
      <sheetName val="Mortero 1-3"/>
      <sheetName val="Mortero 1-4"/>
      <sheetName val="Solado 1500"/>
      <sheetName val="V C 0.4x0.4"/>
      <sheetName val="Col1"/>
      <sheetName val="V aerea"/>
      <sheetName val="Meson"/>
      <sheetName val="Zapatas"/>
      <sheetName val="Antepiso"/>
      <sheetName val="Mortero niv"/>
      <sheetName val="Ench piso"/>
      <sheetName val="Guardaescoba"/>
      <sheetName val="S Monof"/>
      <sheetName val="Fluoresc"/>
      <sheetName val="ACOMETIDA"/>
      <sheetName val="Toma C"/>
      <sheetName val="Puerta"/>
      <sheetName val="canales"/>
      <sheetName val="bajante agua lluvia"/>
      <sheetName val="Cubierta"/>
      <sheetName val="punto agua"/>
      <sheetName val="tuberia"/>
      <sheetName val="lavaplatos"/>
      <sheetName val="friso"/>
      <sheetName val="Pintura"/>
      <sheetName val="Bajante"/>
      <sheetName val="canal"/>
      <sheetName val="Aseo"/>
      <sheetName val="Fab. puerta"/>
      <sheetName val="Fab. Vent"/>
      <sheetName val="Telef"/>
      <sheetName val="Hoja1"/>
    </sheetNames>
    <sheetDataSet>
      <sheetData sheetId="0" refreshError="1">
        <row r="14">
          <cell r="B14" t="str">
            <v>Andamio Tubular</v>
          </cell>
          <cell r="C14" t="str">
            <v>Dia</v>
          </cell>
          <cell r="D14">
            <v>950</v>
          </cell>
        </row>
        <row r="15">
          <cell r="B15" t="str">
            <v>Bulldozer D-6 Caterpillar</v>
          </cell>
          <cell r="C15" t="str">
            <v>Hora</v>
          </cell>
          <cell r="D15">
            <v>80000</v>
          </cell>
        </row>
        <row r="16">
          <cell r="B16" t="str">
            <v>Campamento</v>
          </cell>
          <cell r="C16" t="str">
            <v>Glb</v>
          </cell>
          <cell r="D16">
            <v>250000</v>
          </cell>
        </row>
        <row r="17">
          <cell r="B17" t="str">
            <v>Cargador 0.50 M3 sobre llantas</v>
          </cell>
          <cell r="C17" t="str">
            <v>Hora</v>
          </cell>
          <cell r="D17">
            <v>80000</v>
          </cell>
        </row>
        <row r="18">
          <cell r="B18" t="str">
            <v>Equipo de soldadura</v>
          </cell>
          <cell r="C18" t="str">
            <v>Dia</v>
          </cell>
          <cell r="D18">
            <v>50000</v>
          </cell>
        </row>
        <row r="19">
          <cell r="B19" t="str">
            <v>Equipo de Topografia</v>
          </cell>
          <cell r="C19" t="str">
            <v>Dia</v>
          </cell>
          <cell r="D19">
            <v>70000</v>
          </cell>
        </row>
        <row r="20">
          <cell r="B20" t="str">
            <v>Formaleta</v>
          </cell>
          <cell r="C20" t="str">
            <v>Hora</v>
          </cell>
          <cell r="D20">
            <v>2850</v>
          </cell>
        </row>
        <row r="21">
          <cell r="B21" t="str">
            <v>Herramienta Electrica</v>
          </cell>
          <cell r="C21" t="str">
            <v>Hora</v>
          </cell>
          <cell r="D21">
            <v>1200</v>
          </cell>
        </row>
        <row r="22">
          <cell r="B22" t="str">
            <v>Herramienta Menor</v>
          </cell>
          <cell r="C22" t="str">
            <v>Hora</v>
          </cell>
          <cell r="D22">
            <v>1000</v>
          </cell>
        </row>
        <row r="23">
          <cell r="B23" t="str">
            <v>Mezcladora</v>
          </cell>
          <cell r="C23" t="str">
            <v>Hora</v>
          </cell>
          <cell r="D23">
            <v>9500</v>
          </cell>
        </row>
        <row r="24">
          <cell r="B24" t="str">
            <v>Microbús</v>
          </cell>
          <cell r="C24" t="str">
            <v>Hora</v>
          </cell>
          <cell r="D24">
            <v>20000</v>
          </cell>
        </row>
        <row r="25">
          <cell r="B25" t="str">
            <v xml:space="preserve">Vehículo </v>
          </cell>
          <cell r="C25" t="str">
            <v>Hora</v>
          </cell>
          <cell r="D25">
            <v>12000</v>
          </cell>
        </row>
        <row r="26">
          <cell r="B26" t="str">
            <v>Vibrador a gasolina</v>
          </cell>
          <cell r="C26" t="str">
            <v>Hora</v>
          </cell>
          <cell r="D26">
            <v>7000</v>
          </cell>
        </row>
        <row r="27">
          <cell r="B27" t="str">
            <v>Vibrocompactador Manual</v>
          </cell>
          <cell r="C27" t="str">
            <v>Hora</v>
          </cell>
          <cell r="D27">
            <v>10000</v>
          </cell>
        </row>
        <row r="28">
          <cell r="B28" t="str">
            <v>Volqueta de 6 m3</v>
          </cell>
          <cell r="C28" t="str">
            <v>Hora</v>
          </cell>
          <cell r="D28">
            <v>45000</v>
          </cell>
        </row>
        <row r="36">
          <cell r="B36" t="str">
            <v>Auxiliar Laboratorista</v>
          </cell>
        </row>
        <row r="37">
          <cell r="B37" t="str">
            <v>Ayudante</v>
          </cell>
        </row>
        <row r="38">
          <cell r="B38" t="str">
            <v>Cuadrilla 2 ayudantes</v>
          </cell>
        </row>
        <row r="39">
          <cell r="B39" t="str">
            <v>Cuadrilla 4 Ayudantes</v>
          </cell>
        </row>
        <row r="40">
          <cell r="B40" t="str">
            <v>Cadenero 1</v>
          </cell>
        </row>
        <row r="41">
          <cell r="B41" t="str">
            <v>Cadenero 2</v>
          </cell>
        </row>
        <row r="42">
          <cell r="B42" t="str">
            <v>Conductor</v>
          </cell>
        </row>
        <row r="43">
          <cell r="B43" t="str">
            <v>Contador</v>
          </cell>
        </row>
        <row r="44">
          <cell r="B44" t="str">
            <v>Electricista</v>
          </cell>
        </row>
        <row r="45">
          <cell r="B45" t="str">
            <v>Ingeniero Auxiliar</v>
          </cell>
        </row>
        <row r="46">
          <cell r="B46" t="str">
            <v>Ingeniero Director de Obra</v>
          </cell>
        </row>
        <row r="47">
          <cell r="B47" t="str">
            <v>Ingeniero Residente</v>
          </cell>
        </row>
        <row r="48">
          <cell r="B48" t="str">
            <v>Inspector de Obra</v>
          </cell>
        </row>
        <row r="49">
          <cell r="B49" t="str">
            <v>Laboratorista</v>
          </cell>
        </row>
        <row r="50">
          <cell r="B50" t="str">
            <v>Maestro</v>
          </cell>
        </row>
        <row r="51">
          <cell r="B51" t="str">
            <v>Oficial</v>
          </cell>
        </row>
        <row r="52">
          <cell r="B52" t="str">
            <v>Soldador</v>
          </cell>
        </row>
        <row r="53">
          <cell r="B53" t="str">
            <v>Secretaria</v>
          </cell>
        </row>
        <row r="54">
          <cell r="B54" t="str">
            <v>Topógrafo</v>
          </cell>
        </row>
        <row r="55">
          <cell r="B55" t="str">
            <v>Vigilante</v>
          </cell>
        </row>
        <row r="61">
          <cell r="B61" t="str">
            <v>Accesorios Canaleta</v>
          </cell>
        </row>
        <row r="62">
          <cell r="B62" t="str">
            <v>Accesorios Lavaplatos ( Canastilla , sifón)</v>
          </cell>
        </row>
        <row r="63">
          <cell r="B63" t="str">
            <v>Accesorios PVC</v>
          </cell>
        </row>
        <row r="64">
          <cell r="B64" t="str">
            <v>Acero de Refuerzo de 60000 PSI (Figurado)</v>
          </cell>
        </row>
        <row r="65">
          <cell r="B65" t="str">
            <v>Acero Fy 60000 PSI</v>
          </cell>
        </row>
        <row r="66">
          <cell r="B66" t="str">
            <v>Adaptador PVC 1/2" Conduit</v>
          </cell>
        </row>
        <row r="67">
          <cell r="B67" t="str">
            <v>Agua</v>
          </cell>
        </row>
        <row r="68">
          <cell r="B68" t="str">
            <v>Alambre Aislado No.10 THHN-THWN 90 600W</v>
          </cell>
        </row>
        <row r="69">
          <cell r="B69" t="str">
            <v>Alambre Aislado No.12 THHN-THWN 90</v>
          </cell>
        </row>
        <row r="70">
          <cell r="B70" t="str">
            <v>Alambre Aislado No.14 THHN-THWN 90 600V</v>
          </cell>
        </row>
        <row r="71">
          <cell r="B71" t="str">
            <v>Alambre Negro Cal 18</v>
          </cell>
        </row>
        <row r="72">
          <cell r="B72" t="str">
            <v>Alambre Telefonico 2x18 procables</v>
          </cell>
        </row>
        <row r="73">
          <cell r="B73" t="str">
            <v>Angulo 1x1x1/8"</v>
          </cell>
        </row>
        <row r="74">
          <cell r="B74" t="str">
            <v>Angulo 3/4" x 1/8"</v>
          </cell>
        </row>
        <row r="75">
          <cell r="B75" t="str">
            <v>Anticorrosivo Rojo Pintuco ó Similar</v>
          </cell>
        </row>
        <row r="76">
          <cell r="B76" t="str">
            <v>Arena</v>
          </cell>
        </row>
        <row r="77">
          <cell r="B77" t="str">
            <v>Balasto 2x48</v>
          </cell>
        </row>
        <row r="78">
          <cell r="B78" t="str">
            <v>Bisagra Aluminio Exterior Exterior 3"</v>
          </cell>
        </row>
        <row r="79">
          <cell r="B79" t="str">
            <v>Bloque H-15</v>
          </cell>
        </row>
        <row r="80">
          <cell r="B80" t="str">
            <v>Bloque Nº 4</v>
          </cell>
        </row>
        <row r="81">
          <cell r="B81" t="str">
            <v>Boquillas COD ½ "+ TUERCA</v>
          </cell>
        </row>
        <row r="82">
          <cell r="B82" t="str">
            <v>Boquillas COD 1 "+ TUERCA</v>
          </cell>
        </row>
        <row r="83">
          <cell r="B83" t="str">
            <v>Caballete teja Ondulada Eternit</v>
          </cell>
        </row>
        <row r="84">
          <cell r="B84" t="str">
            <v>Caballete Termoacústico x 2 m</v>
          </cell>
        </row>
        <row r="85">
          <cell r="B85" t="str">
            <v xml:space="preserve">Cable Cobre desnudo Nº1/0 </v>
          </cell>
        </row>
        <row r="86">
          <cell r="B86" t="str">
            <v>Cable Dats UTP 4 pares</v>
          </cell>
        </row>
        <row r="87">
          <cell r="B87" t="str">
            <v>Caja 60X60X15 Paso</v>
          </cell>
        </row>
        <row r="88">
          <cell r="B88" t="str">
            <v>Caja Monofasica 4 circuitos</v>
          </cell>
        </row>
        <row r="89">
          <cell r="B89" t="str">
            <v>Caja para Toma de Red</v>
          </cell>
        </row>
        <row r="90">
          <cell r="B90" t="str">
            <v>CAJA SENCILLA  CONDUIT.</v>
          </cell>
        </row>
        <row r="91">
          <cell r="B91" t="str">
            <v>Canal Aguas Lluvias Lámina Galvanizada Cal 24</v>
          </cell>
        </row>
        <row r="92">
          <cell r="B92" t="str">
            <v>Canaleta Plástica 10x4</v>
          </cell>
        </row>
        <row r="93">
          <cell r="B93" t="str">
            <v>Caolin 25 Kilos</v>
          </cell>
        </row>
        <row r="94">
          <cell r="B94" t="str">
            <v>Cemento</v>
          </cell>
        </row>
        <row r="95">
          <cell r="B95" t="str">
            <v>Cemento Blanco</v>
          </cell>
        </row>
        <row r="96">
          <cell r="B96" t="str">
            <v>Ceramica Blanca 20x20</v>
          </cell>
        </row>
        <row r="97">
          <cell r="B97" t="str">
            <v xml:space="preserve">Cerradura de Sobreponer  Puerta Metálica </v>
          </cell>
        </row>
        <row r="98">
          <cell r="B98" t="str">
            <v>Codo  90° sanitario 2" PAVCO</v>
          </cell>
        </row>
        <row r="99">
          <cell r="B99" t="str">
            <v>Codo 45°  3" PVC</v>
          </cell>
        </row>
        <row r="100">
          <cell r="B100" t="str">
            <v>Codo 45° Presión 1" PVC</v>
          </cell>
        </row>
        <row r="101">
          <cell r="B101" t="str">
            <v>Codo 45° SANITARIO 4" PVC</v>
          </cell>
        </row>
        <row r="102">
          <cell r="B102" t="str">
            <v>Codo 45º Presión PVC 1/2"</v>
          </cell>
        </row>
        <row r="103">
          <cell r="B103" t="str">
            <v xml:space="preserve">Codo 90°  Sanitario f 4" P.V.C. </v>
          </cell>
        </row>
        <row r="104">
          <cell r="B104" t="str">
            <v>Codo 90° PRESION 1" PVC</v>
          </cell>
        </row>
        <row r="105">
          <cell r="B105" t="str">
            <v>Codo 90° PRESION 1½" PVC</v>
          </cell>
        </row>
        <row r="106">
          <cell r="B106" t="str">
            <v>Codo 90° PRESION 2" PVC</v>
          </cell>
        </row>
        <row r="107">
          <cell r="B107" t="str">
            <v>Codo 90º Presión PVC 3/4"</v>
          </cell>
        </row>
        <row r="108">
          <cell r="B108" t="str">
            <v xml:space="preserve">Concreto 1500 PSI </v>
          </cell>
        </row>
        <row r="109">
          <cell r="B109" t="str">
            <v xml:space="preserve">Concreto 2500 PSI </v>
          </cell>
        </row>
        <row r="110">
          <cell r="B110" t="str">
            <v>Concreto 3000 PSI</v>
          </cell>
        </row>
        <row r="111">
          <cell r="B111" t="str">
            <v>Conectores en Cobre</v>
          </cell>
        </row>
        <row r="112">
          <cell r="B112" t="str">
            <v>Conectores RJ45</v>
          </cell>
        </row>
        <row r="113">
          <cell r="B113" t="str">
            <v>Chazo 1/4"</v>
          </cell>
        </row>
        <row r="114">
          <cell r="B114" t="str">
            <v>Dilatación Plástica</v>
          </cell>
        </row>
        <row r="115">
          <cell r="B115" t="str">
            <v xml:space="preserve">DUCHA SENCILLA PRYSMA </v>
          </cell>
        </row>
        <row r="116">
          <cell r="B116" t="str">
            <v>Durmiente 4m x 0.04 x 0.04</v>
          </cell>
        </row>
        <row r="117">
          <cell r="B117" t="str">
            <v>Enchape Blanco Corona o similar</v>
          </cell>
        </row>
        <row r="118">
          <cell r="B118" t="str">
            <v>Enchape de Piso Blanco Corona o similar</v>
          </cell>
        </row>
        <row r="119">
          <cell r="B119" t="str">
            <v>Esmalte Pintuco ó Similar</v>
          </cell>
        </row>
        <row r="120">
          <cell r="B120" t="str">
            <v>Estuco</v>
          </cell>
        </row>
        <row r="121">
          <cell r="B121" t="str">
            <v>Gabinete Switch</v>
          </cell>
        </row>
        <row r="122">
          <cell r="B122" t="str">
            <v>Gancho Sujeción Canal</v>
          </cell>
        </row>
        <row r="123">
          <cell r="B123" t="str">
            <v>Gancho Teja Ondulada</v>
          </cell>
        </row>
        <row r="124">
          <cell r="B124" t="str">
            <v xml:space="preserve">Griferia Lavaplatos Mezclador </v>
          </cell>
        </row>
        <row r="125">
          <cell r="B125" t="str">
            <v>Hidrosolta</v>
          </cell>
        </row>
        <row r="126">
          <cell r="B126" t="str">
            <v>Impermeabilizante Plastocrete DM 20</v>
          </cell>
        </row>
        <row r="127">
          <cell r="B127" t="str">
            <v>Incrustacionesen porcelana para baño</v>
          </cell>
        </row>
        <row r="128">
          <cell r="B128" t="str">
            <v>INTERRUPTOR DOBLE 600 AVE</v>
          </cell>
        </row>
        <row r="129">
          <cell r="B129" t="str">
            <v>Interruptor Sencillo</v>
          </cell>
        </row>
        <row r="130">
          <cell r="B130" t="str">
            <v>JUEGO INCRUSTACIONES ASTRO 6 PIEZAS</v>
          </cell>
        </row>
        <row r="131">
          <cell r="B131" t="str">
            <v>Ladrillo a la Vista</v>
          </cell>
        </row>
        <row r="132">
          <cell r="B132" t="str">
            <v>Ladrillo H-10</v>
          </cell>
        </row>
        <row r="133">
          <cell r="B133" t="str">
            <v>Ladrillo Prensado</v>
          </cell>
        </row>
        <row r="134">
          <cell r="B134" t="str">
            <v>Ladrillo Rustico a la Vista</v>
          </cell>
        </row>
        <row r="135">
          <cell r="B135" t="str">
            <v>Ladrillo T1</v>
          </cell>
        </row>
        <row r="136">
          <cell r="B136" t="str">
            <v>Lamina Cold Rolled Cal 18</v>
          </cell>
        </row>
        <row r="137">
          <cell r="B137" t="str">
            <v>Lamina Cold Rolled Cal 18( M2)</v>
          </cell>
        </row>
        <row r="138">
          <cell r="B138" t="str">
            <v>Lamina Galvanizada cal 22</v>
          </cell>
        </row>
        <row r="139">
          <cell r="B139" t="str">
            <v>Lampara Fluorescente 2x48</v>
          </cell>
        </row>
        <row r="140">
          <cell r="B140" t="str">
            <v>Lavamanos de una llave</v>
          </cell>
        </row>
        <row r="141">
          <cell r="B141" t="str">
            <v>Lavaplatos De Empotrar Acero Inoxidable 62X48cms</v>
          </cell>
        </row>
        <row r="142">
          <cell r="B142" t="str">
            <v>Lija</v>
          </cell>
        </row>
        <row r="143">
          <cell r="B143" t="str">
            <v>LIMPIADOR REMOVEDOR 760 Gr</v>
          </cell>
        </row>
        <row r="144">
          <cell r="B144" t="str">
            <v>Listón Ordinario 3x0.25x0.03</v>
          </cell>
        </row>
        <row r="145">
          <cell r="B145" t="str">
            <v xml:space="preserve">Malla Electrosoldada H-257 </v>
          </cell>
        </row>
        <row r="146">
          <cell r="B146" t="str">
            <v>Manija para ventana</v>
          </cell>
        </row>
        <row r="147">
          <cell r="B147" t="str">
            <v>Mortero 1:3</v>
          </cell>
        </row>
        <row r="148">
          <cell r="B148" t="str">
            <v>Mortero 1:4</v>
          </cell>
        </row>
        <row r="149">
          <cell r="B149" t="str">
            <v>Orinal Mediano con Grifería</v>
          </cell>
        </row>
        <row r="150">
          <cell r="B150" t="str">
            <v xml:space="preserve">PEGACOR MAX BLANCO </v>
          </cell>
        </row>
        <row r="151">
          <cell r="B151" t="str">
            <v>PERFIL DE ALUMINIO</v>
          </cell>
        </row>
        <row r="152">
          <cell r="B152" t="str">
            <v>Perno Roscado 2"</v>
          </cell>
        </row>
        <row r="153">
          <cell r="B153" t="str">
            <v>Piedra Rajón</v>
          </cell>
        </row>
        <row r="154">
          <cell r="B154" t="str">
            <v>Pintura en Vinilo Tipo I</v>
          </cell>
        </row>
        <row r="155">
          <cell r="B155" t="str">
            <v>Pintura Esmalte Blanco Electrostático</v>
          </cell>
        </row>
        <row r="156">
          <cell r="B156" t="str">
            <v>Pintura Esmalte Blanco Electrostático</v>
          </cell>
        </row>
        <row r="157">
          <cell r="B157" t="str">
            <v>Pintura Koraza</v>
          </cell>
        </row>
        <row r="158">
          <cell r="B158" t="str">
            <v>Piso en Cerámica Tráfico Pesado 30X30 cms</v>
          </cell>
        </row>
        <row r="159">
          <cell r="B159" t="str">
            <v>Plug RJ-45</v>
          </cell>
        </row>
        <row r="160">
          <cell r="B160" t="str">
            <v>puerta reja en tubo cuadrado cal 3/4"</v>
          </cell>
        </row>
        <row r="161">
          <cell r="B161" t="str">
            <v>Puertas en Lámina Cal 18</v>
          </cell>
        </row>
        <row r="162">
          <cell r="B162" t="str">
            <v>Puertas en Lámina Cal 18 1.20 X2.0m</v>
          </cell>
        </row>
        <row r="163">
          <cell r="B163" t="str">
            <v xml:space="preserve">Puntilla 2" </v>
          </cell>
        </row>
        <row r="164">
          <cell r="B164" t="str">
            <v>Recebo/Material de sub base</v>
          </cell>
        </row>
        <row r="165">
          <cell r="B165" t="str">
            <v>Registro Paso 3/4"</v>
          </cell>
        </row>
        <row r="166">
          <cell r="B166" t="str">
            <v>REGISTRO PASO Dto. 1/2"</v>
          </cell>
        </row>
        <row r="167">
          <cell r="B167" t="str">
            <v>Reja Metálica Varilla f 10.5mm 5.50X3.30m</v>
          </cell>
        </row>
        <row r="168">
          <cell r="B168" t="str">
            <v>Reja Metálica, Tubo Cuadrado Lám Cal 20 de 1 1/2"</v>
          </cell>
        </row>
        <row r="169">
          <cell r="B169" t="str">
            <v>ROSETA (PLAFON)</v>
          </cell>
        </row>
        <row r="170">
          <cell r="B170" t="str">
            <v>Sanitario Acuacer Blanco</v>
          </cell>
        </row>
        <row r="171">
          <cell r="B171" t="str">
            <v>SOLDADURA PVC LIQUIDA ¼ Gl</v>
          </cell>
        </row>
        <row r="172">
          <cell r="B172" t="str">
            <v>Soldadura West Arco 7018</v>
          </cell>
        </row>
        <row r="173">
          <cell r="B173" t="str">
            <v>Soldadura y Limpiador</v>
          </cell>
        </row>
        <row r="174">
          <cell r="B174" t="str">
            <v>Switch de 16 Puertos</v>
          </cell>
        </row>
        <row r="175">
          <cell r="B175" t="str">
            <v>Tabla Chapa 0.30x0.25x3</v>
          </cell>
        </row>
        <row r="176">
          <cell r="B176" t="str">
            <v>Tableta Alfa</v>
          </cell>
        </row>
        <row r="177">
          <cell r="B177" t="str">
            <v>Taco 30A Enchifable</v>
          </cell>
        </row>
        <row r="178">
          <cell r="B178" t="str">
            <v>Tanque Ecoplast 500 Lts</v>
          </cell>
        </row>
        <row r="179">
          <cell r="B179" t="str">
            <v>Tee PVC 3/4"</v>
          </cell>
        </row>
        <row r="180">
          <cell r="B180" t="str">
            <v>Teflón</v>
          </cell>
        </row>
        <row r="181">
          <cell r="B181" t="str">
            <v>Teja Eternit</v>
          </cell>
        </row>
        <row r="182">
          <cell r="B182" t="str">
            <v>TEJA ETERNIT BARROCA No. 4 COLOR</v>
          </cell>
        </row>
        <row r="183">
          <cell r="B183" t="str">
            <v>Teja Termoacústica A360 ó Similar</v>
          </cell>
        </row>
        <row r="184">
          <cell r="B184" t="str">
            <v>Teja termoacústica trapezoidal</v>
          </cell>
        </row>
        <row r="185">
          <cell r="B185" t="str">
            <v>Toma RJ45 Transm. Datos</v>
          </cell>
        </row>
        <row r="186">
          <cell r="B186" t="str">
            <v>Toma Telefonico</v>
          </cell>
        </row>
        <row r="187">
          <cell r="B187" t="str">
            <v>Tomacorriente Doble</v>
          </cell>
        </row>
        <row r="188">
          <cell r="B188" t="str">
            <v>Tornillo fijacion Cubierta</v>
          </cell>
        </row>
        <row r="189">
          <cell r="B189" t="str">
            <v>Tornillo Goloso 4 x 1/4</v>
          </cell>
        </row>
        <row r="190">
          <cell r="B190" t="str">
            <v>Triturado 3/4"</v>
          </cell>
        </row>
        <row r="191">
          <cell r="B191" t="str">
            <v>Tuberia D=10" HF</v>
          </cell>
        </row>
        <row r="192">
          <cell r="B192" t="str">
            <v>Tuberia D=10" PVC RDE 41"</v>
          </cell>
        </row>
        <row r="193">
          <cell r="B193" t="str">
            <v>Tuberia D=3" PVC RDE 21"</v>
          </cell>
        </row>
        <row r="194">
          <cell r="B194" t="str">
            <v>Tuberia D=3" PVC RDE 41"</v>
          </cell>
        </row>
        <row r="195">
          <cell r="B195" t="str">
            <v>Tuberia D=4" PVC RDE 21"</v>
          </cell>
        </row>
        <row r="196">
          <cell r="B196" t="str">
            <v>Tuberia D=4" PVC RDE 41"</v>
          </cell>
        </row>
        <row r="197">
          <cell r="B197" t="str">
            <v>Tuberia D=6" PVC RDE 21"</v>
          </cell>
        </row>
        <row r="198">
          <cell r="B198" t="str">
            <v>Tuberia D=8" PVC RDE 41"</v>
          </cell>
        </row>
        <row r="199">
          <cell r="B199" t="str">
            <v>Tubería P.V.C. Aguas Lluvias f 4 pulgadas</v>
          </cell>
        </row>
        <row r="200">
          <cell r="B200" t="str">
            <v>Tuberia Presión  ½" PVC RDE 13.5</v>
          </cell>
        </row>
        <row r="201">
          <cell r="B201" t="str">
            <v>TUBO 3" PVC ALL</v>
          </cell>
        </row>
        <row r="202">
          <cell r="B202" t="str">
            <v>Tubo Conduit EMT 1"</v>
          </cell>
        </row>
        <row r="203">
          <cell r="B203" t="str">
            <v>Tubo Conduit EMT 1/2"</v>
          </cell>
        </row>
        <row r="204">
          <cell r="B204" t="str">
            <v>Tubo Fluorescente 48W</v>
          </cell>
        </row>
        <row r="205">
          <cell r="B205" t="str">
            <v>TUBO PRESION 1" PVC RDE 13.5</v>
          </cell>
        </row>
        <row r="206">
          <cell r="B206" t="str">
            <v>TUBO PRESION 1½" PVC</v>
          </cell>
        </row>
        <row r="207">
          <cell r="B207" t="str">
            <v>TUBO PRESION 3/4" PVC</v>
          </cell>
        </row>
        <row r="208">
          <cell r="B208" t="str">
            <v>TUBO PRESION 3/4" PVC RDE 11</v>
          </cell>
        </row>
        <row r="209">
          <cell r="B209" t="str">
            <v>Tubo Rectangular 3"x1.5"</v>
          </cell>
        </row>
        <row r="210">
          <cell r="B210" t="str">
            <v>TUBO SANITARIO 2" PVC</v>
          </cell>
        </row>
        <row r="211">
          <cell r="B211" t="str">
            <v>TUBO SANITARIO 4" PVC</v>
          </cell>
        </row>
        <row r="212">
          <cell r="B212" t="str">
            <v>TUBO SANITARIO 6" PVC</v>
          </cell>
        </row>
        <row r="213">
          <cell r="B213" t="str">
            <v>Unión  P.V.C Sanitaria f  4"</v>
          </cell>
        </row>
        <row r="214">
          <cell r="B214" t="str">
            <v>Unión Conduit EMT 1/2"</v>
          </cell>
        </row>
        <row r="215">
          <cell r="B215" t="str">
            <v>Unión Sanitaria 6"</v>
          </cell>
        </row>
        <row r="216">
          <cell r="B216" t="str">
            <v>VALVULA H.F. DE 3" COMPUERTA VASTAGO NO ASCENDENTE ELAST.</v>
          </cell>
        </row>
        <row r="217">
          <cell r="B217" t="str">
            <v>Válvula P/agua Cierre rápido 1"</v>
          </cell>
        </row>
        <row r="218">
          <cell r="B218" t="str">
            <v>Válvula para PVC 10"</v>
          </cell>
        </row>
        <row r="219">
          <cell r="B219" t="str">
            <v>Válvula para PVC 4"</v>
          </cell>
        </row>
        <row r="220">
          <cell r="B220" t="str">
            <v>Válvula para PVC 6"</v>
          </cell>
        </row>
        <row r="221">
          <cell r="B221" t="str">
            <v>Válvula para PVC 8"</v>
          </cell>
        </row>
        <row r="222">
          <cell r="B222" t="str">
            <v>Varilla   1/2 X 60.000 X 6 MTS</v>
          </cell>
        </row>
        <row r="223">
          <cell r="B223" t="str">
            <v>Varilla   3/8 X 60.000 X 6 MTS</v>
          </cell>
        </row>
        <row r="224">
          <cell r="B224" t="str">
            <v>Varilla   5/8 X 60.000 X 6 MTS</v>
          </cell>
        </row>
        <row r="225">
          <cell r="B225" t="str">
            <v xml:space="preserve">Varilla Cooper Well 5/8"x2.40m Cobre </v>
          </cell>
        </row>
        <row r="226">
          <cell r="B226" t="str">
            <v>Ventanas en Lámina Cal 18</v>
          </cell>
        </row>
        <row r="227">
          <cell r="B227" t="str">
            <v>Ventanas Marco de Aluminio</v>
          </cell>
        </row>
        <row r="228">
          <cell r="B228" t="str">
            <v>Vidrio plano liso 4mm</v>
          </cell>
        </row>
        <row r="229">
          <cell r="B229" t="str">
            <v>Viga de Madera</v>
          </cell>
        </row>
        <row r="230">
          <cell r="B230" t="str">
            <v>Viniltex</v>
          </cell>
        </row>
        <row r="231">
          <cell r="B231" t="str">
            <v>YEE SANITARIA PVC 2"</v>
          </cell>
        </row>
        <row r="232">
          <cell r="B232" t="str">
            <v>YEE SANITARIA PVC RED 6"-4"</v>
          </cell>
        </row>
        <row r="233">
          <cell r="B233" t="str">
            <v>Yeso x25 Kg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-Indice"/>
      <sheetName val="PE-01"/>
      <sheetName val="PE-02"/>
      <sheetName val="PE-03"/>
      <sheetName val="PE-04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PE-17"/>
      <sheetName val="PE-18"/>
      <sheetName val="PE-19"/>
      <sheetName val="PE-20"/>
      <sheetName val="PE-21"/>
      <sheetName val="PE-22"/>
      <sheetName val="PE-23"/>
      <sheetName val="PE-24"/>
      <sheetName val="PE-25"/>
      <sheetName val="PE-26"/>
      <sheetName val="Entidades Financiadoras"/>
      <sheetName val="Control"/>
      <sheetName val="preinversion"/>
      <sheetName val="ejecucion"/>
      <sheetName val="mantenimiento"/>
      <sheetName val="Listad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>
        <row r="2">
          <cell r="AH2" t="str">
            <v>Beneficios Ambientales</v>
          </cell>
          <cell r="AI2" t="str">
            <v>ampere</v>
          </cell>
        </row>
        <row r="3">
          <cell r="AH3" t="str">
            <v>Otros Beneficios</v>
          </cell>
          <cell r="AI3" t="str">
            <v>ampere sobre metro</v>
          </cell>
        </row>
        <row r="4">
          <cell r="AI4" t="str">
            <v>año</v>
          </cell>
        </row>
        <row r="5">
          <cell r="AI5" t="str">
            <v>bytes sobre segundo</v>
          </cell>
        </row>
        <row r="6">
          <cell r="AI6" t="str">
            <v>candela</v>
          </cell>
        </row>
        <row r="7">
          <cell r="AI7" t="str">
            <v>candela sobre metro cuadrado</v>
          </cell>
        </row>
        <row r="8">
          <cell r="AI8" t="str">
            <v>coulomb</v>
          </cell>
        </row>
        <row r="9">
          <cell r="AI9" t="str">
            <v>día</v>
          </cell>
        </row>
        <row r="10">
          <cell r="AI10" t="str">
            <v>esterradián</v>
          </cell>
        </row>
        <row r="11">
          <cell r="AI11" t="str">
            <v>farad</v>
          </cell>
        </row>
        <row r="12">
          <cell r="AI12" t="str">
            <v>grado</v>
          </cell>
        </row>
        <row r="13">
          <cell r="AI13" t="str">
            <v>hectárea</v>
          </cell>
        </row>
        <row r="14">
          <cell r="AI14" t="str">
            <v>henrio</v>
          </cell>
        </row>
        <row r="15">
          <cell r="AI15" t="str">
            <v>hertz</v>
          </cell>
        </row>
        <row r="16">
          <cell r="AI16" t="str">
            <v>hora</v>
          </cell>
        </row>
        <row r="17">
          <cell r="AI17" t="str">
            <v>Joule</v>
          </cell>
        </row>
        <row r="18">
          <cell r="AI18" t="str">
            <v>joule sobre Kelvin</v>
          </cell>
        </row>
        <row r="19">
          <cell r="AI19" t="str">
            <v>joule sobre kilogramo Kelvin</v>
          </cell>
        </row>
        <row r="20">
          <cell r="AI20" t="str">
            <v>kelvin</v>
          </cell>
        </row>
        <row r="21">
          <cell r="AI21" t="str">
            <v>kilogramo</v>
          </cell>
        </row>
        <row r="22">
          <cell r="AI22" t="str">
            <v>kilogramo entre metro cúbico</v>
          </cell>
        </row>
        <row r="23">
          <cell r="AI23" t="str">
            <v>kilometro</v>
          </cell>
        </row>
        <row r="24">
          <cell r="AI24" t="str">
            <v>kilometro sobre hora</v>
          </cell>
        </row>
        <row r="25">
          <cell r="AI25" t="str">
            <v>kilometro Cuadrado</v>
          </cell>
        </row>
        <row r="26">
          <cell r="AI26" t="str">
            <v>kilowatt</v>
          </cell>
        </row>
        <row r="27">
          <cell r="AI27" t="str">
            <v>kilowatthora</v>
          </cell>
        </row>
        <row r="28">
          <cell r="AI28" t="str">
            <v>litro</v>
          </cell>
        </row>
        <row r="29">
          <cell r="AI29" t="str">
            <v>lumen</v>
          </cell>
        </row>
        <row r="30">
          <cell r="AI30" t="str">
            <v>lux</v>
          </cell>
        </row>
        <row r="31">
          <cell r="AI31" t="str">
            <v>metro</v>
          </cell>
        </row>
        <row r="32">
          <cell r="AI32" t="str">
            <v>metro a la menos uno </v>
          </cell>
        </row>
        <row r="33">
          <cell r="AI33" t="str">
            <v>metro cuadrado</v>
          </cell>
        </row>
        <row r="34">
          <cell r="AI34" t="str">
            <v>metro cuadrado sobre segundo</v>
          </cell>
        </row>
        <row r="35">
          <cell r="AI35" t="str">
            <v>metro cúbico</v>
          </cell>
        </row>
        <row r="36">
          <cell r="AI36" t="str">
            <v>metro sobre segundo</v>
          </cell>
        </row>
        <row r="37">
          <cell r="AI37" t="str">
            <v>metro sobre segundo al cuadrado</v>
          </cell>
        </row>
        <row r="38">
          <cell r="AI38" t="str">
            <v>mes</v>
          </cell>
        </row>
        <row r="39">
          <cell r="AI39" t="str">
            <v>minuto</v>
          </cell>
        </row>
        <row r="40">
          <cell r="AI40" t="str">
            <v>ml</v>
          </cell>
        </row>
        <row r="41">
          <cell r="AI41" t="str">
            <v>mol</v>
          </cell>
        </row>
        <row r="42">
          <cell r="AI42" t="str">
            <v>Mw</v>
          </cell>
        </row>
        <row r="43">
          <cell r="AI43" t="str">
            <v>newton</v>
          </cell>
        </row>
        <row r="44">
          <cell r="AI44" t="str">
            <v>newton-segundo sobre metro cuadrado</v>
          </cell>
        </row>
        <row r="45">
          <cell r="AI45" t="str">
            <v>número</v>
          </cell>
        </row>
        <row r="46">
          <cell r="AI46" t="str">
            <v>ohm</v>
          </cell>
        </row>
        <row r="47">
          <cell r="AI47" t="str">
            <v>Pacientes sobre día</v>
          </cell>
        </row>
        <row r="48">
          <cell r="AI48" t="str">
            <v>pascal</v>
          </cell>
        </row>
        <row r="49">
          <cell r="AI49" t="str">
            <v>radián</v>
          </cell>
        </row>
        <row r="50">
          <cell r="AI50" t="str">
            <v>radián sobre segundo al cuadrado</v>
          </cell>
        </row>
        <row r="51">
          <cell r="AI51" t="str">
            <v>radián sobre segundo </v>
          </cell>
        </row>
        <row r="52">
          <cell r="AI52" t="str">
            <v>segundo</v>
          </cell>
        </row>
        <row r="53">
          <cell r="AI53" t="str">
            <v>siemens</v>
          </cell>
        </row>
        <row r="54">
          <cell r="AI54" t="str">
            <v>tesla </v>
          </cell>
        </row>
        <row r="55">
          <cell r="AI55" t="str">
            <v>tonelada</v>
          </cell>
        </row>
        <row r="56">
          <cell r="AI56" t="str">
            <v>volt</v>
          </cell>
        </row>
        <row r="57">
          <cell r="AI57" t="str">
            <v>volt sobre metro</v>
          </cell>
        </row>
        <row r="58">
          <cell r="AI58" t="str">
            <v>waner</v>
          </cell>
        </row>
        <row r="59">
          <cell r="AI59" t="str">
            <v>watt</v>
          </cell>
        </row>
        <row r="60">
          <cell r="AI60" t="str">
            <v>watt sobre estéreo-radián</v>
          </cell>
        </row>
        <row r="61">
          <cell r="AI61" t="str">
            <v>watt sobre metro Kelvin</v>
          </cell>
        </row>
      </sheetData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Analisis%20de%20Precios%20Unita"/>
      <sheetName val="INDICMICROEMP"/>
      <sheetName val="Análisis de precios"/>
      <sheetName val="Salarios"/>
      <sheetName val="Trans y Herra"/>
      <sheetName val="AMO"/>
      <sheetName val="Lp"/>
      <sheetName val="APU_PART1"/>
      <sheetName val="A__P__U_1"/>
      <sheetName val="Analisis_de_Precios_Unitarios_1"/>
      <sheetName val="APU_PART"/>
      <sheetName val="A__P__U_"/>
      <sheetName val="Analisis_de_Precios_Unitarios_A"/>
      <sheetName val="ESTADO RED"/>
      <sheetName val="CARRETERAS"/>
      <sheetName val="GENERALIDADES "/>
      <sheetName val="A_ P_ U_"/>
      <sheetName val="INDICE"/>
      <sheetName val="FLUJOS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>
        <row r="1">
          <cell r="A1" t="str">
            <v>MINISTERIO DEL TRANSPORTE</v>
          </cell>
        </row>
        <row r="2">
          <cell r="A2" t="str">
            <v>INSTITUTO NACIONAL DE VIAS</v>
          </cell>
        </row>
        <row r="3">
          <cell r="A3" t="str">
            <v>SUBDIRECCION RED NACIONAL DE CARRETERAS</v>
          </cell>
        </row>
        <row r="4">
          <cell r="A4" t="str">
            <v>TERRITORIAL MAGDALENA GRUPO 2</v>
          </cell>
        </row>
        <row r="5">
          <cell r="A5" t="str">
            <v>ANALISIS DE PRECIOS UNITARIOS FEBRERO DE 2011</v>
          </cell>
        </row>
        <row r="7">
          <cell r="A7" t="str">
            <v>ADMINISTRADOR VIAL: CONSORCIO INGEVIAS</v>
          </cell>
        </row>
        <row r="9">
          <cell r="A9" t="str">
            <v>ITEM</v>
          </cell>
          <cell r="B9" t="str">
            <v>DESCRIPCION</v>
          </cell>
          <cell r="C9" t="str">
            <v xml:space="preserve">UNIDAD </v>
          </cell>
          <cell r="D9" t="str">
            <v>COSTO TOTAL</v>
          </cell>
          <cell r="E9" t="str">
            <v>CODIGOS CUBS</v>
          </cell>
          <cell r="F9" t="str">
            <v>CODIGOS CUBS</v>
          </cell>
        </row>
        <row r="10">
          <cell r="A10" t="str">
            <v>200-07</v>
          </cell>
          <cell r="B10" t="str">
            <v>DESMONTE Y LIMPIEZA</v>
          </cell>
          <cell r="E10" t="str">
            <v>3.6.1.2.</v>
          </cell>
          <cell r="F10" t="e">
            <v>#N/A</v>
          </cell>
        </row>
        <row r="11">
          <cell r="A11" t="str">
            <v>200.1</v>
          </cell>
          <cell r="B11" t="str">
            <v xml:space="preserve">DESMONTE Y LIMPIEZA EN BOSQUE           </v>
          </cell>
          <cell r="C11" t="str">
            <v xml:space="preserve"> HA</v>
          </cell>
          <cell r="D11">
            <v>2321366</v>
          </cell>
          <cell r="F11" t="str">
            <v>3.6.1.2.1</v>
          </cell>
        </row>
        <row r="12">
          <cell r="A12" t="str">
            <v>200.2</v>
          </cell>
          <cell r="B12" t="str">
            <v xml:space="preserve">DESMONTE Y LIMPIEZA EN ZONAS NO BOSCOSAS           </v>
          </cell>
          <cell r="C12" t="str">
            <v xml:space="preserve"> HA</v>
          </cell>
          <cell r="D12">
            <v>523456</v>
          </cell>
          <cell r="F12" t="str">
            <v>3.6.1.2.3</v>
          </cell>
        </row>
        <row r="13">
          <cell r="A13" t="str">
            <v>201-07</v>
          </cell>
          <cell r="B13" t="str">
            <v>DEMOLICION Y REMOCION</v>
          </cell>
          <cell r="E13" t="str">
            <v>3.6.1.3.</v>
          </cell>
          <cell r="F13" t="e">
            <v>#N/A</v>
          </cell>
        </row>
        <row r="14">
          <cell r="A14" t="str">
            <v>201.1</v>
          </cell>
          <cell r="B14" t="str">
            <v>DEMOLICIÓN DE EDIFICACIONES.</v>
          </cell>
          <cell r="C14" t="str">
            <v>Gl</v>
          </cell>
          <cell r="D14" t="str">
            <v>?</v>
          </cell>
          <cell r="F14" t="str">
            <v>3.6.1.3.11</v>
          </cell>
        </row>
        <row r="15">
          <cell r="A15" t="str">
            <v>201.7</v>
          </cell>
          <cell r="B15" t="str">
            <v>DEMOLICION DE ESTRUCTURAS</v>
          </cell>
          <cell r="C15" t="str">
            <v>M³</v>
          </cell>
          <cell r="D15">
            <v>65804</v>
          </cell>
          <cell r="E15" t="str">
            <v>3.6.1.3.14.</v>
          </cell>
          <cell r="F15" t="str">
            <v xml:space="preserve">3.6.1.3.13  </v>
          </cell>
        </row>
        <row r="16">
          <cell r="A16" t="str">
            <v>201.8</v>
          </cell>
          <cell r="B16" t="str">
            <v xml:space="preserve">DEMOLICION DE PAVIMENTOS RIGIDOS.    </v>
          </cell>
          <cell r="C16" t="str">
            <v>M2</v>
          </cell>
          <cell r="D16">
            <v>17850</v>
          </cell>
          <cell r="E16" t="str">
            <v>3.6.1.3.16.</v>
          </cell>
          <cell r="F16" t="str">
            <v>3.6.1.3.15</v>
          </cell>
        </row>
        <row r="17">
          <cell r="A17" t="str">
            <v>201.9</v>
          </cell>
          <cell r="B17" t="str">
            <v xml:space="preserve">DEMOLICION PISOS Y ANDENES DE CONCRETO.  </v>
          </cell>
          <cell r="C17" t="str">
            <v>M2</v>
          </cell>
          <cell r="D17">
            <v>9591</v>
          </cell>
          <cell r="E17" t="str">
            <v>3.6.1.3.34.</v>
          </cell>
          <cell r="F17" t="str">
            <v>3.6.1.3.33</v>
          </cell>
        </row>
        <row r="18">
          <cell r="A18" t="str">
            <v>201.1</v>
          </cell>
          <cell r="B18" t="str">
            <v>DEMOLICION DE BORDILLOS DE CONCRETO</v>
          </cell>
          <cell r="C18" t="str">
            <v>ML</v>
          </cell>
          <cell r="D18">
            <v>1465</v>
          </cell>
          <cell r="E18" t="str">
            <v>3.6.1.3.36.</v>
          </cell>
          <cell r="F18" t="str">
            <v>3.6.1.3.11</v>
          </cell>
        </row>
        <row r="19">
          <cell r="A19" t="str">
            <v>201.11</v>
          </cell>
          <cell r="B19" t="str">
            <v xml:space="preserve">DESMONTAJE Y TRASLADO DE ESTRUCTURAS METALICAS. </v>
          </cell>
          <cell r="C19" t="str">
            <v>KG</v>
          </cell>
          <cell r="D19">
            <v>636</v>
          </cell>
          <cell r="E19" t="str">
            <v>3.6.1.3.40.</v>
          </cell>
          <cell r="F19" t="str">
            <v>3.6.1.3</v>
          </cell>
        </row>
        <row r="20">
          <cell r="A20" t="str">
            <v>201.12</v>
          </cell>
          <cell r="B20" t="str">
            <v xml:space="preserve">REMOCION DE ESPECIES VEGETALES    </v>
          </cell>
          <cell r="C20" t="str">
            <v>U</v>
          </cell>
          <cell r="D20">
            <v>210023</v>
          </cell>
          <cell r="E20" t="str">
            <v>3.6.1.3.47.</v>
          </cell>
          <cell r="F20" t="str">
            <v>3.6.1.3.47</v>
          </cell>
        </row>
        <row r="21">
          <cell r="A21" t="str">
            <v>201.13</v>
          </cell>
          <cell r="B21" t="str">
            <v>REMOCION DE OBSTACULOS</v>
          </cell>
          <cell r="C21" t="str">
            <v>U</v>
          </cell>
          <cell r="D21">
            <v>0</v>
          </cell>
          <cell r="F21" t="str">
            <v>3.6.1.3</v>
          </cell>
        </row>
        <row r="22">
          <cell r="A22" t="str">
            <v>201.14</v>
          </cell>
          <cell r="B22" t="str">
            <v xml:space="preserve">REMOCION DE DUCTOS DE SERVICIOS EXISTENTES </v>
          </cell>
          <cell r="C22" t="str">
            <v>ML</v>
          </cell>
          <cell r="D22">
            <v>10480</v>
          </cell>
          <cell r="E22" t="str">
            <v>3.6.1.3.9.</v>
          </cell>
          <cell r="F22" t="str">
            <v>3.6.1.3.9</v>
          </cell>
        </row>
        <row r="23">
          <cell r="A23" t="str">
            <v>201.15</v>
          </cell>
          <cell r="B23" t="str">
            <v>REMOCION DE ALCANTARILLAS</v>
          </cell>
          <cell r="C23" t="str">
            <v>ML</v>
          </cell>
          <cell r="D23">
            <v>20172</v>
          </cell>
          <cell r="F23" t="str">
            <v>3.6.1.3</v>
          </cell>
        </row>
        <row r="24">
          <cell r="A24" t="str">
            <v>201.16</v>
          </cell>
          <cell r="B24" t="str">
            <v xml:space="preserve">REMOCION DE CERCAS DE ALAMBRE       </v>
          </cell>
          <cell r="C24" t="str">
            <v>ML</v>
          </cell>
          <cell r="D24">
            <v>2315</v>
          </cell>
          <cell r="F24" t="str">
            <v>3.6.1.3</v>
          </cell>
        </row>
        <row r="25">
          <cell r="A25" t="str">
            <v>201.17</v>
          </cell>
          <cell r="B25" t="str">
            <v xml:space="preserve">REMOCION DE OBSTACULOS.   </v>
          </cell>
          <cell r="C25" t="str">
            <v>ML</v>
          </cell>
          <cell r="D25">
            <v>0</v>
          </cell>
          <cell r="F25" t="str">
            <v>3.6.1.3</v>
          </cell>
        </row>
        <row r="26">
          <cell r="A26" t="str">
            <v>201.18</v>
          </cell>
          <cell r="B26" t="str">
            <v xml:space="preserve">TRASLADO DE POSTES    </v>
          </cell>
          <cell r="C26" t="str">
            <v>U</v>
          </cell>
          <cell r="D26">
            <v>33108</v>
          </cell>
          <cell r="E26" t="str">
            <v>3.6.1.3.1.</v>
          </cell>
          <cell r="F26" t="str">
            <v>3.6.1.3.1</v>
          </cell>
        </row>
        <row r="27">
          <cell r="A27" t="str">
            <v>201.21</v>
          </cell>
          <cell r="B27" t="str">
            <v>REMOCION DE DEFENSAS METALICAS</v>
          </cell>
          <cell r="C27" t="str">
            <v>ML</v>
          </cell>
          <cell r="D27">
            <v>8569</v>
          </cell>
          <cell r="F27" t="str">
            <v>3.6.1.3</v>
          </cell>
        </row>
        <row r="28">
          <cell r="A28" t="str">
            <v>210-07</v>
          </cell>
          <cell r="B28" t="str">
            <v>EXCAVACION DE LA EXPLANACION, CANALES Y PRESTAMOS</v>
          </cell>
          <cell r="E28" t="str">
            <v>3.6.2.1.</v>
          </cell>
          <cell r="F28" t="e">
            <v>#N/A</v>
          </cell>
        </row>
        <row r="29">
          <cell r="A29" t="str">
            <v>210.1.1</v>
          </cell>
          <cell r="B29" t="str">
            <v>EXCAVACIÓN SIN CLASIFICAR DE LA EXPLANACIÓN, CANALES</v>
          </cell>
          <cell r="C29" t="str">
            <v>M³</v>
          </cell>
          <cell r="D29">
            <v>7110</v>
          </cell>
          <cell r="E29" t="str">
            <v>3.6.2.1.1.</v>
          </cell>
          <cell r="F29" t="str">
            <v xml:space="preserve">3.6.2.1.1 </v>
          </cell>
        </row>
        <row r="30">
          <cell r="A30" t="str">
            <v>210.1.2</v>
          </cell>
          <cell r="B30" t="str">
            <v xml:space="preserve">EXCAVACION SIN CLASIFICAR DE PRESTAMOS </v>
          </cell>
          <cell r="C30" t="str">
            <v>M³</v>
          </cell>
          <cell r="D30">
            <v>5333</v>
          </cell>
          <cell r="E30" t="str">
            <v>3.6.2.1.2</v>
          </cell>
          <cell r="F30" t="str">
            <v>3.6.2.1.3 </v>
          </cell>
        </row>
        <row r="31">
          <cell r="A31" t="str">
            <v>210.2.1</v>
          </cell>
          <cell r="B31" t="str">
            <v>EXCAVACION EN ROCA DE LA EXPLANACION Y CANALES</v>
          </cell>
          <cell r="C31" t="str">
            <v>M³</v>
          </cell>
          <cell r="D31">
            <v>34160</v>
          </cell>
          <cell r="E31" t="str">
            <v>3.6.2.1.3.</v>
          </cell>
          <cell r="F31" t="str">
            <v>3.6.2.1.3</v>
          </cell>
        </row>
        <row r="32">
          <cell r="A32" t="str">
            <v>210.2.3</v>
          </cell>
          <cell r="B32" t="str">
            <v xml:space="preserve">EXCAVACION EN ROCA DE PRESTAMOS  </v>
          </cell>
          <cell r="C32" t="str">
            <v>M³</v>
          </cell>
          <cell r="D32">
            <v>34899</v>
          </cell>
          <cell r="E32" t="str">
            <v>3.6.2.1.4.</v>
          </cell>
          <cell r="F32" t="str">
            <v>3.6.2.1.5</v>
          </cell>
        </row>
        <row r="33">
          <cell r="A33" t="str">
            <v>211-07</v>
          </cell>
          <cell r="B33" t="str">
            <v>REMOCION DE DERRUMBES</v>
          </cell>
          <cell r="E33" t="str">
            <v>3.6.2.2.</v>
          </cell>
          <cell r="F33" t="e">
            <v>#N/A</v>
          </cell>
        </row>
        <row r="34">
          <cell r="A34" t="str">
            <v>211.1</v>
          </cell>
          <cell r="B34" t="str">
            <v>REMOCION DE DERRUMBES</v>
          </cell>
          <cell r="C34" t="str">
            <v>M³</v>
          </cell>
          <cell r="D34">
            <v>5449</v>
          </cell>
          <cell r="E34" t="str">
            <v>3.6.2.2.1.</v>
          </cell>
          <cell r="F34" t="str">
            <v xml:space="preserve">3.6.2.2.1  </v>
          </cell>
        </row>
        <row r="35">
          <cell r="A35" t="str">
            <v>220-07</v>
          </cell>
          <cell r="B35" t="str">
            <v>TERRAPLEN</v>
          </cell>
          <cell r="E35" t="str">
            <v>3.6.2.3.</v>
          </cell>
          <cell r="F35" t="e">
            <v>#N/A</v>
          </cell>
        </row>
        <row r="36">
          <cell r="A36" t="str">
            <v>220.1</v>
          </cell>
          <cell r="B36" t="str">
            <v>TERRAPLENES</v>
          </cell>
          <cell r="C36" t="str">
            <v>M³</v>
          </cell>
          <cell r="D36">
            <v>11182</v>
          </cell>
          <cell r="E36" t="str">
            <v>3.6.2.3.2.</v>
          </cell>
          <cell r="F36" t="str">
            <v>3.6.2.3.1</v>
          </cell>
        </row>
        <row r="37">
          <cell r="A37" t="str">
            <v>221-07</v>
          </cell>
          <cell r="B37" t="str">
            <v>PEDRAPLENES</v>
          </cell>
          <cell r="E37" t="str">
            <v>3.6.2.4.</v>
          </cell>
          <cell r="F37" t="e">
            <v>#N/A</v>
          </cell>
        </row>
        <row r="38">
          <cell r="A38" t="str">
            <v>221.1</v>
          </cell>
          <cell r="B38" t="str">
            <v>PEDRAPLEN COMPACTO</v>
          </cell>
          <cell r="C38" t="str">
            <v>M³</v>
          </cell>
          <cell r="D38">
            <v>59702</v>
          </cell>
          <cell r="E38" t="str">
            <v>3.6.2.4.2.</v>
          </cell>
          <cell r="F38" t="str">
            <v>3.6.2.4.2</v>
          </cell>
        </row>
        <row r="39">
          <cell r="A39" t="str">
            <v>221.2</v>
          </cell>
          <cell r="B39" t="str">
            <v>PEDRAPLEN SUELTO</v>
          </cell>
          <cell r="C39" t="str">
            <v>M³</v>
          </cell>
          <cell r="D39">
            <v>60048</v>
          </cell>
          <cell r="E39" t="str">
            <v>3.6.2.4.1.</v>
          </cell>
          <cell r="F39" t="str">
            <v>3.6.2.4.1</v>
          </cell>
        </row>
        <row r="40">
          <cell r="A40" t="str">
            <v>230-07</v>
          </cell>
          <cell r="B40" t="str">
            <v>MEJORAMIENTO DE LA SUBRASANTE</v>
          </cell>
          <cell r="E40" t="str">
            <v>3.6.2.5.</v>
          </cell>
          <cell r="F40" t="e">
            <v>#N/A</v>
          </cell>
        </row>
        <row r="41">
          <cell r="A41" t="str">
            <v>230.1</v>
          </cell>
          <cell r="B41" t="str">
            <v>MEJORAMIENTO DE LA SUBRASANTE INVOLUCRANDO EL SUELO EXISTENTE</v>
          </cell>
          <cell r="C41" t="str">
            <v>M²</v>
          </cell>
          <cell r="D41">
            <v>453</v>
          </cell>
          <cell r="E41" t="str">
            <v>3.6.2.5.1.</v>
          </cell>
          <cell r="F41" t="str">
            <v>3.6.2.5.1</v>
          </cell>
        </row>
        <row r="42">
          <cell r="A42" t="str">
            <v>230.2</v>
          </cell>
          <cell r="B42" t="str">
            <v>MEJORAMIENTO DE LA SUBRASANTE EMPLEANDO UNICAMENTE MAT. ADICIONADO</v>
          </cell>
          <cell r="C42" t="str">
            <v>M³</v>
          </cell>
          <cell r="D42">
            <v>54732</v>
          </cell>
          <cell r="E42" t="str">
            <v>3.6.2.5.2.</v>
          </cell>
          <cell r="F42" t="str">
            <v>3.6.2.5.2</v>
          </cell>
        </row>
        <row r="43">
          <cell r="A43" t="str">
            <v>231-07</v>
          </cell>
          <cell r="B43" t="str">
            <v>SEPARACION DE SUELOS DE SUBRASANTES Y CAPAS GRANULARES CON GEOTEXTIL</v>
          </cell>
          <cell r="E43" t="str">
            <v>3.6.8.4.</v>
          </cell>
          <cell r="F43" t="e">
            <v>#N/A</v>
          </cell>
        </row>
        <row r="44">
          <cell r="A44" t="str">
            <v>231.1</v>
          </cell>
          <cell r="B44" t="str">
            <v>GEOTEXTIL PARA SEPARACION DE SUELOS DE SUBRASANTE Y CAPAS GRANULARES</v>
          </cell>
          <cell r="C44" t="str">
            <v>M²</v>
          </cell>
          <cell r="D44">
            <v>7891</v>
          </cell>
          <cell r="E44" t="str">
            <v>3.6.8.4.5.</v>
          </cell>
          <cell r="F44" t="str">
            <v>3.6.8.2 </v>
          </cell>
        </row>
        <row r="45">
          <cell r="A45" t="str">
            <v>232-07</v>
          </cell>
          <cell r="B45" t="str">
            <v>ESTABILIZACION DE SUELOS DE SUBRASANTES Y CAPAS GRANULARES CON GEOT.</v>
          </cell>
          <cell r="E45" t="str">
            <v>3.6.8.4.</v>
          </cell>
          <cell r="F45" t="e">
            <v>#N/A</v>
          </cell>
        </row>
        <row r="46">
          <cell r="A46" t="str">
            <v>232.1</v>
          </cell>
          <cell r="B46" t="str">
            <v>GEOTEXTIL PARA ESTABILIZACION DE SUELOS DE SUBRASANTE Y CAPAS GRANULARES</v>
          </cell>
          <cell r="C46" t="str">
            <v>M²</v>
          </cell>
          <cell r="D46">
            <v>6704</v>
          </cell>
          <cell r="E46" t="str">
            <v>3.6.8.4.2.</v>
          </cell>
          <cell r="F46" t="str">
            <v>3.6.8.2 </v>
          </cell>
        </row>
        <row r="47">
          <cell r="A47" t="str">
            <v>310-07</v>
          </cell>
          <cell r="B47" t="str">
            <v>CONFORMACION DE LA CALZADA EXISTENTE</v>
          </cell>
          <cell r="E47" t="str">
            <v>3.6.3.1.</v>
          </cell>
          <cell r="F47" t="e">
            <v>#N/A</v>
          </cell>
        </row>
        <row r="48">
          <cell r="A48" t="str">
            <v>310.1</v>
          </cell>
          <cell r="B48" t="str">
            <v>CONFORMACION DE LA CALZADA EXISTENTE</v>
          </cell>
          <cell r="C48" t="str">
            <v>M²</v>
          </cell>
          <cell r="D48">
            <v>566</v>
          </cell>
          <cell r="E48" t="str">
            <v>3.6.3.1.1.</v>
          </cell>
          <cell r="F48" t="str">
            <v>3.6.3.1.1</v>
          </cell>
        </row>
        <row r="49">
          <cell r="A49" t="str">
            <v>311-07</v>
          </cell>
          <cell r="B49" t="str">
            <v>AFIRMADO</v>
          </cell>
          <cell r="E49" t="str">
            <v>3.6.3.2.</v>
          </cell>
          <cell r="F49" t="e">
            <v>#N/A</v>
          </cell>
        </row>
        <row r="50">
          <cell r="A50" t="str">
            <v>311.1</v>
          </cell>
          <cell r="B50" t="str">
            <v>AFIRMADO</v>
          </cell>
          <cell r="C50" t="str">
            <v>M³</v>
          </cell>
          <cell r="D50">
            <v>56899</v>
          </cell>
          <cell r="E50" t="str">
            <v>3.6.3.2.1.</v>
          </cell>
          <cell r="F50" t="str">
            <v>3.6.3.2.1</v>
          </cell>
        </row>
        <row r="51">
          <cell r="A51" t="str">
            <v>320-07</v>
          </cell>
          <cell r="B51" t="str">
            <v>SUBBASE GRANULAR</v>
          </cell>
          <cell r="E51" t="str">
            <v>3.6.3.4.</v>
          </cell>
          <cell r="F51" t="e">
            <v>#N/A</v>
          </cell>
        </row>
        <row r="52">
          <cell r="A52" t="str">
            <v>320.1</v>
          </cell>
          <cell r="B52" t="str">
            <v>SUBBASE GRANULAR</v>
          </cell>
          <cell r="C52" t="str">
            <v>M³</v>
          </cell>
          <cell r="D52">
            <v>90669</v>
          </cell>
          <cell r="E52" t="str">
            <v>3.6.3.4.2.</v>
          </cell>
          <cell r="F52" t="str">
            <v xml:space="preserve"> 3.6.3.4.2</v>
          </cell>
        </row>
        <row r="53">
          <cell r="A53" t="str">
            <v>320.2</v>
          </cell>
          <cell r="B53" t="str">
            <v>SUBBASE GRANULAR PARA BACHEO</v>
          </cell>
          <cell r="C53" t="str">
            <v>M³</v>
          </cell>
          <cell r="D53">
            <v>97598</v>
          </cell>
          <cell r="E53" t="str">
            <v>3.6.3.4.7.</v>
          </cell>
          <cell r="F53" t="str">
            <v>3.6.3.4.4</v>
          </cell>
        </row>
        <row r="54">
          <cell r="A54" t="str">
            <v>330-07</v>
          </cell>
          <cell r="B54" t="str">
            <v>BASE GRANULAR</v>
          </cell>
          <cell r="E54" t="str">
            <v>3.6.3.6.</v>
          </cell>
          <cell r="F54" t="e">
            <v>#N/A</v>
          </cell>
        </row>
        <row r="55">
          <cell r="A55" t="str">
            <v>330.1</v>
          </cell>
          <cell r="B55" t="str">
            <v>BASE GRANULAR</v>
          </cell>
          <cell r="C55" t="str">
            <v>M³</v>
          </cell>
          <cell r="D55">
            <v>135116</v>
          </cell>
          <cell r="E55" t="str">
            <v>3.6.3.6.1.</v>
          </cell>
          <cell r="F55" t="str">
            <v>3.6.3.6.2</v>
          </cell>
        </row>
        <row r="56">
          <cell r="A56" t="str">
            <v>330.2</v>
          </cell>
          <cell r="B56" t="str">
            <v>BASE GRANULAR PARA BACHEO</v>
          </cell>
          <cell r="C56" t="str">
            <v>M³</v>
          </cell>
          <cell r="D56">
            <v>142383</v>
          </cell>
          <cell r="E56" t="str">
            <v>3.6.3.6.3.</v>
          </cell>
          <cell r="F56" t="str">
            <v>3.6.3.6.3</v>
          </cell>
        </row>
        <row r="57">
          <cell r="A57" t="str">
            <v>340-07</v>
          </cell>
          <cell r="B57" t="str">
            <v>BASE ESTABILIZADA CON EMULSION ASFALTICA</v>
          </cell>
          <cell r="E57" t="str">
            <v>3.6.3.7.</v>
          </cell>
          <cell r="F57" t="e">
            <v>#N/A</v>
          </cell>
        </row>
        <row r="58">
          <cell r="A58" t="str">
            <v>340.1</v>
          </cell>
          <cell r="B58" t="str">
            <v>BASE ESTABILIZADA CON EMULSION ASFALTICA BEE-1</v>
          </cell>
          <cell r="C58" t="str">
            <v>M³</v>
          </cell>
          <cell r="D58">
            <v>262084.655</v>
          </cell>
          <cell r="E58" t="str">
            <v>3.6.3.7.1.</v>
          </cell>
          <cell r="F58" t="str">
            <v>3.6.3.7.1</v>
          </cell>
        </row>
        <row r="59">
          <cell r="A59" t="str">
            <v>340.2</v>
          </cell>
          <cell r="B59" t="str">
            <v>BASE ESTABILIZADA CON EMULSION ASFALTICA BEE-2</v>
          </cell>
          <cell r="C59" t="str">
            <v>M³</v>
          </cell>
          <cell r="D59">
            <v>250312.96650000001</v>
          </cell>
          <cell r="E59" t="str">
            <v>3.6.3.7.3.</v>
          </cell>
          <cell r="F59" t="str">
            <v>3.6.3.7.3</v>
          </cell>
        </row>
        <row r="60">
          <cell r="A60" t="str">
            <v>340.3</v>
          </cell>
          <cell r="B60" t="str">
            <v>BASE ESTABILIZADA CON EMULSION ASFALTICA BEE-3</v>
          </cell>
          <cell r="C60" t="str">
            <v>M³</v>
          </cell>
          <cell r="D60">
            <v>241921.27799999999</v>
          </cell>
          <cell r="E60" t="str">
            <v>3.6.3.7.5.</v>
          </cell>
          <cell r="F60" t="str">
            <v>3.6.3.7.5</v>
          </cell>
        </row>
        <row r="61">
          <cell r="A61" t="str">
            <v>341-07</v>
          </cell>
          <cell r="B61" t="str">
            <v>BASE ESTABILIZADA CON CEMENTO</v>
          </cell>
          <cell r="E61" t="str">
            <v>3.6.3.7.</v>
          </cell>
          <cell r="F61" t="e">
            <v>#N/A</v>
          </cell>
        </row>
        <row r="62">
          <cell r="A62" t="str">
            <v>341.1</v>
          </cell>
          <cell r="B62" t="str">
            <v>BASE ESTABILIZADA CON CEMENTO PORTLAND</v>
          </cell>
          <cell r="C62" t="str">
            <v>M³</v>
          </cell>
          <cell r="D62">
            <v>100554</v>
          </cell>
          <cell r="E62" t="str">
            <v>3.6.3.7.23.</v>
          </cell>
          <cell r="F62" t="str">
            <v>3.6.3.7</v>
          </cell>
        </row>
        <row r="63">
          <cell r="A63" t="str">
            <v>341.2</v>
          </cell>
          <cell r="B63" t="str">
            <v>CEMENTO PORTLAND</v>
          </cell>
          <cell r="C63" t="str">
            <v>KG</v>
          </cell>
          <cell r="D63">
            <v>546</v>
          </cell>
          <cell r="E63" t="str">
            <v>3.6.4.1.8.</v>
          </cell>
          <cell r="F63" t="str">
            <v>3.6.4.1.8</v>
          </cell>
        </row>
        <row r="64">
          <cell r="A64" t="str">
            <v>410-07</v>
          </cell>
          <cell r="B64" t="str">
            <v>SUMINISTRO DE CEMENTO ASFALTICO</v>
          </cell>
          <cell r="E64" t="str">
            <v>3.6.4.1.</v>
          </cell>
          <cell r="F64" t="e">
            <v>#N/A</v>
          </cell>
        </row>
        <row r="65">
          <cell r="A65" t="str">
            <v>410.1</v>
          </cell>
          <cell r="B65" t="str">
            <v>CEMENTO ASFALTICO DE PENETRACION 60-70</v>
          </cell>
          <cell r="C65" t="str">
            <v>KG</v>
          </cell>
          <cell r="D65">
            <v>1560</v>
          </cell>
          <cell r="E65" t="str">
            <v>3.6.4.1.1.</v>
          </cell>
          <cell r="F65" t="str">
            <v>3.6.4.1.1</v>
          </cell>
        </row>
        <row r="66">
          <cell r="A66" t="str">
            <v>410.2</v>
          </cell>
          <cell r="B66" t="str">
            <v>CEMENTO ASFALTICO DE PENETRACION 80-100</v>
          </cell>
          <cell r="C66" t="str">
            <v>KG</v>
          </cell>
          <cell r="D66">
            <v>1560</v>
          </cell>
          <cell r="E66" t="str">
            <v>3.6.4.1.2.</v>
          </cell>
          <cell r="F66" t="str">
            <v>3.6.4.1.2</v>
          </cell>
        </row>
        <row r="67">
          <cell r="A67" t="str">
            <v>411-07</v>
          </cell>
          <cell r="B67" t="str">
            <v>SUMINISTRO DE EMULSION ASFALTICA</v>
          </cell>
          <cell r="E67" t="str">
            <v>3.6.4.2.</v>
          </cell>
          <cell r="F67" t="e">
            <v>#N/A</v>
          </cell>
        </row>
        <row r="68">
          <cell r="A68" t="str">
            <v>411.1</v>
          </cell>
          <cell r="B68" t="str">
            <v>EMULSION ASFALTICA DE ROTURA MEDIA CRM</v>
          </cell>
          <cell r="C68" t="str">
            <v>LT</v>
          </cell>
          <cell r="D68">
            <v>1235</v>
          </cell>
          <cell r="E68" t="str">
            <v>3.6.4.2.1.</v>
          </cell>
          <cell r="F68" t="str">
            <v>3.6.4.2.1</v>
          </cell>
        </row>
        <row r="69">
          <cell r="A69" t="str">
            <v>411.2</v>
          </cell>
          <cell r="B69" t="str">
            <v>EMULSION ASFALTICA DE ROTURA LENTA CRL</v>
          </cell>
          <cell r="C69" t="str">
            <v>LT</v>
          </cell>
          <cell r="D69">
            <v>1690</v>
          </cell>
          <cell r="E69" t="str">
            <v>3.6.4.2.2.</v>
          </cell>
          <cell r="F69" t="str">
            <v>3.6.4.2.2</v>
          </cell>
        </row>
        <row r="70">
          <cell r="A70" t="str">
            <v>411.3</v>
          </cell>
          <cell r="B70" t="str">
            <v>EMULSION ASFALTICA DE ROTURA LENTA CRL-1H</v>
          </cell>
          <cell r="C70" t="str">
            <v>LT</v>
          </cell>
          <cell r="D70">
            <v>1755</v>
          </cell>
          <cell r="E70" t="str">
            <v>3.6.4.2.3.</v>
          </cell>
          <cell r="F70" t="str">
            <v>3.6.4.2.3</v>
          </cell>
        </row>
        <row r="71">
          <cell r="A71" t="str">
            <v>414-07</v>
          </cell>
          <cell r="B71" t="str">
            <v>SUMINISTRO DE CEMENTO ASFALTICO MODIFICADO CON POLIMEROS</v>
          </cell>
          <cell r="E71" t="str">
            <v>3.6.4.1.</v>
          </cell>
          <cell r="F71" t="e">
            <v>#N/A</v>
          </cell>
        </row>
        <row r="72">
          <cell r="A72" t="str">
            <v>414.1</v>
          </cell>
          <cell r="B72" t="str">
            <v>CEMENTO ASFALTICO MODIFICADO CON POLIMEROS TIPO I</v>
          </cell>
          <cell r="C72" t="str">
            <v>KG</v>
          </cell>
          <cell r="D72">
            <v>2387</v>
          </cell>
          <cell r="E72" t="str">
            <v>3.6.4.1.3.</v>
          </cell>
          <cell r="F72" t="str">
            <v>3.6.4.1.3</v>
          </cell>
        </row>
        <row r="73">
          <cell r="A73" t="str">
            <v>414.2</v>
          </cell>
          <cell r="B73" t="str">
            <v>CEMENTO ASFALTICO MODIFICADO CON POLIMEROS TIPO II</v>
          </cell>
          <cell r="C73" t="str">
            <v>KG</v>
          </cell>
          <cell r="D73">
            <v>2519</v>
          </cell>
          <cell r="E73" t="str">
            <v>3.6.4.1.4.</v>
          </cell>
          <cell r="F73" t="str">
            <v>3.6.4.1.4</v>
          </cell>
        </row>
        <row r="74">
          <cell r="A74" t="str">
            <v>414.3</v>
          </cell>
          <cell r="B74" t="str">
            <v>CEMENTO ASFALTICO MODIFICADO CON POLIMEROS TIPO III</v>
          </cell>
          <cell r="C74" t="str">
            <v>KG</v>
          </cell>
          <cell r="D74">
            <v>2652</v>
          </cell>
          <cell r="E74" t="str">
            <v>3.6.4.1.5.</v>
          </cell>
          <cell r="F74" t="str">
            <v>3.6.4.1.5</v>
          </cell>
        </row>
        <row r="75">
          <cell r="A75" t="str">
            <v>414.4</v>
          </cell>
          <cell r="B75" t="str">
            <v>CEMENTO ASFALTICO MODIFICADO CON POLIMEROS TIPO IV</v>
          </cell>
          <cell r="C75" t="str">
            <v>KG</v>
          </cell>
          <cell r="D75">
            <v>2785</v>
          </cell>
          <cell r="E75" t="str">
            <v>3.6.4.1.6.</v>
          </cell>
          <cell r="F75" t="str">
            <v>3.6.4.1.6</v>
          </cell>
        </row>
        <row r="76">
          <cell r="A76" t="str">
            <v>414.5</v>
          </cell>
          <cell r="B76" t="str">
            <v>CEMENTO ASFALTICO MODIFICADO CON POLIMEROS TIPO V</v>
          </cell>
          <cell r="C76" t="str">
            <v>kG</v>
          </cell>
          <cell r="D76">
            <v>2122</v>
          </cell>
          <cell r="E76" t="str">
            <v>3.6.4.1.7.</v>
          </cell>
          <cell r="F76" t="str">
            <v>3.6.4.1</v>
          </cell>
        </row>
        <row r="77">
          <cell r="A77" t="str">
            <v>420-07</v>
          </cell>
          <cell r="B77" t="str">
            <v>RIEGO DE IMPRIMACION</v>
          </cell>
          <cell r="E77" t="str">
            <v>3.6.4.3.</v>
          </cell>
          <cell r="F77" t="e">
            <v>#N/A</v>
          </cell>
        </row>
        <row r="78">
          <cell r="A78" t="str">
            <v>420.1</v>
          </cell>
          <cell r="B78" t="str">
            <v>RIEGO DE IMPRIMACION CON EMULSION ASFALTICA</v>
          </cell>
          <cell r="C78" t="str">
            <v>M²</v>
          </cell>
          <cell r="D78">
            <v>2547</v>
          </cell>
          <cell r="E78" t="str">
            <v>3.6.4.3.1.</v>
          </cell>
          <cell r="F78" t="str">
            <v xml:space="preserve">3.6.4.3.1 </v>
          </cell>
        </row>
        <row r="79">
          <cell r="A79" t="str">
            <v>421-07</v>
          </cell>
          <cell r="B79" t="str">
            <v>RIEGO DE LIGA</v>
          </cell>
          <cell r="E79" t="str">
            <v>3.6.4.4.</v>
          </cell>
          <cell r="F79" t="e">
            <v>#N/A</v>
          </cell>
        </row>
        <row r="80">
          <cell r="A80" t="str">
            <v>421.1</v>
          </cell>
          <cell r="B80" t="str">
            <v>RIEGO DE LIGA CON EMULSION ASFALTICA CRR-1</v>
          </cell>
          <cell r="C80" t="str">
            <v>M²</v>
          </cell>
          <cell r="D80">
            <v>1058</v>
          </cell>
          <cell r="E80" t="str">
            <v>3.6.4.4.2.</v>
          </cell>
          <cell r="F80" t="str">
            <v>3.6.4.4.2</v>
          </cell>
        </row>
        <row r="81">
          <cell r="A81" t="str">
            <v>421.2</v>
          </cell>
          <cell r="B81" t="str">
            <v>RIEGO DE LIGA CON EMULSION ASFALTICA CRR-2</v>
          </cell>
          <cell r="C81" t="str">
            <v>M²</v>
          </cell>
          <cell r="D81">
            <v>963</v>
          </cell>
          <cell r="E81" t="str">
            <v>3.6.4.4.3.</v>
          </cell>
          <cell r="F81" t="str">
            <v>3.6.4.4.3</v>
          </cell>
        </row>
        <row r="82">
          <cell r="A82" t="str">
            <v>421.3</v>
          </cell>
          <cell r="B82" t="str">
            <v>RIEGO DE LIGA CON EMULSION MODIFICADA CON POLIMEROS CRR-1M</v>
          </cell>
          <cell r="C82" t="str">
            <v>M²</v>
          </cell>
          <cell r="D82">
            <v>1117</v>
          </cell>
          <cell r="E82" t="str">
            <v>3.6.4.4.4.</v>
          </cell>
          <cell r="F82" t="str">
            <v>3.6.4.4.4</v>
          </cell>
        </row>
        <row r="83">
          <cell r="A83" t="str">
            <v>421.4</v>
          </cell>
          <cell r="B83" t="str">
            <v>RIEGO DE LIGA CON EMULSION MODIFICADA CON POLIMEROS CRR-2M</v>
          </cell>
          <cell r="C83" t="str">
            <v>M²</v>
          </cell>
          <cell r="D83">
            <v>1117</v>
          </cell>
          <cell r="E83" t="str">
            <v>3.6.4.4.5.</v>
          </cell>
          <cell r="F83" t="str">
            <v>3.6.4.4.5</v>
          </cell>
        </row>
        <row r="84">
          <cell r="A84" t="str">
            <v>430-07</v>
          </cell>
          <cell r="B84" t="str">
            <v>TRATAMIENTO SUPERFICIAL SIMPLE</v>
          </cell>
          <cell r="E84" t="str">
            <v>3.6.4.5.</v>
          </cell>
          <cell r="F84" t="e">
            <v>#N/A</v>
          </cell>
        </row>
        <row r="85">
          <cell r="A85" t="str">
            <v>430.1</v>
          </cell>
          <cell r="B85" t="str">
            <v>TRATAMIENTO SUPERFICIAL SIMPLE CON EMULSION CRR-2</v>
          </cell>
          <cell r="C85" t="str">
            <v>M²</v>
          </cell>
          <cell r="D85">
            <v>5651</v>
          </cell>
          <cell r="E85" t="str">
            <v>3.6.4.5.1.</v>
          </cell>
          <cell r="F85" t="str">
            <v>3.6.4.5.1</v>
          </cell>
        </row>
        <row r="86">
          <cell r="A86" t="str">
            <v>430.2</v>
          </cell>
          <cell r="B86" t="str">
            <v>TRATAMIENTO SUPERFICIAL SIMPLE CON EMULSION CRR-2M</v>
          </cell>
          <cell r="C86" t="str">
            <v>M²</v>
          </cell>
          <cell r="D86">
            <v>6332</v>
          </cell>
          <cell r="E86" t="str">
            <v>3.6.4.5.2.</v>
          </cell>
          <cell r="F86" t="str">
            <v>3.6.4.5.2</v>
          </cell>
        </row>
        <row r="87">
          <cell r="A87" t="str">
            <v>431-07</v>
          </cell>
          <cell r="B87" t="str">
            <v>TRATAMIENTO SUPERFICIAL DOBLE</v>
          </cell>
          <cell r="E87" t="str">
            <v>3.6.4.6.</v>
          </cell>
          <cell r="F87" t="e">
            <v>#N/A</v>
          </cell>
        </row>
        <row r="88">
          <cell r="A88" t="str">
            <v>431.1</v>
          </cell>
          <cell r="B88" t="str">
            <v>TRATAMIENTO SUPERFICIAL DOBLE CON EMULSION CRR-2</v>
          </cell>
          <cell r="C88" t="str">
            <v>M²</v>
          </cell>
          <cell r="D88">
            <v>9766</v>
          </cell>
          <cell r="E88" t="str">
            <v>3.6.4.6.1.</v>
          </cell>
          <cell r="F88" t="str">
            <v>3.6.4.6.1</v>
          </cell>
        </row>
        <row r="89">
          <cell r="A89" t="str">
            <v>431.2</v>
          </cell>
          <cell r="B89" t="str">
            <v>TRATAMIENTO SUPERFICIAL DOBLE CON EMULSION CRR-2M</v>
          </cell>
          <cell r="C89" t="str">
            <v>M²</v>
          </cell>
          <cell r="D89">
            <v>11344</v>
          </cell>
          <cell r="E89" t="str">
            <v>3.6.4.6.2.</v>
          </cell>
          <cell r="F89" t="str">
            <v>3.6.4.6.2</v>
          </cell>
        </row>
        <row r="90">
          <cell r="A90" t="str">
            <v>432-07</v>
          </cell>
          <cell r="B90" t="str">
            <v>SELLO DE ARENA ASFALTO</v>
          </cell>
          <cell r="E90" t="str">
            <v>3.6.4.7.</v>
          </cell>
          <cell r="F90" t="e">
            <v>#N/A</v>
          </cell>
        </row>
        <row r="91">
          <cell r="A91" t="str">
            <v>432.1</v>
          </cell>
          <cell r="B91" t="str">
            <v>SELLO DE ARENA-ASFALTO CON EMULSION CRR-2</v>
          </cell>
          <cell r="C91" t="str">
            <v>M²</v>
          </cell>
          <cell r="D91">
            <v>3254</v>
          </cell>
          <cell r="E91" t="str">
            <v>3.6.4.7.1.</v>
          </cell>
          <cell r="F91" t="str">
            <v>3.6.4.7.1</v>
          </cell>
        </row>
        <row r="92">
          <cell r="A92" t="str">
            <v>433-07</v>
          </cell>
          <cell r="B92" t="str">
            <v>LECHADA ASFALTICA</v>
          </cell>
          <cell r="E92" t="str">
            <v>3.6.4.8.</v>
          </cell>
          <cell r="F92" t="e">
            <v>#N/A</v>
          </cell>
        </row>
        <row r="93">
          <cell r="A93" t="str">
            <v>433.1</v>
          </cell>
          <cell r="B93" t="str">
            <v>LECHADA ASFALTICA CON EMULSION CRL-1H LA-1</v>
          </cell>
          <cell r="C93" t="str">
            <v>M²</v>
          </cell>
          <cell r="D93">
            <v>3343</v>
          </cell>
          <cell r="E93" t="str">
            <v>3.6.4.8.1.</v>
          </cell>
          <cell r="F93" t="str">
            <v>3.6.4.8.1</v>
          </cell>
        </row>
        <row r="94">
          <cell r="A94" t="str">
            <v>433.2</v>
          </cell>
          <cell r="B94" t="str">
            <v>LECHADA ASFALTICA CON EMULSION CRL-1H LA-2</v>
          </cell>
          <cell r="C94" t="str">
            <v>M²</v>
          </cell>
          <cell r="D94">
            <v>4748</v>
          </cell>
          <cell r="E94" t="str">
            <v>3.6.4.8.2.</v>
          </cell>
          <cell r="F94" t="str">
            <v>3.6.4.8.2</v>
          </cell>
        </row>
        <row r="95">
          <cell r="A95" t="str">
            <v>433.3</v>
          </cell>
          <cell r="B95" t="str">
            <v>LECHADA ASFALTICA CON EMULSION CRL-1H LA-3</v>
          </cell>
          <cell r="C95" t="str">
            <v>M²</v>
          </cell>
          <cell r="D95">
            <v>5797</v>
          </cell>
          <cell r="E95" t="str">
            <v>3.6.4.8.3.</v>
          </cell>
          <cell r="F95" t="str">
            <v>3.6.4.8.3</v>
          </cell>
        </row>
        <row r="96">
          <cell r="A96" t="str">
            <v>433.4</v>
          </cell>
          <cell r="B96" t="str">
            <v>LECHADA ASFALTICA CON EMULSION CRL-1H LA-4</v>
          </cell>
          <cell r="C96" t="str">
            <v>M²</v>
          </cell>
          <cell r="D96">
            <v>6260</v>
          </cell>
          <cell r="E96" t="str">
            <v>3.6.4.8.4.</v>
          </cell>
          <cell r="F96" t="str">
            <v>3.6.4.8.4</v>
          </cell>
        </row>
        <row r="97">
          <cell r="A97" t="str">
            <v>433.5</v>
          </cell>
          <cell r="B97" t="str">
            <v>LECHADA ASFALTICA CON EMULSION CRL-1HM LA-1</v>
          </cell>
          <cell r="C97" t="str">
            <v>M²</v>
          </cell>
          <cell r="D97">
            <v>4571</v>
          </cell>
          <cell r="E97" t="str">
            <v>3.6.4.8.5.</v>
          </cell>
          <cell r="F97" t="str">
            <v>3.6.4.8.5</v>
          </cell>
        </row>
        <row r="98">
          <cell r="A98" t="str">
            <v>433.6</v>
          </cell>
          <cell r="B98" t="str">
            <v>LECHADA ASFALTICA CON EMULSION CRL-1HM LA-2</v>
          </cell>
          <cell r="C98" t="str">
            <v>M²</v>
          </cell>
          <cell r="D98">
            <v>6369</v>
          </cell>
          <cell r="E98" t="str">
            <v>3.6.4.8.6.</v>
          </cell>
          <cell r="F98" t="str">
            <v>3.6.4.8.6</v>
          </cell>
        </row>
        <row r="99">
          <cell r="A99" t="str">
            <v>433.7</v>
          </cell>
          <cell r="B99" t="str">
            <v>LECHADA ASFALTICA CON EMULSION CRL-1HM LA-3</v>
          </cell>
          <cell r="C99" t="str">
            <v>M²</v>
          </cell>
          <cell r="D99">
            <v>7905</v>
          </cell>
          <cell r="E99" t="str">
            <v>3.6.4.8.7.</v>
          </cell>
          <cell r="F99" t="str">
            <v>3.6.4.8.7</v>
          </cell>
        </row>
        <row r="100">
          <cell r="A100" t="str">
            <v>433.8</v>
          </cell>
          <cell r="B100" t="str">
            <v>LECHADA ASFALTICA CON EMULSION CRL-1HM LA-4</v>
          </cell>
          <cell r="C100" t="str">
            <v>M²</v>
          </cell>
          <cell r="D100">
            <v>8960</v>
          </cell>
          <cell r="E100" t="str">
            <v>3.6.4.8.8.</v>
          </cell>
          <cell r="F100" t="str">
            <v>3.6.4.8.8</v>
          </cell>
        </row>
        <row r="101">
          <cell r="A101" t="str">
            <v>440-07</v>
          </cell>
          <cell r="B101" t="str">
            <v>MEZCLA DENSA EN FRIO</v>
          </cell>
          <cell r="E101" t="str">
            <v>3.6.4.9.</v>
          </cell>
          <cell r="F101" t="e">
            <v>#N/A</v>
          </cell>
        </row>
        <row r="102">
          <cell r="A102" t="str">
            <v>440.1</v>
          </cell>
          <cell r="B102" t="str">
            <v>MEZCLA DENSA EN FRIO MDF-1</v>
          </cell>
          <cell r="C102" t="str">
            <v>M³</v>
          </cell>
          <cell r="D102">
            <v>337873</v>
          </cell>
          <cell r="E102" t="str">
            <v>3.6.4.9.5.</v>
          </cell>
          <cell r="F102" t="str">
            <v>3.6.4.9.1</v>
          </cell>
        </row>
        <row r="103">
          <cell r="A103" t="str">
            <v>440.2</v>
          </cell>
          <cell r="B103" t="str">
            <v>MEZCLA DENSA EN FRIO MDF-2</v>
          </cell>
          <cell r="C103" t="str">
            <v>M³</v>
          </cell>
          <cell r="D103">
            <v>437529</v>
          </cell>
          <cell r="E103" t="str">
            <v>3.6.4.9.6.</v>
          </cell>
          <cell r="F103" t="str">
            <v>3.6.4.9.2</v>
          </cell>
        </row>
        <row r="104">
          <cell r="A104" t="str">
            <v>440.3</v>
          </cell>
          <cell r="B104" t="str">
            <v>MEZCLA DENSA EN FRIO MDF-3</v>
          </cell>
          <cell r="C104" t="str">
            <v>M³</v>
          </cell>
          <cell r="D104">
            <v>439118</v>
          </cell>
          <cell r="E104" t="str">
            <v>3.6.4.9.7.</v>
          </cell>
          <cell r="F104" t="str">
            <v>3.6.4.9.3</v>
          </cell>
        </row>
        <row r="105">
          <cell r="A105" t="str">
            <v>440.4</v>
          </cell>
          <cell r="B105" t="str">
            <v>MEZCLA DENSA EN FRIO PARA BACHEO</v>
          </cell>
          <cell r="C105" t="str">
            <v>M³</v>
          </cell>
          <cell r="D105">
            <v>401658</v>
          </cell>
          <cell r="E105" t="str">
            <v>3.6.4.9.8.</v>
          </cell>
          <cell r="F105" t="str">
            <v>3.6.4.9.4</v>
          </cell>
        </row>
        <row r="106">
          <cell r="A106" t="str">
            <v>441-07</v>
          </cell>
          <cell r="B106" t="str">
            <v>MEZCLA ABIERTA EN FRIO</v>
          </cell>
          <cell r="E106" t="str">
            <v>3.6.4.10.</v>
          </cell>
          <cell r="F106" t="e">
            <v>#N/A</v>
          </cell>
        </row>
        <row r="107">
          <cell r="A107" t="str">
            <v>441.1</v>
          </cell>
          <cell r="B107" t="str">
            <v>MEZCLA ABIERTA EN FRIO TIPO MAF-1</v>
          </cell>
          <cell r="C107" t="str">
            <v>M³</v>
          </cell>
          <cell r="D107">
            <v>405066</v>
          </cell>
          <cell r="E107" t="str">
            <v>3.6.4.10.5.</v>
          </cell>
          <cell r="F107" t="str">
            <v>3.6.4.10.1</v>
          </cell>
        </row>
        <row r="108">
          <cell r="A108" t="str">
            <v>441.2</v>
          </cell>
          <cell r="B108" t="str">
            <v>MEZCLA ABIERTA EN FRIO TIPO MAF-2</v>
          </cell>
          <cell r="C108" t="str">
            <v>M³</v>
          </cell>
          <cell r="D108">
            <v>407109</v>
          </cell>
          <cell r="E108" t="str">
            <v>3.6.4.10.6.</v>
          </cell>
          <cell r="F108" t="str">
            <v>3.6.4.10.2</v>
          </cell>
        </row>
        <row r="109">
          <cell r="A109" t="str">
            <v>441.3</v>
          </cell>
          <cell r="B109" t="str">
            <v>MEZCLA ABIERTA EN FRIO TIPO MAF-3</v>
          </cell>
          <cell r="C109" t="str">
            <v>M³</v>
          </cell>
          <cell r="D109">
            <v>408698</v>
          </cell>
          <cell r="E109" t="str">
            <v>3.6.4.10.7.</v>
          </cell>
          <cell r="F109" t="str">
            <v>3.6.4.10.3</v>
          </cell>
        </row>
        <row r="110">
          <cell r="A110" t="str">
            <v>441.4</v>
          </cell>
          <cell r="B110" t="str">
            <v>MEZCLA ABIERTA EN FRIO PARA BACHEO</v>
          </cell>
          <cell r="C110" t="str">
            <v>M³</v>
          </cell>
          <cell r="D110">
            <v>416676</v>
          </cell>
          <cell r="E110" t="str">
            <v>3.6.4.10.8.</v>
          </cell>
          <cell r="F110" t="str">
            <v>3.6.4.10.4</v>
          </cell>
        </row>
        <row r="111">
          <cell r="A111" t="str">
            <v>450-07</v>
          </cell>
          <cell r="B111" t="str">
            <v>MEZCLAS ASFALTICAS EN CALIENTE</v>
          </cell>
          <cell r="E111" t="str">
            <v>3.6.4.11.</v>
          </cell>
          <cell r="F111" t="e">
            <v>#N/A</v>
          </cell>
        </row>
        <row r="112">
          <cell r="A112" t="str">
            <v>450.1</v>
          </cell>
          <cell r="B112" t="str">
            <v>MEZCLA DENSA EN CALIENTE MDC-1</v>
          </cell>
          <cell r="C112" t="str">
            <v>M³</v>
          </cell>
          <cell r="D112">
            <v>517347</v>
          </cell>
          <cell r="E112" t="str">
            <v>3.6.4.11.12.</v>
          </cell>
          <cell r="F112" t="str">
            <v>3.6.4.11.2</v>
          </cell>
        </row>
        <row r="113">
          <cell r="A113" t="str">
            <v>450.2</v>
          </cell>
          <cell r="B113" t="str">
            <v>MEZCLA DENSA EN CALIENTE MDC-2</v>
          </cell>
          <cell r="C113" t="str">
            <v>M³</v>
          </cell>
          <cell r="D113">
            <v>523333</v>
          </cell>
          <cell r="E113" t="str">
            <v>3.6.4.11.13.</v>
          </cell>
          <cell r="F113" t="str">
            <v>3.6.4.11.3</v>
          </cell>
        </row>
        <row r="114">
          <cell r="A114" t="str">
            <v>450.3</v>
          </cell>
          <cell r="B114" t="str">
            <v>MEZCLA DENSA EN CALIENTE MDC-3</v>
          </cell>
          <cell r="C114" t="str">
            <v>M³</v>
          </cell>
          <cell r="D114">
            <v>549847</v>
          </cell>
          <cell r="E114" t="str">
            <v>3.6.4.11.14.</v>
          </cell>
          <cell r="F114" t="str">
            <v>3.6.4.11.4</v>
          </cell>
        </row>
        <row r="115">
          <cell r="A115" t="str">
            <v>450.9</v>
          </cell>
          <cell r="B115" t="str">
            <v>MEZCLA DENSA EN CALIENTE PARA BACHEO</v>
          </cell>
          <cell r="C115" t="str">
            <v>M³</v>
          </cell>
          <cell r="D115">
            <v>545708.33210833336</v>
          </cell>
          <cell r="E115" t="str">
            <v>3.6.4.11.10.</v>
          </cell>
          <cell r="F115" t="str">
            <v>3.6.4.11.5</v>
          </cell>
        </row>
        <row r="116">
          <cell r="A116" t="str">
            <v>451-07</v>
          </cell>
          <cell r="B116" t="str">
            <v>MEZCLA ABIERTA EN CALIENTE</v>
          </cell>
          <cell r="E116" t="str">
            <v>3.6.4.12.</v>
          </cell>
          <cell r="F116" t="e">
            <v>#N/A</v>
          </cell>
        </row>
        <row r="117">
          <cell r="A117" t="str">
            <v>451.1</v>
          </cell>
          <cell r="B117" t="str">
            <v>MEZCLA ABIERTA EN CALIENTE TIPO MAC-1</v>
          </cell>
          <cell r="C117" t="str">
            <v>M³</v>
          </cell>
          <cell r="D117">
            <v>497847</v>
          </cell>
          <cell r="E117" t="str">
            <v>3.6.4.12.4.</v>
          </cell>
          <cell r="F117" t="str">
            <v>3.6.4.12.1</v>
          </cell>
        </row>
        <row r="118">
          <cell r="A118" t="str">
            <v>451.2</v>
          </cell>
          <cell r="B118" t="str">
            <v>MEZCLA ABIERTA EN CALIENTE TIPO MAC-2</v>
          </cell>
          <cell r="C118" t="str">
            <v>M³</v>
          </cell>
          <cell r="D118">
            <v>507597</v>
          </cell>
          <cell r="E118" t="str">
            <v>3.6.4.12.5.</v>
          </cell>
          <cell r="F118" t="str">
            <v>3.6.4.12.2</v>
          </cell>
        </row>
        <row r="119">
          <cell r="A119" t="str">
            <v>451.3</v>
          </cell>
          <cell r="B119" t="str">
            <v>MEZCLA ABIERTA EN CALIENTE TIPO MAC-3</v>
          </cell>
          <cell r="C119" t="str">
            <v>M³</v>
          </cell>
          <cell r="D119">
            <v>518972</v>
          </cell>
          <cell r="E119" t="str">
            <v>3.6.4.12.6.</v>
          </cell>
          <cell r="F119" t="str">
            <v>3.6.4.12.3</v>
          </cell>
        </row>
        <row r="120">
          <cell r="A120" t="str">
            <v>452-07</v>
          </cell>
          <cell r="B120" t="str">
            <v>MEZCLA DISCONTINUA EN CALIENTE PARA CAPA DE RODADURA</v>
          </cell>
          <cell r="E120" t="str">
            <v>3.6.4.13.</v>
          </cell>
          <cell r="F120" t="e">
            <v>#N/A</v>
          </cell>
        </row>
        <row r="121">
          <cell r="A121" t="str">
            <v>452.1</v>
          </cell>
          <cell r="B121" t="str">
            <v>MEZCLA DISCONTINUA EN CALIENTE TIPO M-1</v>
          </cell>
          <cell r="C121" t="str">
            <v>M³</v>
          </cell>
          <cell r="D121">
            <v>371097</v>
          </cell>
          <cell r="E121" t="str">
            <v>3.6.4.13.5.</v>
          </cell>
          <cell r="F121" t="str">
            <v>3.6.4.13.1</v>
          </cell>
        </row>
        <row r="122">
          <cell r="A122" t="str">
            <v>452.2</v>
          </cell>
          <cell r="B122" t="str">
            <v>MEZCLA DISCONTINUA EN CALIENTE TIPO M-2</v>
          </cell>
          <cell r="C122" t="str">
            <v>M³</v>
          </cell>
          <cell r="D122">
            <v>371097</v>
          </cell>
          <cell r="E122" t="str">
            <v>3.6.4.13.6.</v>
          </cell>
          <cell r="F122" t="str">
            <v>3.6.4.13.2</v>
          </cell>
        </row>
        <row r="123">
          <cell r="A123" t="str">
            <v>452.3</v>
          </cell>
          <cell r="B123" t="str">
            <v>MEZCLA DISCONTINUA EN CALIENTE TIPO F-1</v>
          </cell>
          <cell r="C123" t="str">
            <v>M³</v>
          </cell>
          <cell r="D123">
            <v>390879</v>
          </cell>
          <cell r="E123" t="str">
            <v>3.6.4.13.7.</v>
          </cell>
          <cell r="F123" t="str">
            <v>3.6.4.13.7</v>
          </cell>
        </row>
        <row r="124">
          <cell r="A124" t="str">
            <v>452.4</v>
          </cell>
          <cell r="B124" t="str">
            <v>MEZCLA DISCONTINUA EN CALIENTE TIPO F-2</v>
          </cell>
          <cell r="C124" t="str">
            <v>M³</v>
          </cell>
          <cell r="D124">
            <v>387347</v>
          </cell>
          <cell r="E124" t="str">
            <v>3.6.4.13.8.</v>
          </cell>
          <cell r="F124" t="str">
            <v>3.6.4.13.8</v>
          </cell>
        </row>
        <row r="125">
          <cell r="A125" t="str">
            <v>453-07</v>
          </cell>
          <cell r="B125" t="str">
            <v>MEZCLA DRENANTE</v>
          </cell>
          <cell r="E125" t="str">
            <v>3.6.4.14.</v>
          </cell>
          <cell r="F125" t="e">
            <v>#N/A</v>
          </cell>
        </row>
        <row r="126">
          <cell r="A126" t="str">
            <v>453.1</v>
          </cell>
          <cell r="B126" t="str">
            <v>MEZCLA DRENANTE</v>
          </cell>
          <cell r="C126" t="str">
            <v>M³</v>
          </cell>
          <cell r="D126">
            <v>250668</v>
          </cell>
          <cell r="E126" t="str">
            <v>3.6.4.14.2.</v>
          </cell>
          <cell r="F126" t="str">
            <v>3.6.4.13.7</v>
          </cell>
        </row>
        <row r="127">
          <cell r="A127" t="str">
            <v>460-07</v>
          </cell>
          <cell r="B127" t="str">
            <v>FRESADO DE PAVIMENTO ASFALTICO</v>
          </cell>
          <cell r="E127" t="str">
            <v>3.6.4.15.</v>
          </cell>
          <cell r="F127" t="e">
            <v>#N/A</v>
          </cell>
        </row>
        <row r="128">
          <cell r="A128" t="str">
            <v>460.1</v>
          </cell>
          <cell r="B128" t="str">
            <v>FRESADO DE UN PAVIMENTO ASFALTICO</v>
          </cell>
          <cell r="C128" t="str">
            <v>M²</v>
          </cell>
          <cell r="D128">
            <v>5845</v>
          </cell>
          <cell r="E128" t="str">
            <v>3.6.4.15.2.</v>
          </cell>
          <cell r="F128" t="str">
            <v>3.6.4.15.2</v>
          </cell>
        </row>
        <row r="129">
          <cell r="A129" t="str">
            <v>460P</v>
          </cell>
          <cell r="B129" t="str">
            <v>FRESADO DE UN PAVIMENTO ASFALTICO</v>
          </cell>
          <cell r="C129" t="str">
            <v>M³</v>
          </cell>
          <cell r="D129">
            <v>62029</v>
          </cell>
          <cell r="E129" t="str">
            <v>3.6.4.15.4.</v>
          </cell>
          <cell r="F129" t="str">
            <v>3.6.4.15</v>
          </cell>
        </row>
        <row r="130">
          <cell r="A130" t="str">
            <v>461-07</v>
          </cell>
          <cell r="B130" t="str">
            <v>RECICLADO DE PAVIMENTO ASFALTICO EN FRIO EN EL LUGAR EMPLEANDO LIGANTES BITUMINOSOS</v>
          </cell>
          <cell r="E130" t="str">
            <v>3.6.4.16.</v>
          </cell>
          <cell r="F130" t="e">
            <v>#N/A</v>
          </cell>
        </row>
        <row r="131">
          <cell r="A131" t="str">
            <v>461.1</v>
          </cell>
          <cell r="B131" t="str">
            <v>PAVIMENTO RECICLADO EN FRIO EN EL LUGAR CON EMULSION ASFALTICA</v>
          </cell>
          <cell r="C131" t="str">
            <v>M³</v>
          </cell>
          <cell r="D131">
            <v>58648</v>
          </cell>
          <cell r="E131" t="str">
            <v>3.6.4.16.1.</v>
          </cell>
          <cell r="F131" t="str">
            <v>3.6.4.16.1</v>
          </cell>
          <cell r="G131" t="str">
            <v>CON EMULSION</v>
          </cell>
        </row>
        <row r="132">
          <cell r="A132" t="str">
            <v>461.2</v>
          </cell>
          <cell r="B132" t="str">
            <v>PAVIMENTO ASFALTICO RECICLADO EN FRIO EN EL LUGAR CON CEMENTO ASFALTICO ESPUMADO</v>
          </cell>
          <cell r="C132" t="str">
            <v>M³</v>
          </cell>
          <cell r="D132">
            <v>88894</v>
          </cell>
          <cell r="E132" t="str">
            <v>3.6.4.16.2.</v>
          </cell>
          <cell r="F132" t="str">
            <v>3.6.4.16.2</v>
          </cell>
          <cell r="G132" t="str">
            <v>CON CEMENTO ASFALTICO</v>
          </cell>
        </row>
        <row r="133">
          <cell r="A133" t="str">
            <v>462-07</v>
          </cell>
          <cell r="B133" t="str">
            <v>RECICLADO DE PAVIMENTO ASFALTICO EN PLANTA Y EN CALIENTE</v>
          </cell>
          <cell r="E133" t="str">
            <v>3.6.4.16.</v>
          </cell>
          <cell r="F133" t="e">
            <v>#N/A</v>
          </cell>
        </row>
        <row r="134">
          <cell r="A134" t="str">
            <v>462.1</v>
          </cell>
          <cell r="B134" t="str">
            <v>MEZCLA ASFALTICA RECICLADA EN CALIENTE MDC-2</v>
          </cell>
          <cell r="C134" t="str">
            <v>M³</v>
          </cell>
          <cell r="D134">
            <v>91199</v>
          </cell>
          <cell r="E134" t="str">
            <v>3.6.4.16.3.</v>
          </cell>
          <cell r="F134" t="str">
            <v>3.6.4.17.1 </v>
          </cell>
        </row>
        <row r="135">
          <cell r="A135" t="str">
            <v>462.2</v>
          </cell>
          <cell r="B135" t="str">
            <v>MEZCLA ASFALTICA RECICLADA EN CALIENTE MDC-2 PARA BACHEO</v>
          </cell>
          <cell r="C135" t="str">
            <v>M³</v>
          </cell>
          <cell r="D135">
            <v>120987</v>
          </cell>
          <cell r="E135" t="str">
            <v>3.6.4.16.5.</v>
          </cell>
          <cell r="F135" t="str">
            <v>3.6.4.17</v>
          </cell>
        </row>
        <row r="136">
          <cell r="A136" t="str">
            <v>464-07</v>
          </cell>
          <cell r="B136" t="str">
            <v>REHABILITACION DE PAVIMENTOS ASFALTICOS CON GEOTEXTILES</v>
          </cell>
          <cell r="E136" t="str">
            <v>3.6.8.2.</v>
          </cell>
          <cell r="F136" t="e">
            <v>#N/A</v>
          </cell>
        </row>
        <row r="137">
          <cell r="A137" t="str">
            <v>464.1</v>
          </cell>
          <cell r="B137" t="str">
            <v>GEOTEXTIL PARA REHABILITACION DE PAVIMENTOS ASFALTICOS</v>
          </cell>
          <cell r="C137" t="str">
            <v>M²</v>
          </cell>
          <cell r="D137">
            <v>5926</v>
          </cell>
          <cell r="E137" t="str">
            <v>3.6.8.2.4.</v>
          </cell>
          <cell r="F137" t="str">
            <v>3.6.8</v>
          </cell>
        </row>
        <row r="138">
          <cell r="A138" t="str">
            <v>465-07</v>
          </cell>
          <cell r="B138" t="str">
            <v>EXCAVACION PARA REPARACION DE PAVIMENTO ASFALTICO EXISTENTE</v>
          </cell>
          <cell r="E138" t="str">
            <v>3.6.1.3.</v>
          </cell>
          <cell r="F138" t="e">
            <v>#N/A</v>
          </cell>
        </row>
        <row r="139">
          <cell r="A139" t="str">
            <v>465.1</v>
          </cell>
          <cell r="B139" t="str">
            <v>EXCAVACIONES PARA REPARACION DE PAVIMENTO ASFALTICO EXISTENTE</v>
          </cell>
          <cell r="C139" t="str">
            <v>M³</v>
          </cell>
          <cell r="D139">
            <v>59344</v>
          </cell>
          <cell r="E139" t="str">
            <v>3.6.1.3.32.</v>
          </cell>
          <cell r="F139" t="str">
            <v>3.6.2.1</v>
          </cell>
        </row>
        <row r="140">
          <cell r="A140" t="str">
            <v>500-07</v>
          </cell>
          <cell r="B140" t="str">
            <v>PAVIMENTO DE CONCRETO HIDRAULICO</v>
          </cell>
          <cell r="E140" t="str">
            <v>3.6.5.1.</v>
          </cell>
          <cell r="F140" t="e">
            <v>#N/A</v>
          </cell>
        </row>
        <row r="141">
          <cell r="A141" t="str">
            <v>500.1</v>
          </cell>
          <cell r="B141" t="str">
            <v>PAVIMENTO DE CONCRETO HIDRAULICO</v>
          </cell>
          <cell r="C141" t="str">
            <v>M³</v>
          </cell>
          <cell r="D141">
            <v>571963</v>
          </cell>
          <cell r="E141" t="str">
            <v>3.6.5.1.12.</v>
          </cell>
          <cell r="F141" t="str">
            <v>3.6.5.1</v>
          </cell>
        </row>
        <row r="142">
          <cell r="A142" t="str">
            <v>510.1</v>
          </cell>
          <cell r="B142" t="str">
            <v>PAVIMENTO DE ADOQUINES DE CONCRETO</v>
          </cell>
          <cell r="C142" t="str">
            <v>M²</v>
          </cell>
          <cell r="D142">
            <v>58228</v>
          </cell>
          <cell r="E142" t="str">
            <v>3.6.5.2.10.</v>
          </cell>
          <cell r="F142" t="str">
            <v>3.6.5.2.10</v>
          </cell>
        </row>
        <row r="143">
          <cell r="A143" t="str">
            <v>600-07</v>
          </cell>
          <cell r="B143" t="str">
            <v>EXCAVACIONES VARIAS</v>
          </cell>
          <cell r="E143" t="str">
            <v>3.6.6.1.</v>
          </cell>
          <cell r="F143" t="e">
            <v>#N/A</v>
          </cell>
        </row>
        <row r="144">
          <cell r="A144" t="str">
            <v>600.1</v>
          </cell>
          <cell r="B144" t="str">
            <v>EXCAVACIONES VARIAS SIN CLASIFICAR</v>
          </cell>
          <cell r="C144" t="str">
            <v>M³</v>
          </cell>
          <cell r="D144">
            <v>9722</v>
          </cell>
          <cell r="E144" t="str">
            <v>3.6.6.1.1.</v>
          </cell>
          <cell r="F144" t="str">
            <v>3.6.6.1.9</v>
          </cell>
        </row>
        <row r="145">
          <cell r="A145" t="str">
            <v>600.2</v>
          </cell>
          <cell r="B145" t="str">
            <v>EXCAVACIONES VARIAS EN ROCA EN SECO</v>
          </cell>
          <cell r="C145" t="str">
            <v>M³</v>
          </cell>
          <cell r="D145">
            <v>58460</v>
          </cell>
          <cell r="E145" t="str">
            <v>3.6.6.1.9.</v>
          </cell>
          <cell r="F145" t="str">
            <v>3.6.6.1.9</v>
          </cell>
        </row>
        <row r="146">
          <cell r="A146" t="str">
            <v>600.3</v>
          </cell>
          <cell r="B146" t="str">
            <v>EXCAVACIONES VARIAS EN ROCA BAJO AGUA</v>
          </cell>
          <cell r="C146" t="str">
            <v>M³</v>
          </cell>
          <cell r="D146">
            <v>68373</v>
          </cell>
          <cell r="E146" t="str">
            <v>3.6.6.1.8.</v>
          </cell>
          <cell r="F146" t="str">
            <v>3.6.6.1.9</v>
          </cell>
        </row>
        <row r="147">
          <cell r="A147" t="str">
            <v>600.4</v>
          </cell>
          <cell r="B147" t="str">
            <v>EXCAVACIONES VARIAS EN MATERIAL COMUN EN SECO</v>
          </cell>
          <cell r="C147" t="str">
            <v>M³</v>
          </cell>
          <cell r="D147">
            <v>9834</v>
          </cell>
          <cell r="E147" t="str">
            <v>3.6.6.1.10</v>
          </cell>
          <cell r="F147" t="str">
            <v xml:space="preserve">3.6.6.1.10  </v>
          </cell>
        </row>
        <row r="148">
          <cell r="A148" t="str">
            <v>600.4P</v>
          </cell>
          <cell r="B148" t="str">
            <v>EXCAVACIONES VARIAS EN MATERIA COMUN EN SECO A MANO</v>
          </cell>
          <cell r="C148" t="str">
            <v>M³</v>
          </cell>
          <cell r="D148">
            <v>23148</v>
          </cell>
          <cell r="E148" t="str">
            <v>3.6.6.1.1.</v>
          </cell>
          <cell r="F148" t="str">
            <v>3.6.6.1</v>
          </cell>
        </row>
        <row r="149">
          <cell r="A149" t="str">
            <v>600.5</v>
          </cell>
          <cell r="B149" t="str">
            <v>EXCAVACIONES VARIAS EN MATERIAL COMUN BAJO AGUA</v>
          </cell>
          <cell r="C149" t="str">
            <v>M³</v>
          </cell>
          <cell r="D149">
            <v>25611</v>
          </cell>
          <cell r="E149" t="str">
            <v>3.6.6.1.4.</v>
          </cell>
          <cell r="F149" t="str">
            <v>3.6.6.1.11</v>
          </cell>
        </row>
        <row r="150">
          <cell r="A150" t="str">
            <v>600.5P</v>
          </cell>
          <cell r="B150" t="str">
            <v>EXCAVACIONES VARIAS EN MATERIAL COMUN BAJO AGUA A MANO</v>
          </cell>
          <cell r="C150" t="str">
            <v>M³</v>
          </cell>
          <cell r="D150">
            <v>64493</v>
          </cell>
          <cell r="E150" t="str">
            <v>3.6.6.1.2.</v>
          </cell>
          <cell r="F150" t="str">
            <v>3.6.6.1</v>
          </cell>
        </row>
        <row r="151">
          <cell r="A151" t="str">
            <v>610-07</v>
          </cell>
          <cell r="B151" t="str">
            <v>RELLENOS PARA ESTRUCTURA</v>
          </cell>
          <cell r="E151" t="str">
            <v>3.6.6.2.</v>
          </cell>
          <cell r="F151" t="e">
            <v>#N/A</v>
          </cell>
        </row>
        <row r="152">
          <cell r="A152" t="str">
            <v>610.1</v>
          </cell>
          <cell r="B152" t="str">
            <v>RELLENO PARA ESTRUCTURAS</v>
          </cell>
          <cell r="C152" t="str">
            <v>M³</v>
          </cell>
          <cell r="D152">
            <v>37990</v>
          </cell>
          <cell r="E152" t="str">
            <v>3.6.6.2.1.</v>
          </cell>
          <cell r="F152" t="str">
            <v xml:space="preserve">3.6.6.2.1   </v>
          </cell>
        </row>
        <row r="153">
          <cell r="A153" t="str">
            <v>610.2</v>
          </cell>
          <cell r="B153" t="str">
            <v>RELLENOS CON MATERIAL FILTRANTE</v>
          </cell>
          <cell r="C153" t="str">
            <v>M³</v>
          </cell>
          <cell r="D153">
            <v>83732</v>
          </cell>
          <cell r="E153" t="str">
            <v>3.6.6.2.4.</v>
          </cell>
          <cell r="F153" t="str">
            <v>3.6.6.2.4</v>
          </cell>
        </row>
        <row r="154">
          <cell r="A154" t="str">
            <v>620-07</v>
          </cell>
          <cell r="B154" t="str">
            <v>PILOTES PREFABRICADOS DE CONCRETO</v>
          </cell>
          <cell r="E154" t="str">
            <v>3.6.6.3.</v>
          </cell>
          <cell r="F154" t="e">
            <v>#N/A</v>
          </cell>
        </row>
        <row r="155">
          <cell r="A155" t="str">
            <v>620.1</v>
          </cell>
          <cell r="B155" t="str">
            <v>PILOTES PREFABRICADOS DE CONCRETO</v>
          </cell>
          <cell r="C155" t="str">
            <v>ML</v>
          </cell>
          <cell r="D155">
            <v>268486</v>
          </cell>
          <cell r="E155" t="str">
            <v>3.6.6.3.1.</v>
          </cell>
          <cell r="F155" t="str">
            <v>3.6.6.3.1</v>
          </cell>
        </row>
        <row r="156">
          <cell r="A156" t="str">
            <v>620.2</v>
          </cell>
          <cell r="B156" t="str">
            <v>EXTENSION DE PILOTES PREFABRICADOS</v>
          </cell>
          <cell r="C156" t="str">
            <v>ML</v>
          </cell>
          <cell r="D156">
            <v>295136</v>
          </cell>
          <cell r="E156" t="str">
            <v>3.6.6.3.2.</v>
          </cell>
          <cell r="F156" t="str">
            <v>3.6.6.3.2</v>
          </cell>
        </row>
        <row r="157">
          <cell r="A157" t="str">
            <v>620.3</v>
          </cell>
          <cell r="B157" t="str">
            <v>PRUEBA DE CARGA DE PILOTE PREFABRICADO</v>
          </cell>
          <cell r="C157" t="str">
            <v>Un</v>
          </cell>
          <cell r="D157">
            <v>111556</v>
          </cell>
          <cell r="E157" t="str">
            <v>3.6.6.3.3</v>
          </cell>
          <cell r="F157" t="str">
            <v>3.6.6.4.6</v>
          </cell>
        </row>
        <row r="158">
          <cell r="A158" t="str">
            <v>621-07</v>
          </cell>
          <cell r="B158" t="str">
            <v>PILOTES PREEXCAVADOS</v>
          </cell>
          <cell r="E158" t="str">
            <v>3.6.6.4.</v>
          </cell>
          <cell r="F158" t="e">
            <v>#N/A</v>
          </cell>
        </row>
        <row r="159">
          <cell r="A159" t="str">
            <v>621.1</v>
          </cell>
          <cell r="B159" t="str">
            <v>PILOTE DE CONCRETO FUNDIDO EN SITIO D=1M L=15M</v>
          </cell>
          <cell r="C159" t="str">
            <v>ML</v>
          </cell>
          <cell r="D159">
            <v>1610080</v>
          </cell>
          <cell r="E159" t="str">
            <v>3.6.6.4.1.</v>
          </cell>
          <cell r="F159" t="str">
            <v>3.6.6.4.1</v>
          </cell>
        </row>
        <row r="160">
          <cell r="A160" t="str">
            <v>621.2</v>
          </cell>
          <cell r="B160" t="str">
            <v>BASE ACAMPANADA FUNDIDA EN SITIO</v>
          </cell>
          <cell r="C160" t="str">
            <v>M³</v>
          </cell>
          <cell r="D160">
            <v>1390956</v>
          </cell>
          <cell r="E160" t="str">
            <v>3.6.6.4.2.</v>
          </cell>
          <cell r="F160" t="str">
            <v>3.6.6.4.2</v>
          </cell>
        </row>
        <row r="161">
          <cell r="A161" t="str">
            <v>621.3</v>
          </cell>
          <cell r="B161" t="str">
            <v>PILOTE DE PRUEBA (EN SITIO)</v>
          </cell>
          <cell r="C161" t="str">
            <v>ML</v>
          </cell>
          <cell r="D161">
            <v>0</v>
          </cell>
          <cell r="E161" t="str">
            <v>3.6.6.4.3.</v>
          </cell>
          <cell r="F161" t="str">
            <v>3.6.6.4.3</v>
          </cell>
        </row>
        <row r="162">
          <cell r="A162" t="str">
            <v>621.4</v>
          </cell>
          <cell r="B162" t="str">
            <v>BASE ACAMPANADA DE PRUEBA (EN SITIO)</v>
          </cell>
          <cell r="C162" t="str">
            <v>M³</v>
          </cell>
          <cell r="D162">
            <v>0</v>
          </cell>
          <cell r="E162" t="str">
            <v>3.6.6.4.4.</v>
          </cell>
          <cell r="F162" t="str">
            <v xml:space="preserve"> 3.6.6.4.4</v>
          </cell>
        </row>
        <row r="163">
          <cell r="A163" t="str">
            <v>621.5</v>
          </cell>
          <cell r="B163" t="str">
            <v>CAMISA PERMANENTE DE DIAMETRO EXTERIOR</v>
          </cell>
          <cell r="C163" t="str">
            <v>ML</v>
          </cell>
          <cell r="D163">
            <v>3022916</v>
          </cell>
          <cell r="E163" t="str">
            <v>3.6.6.4.5.</v>
          </cell>
          <cell r="F163" t="str">
            <v>3.6.6.5.5</v>
          </cell>
        </row>
        <row r="164">
          <cell r="A164" t="str">
            <v>621.5P</v>
          </cell>
          <cell r="B164" t="str">
            <v>CAMISA PERMANENTE DE DIAMETRO INTERIOR D=1M EN CONCRETO</v>
          </cell>
          <cell r="C164" t="str">
            <v>ML</v>
          </cell>
          <cell r="D164">
            <v>167682</v>
          </cell>
          <cell r="F164" t="str">
            <v>3.6.6.4.5</v>
          </cell>
        </row>
        <row r="165">
          <cell r="A165" t="str">
            <v>621.6</v>
          </cell>
          <cell r="B165" t="str">
            <v>PRUEBA DE CARGA DE PILOTE FUNDIDO EN SITIO</v>
          </cell>
          <cell r="C165" t="str">
            <v>U</v>
          </cell>
          <cell r="D165">
            <v>110628933</v>
          </cell>
          <cell r="E165" t="str">
            <v>3.6.6.4.6.</v>
          </cell>
          <cell r="F165" t="str">
            <v xml:space="preserve"> 3.6.6.4.6 </v>
          </cell>
        </row>
        <row r="166">
          <cell r="A166" t="str">
            <v>622-07</v>
          </cell>
          <cell r="B166" t="str">
            <v>TABLESTACADOS</v>
          </cell>
          <cell r="E166" t="str">
            <v>3.6.6.5.</v>
          </cell>
          <cell r="F166" t="e">
            <v>#N/A</v>
          </cell>
        </row>
        <row r="167">
          <cell r="A167" t="str">
            <v>622.1</v>
          </cell>
          <cell r="B167" t="str">
            <v>TABLESTACADO DE MADERA</v>
          </cell>
          <cell r="C167" t="str">
            <v>M²</v>
          </cell>
          <cell r="D167">
            <v>56349</v>
          </cell>
          <cell r="E167" t="str">
            <v>3.6.6.5.1.</v>
          </cell>
          <cell r="F167" t="str">
            <v>3.6.6.5.1</v>
          </cell>
        </row>
        <row r="168">
          <cell r="A168" t="str">
            <v>622.2</v>
          </cell>
          <cell r="B168" t="str">
            <v>TABLESTACADO METALICO</v>
          </cell>
          <cell r="C168" t="str">
            <v>M²</v>
          </cell>
          <cell r="D168">
            <v>127488</v>
          </cell>
          <cell r="E168" t="str">
            <v>3.6.6.5.3.</v>
          </cell>
          <cell r="F168" t="str">
            <v>3.6.6.5.3</v>
          </cell>
        </row>
        <row r="169">
          <cell r="A169" t="str">
            <v>622.3</v>
          </cell>
          <cell r="B169" t="str">
            <v>TABLESTACADO DE CONCRETO REFORZADO</v>
          </cell>
          <cell r="C169" t="str">
            <v>M²</v>
          </cell>
          <cell r="D169">
            <v>54513</v>
          </cell>
          <cell r="E169" t="str">
            <v>3.6.6.5.2.</v>
          </cell>
          <cell r="F169" t="str">
            <v>3.6.6.5.2</v>
          </cell>
        </row>
        <row r="170">
          <cell r="A170" t="str">
            <v>622.4</v>
          </cell>
          <cell r="B170" t="str">
            <v>TABLESTACADO DE CONCRETO PREESFORZADO</v>
          </cell>
          <cell r="C170" t="str">
            <v>M²</v>
          </cell>
          <cell r="D170">
            <v>59632</v>
          </cell>
          <cell r="E170" t="str">
            <v>3.6.6.5.4.</v>
          </cell>
          <cell r="F170" t="str">
            <v>3.6.6.5.4 </v>
          </cell>
        </row>
        <row r="171">
          <cell r="A171" t="str">
            <v>622.5</v>
          </cell>
          <cell r="B171" t="str">
            <v>CORTE DEL EXTREMO SUPERIOR DEL ELEMENTO</v>
          </cell>
          <cell r="C171" t="str">
            <v>ML</v>
          </cell>
          <cell r="D171">
            <v>34261.624130793462</v>
          </cell>
          <cell r="E171" t="str">
            <v>3.6.6.5.5.</v>
          </cell>
          <cell r="F171" t="str">
            <v>3.6.6.5.5</v>
          </cell>
        </row>
        <row r="172">
          <cell r="A172" t="str">
            <v>630-07</v>
          </cell>
          <cell r="B172" t="str">
            <v>CONCRETO ESTRUCTURAL</v>
          </cell>
          <cell r="E172" t="str">
            <v>3.6.6.6.</v>
          </cell>
          <cell r="F172" t="e">
            <v>#N/A</v>
          </cell>
        </row>
        <row r="173">
          <cell r="A173" t="str">
            <v>630.1</v>
          </cell>
          <cell r="B173" t="str">
            <v>CONCRETO CLASE A</v>
          </cell>
          <cell r="C173" t="str">
            <v>M³</v>
          </cell>
          <cell r="D173">
            <v>927536</v>
          </cell>
          <cell r="E173" t="str">
            <v>3.6.6.6.8.</v>
          </cell>
          <cell r="F173" t="str">
            <v>3.6.6.6.8</v>
          </cell>
        </row>
        <row r="174">
          <cell r="A174" t="str">
            <v>630.2</v>
          </cell>
          <cell r="B174" t="str">
            <v>CONCRETO CLASE B</v>
          </cell>
          <cell r="C174" t="str">
            <v>M³</v>
          </cell>
          <cell r="D174">
            <v>902927</v>
          </cell>
          <cell r="E174" t="str">
            <v>3.6.6.6.17.</v>
          </cell>
          <cell r="F174" t="str">
            <v>3.6.6.6.17</v>
          </cell>
        </row>
        <row r="175">
          <cell r="A175" t="str">
            <v>630.3</v>
          </cell>
          <cell r="B175" t="str">
            <v>CONCRETO CLASE C</v>
          </cell>
          <cell r="C175" t="str">
            <v>M³</v>
          </cell>
          <cell r="D175">
            <v>629983</v>
          </cell>
          <cell r="E175" t="str">
            <v>3.6.6.6.26.</v>
          </cell>
          <cell r="F175" t="str">
            <v xml:space="preserve"> 3.6.6.6.26</v>
          </cell>
        </row>
        <row r="176">
          <cell r="A176" t="str">
            <v>630.4</v>
          </cell>
          <cell r="B176" t="str">
            <v>CONCRETO CLASE D</v>
          </cell>
          <cell r="C176" t="str">
            <v>M³</v>
          </cell>
          <cell r="D176">
            <v>423970</v>
          </cell>
          <cell r="E176" t="str">
            <v>3.6.6.6.35.</v>
          </cell>
          <cell r="F176" t="str">
            <v xml:space="preserve">3.6.6.6.35 </v>
          </cell>
        </row>
        <row r="177">
          <cell r="A177" t="str">
            <v>630.5</v>
          </cell>
          <cell r="B177" t="str">
            <v>CONCRETO CLASE E</v>
          </cell>
          <cell r="C177" t="str">
            <v>M³</v>
          </cell>
          <cell r="D177">
            <v>387243</v>
          </cell>
          <cell r="E177" t="str">
            <v>3.6.6.6.44.</v>
          </cell>
          <cell r="F177" t="str">
            <v>3.6.6.6.44</v>
          </cell>
        </row>
        <row r="178">
          <cell r="A178" t="str">
            <v>630.6</v>
          </cell>
          <cell r="B178" t="str">
            <v>CONCRETO CLASE F</v>
          </cell>
          <cell r="C178" t="str">
            <v>M³</v>
          </cell>
          <cell r="D178">
            <v>363644</v>
          </cell>
          <cell r="E178" t="str">
            <v>3.6.6.6.46.</v>
          </cell>
          <cell r="F178" t="str">
            <v>3.6.6.6.46</v>
          </cell>
        </row>
        <row r="179">
          <cell r="A179" t="str">
            <v>630.7</v>
          </cell>
          <cell r="B179" t="str">
            <v>CONCRETO CLASE G</v>
          </cell>
          <cell r="C179" t="str">
            <v>M³</v>
          </cell>
          <cell r="D179">
            <v>303959</v>
          </cell>
          <cell r="E179" t="str">
            <v>3.6.6.6.47.</v>
          </cell>
          <cell r="F179" t="str">
            <v>3.6.6.6.47</v>
          </cell>
        </row>
        <row r="180">
          <cell r="A180" t="str">
            <v>630P</v>
          </cell>
          <cell r="B180" t="str">
            <v>MORTERO 1.3</v>
          </cell>
          <cell r="C180" t="str">
            <v>M³</v>
          </cell>
          <cell r="D180">
            <v>249857</v>
          </cell>
          <cell r="F180" t="str">
            <v>3.3.5.3.6</v>
          </cell>
        </row>
        <row r="181">
          <cell r="A181" t="str">
            <v>631P</v>
          </cell>
          <cell r="B181" t="str">
            <v>BOLSACRETOS</v>
          </cell>
          <cell r="C181" t="str">
            <v>M³</v>
          </cell>
          <cell r="D181">
            <v>452582</v>
          </cell>
          <cell r="E181" t="str">
            <v>3.6.6.21.2.</v>
          </cell>
          <cell r="F181" t="str">
            <v>3.6.6.21.2</v>
          </cell>
        </row>
        <row r="182">
          <cell r="A182" t="str">
            <v>632-07</v>
          </cell>
          <cell r="B182" t="str">
            <v>BARANDAS DE CONCRETO</v>
          </cell>
          <cell r="E182" t="str">
            <v>3.6.6.7.</v>
          </cell>
          <cell r="F182" t="e">
            <v>#N/A</v>
          </cell>
        </row>
        <row r="183">
          <cell r="A183" t="str">
            <v>632.1</v>
          </cell>
          <cell r="B183" t="str">
            <v>BARANDA DE CONCRETO (1,2*0.2)</v>
          </cell>
          <cell r="C183" t="str">
            <v>ML</v>
          </cell>
          <cell r="D183">
            <v>321752</v>
          </cell>
          <cell r="E183" t="str">
            <v>3.6.6.7.1.</v>
          </cell>
          <cell r="F183" t="str">
            <v>3.6.6.7.1</v>
          </cell>
        </row>
        <row r="184">
          <cell r="A184" t="str">
            <v>632P</v>
          </cell>
          <cell r="B184" t="str">
            <v>BARANDA METALICA</v>
          </cell>
          <cell r="C184" t="str">
            <v>ML</v>
          </cell>
          <cell r="D184">
            <v>466362</v>
          </cell>
          <cell r="E184" t="str">
            <v>3.6.6.7.2.</v>
          </cell>
          <cell r="F184" t="str">
            <v>3.6.6.11</v>
          </cell>
        </row>
        <row r="185">
          <cell r="A185" t="str">
            <v>640-07</v>
          </cell>
          <cell r="B185" t="str">
            <v>ACERO DE REFUERZO</v>
          </cell>
          <cell r="E185" t="str">
            <v>3.6.6.8.</v>
          </cell>
          <cell r="F185" t="e">
            <v>#N/A</v>
          </cell>
        </row>
        <row r="186">
          <cell r="A186" t="str">
            <v>640.1</v>
          </cell>
          <cell r="B186" t="str">
            <v>ACERO DE REFUERZO GRADO 60</v>
          </cell>
          <cell r="C186" t="str">
            <v>KG</v>
          </cell>
          <cell r="D186">
            <v>3734</v>
          </cell>
          <cell r="E186" t="str">
            <v>3.6.6.8.3.</v>
          </cell>
          <cell r="F186" t="str">
            <v>3.6.6.8.1 </v>
          </cell>
        </row>
        <row r="187">
          <cell r="A187" t="str">
            <v>642-07</v>
          </cell>
          <cell r="B187" t="str">
            <v>APOYOS Y SELLOS PARA JUNTAS DE PUENTES</v>
          </cell>
          <cell r="E187" t="str">
            <v>3.6.6.10.</v>
          </cell>
          <cell r="F187" t="e">
            <v>#N/A</v>
          </cell>
        </row>
        <row r="188">
          <cell r="A188" t="str">
            <v>642.1</v>
          </cell>
          <cell r="B188" t="str">
            <v>APOYO ELASTOMERICO</v>
          </cell>
          <cell r="C188" t="str">
            <v>U (DM³)</v>
          </cell>
          <cell r="D188">
            <v>396112</v>
          </cell>
          <cell r="E188" t="str">
            <v>3.6.6.10.1.</v>
          </cell>
          <cell r="F188" t="str">
            <v>3.6.6.10.1</v>
          </cell>
        </row>
        <row r="189">
          <cell r="A189" t="str">
            <v>642.2</v>
          </cell>
          <cell r="B189" t="str">
            <v>SELLO PARA JUNTAS DE PUENTES</v>
          </cell>
          <cell r="C189" t="str">
            <v>ML</v>
          </cell>
          <cell r="D189">
            <v>46774</v>
          </cell>
          <cell r="E189" t="str">
            <v>3.6.6.10.2.</v>
          </cell>
          <cell r="F189" t="str">
            <v>3.6.6.10.2</v>
          </cell>
        </row>
        <row r="190">
          <cell r="A190" t="str">
            <v>650-07</v>
          </cell>
          <cell r="B190" t="str">
            <v>ESTRUCTURAS DE ACERO</v>
          </cell>
          <cell r="E190" t="str">
            <v>3.6.6.11.</v>
          </cell>
          <cell r="F190" t="e">
            <v>#N/A</v>
          </cell>
        </row>
        <row r="191">
          <cell r="A191" t="str">
            <v>650.1</v>
          </cell>
          <cell r="B191" t="str">
            <v>DISEÑO Y FABRICACION DE ESTRUCTURA METALICA</v>
          </cell>
          <cell r="C191" t="str">
            <v>KG</v>
          </cell>
          <cell r="D191">
            <v>0</v>
          </cell>
          <cell r="F191" t="str">
            <v>3.6.6.11.1</v>
          </cell>
        </row>
        <row r="192">
          <cell r="A192" t="str">
            <v>650.2</v>
          </cell>
          <cell r="B192" t="str">
            <v>FABRICACION DE LA ESTRUCTURA METALICA</v>
          </cell>
          <cell r="C192" t="str">
            <v>KG</v>
          </cell>
          <cell r="D192">
            <v>6543</v>
          </cell>
          <cell r="E192" t="str">
            <v>3.6.6.11.2.</v>
          </cell>
          <cell r="F192" t="str">
            <v>3.6.6.11.2</v>
          </cell>
        </row>
        <row r="193">
          <cell r="A193" t="str">
            <v>650.3</v>
          </cell>
          <cell r="B193" t="str">
            <v>TRANSPORTE DE LA ESTRUCTURA METALICA</v>
          </cell>
          <cell r="C193" t="str">
            <v>KG</v>
          </cell>
          <cell r="D193">
            <v>182</v>
          </cell>
          <cell r="E193" t="str">
            <v>3.6.6.11.7.</v>
          </cell>
          <cell r="F193" t="str">
            <v>3.6.6.11.7</v>
          </cell>
        </row>
        <row r="194">
          <cell r="A194" t="str">
            <v>650.4</v>
          </cell>
          <cell r="B194" t="str">
            <v>MONTAJE Y PINTURA DE ESTRUCTURA METALICA</v>
          </cell>
          <cell r="C194" t="str">
            <v>KG</v>
          </cell>
          <cell r="D194">
            <v>1162</v>
          </cell>
          <cell r="E194" t="str">
            <v>3.6.6.11.5.</v>
          </cell>
          <cell r="F194" t="str">
            <v>3.6.6.11.6</v>
          </cell>
        </row>
        <row r="195">
          <cell r="A195" t="str">
            <v>660-07</v>
          </cell>
          <cell r="B195" t="str">
            <v>TUBERIA DE CONCRETO SIMPLE</v>
          </cell>
          <cell r="E195" t="str">
            <v>3.6.6.12.</v>
          </cell>
          <cell r="F195" t="e">
            <v>#N/A</v>
          </cell>
        </row>
        <row r="196">
          <cell r="A196" t="str">
            <v>660.1</v>
          </cell>
          <cell r="B196" t="str">
            <v>TUBERIA DE CONCRETO SIMPLE 450 MM</v>
          </cell>
          <cell r="C196" t="str">
            <v>ML</v>
          </cell>
          <cell r="D196">
            <v>302032</v>
          </cell>
          <cell r="E196" t="str">
            <v>3.6.6.12.7.</v>
          </cell>
          <cell r="F196" t="str">
            <v>3.6.6.12.9 </v>
          </cell>
        </row>
        <row r="197">
          <cell r="A197" t="str">
            <v>660.2</v>
          </cell>
          <cell r="B197" t="str">
            <v>TUBERIA DE CONCRETO SIMPLE 500 MM</v>
          </cell>
          <cell r="C197" t="str">
            <v>ML</v>
          </cell>
          <cell r="D197">
            <v>322317</v>
          </cell>
          <cell r="E197" t="str">
            <v>3.6.6.12.8.</v>
          </cell>
          <cell r="F197" t="str">
            <v>3.6.6.12.8</v>
          </cell>
        </row>
        <row r="198">
          <cell r="A198" t="str">
            <v>660.3</v>
          </cell>
          <cell r="B198" t="str">
            <v>TUBERIA DE CONCRETO SIMPLE 600 MM</v>
          </cell>
          <cell r="C198" t="str">
            <v>ML</v>
          </cell>
          <cell r="D198">
            <v>366079</v>
          </cell>
          <cell r="E198" t="str">
            <v>3.6.6.12.9.</v>
          </cell>
          <cell r="F198" t="str">
            <v>3.6.6.12.9</v>
          </cell>
        </row>
        <row r="199">
          <cell r="A199" t="str">
            <v>661-07</v>
          </cell>
          <cell r="B199" t="str">
            <v>TUBERIA DE CONCRETO REFORZADO</v>
          </cell>
          <cell r="E199" t="str">
            <v>3.6.6.13.</v>
          </cell>
          <cell r="F199" t="e">
            <v>#N/A</v>
          </cell>
        </row>
        <row r="200">
          <cell r="A200" t="str">
            <v>661.1</v>
          </cell>
          <cell r="B200" t="str">
            <v>TUBERIA DE CONCRETO REFORZADO 900 MM TIPO I</v>
          </cell>
          <cell r="C200" t="str">
            <v>ML</v>
          </cell>
          <cell r="D200">
            <v>550985</v>
          </cell>
          <cell r="E200" t="str">
            <v>3.6.6.13.4.</v>
          </cell>
          <cell r="F200" t="str">
            <v>3.6.6.13.4</v>
          </cell>
        </row>
        <row r="201">
          <cell r="A201" t="str">
            <v>662-07</v>
          </cell>
          <cell r="B201" t="str">
            <v>TUBERIA METALICA CORRUGADA</v>
          </cell>
          <cell r="E201" t="str">
            <v>3.6.6.14.</v>
          </cell>
          <cell r="F201" t="e">
            <v>#N/A</v>
          </cell>
        </row>
        <row r="202">
          <cell r="A202" t="str">
            <v>662.1</v>
          </cell>
          <cell r="B202" t="str">
            <v>TUBERIA CORRUGADA DE ACERO GALVANIZADO</v>
          </cell>
          <cell r="C202" t="str">
            <v>ML</v>
          </cell>
          <cell r="D202">
            <v>475367</v>
          </cell>
          <cell r="E202" t="str">
            <v>3.6.6.14.96.</v>
          </cell>
          <cell r="F202" t="str">
            <v>3.3.14.19.1</v>
          </cell>
        </row>
        <row r="203">
          <cell r="A203" t="str">
            <v>662.2</v>
          </cell>
          <cell r="B203" t="str">
            <v>TUBERIA CORRUGADA DE ACERO CON RECUBRIMIENTO</v>
          </cell>
          <cell r="C203" t="str">
            <v>ML</v>
          </cell>
          <cell r="D203">
            <v>514367</v>
          </cell>
          <cell r="F203" t="str">
            <v>3.6.6.14</v>
          </cell>
        </row>
        <row r="204">
          <cell r="A204" t="str">
            <v>670-07</v>
          </cell>
          <cell r="B204" t="str">
            <v>DISIPADORES DE ENERGIA Y SEDIMENTADORES</v>
          </cell>
          <cell r="E204" t="str">
            <v>3.6.6.15.</v>
          </cell>
          <cell r="F204" t="e">
            <v>#N/A</v>
          </cell>
        </row>
        <row r="205">
          <cell r="A205" t="str">
            <v>670.1</v>
          </cell>
          <cell r="B205" t="str">
            <v>DISIPADOR DE ENERGIA Y SEDIMENTADOR EN GAVIONES (con recubrimiento)</v>
          </cell>
          <cell r="C205" t="str">
            <v>M³</v>
          </cell>
          <cell r="D205">
            <v>276987</v>
          </cell>
          <cell r="E205" t="str">
            <v>3.6.6.15.1.</v>
          </cell>
          <cell r="F205" t="str">
            <v>3.6.6.15.2</v>
          </cell>
        </row>
        <row r="206">
          <cell r="A206" t="str">
            <v>670.2</v>
          </cell>
          <cell r="B206" t="str">
            <v>DISIPADOR DE ENERGIA Y SEDIMENTADOR EN CONCRETO CICLOPEO</v>
          </cell>
          <cell r="C206" t="str">
            <v>M³</v>
          </cell>
          <cell r="D206">
            <v>357964</v>
          </cell>
          <cell r="E206" t="str">
            <v>3.6.6.15.2.</v>
          </cell>
          <cell r="F206" t="str">
            <v>3.6.6.15.2</v>
          </cell>
        </row>
        <row r="207">
          <cell r="A207" t="str">
            <v>671-07</v>
          </cell>
          <cell r="B207" t="str">
            <v>CUNETAS REVESTIDAS EN CONCRETO</v>
          </cell>
          <cell r="E207" t="str">
            <v>3.6.6.16.</v>
          </cell>
          <cell r="F207" t="e">
            <v>#N/A</v>
          </cell>
        </row>
        <row r="208">
          <cell r="A208" t="str">
            <v>671.1</v>
          </cell>
          <cell r="B208" t="str">
            <v>CUNETA DE CONCRETO FUNDIDAD EN EL LUGAR</v>
          </cell>
          <cell r="C208" t="str">
            <v>M³</v>
          </cell>
          <cell r="D208">
            <v>436481</v>
          </cell>
          <cell r="E208" t="str">
            <v>3.6.6.16.12.</v>
          </cell>
          <cell r="F208" t="str">
            <v>3.6.6.16.1</v>
          </cell>
        </row>
        <row r="209">
          <cell r="A209" t="str">
            <v>672-07</v>
          </cell>
          <cell r="B209" t="str">
            <v>BORDILLOS DE CONCRETO</v>
          </cell>
          <cell r="E209" t="str">
            <v>3.6.6.17.</v>
          </cell>
          <cell r="F209" t="e">
            <v>#N/A</v>
          </cell>
        </row>
        <row r="210">
          <cell r="A210" t="str">
            <v>672.1</v>
          </cell>
          <cell r="B210" t="str">
            <v>BORDILLO DE CONCRETO</v>
          </cell>
          <cell r="C210" t="str">
            <v>ML</v>
          </cell>
          <cell r="D210">
            <v>52441</v>
          </cell>
          <cell r="E210" t="str">
            <v>3.6.6.17.1.</v>
          </cell>
          <cell r="F210" t="str">
            <v>3.6.6.19.2</v>
          </cell>
        </row>
        <row r="211">
          <cell r="A211" t="str">
            <v>673-07</v>
          </cell>
          <cell r="B211" t="str">
            <v>SUBDRENES CON GEOTEXTIL Y MATERIAL GRANULAR</v>
          </cell>
          <cell r="E211" t="str">
            <v>3.6.6.19.</v>
          </cell>
          <cell r="F211" t="e">
            <v>#N/A</v>
          </cell>
        </row>
        <row r="212">
          <cell r="A212" t="str">
            <v>673.1</v>
          </cell>
          <cell r="B212" t="str">
            <v>MATERIAL GRANULAR FILTRANTE</v>
          </cell>
          <cell r="C212" t="str">
            <v>M³</v>
          </cell>
          <cell r="D212">
            <v>88034</v>
          </cell>
          <cell r="E212" t="str">
            <v>3.6.6.19.1.</v>
          </cell>
          <cell r="F212" t="str">
            <v>3.6.6.19.2</v>
          </cell>
        </row>
        <row r="213">
          <cell r="A213" t="str">
            <v>673.2</v>
          </cell>
          <cell r="B213" t="str">
            <v>GEOTEXTIL</v>
          </cell>
          <cell r="C213" t="str">
            <v>M²</v>
          </cell>
          <cell r="D213">
            <v>6746</v>
          </cell>
          <cell r="E213" t="str">
            <v>3.6.8.2.1.</v>
          </cell>
          <cell r="F213" t="str">
            <v>3.6.8.1.2</v>
          </cell>
        </row>
        <row r="214">
          <cell r="A214" t="str">
            <v>673.3</v>
          </cell>
          <cell r="B214" t="str">
            <v>MATERIAL DE COBERTURA</v>
          </cell>
          <cell r="C214" t="str">
            <v>M³</v>
          </cell>
          <cell r="D214">
            <v>74123</v>
          </cell>
          <cell r="F214" t="str">
            <v>3.6.8.1.2</v>
          </cell>
        </row>
        <row r="215">
          <cell r="A215" t="str">
            <v>674-07</v>
          </cell>
          <cell r="B215" t="str">
            <v>DRENES HORIZONTALES EN TALUDES</v>
          </cell>
          <cell r="F215" t="e">
            <v>#N/A</v>
          </cell>
        </row>
        <row r="216">
          <cell r="A216" t="str">
            <v>674.1</v>
          </cell>
          <cell r="B216" t="str">
            <v>DRENES HORIZONTALES TUBERIA PERFORADA 2"</v>
          </cell>
          <cell r="C216" t="str">
            <v>ML</v>
          </cell>
          <cell r="D216">
            <v>26209</v>
          </cell>
          <cell r="F216" t="str">
            <v>3.6.6.20.1</v>
          </cell>
        </row>
        <row r="217">
          <cell r="A217" t="str">
            <v>680-07</v>
          </cell>
          <cell r="B217" t="str">
            <v>TIERRA ARMADA</v>
          </cell>
          <cell r="E217" t="str">
            <v>3.6.6.20.</v>
          </cell>
          <cell r="F217" t="e">
            <v>#N/A</v>
          </cell>
        </row>
        <row r="218">
          <cell r="A218" t="str">
            <v>680.1</v>
          </cell>
          <cell r="B218" t="str">
            <v>ESCAMAS EN CONCRETO</v>
          </cell>
          <cell r="C218" t="str">
            <v>M²</v>
          </cell>
          <cell r="D218">
            <v>305285</v>
          </cell>
          <cell r="E218" t="str">
            <v>3.6.6.20.1.</v>
          </cell>
          <cell r="F218" t="str">
            <v>3.6.6.20.1</v>
          </cell>
        </row>
        <row r="219">
          <cell r="A219" t="str">
            <v>680.2</v>
          </cell>
          <cell r="B219" t="str">
            <v>ARMADURA GALVANIZADA</v>
          </cell>
          <cell r="C219" t="str">
            <v>ML</v>
          </cell>
          <cell r="D219">
            <v>0</v>
          </cell>
          <cell r="E219" t="str">
            <v>3.6.6.20.2.</v>
          </cell>
          <cell r="F219" t="str">
            <v>3.6.6.20.2</v>
          </cell>
        </row>
        <row r="220">
          <cell r="A220" t="str">
            <v>680.3</v>
          </cell>
          <cell r="B220" t="str">
            <v>RELLENO GRANULAR PARA TIERRA ARMADA</v>
          </cell>
          <cell r="C220" t="str">
            <v>M3</v>
          </cell>
          <cell r="D220">
            <v>37503</v>
          </cell>
          <cell r="E220" t="str">
            <v>3.6.6.20.3.</v>
          </cell>
          <cell r="F220" t="str">
            <v>3.6.6.20.3</v>
          </cell>
        </row>
        <row r="221">
          <cell r="A221" t="str">
            <v>680.4P</v>
          </cell>
          <cell r="B221" t="str">
            <v>EMPEDRADO PARA TALUDES</v>
          </cell>
          <cell r="C221" t="str">
            <v>M²</v>
          </cell>
          <cell r="D221">
            <v>42571</v>
          </cell>
          <cell r="F221" t="e">
            <v>#N/A</v>
          </cell>
        </row>
        <row r="222">
          <cell r="A222" t="str">
            <v>681-07</v>
          </cell>
          <cell r="B222" t="str">
            <v>GAVIONES</v>
          </cell>
          <cell r="E222" t="str">
            <v>3.6.6.21.</v>
          </cell>
          <cell r="F222" t="e">
            <v>#N/A</v>
          </cell>
        </row>
        <row r="223">
          <cell r="A223" t="str">
            <v>681.1</v>
          </cell>
          <cell r="B223" t="str">
            <v>GAVION</v>
          </cell>
          <cell r="C223" t="str">
            <v>M3</v>
          </cell>
          <cell r="D223">
            <v>197907</v>
          </cell>
          <cell r="E223" t="str">
            <v>3.6.6.21.1.</v>
          </cell>
          <cell r="F223" t="str">
            <v xml:space="preserve">3.6.6.21.1  </v>
          </cell>
        </row>
        <row r="224">
          <cell r="A224" t="str">
            <v>700-07</v>
          </cell>
          <cell r="B224" t="str">
            <v>LINEAS DE DEMARCACION Y MARCAS VIALES</v>
          </cell>
          <cell r="E224" t="str">
            <v>3.6.7.1.</v>
          </cell>
          <cell r="F224" t="e">
            <v>#N/A</v>
          </cell>
        </row>
        <row r="225">
          <cell r="A225" t="str">
            <v>700.1</v>
          </cell>
          <cell r="B225" t="str">
            <v>LINEA DE DEMARCACION CON PINTURA EN FRIO</v>
          </cell>
          <cell r="C225" t="str">
            <v>ML</v>
          </cell>
          <cell r="D225">
            <v>1783</v>
          </cell>
          <cell r="E225" t="str">
            <v>3.6.7.1.3.</v>
          </cell>
          <cell r="F225" t="str">
            <v>3.6.7.1.1</v>
          </cell>
        </row>
        <row r="226">
          <cell r="A226" t="str">
            <v>700.3</v>
          </cell>
          <cell r="B226" t="str">
            <v>MARCA VIAL CON PINTURA EN FRIO</v>
          </cell>
          <cell r="C226" t="str">
            <v>M²</v>
          </cell>
          <cell r="D226">
            <v>18593</v>
          </cell>
          <cell r="E226" t="str">
            <v>3.6.7.1.4.</v>
          </cell>
          <cell r="F226" t="str">
            <v> 3.6.7.1.2</v>
          </cell>
        </row>
        <row r="227">
          <cell r="A227" t="str">
            <v>700P</v>
          </cell>
          <cell r="B227" t="str">
            <v>BANDAS SONORAS REDUCTORAS DE VELOCIDAD</v>
          </cell>
          <cell r="C227" t="str">
            <v>M²</v>
          </cell>
          <cell r="D227">
            <v>307350.875</v>
          </cell>
          <cell r="E227" t="str">
            <v>3.6.7.1.</v>
          </cell>
          <cell r="F227" t="str">
            <v>3.6.7</v>
          </cell>
        </row>
        <row r="228">
          <cell r="A228" t="str">
            <v>701-07</v>
          </cell>
          <cell r="B228" t="str">
            <v>TACHAS REFLECTIVAS</v>
          </cell>
          <cell r="E228" t="str">
            <v>3.6.7.2.</v>
          </cell>
          <cell r="F228" t="e">
            <v>#N/A</v>
          </cell>
        </row>
        <row r="229">
          <cell r="A229" t="str">
            <v>701.1</v>
          </cell>
          <cell r="B229" t="str">
            <v>TACHA REFLECTIVA</v>
          </cell>
          <cell r="C229" t="str">
            <v>U</v>
          </cell>
          <cell r="D229">
            <v>12180</v>
          </cell>
          <cell r="E229" t="str">
            <v>3.6.7.2.1.</v>
          </cell>
          <cell r="F229" t="str">
            <v>3.6.7.2.1</v>
          </cell>
        </row>
        <row r="230">
          <cell r="A230" t="str">
            <v>710-07</v>
          </cell>
          <cell r="B230" t="str">
            <v>SEÑALES VERTICALES DE TRANSITO</v>
          </cell>
          <cell r="E230" t="str">
            <v>3.6.7.3.</v>
          </cell>
          <cell r="F230" t="e">
            <v>#N/A</v>
          </cell>
        </row>
        <row r="231">
          <cell r="A231" t="str">
            <v>710.1</v>
          </cell>
          <cell r="B231" t="str">
            <v>SEÑALES DE TRANSITO GRUPO 1 (75*75)</v>
          </cell>
          <cell r="C231" t="str">
            <v>U</v>
          </cell>
          <cell r="D231">
            <v>398785</v>
          </cell>
          <cell r="E231" t="str">
            <v>3.6.7.3.13.</v>
          </cell>
          <cell r="F231" t="str">
            <v>3.6.7.3.13</v>
          </cell>
        </row>
        <row r="232">
          <cell r="A232" t="str">
            <v>710.2</v>
          </cell>
          <cell r="B232" t="str">
            <v>SEÑALES DE TRANSITO GRUPO 2 (1.20*0.4)</v>
          </cell>
          <cell r="C232" t="str">
            <v>U</v>
          </cell>
          <cell r="D232">
            <v>371981</v>
          </cell>
          <cell r="E232" t="str">
            <v>3.6.7.3.15.</v>
          </cell>
          <cell r="F232" t="str">
            <v>3.6.7.3</v>
          </cell>
        </row>
        <row r="233">
          <cell r="A233" t="str">
            <v>710.3</v>
          </cell>
          <cell r="B233" t="str">
            <v>SEÑALES DE TRANSITO GRUPO 3 (SP-54 LA FERREA)</v>
          </cell>
          <cell r="C233" t="str">
            <v>U</v>
          </cell>
          <cell r="D233">
            <v>504782</v>
          </cell>
          <cell r="E233" t="str">
            <v>3.6.7.3.</v>
          </cell>
          <cell r="F233" t="str">
            <v>3.6.7.3</v>
          </cell>
        </row>
        <row r="234">
          <cell r="A234" t="str">
            <v>710.4</v>
          </cell>
          <cell r="B234" t="str">
            <v>SEÑALES DE TRANSITO GRUPO 4 (DELINEADORES DE CURVA)</v>
          </cell>
          <cell r="C234" t="str">
            <v>U</v>
          </cell>
          <cell r="D234">
            <v>353592</v>
          </cell>
          <cell r="E234" t="str">
            <v>3.6.7.3.</v>
          </cell>
          <cell r="F234" t="str">
            <v>3.6.7.3</v>
          </cell>
        </row>
        <row r="235">
          <cell r="A235" t="str">
            <v>710.5</v>
          </cell>
          <cell r="B235" t="str">
            <v>SEÑALES DE TRANSITO GRUPO 5 (INFORMATIVAS)</v>
          </cell>
          <cell r="C235" t="str">
            <v>M²</v>
          </cell>
          <cell r="D235">
            <v>545004</v>
          </cell>
          <cell r="E235" t="str">
            <v>3.6.7.3.</v>
          </cell>
          <cell r="F235" t="str">
            <v>3.6.7.3</v>
          </cell>
        </row>
        <row r="236">
          <cell r="A236" t="str">
            <v>720-07</v>
          </cell>
          <cell r="B236" t="str">
            <v>POSTES DE REFERENCIAS</v>
          </cell>
          <cell r="E236" t="str">
            <v>3.6.7.4.</v>
          </cell>
          <cell r="F236" t="e">
            <v>#N/A</v>
          </cell>
        </row>
        <row r="237">
          <cell r="A237" t="str">
            <v>720.1</v>
          </cell>
          <cell r="B237" t="str">
            <v>POSTE DE REFERENCIA</v>
          </cell>
          <cell r="C237" t="str">
            <v>U</v>
          </cell>
          <cell r="D237">
            <v>120319</v>
          </cell>
          <cell r="E237" t="str">
            <v>3.6.7.4.1.</v>
          </cell>
          <cell r="F237" t="str">
            <v>3.6.7.4.1</v>
          </cell>
        </row>
        <row r="238">
          <cell r="A238" t="str">
            <v>730-07</v>
          </cell>
          <cell r="B238" t="str">
            <v>DEFENSAS METALICAS</v>
          </cell>
          <cell r="E238" t="str">
            <v>3.6.7.5.</v>
          </cell>
          <cell r="F238" t="e">
            <v>#N/A</v>
          </cell>
        </row>
        <row r="239">
          <cell r="A239" t="str">
            <v>730.1</v>
          </cell>
          <cell r="B239" t="str">
            <v>DEFENSA METALICA</v>
          </cell>
          <cell r="C239" t="str">
            <v>ML</v>
          </cell>
          <cell r="D239">
            <v>222551</v>
          </cell>
          <cell r="E239" t="str">
            <v>3.6.7.5.1.</v>
          </cell>
          <cell r="F239" t="str">
            <v>3.6.7.5.1</v>
          </cell>
        </row>
        <row r="240">
          <cell r="A240" t="str">
            <v>730.2</v>
          </cell>
          <cell r="B240" t="str">
            <v>SECCION FINAL</v>
          </cell>
          <cell r="C240" t="str">
            <v>U</v>
          </cell>
          <cell r="D240">
            <v>73570</v>
          </cell>
          <cell r="E240" t="str">
            <v>3.6.7.5.2.</v>
          </cell>
          <cell r="F240" t="str">
            <v>3.6.7.5.2</v>
          </cell>
        </row>
        <row r="241">
          <cell r="A241" t="str">
            <v>740-07</v>
          </cell>
          <cell r="B241" t="str">
            <v>CAPTAFAROS</v>
          </cell>
          <cell r="E241" t="str">
            <v>3.6.7.6.</v>
          </cell>
          <cell r="F241" t="e">
            <v>#N/A</v>
          </cell>
        </row>
        <row r="242">
          <cell r="A242" t="str">
            <v>740.1</v>
          </cell>
          <cell r="B242" t="str">
            <v>CAPTAFAROS</v>
          </cell>
          <cell r="C242" t="str">
            <v>U</v>
          </cell>
          <cell r="D242">
            <v>11917</v>
          </cell>
          <cell r="E242" t="str">
            <v>3.6.7.6.1.</v>
          </cell>
          <cell r="F242" t="str">
            <v>3.6.7.6.1</v>
          </cell>
        </row>
        <row r="243">
          <cell r="A243" t="str">
            <v>800-07</v>
          </cell>
          <cell r="B243" t="str">
            <v>CERCAS DE ALAMBRE</v>
          </cell>
          <cell r="E243" t="str">
            <v>3.6.9.1.</v>
          </cell>
          <cell r="F243" t="e">
            <v>#N/A</v>
          </cell>
        </row>
        <row r="244">
          <cell r="A244" t="str">
            <v>800.1</v>
          </cell>
          <cell r="B244" t="str">
            <v>CERCA DE ALAMBRE DE PUAS CON POSTES DE MADERA</v>
          </cell>
          <cell r="C244" t="str">
            <v>ML</v>
          </cell>
          <cell r="D244">
            <v>11634</v>
          </cell>
          <cell r="E244" t="str">
            <v>3.6.9.1.4.</v>
          </cell>
          <cell r="F244" t="str">
            <v>3.6.9.1.4</v>
          </cell>
        </row>
        <row r="245">
          <cell r="A245" t="str">
            <v>800.2</v>
          </cell>
          <cell r="B245" t="str">
            <v>CERCA DE ALAMBRE DE PUAS CON POSTES DE CONCRETO</v>
          </cell>
          <cell r="C245" t="str">
            <v>ML</v>
          </cell>
          <cell r="D245">
            <v>29616</v>
          </cell>
          <cell r="E245" t="str">
            <v>3.6.9.1.10.</v>
          </cell>
          <cell r="F245" t="str">
            <v>3.6.9.1.10</v>
          </cell>
        </row>
        <row r="246">
          <cell r="A246" t="str">
            <v>800.3</v>
          </cell>
          <cell r="B246" t="str">
            <v>CERCAS DE MALLA CON POSTES DE MADERA</v>
          </cell>
          <cell r="C246" t="str">
            <v>ML</v>
          </cell>
          <cell r="D246">
            <v>31767</v>
          </cell>
          <cell r="E246" t="str">
            <v>3.6.9.1.</v>
          </cell>
          <cell r="F246" t="str">
            <v>3.6.9.1.6</v>
          </cell>
        </row>
        <row r="247">
          <cell r="A247" t="str">
            <v>800.4</v>
          </cell>
          <cell r="B247" t="str">
            <v>CERCAS DE MALLA CON POSTES DE CONCRETO</v>
          </cell>
          <cell r="C247" t="str">
            <v>ML</v>
          </cell>
          <cell r="D247">
            <v>43692</v>
          </cell>
          <cell r="E247" t="str">
            <v>3.6.9.1.28.</v>
          </cell>
          <cell r="F247" t="str">
            <v>3.6.9.1.13</v>
          </cell>
        </row>
        <row r="248">
          <cell r="A248" t="str">
            <v>801-07</v>
          </cell>
          <cell r="B248" t="str">
            <v>MANTENIMIENTO RUTINARIO DE VIAS</v>
          </cell>
          <cell r="F248" t="e">
            <v>#N/A</v>
          </cell>
        </row>
        <row r="249">
          <cell r="A249" t="str">
            <v>801.1</v>
          </cell>
          <cell r="B249" t="str">
            <v>ROCERIA</v>
          </cell>
          <cell r="C249" t="str">
            <v>HA</v>
          </cell>
          <cell r="D249">
            <v>334831</v>
          </cell>
          <cell r="F249" t="str">
            <v>3.6.1.2</v>
          </cell>
        </row>
        <row r="250">
          <cell r="A250" t="str">
            <v>810-07</v>
          </cell>
          <cell r="B250" t="str">
            <v>PROTECCION VEGETAL DE TALUDES</v>
          </cell>
          <cell r="E250" t="str">
            <v>3.6.9.2.</v>
          </cell>
          <cell r="F250" t="e">
            <v>#N/A</v>
          </cell>
        </row>
        <row r="251">
          <cell r="A251" t="str">
            <v>810.1</v>
          </cell>
          <cell r="B251" t="str">
            <v>PROTECCIOON DE TALUDES CON BLOQUES DE CESPED</v>
          </cell>
          <cell r="C251" t="str">
            <v>M²</v>
          </cell>
          <cell r="D251">
            <v>46264</v>
          </cell>
          <cell r="E251" t="str">
            <v>3.6.9.2.1.</v>
          </cell>
          <cell r="F251" t="str">
            <v>3.6.9.2.1</v>
          </cell>
        </row>
        <row r="252">
          <cell r="A252" t="str">
            <v>810.2</v>
          </cell>
          <cell r="B252" t="str">
            <v>PROTECCION DE TALUDES CON TIERRA ORGANICA</v>
          </cell>
          <cell r="C252" t="str">
            <v>M²</v>
          </cell>
          <cell r="D252">
            <v>6459</v>
          </cell>
          <cell r="E252" t="str">
            <v>3.6.9.2.2.</v>
          </cell>
          <cell r="F252" t="str">
            <v>3.6.9.2.2</v>
          </cell>
        </row>
        <row r="253">
          <cell r="A253" t="str">
            <v>815P</v>
          </cell>
          <cell r="B253" t="str">
            <v>ARBORIZACION</v>
          </cell>
          <cell r="C253" t="str">
            <v>U</v>
          </cell>
          <cell r="D253">
            <v>12410</v>
          </cell>
          <cell r="E253" t="str">
            <v>3.6.9.2.</v>
          </cell>
          <cell r="F253" t="str">
            <v>3.2.10.3</v>
          </cell>
        </row>
        <row r="254">
          <cell r="A254" t="str">
            <v>900-07</v>
          </cell>
          <cell r="B254" t="str">
            <v>TRANSPORTE DE MATERIALES PROVENIENTES DE EXCAVACIONES Y DERRUMBES</v>
          </cell>
          <cell r="E254" t="str">
            <v>3.6.9.3.</v>
          </cell>
          <cell r="F254" t="e">
            <v>#N/A</v>
          </cell>
        </row>
        <row r="255">
          <cell r="A255" t="str">
            <v>900.1</v>
          </cell>
          <cell r="B255" t="str">
            <v>TRANSPORTE DE MATERIALES PROVENIENTES DE LA EXPLAN, CANAL, PRESTA ENTRE 100 Y 1000 M</v>
          </cell>
          <cell r="C255" t="str">
            <v>M³-ESTACION</v>
          </cell>
          <cell r="D255">
            <v>845</v>
          </cell>
          <cell r="E255" t="str">
            <v>3.6.9.3.1.</v>
          </cell>
          <cell r="F255" t="str">
            <v xml:space="preserve">3.6.9.3.1   </v>
          </cell>
        </row>
        <row r="256">
          <cell r="A256" t="str">
            <v>900.2</v>
          </cell>
          <cell r="B256" t="str">
            <v>TRANSPORTE DE MATERIALES PROVENIENTES DE LA EXPLAN, CANAL, PRESTA MAYOR A 1000 M</v>
          </cell>
          <cell r="C256" t="str">
            <v>M³-KM</v>
          </cell>
          <cell r="D256">
            <v>1056</v>
          </cell>
          <cell r="F256" t="str">
            <v xml:space="preserve">3.6.9.3.1   </v>
          </cell>
        </row>
        <row r="257">
          <cell r="A257" t="str">
            <v>900.3</v>
          </cell>
          <cell r="B257" t="str">
            <v>TRANSPORTE DE MATERIAL PROVENIENTE DE DERRUMBES</v>
          </cell>
          <cell r="C257" t="str">
            <v>M³-KM</v>
          </cell>
          <cell r="D257">
            <v>1056</v>
          </cell>
          <cell r="F257" t="str">
            <v xml:space="preserve">3.6.9.3.1 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>
        <row r="1">
          <cell r="A1" t="str">
            <v>1P</v>
          </cell>
          <cell r="B1" t="str">
            <v>3.6.9 </v>
          </cell>
        </row>
        <row r="2">
          <cell r="A2" t="str">
            <v>200.1</v>
          </cell>
          <cell r="B2" t="str">
            <v>3.6.1.2.1</v>
          </cell>
        </row>
        <row r="3">
          <cell r="A3" t="str">
            <v>200.2</v>
          </cell>
          <cell r="B3" t="str">
            <v>3.6.1.2.3</v>
          </cell>
        </row>
        <row r="4">
          <cell r="A4" t="str">
            <v>200P1</v>
          </cell>
          <cell r="B4" t="str">
            <v>3.6.1.1.1 </v>
          </cell>
        </row>
        <row r="5">
          <cell r="A5" t="str">
            <v>200P2</v>
          </cell>
          <cell r="B5" t="str">
            <v> 3.6.1.1.2 </v>
          </cell>
        </row>
        <row r="6">
          <cell r="A6" t="str">
            <v>200P3</v>
          </cell>
          <cell r="B6" t="str">
            <v>3.2.1.17.1</v>
          </cell>
        </row>
        <row r="7">
          <cell r="A7" t="str">
            <v>201.1</v>
          </cell>
          <cell r="B7" t="str">
            <v>3.6.1.3.11</v>
          </cell>
        </row>
        <row r="8">
          <cell r="A8" t="str">
            <v>201.10</v>
          </cell>
          <cell r="B8" t="str">
            <v>3.6.1.3.35</v>
          </cell>
        </row>
        <row r="9">
          <cell r="A9" t="str">
            <v>201.11</v>
          </cell>
          <cell r="B9" t="str">
            <v>3.6.1.3</v>
          </cell>
        </row>
        <row r="10">
          <cell r="A10" t="str">
            <v>201.11P10</v>
          </cell>
          <cell r="B10" t="str">
            <v>3.6.1.3</v>
          </cell>
        </row>
        <row r="11">
          <cell r="A11" t="str">
            <v>201.11P7</v>
          </cell>
          <cell r="B11" t="str">
            <v>3.6.1.3</v>
          </cell>
        </row>
        <row r="12">
          <cell r="A12" t="str">
            <v>201.11P8</v>
          </cell>
          <cell r="B12" t="str">
            <v>3.6.1.3</v>
          </cell>
        </row>
        <row r="13">
          <cell r="A13" t="str">
            <v>201.11P9</v>
          </cell>
          <cell r="B13" t="str">
            <v>3.6.1.3</v>
          </cell>
        </row>
        <row r="14">
          <cell r="A14" t="str">
            <v>201.12</v>
          </cell>
          <cell r="B14" t="str">
            <v>3.6.1.3.47</v>
          </cell>
        </row>
        <row r="15">
          <cell r="A15" t="str">
            <v>201.13</v>
          </cell>
          <cell r="B15" t="str">
            <v>3.6.1.3</v>
          </cell>
        </row>
        <row r="16">
          <cell r="A16" t="str">
            <v>201.14</v>
          </cell>
          <cell r="B16" t="str">
            <v>3.6.1.3.9</v>
          </cell>
        </row>
        <row r="17">
          <cell r="A17" t="str">
            <v>201.15</v>
          </cell>
          <cell r="B17" t="str">
            <v>3.6.1.3</v>
          </cell>
        </row>
        <row r="18">
          <cell r="A18" t="str">
            <v>201.16</v>
          </cell>
          <cell r="B18" t="str">
            <v>3.6.1.3</v>
          </cell>
        </row>
        <row r="19">
          <cell r="A19" t="str">
            <v>201.17</v>
          </cell>
          <cell r="B19" t="str">
            <v>3.6.1.3</v>
          </cell>
        </row>
        <row r="20">
          <cell r="A20" t="str">
            <v>201.18</v>
          </cell>
          <cell r="B20" t="str">
            <v>3.6.1.3.1</v>
          </cell>
        </row>
        <row r="21">
          <cell r="A21" t="str">
            <v>201.19</v>
          </cell>
          <cell r="B21" t="str">
            <v>3.6.1.3</v>
          </cell>
        </row>
        <row r="22">
          <cell r="A22" t="str">
            <v>201.2</v>
          </cell>
          <cell r="B22" t="str">
            <v>3.6.1.3.11</v>
          </cell>
        </row>
        <row r="23">
          <cell r="A23" t="str">
            <v>201.20</v>
          </cell>
          <cell r="B23" t="str">
            <v>3.6.1.3</v>
          </cell>
        </row>
        <row r="24">
          <cell r="A24" t="str">
            <v>201.21</v>
          </cell>
          <cell r="B24" t="str">
            <v>3.6.1.3</v>
          </cell>
        </row>
        <row r="25">
          <cell r="A25" t="str">
            <v>201.22</v>
          </cell>
          <cell r="B25" t="str">
            <v>3.6.1.3.13</v>
          </cell>
        </row>
        <row r="26">
          <cell r="A26" t="str">
            <v>201.2P</v>
          </cell>
          <cell r="B26" t="str">
            <v>3.6.1.3.11</v>
          </cell>
        </row>
        <row r="27">
          <cell r="A27" t="str">
            <v>201.2P</v>
          </cell>
          <cell r="B27" t="str">
            <v>3.6.1.3.11</v>
          </cell>
        </row>
        <row r="28">
          <cell r="A28" t="str">
            <v>201.2P1</v>
          </cell>
          <cell r="B28" t="str">
            <v>3.6.1.3.13</v>
          </cell>
        </row>
        <row r="29">
          <cell r="A29" t="str">
            <v>201.2P2</v>
          </cell>
          <cell r="B29" t="str">
            <v>3.6.1.3.11</v>
          </cell>
        </row>
        <row r="30">
          <cell r="A30" t="str">
            <v>201.3</v>
          </cell>
          <cell r="B30" t="str">
            <v>3.6.1.3.15</v>
          </cell>
        </row>
        <row r="31">
          <cell r="A31" t="str">
            <v>201.3</v>
          </cell>
          <cell r="B31" t="str">
            <v>3.6.1.3.33</v>
          </cell>
        </row>
        <row r="32">
          <cell r="A32" t="str">
            <v>201.3P</v>
          </cell>
          <cell r="B32" t="str">
            <v>3.6.1.3.15</v>
          </cell>
        </row>
        <row r="33">
          <cell r="A33" t="str">
            <v>201.4</v>
          </cell>
          <cell r="B33" t="str">
            <v>3.6.1.3.14</v>
          </cell>
        </row>
        <row r="34">
          <cell r="A34" t="str">
            <v>201.5</v>
          </cell>
          <cell r="B34" t="str">
            <v>3.3.1.1</v>
          </cell>
        </row>
        <row r="35">
          <cell r="A35" t="str">
            <v>201.6</v>
          </cell>
          <cell r="B35" t="str">
            <v>3.6.1.3.11</v>
          </cell>
        </row>
        <row r="36">
          <cell r="A36" t="str">
            <v>201.6P</v>
          </cell>
          <cell r="B36" t="str">
            <v>3.6.1.3</v>
          </cell>
        </row>
        <row r="37">
          <cell r="A37" t="str">
            <v>201.7</v>
          </cell>
          <cell r="B37" t="str">
            <v xml:space="preserve">3.6.1.3.13  </v>
          </cell>
        </row>
        <row r="38">
          <cell r="A38" t="str">
            <v>201.7.2</v>
          </cell>
          <cell r="B38" t="str">
            <v>3.6.1.3.12</v>
          </cell>
        </row>
        <row r="39">
          <cell r="A39" t="str">
            <v>201.7.2P</v>
          </cell>
          <cell r="B39" t="str">
            <v>3.6.1.3.11</v>
          </cell>
        </row>
        <row r="40">
          <cell r="A40" t="str">
            <v>201.7.3</v>
          </cell>
          <cell r="B40" t="str">
            <v>3.6.1.3.14</v>
          </cell>
        </row>
        <row r="41">
          <cell r="A41" t="str">
            <v>201.7.3P</v>
          </cell>
          <cell r="B41" t="str">
            <v>3.6.1.3.11</v>
          </cell>
        </row>
        <row r="42">
          <cell r="A42" t="str">
            <v>201.7.4</v>
          </cell>
          <cell r="B42" t="str">
            <v>3.2.1.3.5</v>
          </cell>
        </row>
        <row r="43">
          <cell r="A43" t="str">
            <v>201.7.4P</v>
          </cell>
          <cell r="B43" t="str">
            <v>3.6.1.3.11</v>
          </cell>
        </row>
        <row r="44">
          <cell r="A44" t="str">
            <v>201.8</v>
          </cell>
          <cell r="B44" t="str">
            <v>3.6.1.3.15</v>
          </cell>
        </row>
        <row r="45">
          <cell r="A45" t="str">
            <v>201.8P</v>
          </cell>
          <cell r="B45" t="str">
            <v>3.6.1.3</v>
          </cell>
        </row>
        <row r="46">
          <cell r="A46" t="str">
            <v>201.9</v>
          </cell>
          <cell r="B46" t="str">
            <v>3.6.1.3.33</v>
          </cell>
        </row>
        <row r="47">
          <cell r="A47" t="str">
            <v>210.1</v>
          </cell>
          <cell r="B47" t="str">
            <v>3.6.2.1.1 </v>
          </cell>
        </row>
        <row r="48">
          <cell r="A48" t="str">
            <v>210.1.1</v>
          </cell>
          <cell r="B48" t="str">
            <v xml:space="preserve">3.6.2.1.1 </v>
          </cell>
        </row>
        <row r="49">
          <cell r="A49" t="str">
            <v>210.1.1</v>
          </cell>
          <cell r="B49" t="str">
            <v xml:space="preserve">3.6.2.1.1 </v>
          </cell>
        </row>
        <row r="50">
          <cell r="A50" t="str">
            <v>210.1.1 Y 210.1.2</v>
          </cell>
          <cell r="B50" t="str">
            <v>3.6.1.3.11</v>
          </cell>
        </row>
        <row r="51">
          <cell r="A51" t="str">
            <v>210.1.2</v>
          </cell>
          <cell r="B51" t="str">
            <v>3.6.2.1.3 </v>
          </cell>
        </row>
        <row r="52">
          <cell r="A52" t="str">
            <v>210.2</v>
          </cell>
          <cell r="B52" t="str">
            <v>3.6.2.1.3</v>
          </cell>
        </row>
        <row r="53">
          <cell r="A53" t="str">
            <v>210.2 OTRA</v>
          </cell>
          <cell r="B53" t="str">
            <v>3.6.1.3.11</v>
          </cell>
        </row>
        <row r="54">
          <cell r="A54" t="str">
            <v>210.2 OTRA</v>
          </cell>
          <cell r="B54" t="str">
            <v>3.6.2.1.3 </v>
          </cell>
        </row>
        <row r="55">
          <cell r="A55" t="str">
            <v>210.2.1</v>
          </cell>
          <cell r="B55" t="str">
            <v>3.6.2.1.3</v>
          </cell>
        </row>
        <row r="56">
          <cell r="A56" t="str">
            <v>210.2.1 Y 210.2.3</v>
          </cell>
          <cell r="B56" t="str">
            <v>3.6.2.1.3</v>
          </cell>
        </row>
        <row r="57">
          <cell r="A57" t="str">
            <v>210.2.2</v>
          </cell>
          <cell r="B57" t="str">
            <v>3.6.2.1.5</v>
          </cell>
        </row>
        <row r="58">
          <cell r="A58" t="str">
            <v>210.2.2 Y 210.2.4</v>
          </cell>
          <cell r="B58" t="str">
            <v>3.6.2.1.5</v>
          </cell>
        </row>
        <row r="59">
          <cell r="A59" t="str">
            <v>210.2.3</v>
          </cell>
          <cell r="B59" t="str">
            <v>3.6.2.1.5</v>
          </cell>
        </row>
        <row r="60">
          <cell r="A60" t="str">
            <v>210.2.4</v>
          </cell>
          <cell r="B60" t="str">
            <v>3.6.2.1.5</v>
          </cell>
        </row>
        <row r="61">
          <cell r="A61" t="str">
            <v>210.3</v>
          </cell>
          <cell r="B61" t="str">
            <v>3.6.2.1.5</v>
          </cell>
        </row>
        <row r="62">
          <cell r="A62" t="str">
            <v>211.1</v>
          </cell>
          <cell r="B62" t="str">
            <v xml:space="preserve">3.6.2.2.1  </v>
          </cell>
        </row>
        <row r="63">
          <cell r="A63" t="str">
            <v>211.1P</v>
          </cell>
          <cell r="B63" t="str">
            <v>3.6.2.2</v>
          </cell>
        </row>
        <row r="64">
          <cell r="A64" t="str">
            <v>211.1P1</v>
          </cell>
          <cell r="B64" t="str">
            <v>3.6.1.3</v>
          </cell>
        </row>
        <row r="65">
          <cell r="A65" t="str">
            <v>220.1</v>
          </cell>
          <cell r="B65" t="str">
            <v>3.6.2.3.1</v>
          </cell>
        </row>
        <row r="66">
          <cell r="A66" t="str">
            <v>221.1</v>
          </cell>
          <cell r="B66" t="str">
            <v>3.6.2.4.2</v>
          </cell>
        </row>
        <row r="67">
          <cell r="A67" t="str">
            <v>221.2</v>
          </cell>
          <cell r="B67" t="str">
            <v>3.6.2.4.1</v>
          </cell>
        </row>
        <row r="68">
          <cell r="A68" t="str">
            <v>225.1P</v>
          </cell>
          <cell r="B68" t="str">
            <v>3.2.8.1.1 </v>
          </cell>
        </row>
        <row r="69">
          <cell r="A69" t="str">
            <v>225.2P</v>
          </cell>
          <cell r="B69" t="str">
            <v> 3.2.8.1.2 </v>
          </cell>
        </row>
        <row r="70">
          <cell r="A70" t="str">
            <v>225P</v>
          </cell>
          <cell r="B70" t="str">
            <v>3.2.8.1.1 </v>
          </cell>
        </row>
        <row r="71">
          <cell r="A71" t="str">
            <v>230.1</v>
          </cell>
          <cell r="B71" t="str">
            <v>3.6.2.5.1</v>
          </cell>
        </row>
        <row r="72">
          <cell r="A72" t="str">
            <v>230.2</v>
          </cell>
          <cell r="B72" t="str">
            <v>3.6.2.5.2</v>
          </cell>
        </row>
        <row r="73">
          <cell r="A73" t="str">
            <v>231.1</v>
          </cell>
          <cell r="B73" t="str">
            <v>3.6.8.2 </v>
          </cell>
        </row>
        <row r="74">
          <cell r="A74" t="str">
            <v>232.1</v>
          </cell>
          <cell r="B74" t="str">
            <v>3.6.8.2 </v>
          </cell>
        </row>
        <row r="75">
          <cell r="A75" t="str">
            <v>234.1</v>
          </cell>
          <cell r="B75" t="str">
            <v>3.6.8.2 </v>
          </cell>
        </row>
        <row r="76">
          <cell r="A76" t="str">
            <v>310.1</v>
          </cell>
          <cell r="B76" t="str">
            <v>3.6.3.1.1</v>
          </cell>
        </row>
        <row r="77">
          <cell r="A77" t="str">
            <v>311.1</v>
          </cell>
          <cell r="B77" t="str">
            <v>3.6.3.2.1</v>
          </cell>
        </row>
        <row r="78">
          <cell r="A78" t="str">
            <v>311.1P1</v>
          </cell>
          <cell r="B78" t="str">
            <v>3.6.3.2</v>
          </cell>
        </row>
        <row r="79">
          <cell r="A79" t="str">
            <v>311.1P2</v>
          </cell>
          <cell r="B79" t="str">
            <v>3.6.3.2</v>
          </cell>
        </row>
        <row r="80">
          <cell r="A80" t="str">
            <v>311.1P3</v>
          </cell>
          <cell r="B80" t="str">
            <v>3.6.3.2</v>
          </cell>
        </row>
        <row r="81">
          <cell r="A81" t="str">
            <v>311P1</v>
          </cell>
          <cell r="B81" t="str">
            <v>3.6.3.2</v>
          </cell>
        </row>
        <row r="82">
          <cell r="A82" t="str">
            <v>311P2</v>
          </cell>
          <cell r="B82" t="str">
            <v>3.6.3.2</v>
          </cell>
        </row>
        <row r="83">
          <cell r="A83" t="str">
            <v>311P3</v>
          </cell>
          <cell r="B83" t="str">
            <v>3.6.3.2</v>
          </cell>
        </row>
        <row r="84">
          <cell r="A84" t="str">
            <v>312.1</v>
          </cell>
          <cell r="B84" t="str">
            <v>3.6.3.2</v>
          </cell>
        </row>
        <row r="85">
          <cell r="A85" t="str">
            <v>312.2</v>
          </cell>
          <cell r="B85" t="str">
            <v>3.6.3.2</v>
          </cell>
        </row>
        <row r="86">
          <cell r="A86" t="str">
            <v>312.3</v>
          </cell>
          <cell r="B86" t="str">
            <v>3.6.3.2</v>
          </cell>
        </row>
        <row r="87">
          <cell r="A87" t="str">
            <v>312.4</v>
          </cell>
          <cell r="B87" t="str">
            <v>3.6.3.3</v>
          </cell>
        </row>
        <row r="88">
          <cell r="A88" t="str">
            <v>320.1</v>
          </cell>
          <cell r="B88" t="str">
            <v xml:space="preserve"> 3.6.3.4.2</v>
          </cell>
        </row>
        <row r="89">
          <cell r="A89" t="str">
            <v>320.2</v>
          </cell>
          <cell r="B89" t="str">
            <v>3.6.3.4.4</v>
          </cell>
        </row>
        <row r="90">
          <cell r="A90" t="str">
            <v>320.3</v>
          </cell>
          <cell r="B90" t="str">
            <v> 3.6.3.4.4</v>
          </cell>
        </row>
        <row r="91">
          <cell r="A91" t="str">
            <v>320.4</v>
          </cell>
          <cell r="B91" t="str">
            <v>3.6.3.4.7</v>
          </cell>
        </row>
        <row r="92">
          <cell r="A92" t="str">
            <v>330.1</v>
          </cell>
          <cell r="B92" t="str">
            <v>3.6.3.6.2</v>
          </cell>
        </row>
        <row r="93">
          <cell r="A93" t="str">
            <v>330.2</v>
          </cell>
          <cell r="B93" t="str">
            <v>3.6.3.6.3</v>
          </cell>
        </row>
        <row r="94">
          <cell r="A94" t="str">
            <v>340.1</v>
          </cell>
          <cell r="B94" t="str">
            <v>3.6.3.7.1</v>
          </cell>
        </row>
        <row r="95">
          <cell r="A95" t="str">
            <v>340.2</v>
          </cell>
          <cell r="B95" t="str">
            <v>3.6.3.7.3</v>
          </cell>
        </row>
        <row r="96">
          <cell r="A96" t="str">
            <v>340.3</v>
          </cell>
          <cell r="B96" t="str">
            <v>3.6.3.7.5</v>
          </cell>
        </row>
        <row r="97">
          <cell r="A97" t="str">
            <v>340P</v>
          </cell>
          <cell r="B97" t="str">
            <v>3.6.3.7</v>
          </cell>
        </row>
        <row r="98">
          <cell r="A98" t="str">
            <v>341.1</v>
          </cell>
          <cell r="B98" t="str">
            <v>3.6.3.7</v>
          </cell>
        </row>
        <row r="99">
          <cell r="A99" t="str">
            <v>341.1P</v>
          </cell>
          <cell r="B99" t="str">
            <v> 3.6.3.7.17</v>
          </cell>
        </row>
        <row r="100">
          <cell r="A100" t="str">
            <v>341.2</v>
          </cell>
          <cell r="B100" t="str">
            <v>3.6.4.1.8</v>
          </cell>
        </row>
        <row r="101">
          <cell r="A101" t="str">
            <v>342.1</v>
          </cell>
          <cell r="B101" t="str">
            <v>3.6.4.1</v>
          </cell>
        </row>
        <row r="102">
          <cell r="A102" t="str">
            <v>342P</v>
          </cell>
          <cell r="B102" t="str">
            <v>3.6.3.7.16 </v>
          </cell>
        </row>
        <row r="103">
          <cell r="A103" t="str">
            <v>410.1</v>
          </cell>
          <cell r="B103" t="str">
            <v>3.6.4.1.1</v>
          </cell>
        </row>
        <row r="104">
          <cell r="A104" t="str">
            <v>410.2</v>
          </cell>
          <cell r="B104" t="str">
            <v>3.6.4.1.2</v>
          </cell>
        </row>
        <row r="105">
          <cell r="A105" t="str">
            <v>411.1</v>
          </cell>
          <cell r="B105" t="str">
            <v>3.6.4.2.1</v>
          </cell>
        </row>
        <row r="106">
          <cell r="A106" t="str">
            <v>411.2</v>
          </cell>
          <cell r="B106" t="str">
            <v>3.6.4.2.2</v>
          </cell>
        </row>
        <row r="107">
          <cell r="A107" t="str">
            <v>411.3</v>
          </cell>
          <cell r="B107" t="str">
            <v>3.6.4.2.3</v>
          </cell>
        </row>
        <row r="108">
          <cell r="A108" t="str">
            <v>413.1</v>
          </cell>
          <cell r="B108" t="str">
            <v>3.6.2.1</v>
          </cell>
        </row>
        <row r="109">
          <cell r="A109" t="str">
            <v>414.1</v>
          </cell>
          <cell r="B109" t="str">
            <v>3.6.4.1.3</v>
          </cell>
        </row>
        <row r="110">
          <cell r="A110" t="str">
            <v>414.2</v>
          </cell>
          <cell r="B110" t="str">
            <v>3.6.4.1.4</v>
          </cell>
        </row>
        <row r="111">
          <cell r="A111" t="str">
            <v>414.3</v>
          </cell>
          <cell r="B111" t="str">
            <v>3.6.4.1.5</v>
          </cell>
        </row>
        <row r="112">
          <cell r="A112" t="str">
            <v>414.4</v>
          </cell>
          <cell r="B112" t="str">
            <v>3.6.4.1.6</v>
          </cell>
        </row>
        <row r="113">
          <cell r="A113" t="str">
            <v>414.5</v>
          </cell>
          <cell r="B113" t="str">
            <v>3.6.4.1</v>
          </cell>
        </row>
        <row r="114">
          <cell r="A114" t="str">
            <v>415.1</v>
          </cell>
          <cell r="B114" t="str">
            <v>3.6.4.2.5</v>
          </cell>
        </row>
        <row r="115">
          <cell r="A115" t="str">
            <v>416.2</v>
          </cell>
          <cell r="B115" t="str">
            <v>3.6.4</v>
          </cell>
        </row>
        <row r="116">
          <cell r="A116" t="str">
            <v>420.1</v>
          </cell>
          <cell r="B116" t="str">
            <v xml:space="preserve">3.6.4.3.1 </v>
          </cell>
        </row>
        <row r="117">
          <cell r="A117" t="str">
            <v>420.2</v>
          </cell>
          <cell r="B117" t="str">
            <v>3.6.4.3.2</v>
          </cell>
        </row>
        <row r="118">
          <cell r="A118" t="str">
            <v>421.1</v>
          </cell>
          <cell r="B118" t="str">
            <v>3.6.4.4.2</v>
          </cell>
        </row>
        <row r="119">
          <cell r="A119" t="str">
            <v>421.2</v>
          </cell>
          <cell r="B119" t="str">
            <v>3.6.4.4.3</v>
          </cell>
        </row>
        <row r="120">
          <cell r="A120" t="str">
            <v>421.3</v>
          </cell>
          <cell r="B120" t="str">
            <v>3.6.4.4.4</v>
          </cell>
        </row>
        <row r="121">
          <cell r="A121" t="str">
            <v>421.4</v>
          </cell>
          <cell r="B121" t="str">
            <v>3.6.4.4.5</v>
          </cell>
        </row>
        <row r="122">
          <cell r="A122" t="str">
            <v>430.1</v>
          </cell>
          <cell r="B122" t="str">
            <v>3.6.4.5.1</v>
          </cell>
        </row>
        <row r="123">
          <cell r="A123" t="str">
            <v>430.2</v>
          </cell>
          <cell r="B123" t="str">
            <v>3.6.4.5.2</v>
          </cell>
        </row>
        <row r="124">
          <cell r="A124" t="str">
            <v>431.1</v>
          </cell>
          <cell r="B124" t="str">
            <v>3.6.4.6.1</v>
          </cell>
        </row>
        <row r="125">
          <cell r="A125" t="str">
            <v>431.2</v>
          </cell>
          <cell r="B125" t="str">
            <v>3.6.4.6.2</v>
          </cell>
        </row>
        <row r="126">
          <cell r="A126" t="str">
            <v>432.1</v>
          </cell>
          <cell r="B126" t="str">
            <v>3.6.4.7.1</v>
          </cell>
        </row>
        <row r="127">
          <cell r="A127" t="str">
            <v>432.2</v>
          </cell>
          <cell r="B127" t="str">
            <v>3.6.4.7.1</v>
          </cell>
        </row>
        <row r="128">
          <cell r="A128" t="str">
            <v>433.1</v>
          </cell>
          <cell r="B128" t="str">
            <v>3.6.4.8.1</v>
          </cell>
        </row>
        <row r="129">
          <cell r="A129" t="str">
            <v>433.2</v>
          </cell>
          <cell r="B129" t="str">
            <v>3.6.4.8.2</v>
          </cell>
        </row>
        <row r="130">
          <cell r="A130" t="str">
            <v>433.3</v>
          </cell>
          <cell r="B130" t="str">
            <v>3.6.4.8.3</v>
          </cell>
        </row>
        <row r="131">
          <cell r="A131" t="str">
            <v>433.4</v>
          </cell>
          <cell r="B131" t="str">
            <v>3.6.4.8.4</v>
          </cell>
        </row>
        <row r="132">
          <cell r="A132" t="str">
            <v>433.5</v>
          </cell>
          <cell r="B132" t="str">
            <v>3.6.4.8.5</v>
          </cell>
        </row>
        <row r="133">
          <cell r="A133" t="str">
            <v>433.6</v>
          </cell>
          <cell r="B133" t="str">
            <v>3.6.4.8.6</v>
          </cell>
        </row>
        <row r="134">
          <cell r="A134" t="str">
            <v>433.7</v>
          </cell>
          <cell r="B134" t="str">
            <v>3.6.4.8.7</v>
          </cell>
        </row>
        <row r="135">
          <cell r="A135" t="str">
            <v>433.8</v>
          </cell>
          <cell r="B135" t="str">
            <v>3.6.4.8.8</v>
          </cell>
        </row>
        <row r="136">
          <cell r="A136" t="str">
            <v>440.1</v>
          </cell>
          <cell r="B136" t="str">
            <v>3.6.4.9.1</v>
          </cell>
        </row>
        <row r="137">
          <cell r="A137" t="str">
            <v>440.1P</v>
          </cell>
          <cell r="B137" t="str">
            <v>3.6.4.9</v>
          </cell>
        </row>
        <row r="138">
          <cell r="A138" t="str">
            <v>440.2</v>
          </cell>
          <cell r="B138" t="str">
            <v>3.6.4.9.2</v>
          </cell>
        </row>
        <row r="139">
          <cell r="A139" t="str">
            <v>440.2P</v>
          </cell>
          <cell r="B139" t="str">
            <v>3.6.4.9</v>
          </cell>
        </row>
        <row r="140">
          <cell r="A140" t="str">
            <v>440.3</v>
          </cell>
          <cell r="B140" t="str">
            <v>3.6.4.9.3</v>
          </cell>
        </row>
        <row r="141">
          <cell r="A141" t="str">
            <v>440.3P</v>
          </cell>
          <cell r="B141" t="str">
            <v>3.6.4.9</v>
          </cell>
        </row>
        <row r="142">
          <cell r="A142" t="str">
            <v>440.4</v>
          </cell>
          <cell r="B142" t="str">
            <v>3.6.4.9.4</v>
          </cell>
        </row>
        <row r="143">
          <cell r="A143" t="str">
            <v>441.1</v>
          </cell>
          <cell r="B143" t="str">
            <v>3.6.4.10.1</v>
          </cell>
        </row>
        <row r="144">
          <cell r="A144" t="str">
            <v>441.1P</v>
          </cell>
          <cell r="B144" t="str">
            <v>3.6.4.10</v>
          </cell>
        </row>
        <row r="145">
          <cell r="A145" t="str">
            <v>441.2</v>
          </cell>
          <cell r="B145" t="str">
            <v>3.6.4.10.2</v>
          </cell>
        </row>
        <row r="146">
          <cell r="A146" t="str">
            <v>441.2P</v>
          </cell>
          <cell r="B146" t="str">
            <v>3.6.4.10</v>
          </cell>
        </row>
        <row r="147">
          <cell r="A147" t="str">
            <v>441.3</v>
          </cell>
          <cell r="B147" t="str">
            <v>3.6.4.10.3</v>
          </cell>
        </row>
        <row r="148">
          <cell r="A148" t="str">
            <v>441.3P</v>
          </cell>
          <cell r="B148" t="str">
            <v>3.6.4.10</v>
          </cell>
        </row>
        <row r="149">
          <cell r="A149" t="str">
            <v>441.4</v>
          </cell>
          <cell r="B149" t="str">
            <v>3.6.4.10.4</v>
          </cell>
        </row>
        <row r="150">
          <cell r="A150" t="str">
            <v>450.1</v>
          </cell>
          <cell r="B150" t="str">
            <v>3.6.4.11.2</v>
          </cell>
        </row>
        <row r="151">
          <cell r="A151" t="str">
            <v>450.1.1</v>
          </cell>
          <cell r="B151" t="str">
            <v>3.6.4.11</v>
          </cell>
        </row>
        <row r="152">
          <cell r="A152" t="str">
            <v>450.1.1P</v>
          </cell>
          <cell r="B152" t="str">
            <v>3.6.4</v>
          </cell>
        </row>
        <row r="153">
          <cell r="A153" t="str">
            <v>450.1.2</v>
          </cell>
          <cell r="B153" t="str">
            <v>3.6.4.11</v>
          </cell>
        </row>
        <row r="154">
          <cell r="A154" t="str">
            <v>450.1.2P</v>
          </cell>
          <cell r="B154" t="str">
            <v>3.6.4</v>
          </cell>
        </row>
        <row r="155">
          <cell r="A155" t="str">
            <v>450.1P</v>
          </cell>
          <cell r="B155" t="str">
            <v>3.6.4.11</v>
          </cell>
        </row>
        <row r="156">
          <cell r="A156" t="str">
            <v>450.2</v>
          </cell>
          <cell r="B156" t="str">
            <v>3.6.4.11.3</v>
          </cell>
        </row>
        <row r="157">
          <cell r="A157" t="str">
            <v>450.2P</v>
          </cell>
          <cell r="B157" t="str">
            <v>3.6.4.11</v>
          </cell>
        </row>
        <row r="158">
          <cell r="A158" t="str">
            <v>450.3</v>
          </cell>
          <cell r="B158" t="str">
            <v>3.6.4.11.4</v>
          </cell>
        </row>
        <row r="159">
          <cell r="A159" t="str">
            <v>450.3P</v>
          </cell>
          <cell r="B159" t="str">
            <v>3.6.4.11</v>
          </cell>
        </row>
        <row r="160">
          <cell r="A160" t="str">
            <v>450.4</v>
          </cell>
          <cell r="B160" t="str">
            <v>3.6.4</v>
          </cell>
        </row>
        <row r="161">
          <cell r="A161" t="str">
            <v>450.4P</v>
          </cell>
          <cell r="B161" t="str">
            <v>3.6.4</v>
          </cell>
        </row>
        <row r="162">
          <cell r="A162" t="str">
            <v>450.5</v>
          </cell>
          <cell r="B162" t="str">
            <v>3.6.4</v>
          </cell>
        </row>
        <row r="163">
          <cell r="A163" t="str">
            <v>450.6</v>
          </cell>
          <cell r="B163" t="str">
            <v>3.6.4</v>
          </cell>
        </row>
        <row r="164">
          <cell r="A164" t="str">
            <v>450.7</v>
          </cell>
          <cell r="B164" t="str">
            <v>3.6.4</v>
          </cell>
        </row>
        <row r="165">
          <cell r="A165" t="str">
            <v>450.8</v>
          </cell>
          <cell r="B165" t="str">
            <v>3.6.4</v>
          </cell>
        </row>
        <row r="166">
          <cell r="A166" t="str">
            <v>450.9</v>
          </cell>
          <cell r="B166" t="str">
            <v>3.6.4.11.5</v>
          </cell>
        </row>
        <row r="167">
          <cell r="A167" t="str">
            <v>450.9P</v>
          </cell>
          <cell r="B167" t="str">
            <v>3.6.4.11.5</v>
          </cell>
        </row>
        <row r="168">
          <cell r="A168" t="str">
            <v>451.1</v>
          </cell>
          <cell r="B168" t="str">
            <v>3.6.4.12.1</v>
          </cell>
        </row>
        <row r="169">
          <cell r="A169" t="str">
            <v>451.1P</v>
          </cell>
          <cell r="B169" t="str">
            <v>3.6.4.12</v>
          </cell>
        </row>
        <row r="170">
          <cell r="A170" t="str">
            <v>451.2</v>
          </cell>
          <cell r="B170" t="str">
            <v>3.6.4.12.2</v>
          </cell>
        </row>
        <row r="171">
          <cell r="A171" t="str">
            <v>451.2P</v>
          </cell>
          <cell r="B171" t="str">
            <v>3.6.4.12</v>
          </cell>
        </row>
        <row r="172">
          <cell r="A172" t="str">
            <v>451.3</v>
          </cell>
          <cell r="B172" t="str">
            <v>3.6.4.12.3</v>
          </cell>
        </row>
        <row r="173">
          <cell r="A173" t="str">
            <v>451.3P</v>
          </cell>
          <cell r="B173" t="str">
            <v>3.6.4.12</v>
          </cell>
        </row>
        <row r="174">
          <cell r="A174" t="str">
            <v>451.4</v>
          </cell>
          <cell r="B174" t="str">
            <v>3.6.4.12</v>
          </cell>
        </row>
        <row r="175">
          <cell r="A175" t="str">
            <v>452.1</v>
          </cell>
          <cell r="B175" t="str">
            <v>3.6.4.13.1</v>
          </cell>
        </row>
        <row r="176">
          <cell r="A176" t="str">
            <v>452.1P</v>
          </cell>
          <cell r="B176" t="str">
            <v>3.6.4.13.1 </v>
          </cell>
        </row>
        <row r="177">
          <cell r="A177" t="str">
            <v>452.2</v>
          </cell>
          <cell r="B177" t="str">
            <v>3.6.4.13.2</v>
          </cell>
        </row>
        <row r="178">
          <cell r="A178" t="str">
            <v>452.2P</v>
          </cell>
          <cell r="B178" t="str">
            <v>3.6.4.13.2</v>
          </cell>
        </row>
        <row r="179">
          <cell r="A179" t="str">
            <v>452.3</v>
          </cell>
          <cell r="B179" t="str">
            <v>3.6.4.13.7</v>
          </cell>
        </row>
        <row r="180">
          <cell r="A180" t="str">
            <v>452.3P</v>
          </cell>
          <cell r="B180" t="str">
            <v>3.6.4.13.7</v>
          </cell>
        </row>
        <row r="181">
          <cell r="A181" t="str">
            <v>452.4</v>
          </cell>
          <cell r="B181" t="str">
            <v>3.6.4.13.8</v>
          </cell>
        </row>
        <row r="182">
          <cell r="A182" t="str">
            <v>452.4P</v>
          </cell>
          <cell r="B182" t="str">
            <v>3.6.4.13.8 </v>
          </cell>
        </row>
        <row r="183">
          <cell r="A183" t="str">
            <v>453.1</v>
          </cell>
          <cell r="B183" t="str">
            <v>3.6.4.13.7</v>
          </cell>
        </row>
        <row r="184">
          <cell r="A184" t="str">
            <v>460.1</v>
          </cell>
          <cell r="B184" t="str">
            <v>3.6.4.15.2</v>
          </cell>
        </row>
        <row r="185">
          <cell r="A185" t="str">
            <v>460.2</v>
          </cell>
          <cell r="B185" t="str">
            <v>3.6.4.15.2</v>
          </cell>
        </row>
        <row r="186">
          <cell r="A186" t="str">
            <v>460P</v>
          </cell>
          <cell r="B186" t="str">
            <v>3.6.4.15</v>
          </cell>
        </row>
        <row r="187">
          <cell r="A187" t="str">
            <v>461.1</v>
          </cell>
          <cell r="B187" t="str">
            <v>3.6.4.16.1</v>
          </cell>
        </row>
        <row r="188">
          <cell r="A188" t="str">
            <v>461.2</v>
          </cell>
          <cell r="B188" t="str">
            <v>3.6.4.16.2</v>
          </cell>
        </row>
        <row r="189">
          <cell r="A189" t="str">
            <v>462.1</v>
          </cell>
          <cell r="B189" t="str">
            <v>3.6.4.17.1 </v>
          </cell>
        </row>
        <row r="190">
          <cell r="A190" t="str">
            <v>462.1.1</v>
          </cell>
          <cell r="B190" t="str">
            <v>3.6.4.17.3</v>
          </cell>
        </row>
        <row r="191">
          <cell r="A191" t="str">
            <v>462.1.2</v>
          </cell>
          <cell r="B191" t="str">
            <v>3.6.4.17.4</v>
          </cell>
        </row>
        <row r="192">
          <cell r="A192" t="str">
            <v>462.1.3</v>
          </cell>
          <cell r="B192" t="str">
            <v>3.6.4.17</v>
          </cell>
        </row>
        <row r="193">
          <cell r="A193" t="str">
            <v>462.1.4</v>
          </cell>
          <cell r="B193" t="str">
            <v> 3.6.4.17.4 </v>
          </cell>
        </row>
        <row r="194">
          <cell r="A194" t="str">
            <v>462.1P</v>
          </cell>
          <cell r="B194" t="str">
            <v>3.6.4.17</v>
          </cell>
        </row>
        <row r="195">
          <cell r="A195" t="str">
            <v>462.2</v>
          </cell>
          <cell r="B195" t="str">
            <v>3.6.4.17</v>
          </cell>
        </row>
        <row r="196">
          <cell r="A196" t="str">
            <v>462.2P</v>
          </cell>
          <cell r="B196" t="str">
            <v>3.6.4.17</v>
          </cell>
        </row>
        <row r="197">
          <cell r="A197" t="str">
            <v>462.3</v>
          </cell>
          <cell r="B197" t="str">
            <v> 3.6.4.17.3 </v>
          </cell>
        </row>
        <row r="198">
          <cell r="A198" t="str">
            <v>462.3P</v>
          </cell>
          <cell r="B198" t="str">
            <v>3.6.4.17</v>
          </cell>
        </row>
        <row r="199">
          <cell r="A199" t="str">
            <v>462.4</v>
          </cell>
          <cell r="B199" t="str">
            <v> 3.6.4.17.4 </v>
          </cell>
        </row>
        <row r="200">
          <cell r="A200" t="str">
            <v>462.4P</v>
          </cell>
          <cell r="B200" t="str">
            <v>3.6.4.17</v>
          </cell>
        </row>
        <row r="201">
          <cell r="A201" t="str">
            <v>462.5</v>
          </cell>
          <cell r="B201" t="str">
            <v>3.6.4.17</v>
          </cell>
        </row>
        <row r="202">
          <cell r="A202" t="str">
            <v>464.1</v>
          </cell>
          <cell r="B202" t="str">
            <v>3.6.8</v>
          </cell>
        </row>
        <row r="203">
          <cell r="A203" t="str">
            <v>464.1P</v>
          </cell>
          <cell r="B203" t="str">
            <v> 3.6.8.4.6 </v>
          </cell>
        </row>
        <row r="204">
          <cell r="A204" t="str">
            <v>464.2</v>
          </cell>
          <cell r="B204" t="str">
            <v>3.6.4.8 </v>
          </cell>
        </row>
        <row r="205">
          <cell r="A205" t="str">
            <v>464.2</v>
          </cell>
          <cell r="B205" t="str">
            <v> 3.6.8.4</v>
          </cell>
        </row>
        <row r="206">
          <cell r="A206" t="str">
            <v>464.3</v>
          </cell>
          <cell r="B206" t="str">
            <v>3.6.4.2</v>
          </cell>
        </row>
        <row r="207">
          <cell r="A207" t="str">
            <v>464.4</v>
          </cell>
          <cell r="B207" t="str">
            <v> 3.6.4.2.5 </v>
          </cell>
        </row>
        <row r="208">
          <cell r="A208" t="str">
            <v>465.1</v>
          </cell>
          <cell r="B208" t="str">
            <v>3.6.2.1</v>
          </cell>
        </row>
        <row r="209">
          <cell r="A209" t="str">
            <v>466.1</v>
          </cell>
          <cell r="B209" t="str">
            <v>3.6.4.7</v>
          </cell>
        </row>
        <row r="210">
          <cell r="A210" t="str">
            <v>466.2</v>
          </cell>
          <cell r="B210" t="str">
            <v>3.6.4.7</v>
          </cell>
        </row>
        <row r="211">
          <cell r="A211" t="str">
            <v>470.2 P</v>
          </cell>
          <cell r="B211" t="str">
            <v>3.6.4</v>
          </cell>
        </row>
        <row r="212">
          <cell r="A212" t="str">
            <v>500.1</v>
          </cell>
          <cell r="B212" t="str">
            <v>3.6.5.1</v>
          </cell>
        </row>
        <row r="213">
          <cell r="A213" t="str">
            <v>500.1P</v>
          </cell>
          <cell r="B213" t="str">
            <v>3.6.5.1</v>
          </cell>
        </row>
        <row r="214">
          <cell r="A214" t="str">
            <v>501.1</v>
          </cell>
          <cell r="B214" t="str">
            <v>1.35.1.1.3</v>
          </cell>
        </row>
        <row r="215">
          <cell r="A215" t="str">
            <v>510.1</v>
          </cell>
          <cell r="B215" t="str">
            <v>3.6.5.2.10</v>
          </cell>
        </row>
        <row r="216">
          <cell r="A216" t="str">
            <v>510.1P1</v>
          </cell>
          <cell r="B216" t="str">
            <v>3.6.5.2</v>
          </cell>
        </row>
        <row r="217">
          <cell r="A217" t="str">
            <v>510.1P2</v>
          </cell>
          <cell r="B217" t="str">
            <v>3.6.5.2.2</v>
          </cell>
        </row>
        <row r="218">
          <cell r="A218" t="str">
            <v>510.1P3</v>
          </cell>
          <cell r="B218" t="str">
            <v>3.6.5.2</v>
          </cell>
        </row>
        <row r="219">
          <cell r="A219" t="str">
            <v>510.2</v>
          </cell>
          <cell r="B219" t="str">
            <v>3.6.5.2</v>
          </cell>
        </row>
        <row r="220">
          <cell r="A220" t="str">
            <v>510.3</v>
          </cell>
          <cell r="B220" t="str">
            <v>3.6.5.2</v>
          </cell>
        </row>
        <row r="221">
          <cell r="A221" t="str">
            <v>510.4</v>
          </cell>
          <cell r="B221" t="str">
            <v>3.6.5.2</v>
          </cell>
        </row>
        <row r="222">
          <cell r="A222" t="str">
            <v>510P1</v>
          </cell>
          <cell r="B222" t="str">
            <v>3.6.5.2</v>
          </cell>
        </row>
        <row r="223">
          <cell r="A223" t="str">
            <v>510P2</v>
          </cell>
          <cell r="B223" t="str">
            <v>3.6.5.2.2</v>
          </cell>
        </row>
        <row r="224">
          <cell r="A224" t="str">
            <v>510P3</v>
          </cell>
          <cell r="B224" t="str">
            <v>3.6.5.2</v>
          </cell>
        </row>
        <row r="225">
          <cell r="A225" t="str">
            <v>600.1</v>
          </cell>
          <cell r="B225" t="str">
            <v>3.6.6.1.9</v>
          </cell>
        </row>
        <row r="226">
          <cell r="A226" t="str">
            <v>600.2</v>
          </cell>
          <cell r="B226" t="str">
            <v>3.6.6.1.9</v>
          </cell>
        </row>
        <row r="227">
          <cell r="A227" t="str">
            <v>600.2P</v>
          </cell>
          <cell r="B227" t="str">
            <v>3.6.6.1</v>
          </cell>
        </row>
        <row r="228">
          <cell r="A228" t="str">
            <v>600.3</v>
          </cell>
          <cell r="B228" t="str">
            <v>3.6.6.1.9</v>
          </cell>
        </row>
        <row r="229">
          <cell r="A229" t="str">
            <v>600.4</v>
          </cell>
          <cell r="B229" t="str">
            <v xml:space="preserve">3.6.6.1.10  </v>
          </cell>
        </row>
        <row r="230">
          <cell r="A230" t="str">
            <v>600.4P</v>
          </cell>
          <cell r="B230" t="str">
            <v>3.6.6.1</v>
          </cell>
        </row>
        <row r="231">
          <cell r="A231" t="str">
            <v>600.5</v>
          </cell>
          <cell r="B231" t="str">
            <v>3.6.6.1.11</v>
          </cell>
        </row>
        <row r="232">
          <cell r="A232" t="str">
            <v>600.5P</v>
          </cell>
          <cell r="B232" t="str">
            <v>3.6.6.1</v>
          </cell>
        </row>
        <row r="233">
          <cell r="A233" t="str">
            <v>610.1</v>
          </cell>
          <cell r="B233" t="str">
            <v xml:space="preserve">3.6.6.2.1   </v>
          </cell>
        </row>
        <row r="234">
          <cell r="A234" t="str">
            <v>610.1P</v>
          </cell>
          <cell r="B234" t="str">
            <v>3.6.2.4.2</v>
          </cell>
        </row>
        <row r="235">
          <cell r="A235" t="str">
            <v>610.2</v>
          </cell>
          <cell r="B235" t="str">
            <v>3.6.6.2.4</v>
          </cell>
        </row>
        <row r="236">
          <cell r="A236" t="str">
            <v>620.1</v>
          </cell>
          <cell r="B236" t="str">
            <v>3.6.6.3.1</v>
          </cell>
        </row>
        <row r="237">
          <cell r="A237" t="str">
            <v>620.2</v>
          </cell>
          <cell r="B237" t="str">
            <v>3.6.6.3.2</v>
          </cell>
        </row>
        <row r="238">
          <cell r="A238" t="str">
            <v>620.3</v>
          </cell>
          <cell r="B238" t="str">
            <v>3.6.6.4.6</v>
          </cell>
        </row>
        <row r="239">
          <cell r="A239" t="str">
            <v>620.4</v>
          </cell>
          <cell r="B239" t="str">
            <v>3.6.6.4</v>
          </cell>
        </row>
        <row r="240">
          <cell r="A240" t="str">
            <v>620P</v>
          </cell>
          <cell r="B240" t="str">
            <v>3.6.6.4</v>
          </cell>
        </row>
        <row r="241">
          <cell r="A241" t="str">
            <v>621.1</v>
          </cell>
          <cell r="B241" t="str">
            <v>3.6.6.4.1</v>
          </cell>
        </row>
        <row r="242">
          <cell r="A242" t="str">
            <v>621.1 P</v>
          </cell>
          <cell r="B242" t="str">
            <v>3.6.6.4</v>
          </cell>
        </row>
        <row r="243">
          <cell r="A243" t="str">
            <v>621.1P</v>
          </cell>
          <cell r="B243" t="str">
            <v>3.6.6.4</v>
          </cell>
        </row>
        <row r="244">
          <cell r="A244" t="str">
            <v>621.1P2</v>
          </cell>
          <cell r="B244" t="str">
            <v>3.6.6.4</v>
          </cell>
        </row>
        <row r="245">
          <cell r="A245" t="str">
            <v>621.1P3</v>
          </cell>
          <cell r="B245" t="str">
            <v>3.6.6.4</v>
          </cell>
        </row>
        <row r="246">
          <cell r="A246" t="str">
            <v>621.1P4</v>
          </cell>
          <cell r="B246" t="str">
            <v>3.6.6.4</v>
          </cell>
        </row>
        <row r="247">
          <cell r="A247" t="str">
            <v>621.1P5</v>
          </cell>
          <cell r="B247" t="str">
            <v>3.6.6.4</v>
          </cell>
        </row>
        <row r="248">
          <cell r="A248" t="str">
            <v>621.1P6</v>
          </cell>
          <cell r="B248" t="str">
            <v>3.6.6.4</v>
          </cell>
        </row>
        <row r="249">
          <cell r="A249" t="str">
            <v>621.1P7</v>
          </cell>
          <cell r="B249" t="str">
            <v>3.6.6.4</v>
          </cell>
        </row>
        <row r="250">
          <cell r="A250" t="str">
            <v>621.2</v>
          </cell>
          <cell r="B250" t="str">
            <v>3.6.6.4.2</v>
          </cell>
        </row>
        <row r="251">
          <cell r="A251" t="str">
            <v>621.3</v>
          </cell>
          <cell r="B251" t="str">
            <v>3.6.6.4.3</v>
          </cell>
        </row>
        <row r="252">
          <cell r="A252" t="str">
            <v>621.4</v>
          </cell>
          <cell r="B252" t="str">
            <v xml:space="preserve"> 3.6.6.4.4</v>
          </cell>
        </row>
        <row r="253">
          <cell r="A253" t="str">
            <v>621.5</v>
          </cell>
          <cell r="B253" t="str">
            <v>3.6.6.5.5</v>
          </cell>
        </row>
        <row r="254">
          <cell r="A254" t="str">
            <v>621.5P</v>
          </cell>
          <cell r="B254" t="str">
            <v>3.6.6.4.5</v>
          </cell>
        </row>
        <row r="255">
          <cell r="A255" t="str">
            <v>621.6</v>
          </cell>
          <cell r="B255" t="str">
            <v xml:space="preserve"> 3.6.6.4.6 </v>
          </cell>
        </row>
        <row r="256">
          <cell r="A256" t="str">
            <v>621.7</v>
          </cell>
          <cell r="B256" t="str">
            <v>3.6.6.4</v>
          </cell>
        </row>
        <row r="257">
          <cell r="A257" t="str">
            <v>622.1</v>
          </cell>
          <cell r="B257" t="str">
            <v>3.6.6.5.1</v>
          </cell>
        </row>
        <row r="258">
          <cell r="A258" t="str">
            <v>622.2</v>
          </cell>
          <cell r="B258" t="str">
            <v>3.6.6.5.3</v>
          </cell>
        </row>
        <row r="259">
          <cell r="A259" t="str">
            <v>622.3</v>
          </cell>
          <cell r="B259" t="str">
            <v>3.6.6.5.2</v>
          </cell>
        </row>
        <row r="260">
          <cell r="A260" t="str">
            <v>622.4</v>
          </cell>
          <cell r="B260" t="str">
            <v>3.6.6.5.4 </v>
          </cell>
        </row>
        <row r="261">
          <cell r="A261" t="str">
            <v>622.5</v>
          </cell>
          <cell r="B261" t="str">
            <v>3.6.6.5.5</v>
          </cell>
        </row>
        <row r="262">
          <cell r="A262" t="str">
            <v>623.1</v>
          </cell>
          <cell r="B262" t="str">
            <v>3.6.6.8</v>
          </cell>
        </row>
        <row r="263">
          <cell r="A263" t="str">
            <v>623.2</v>
          </cell>
          <cell r="B263" t="str">
            <v>3.6.6.8</v>
          </cell>
        </row>
        <row r="264">
          <cell r="A264" t="str">
            <v>630.1</v>
          </cell>
          <cell r="B264" t="str">
            <v>3.6.6.6.8</v>
          </cell>
        </row>
        <row r="265">
          <cell r="A265" t="str">
            <v>630.1.5P</v>
          </cell>
          <cell r="B265" t="str">
            <v>3.3.6.10</v>
          </cell>
        </row>
        <row r="266">
          <cell r="A266" t="str">
            <v>630.2</v>
          </cell>
          <cell r="B266" t="str">
            <v>3.6.6.6.17</v>
          </cell>
        </row>
        <row r="267">
          <cell r="A267" t="str">
            <v>630.2P</v>
          </cell>
          <cell r="B267" t="str">
            <v> 3.3.6.10.2 </v>
          </cell>
        </row>
        <row r="268">
          <cell r="A268" t="str">
            <v>630.3</v>
          </cell>
          <cell r="B268" t="str">
            <v xml:space="preserve"> 3.6.6.6.26</v>
          </cell>
        </row>
        <row r="269">
          <cell r="A269" t="str">
            <v>630.4</v>
          </cell>
          <cell r="B269" t="str">
            <v xml:space="preserve">3.6.6.6.35 </v>
          </cell>
        </row>
        <row r="270">
          <cell r="A270" t="str">
            <v>630.4 P</v>
          </cell>
          <cell r="B270" t="str">
            <v>3.3.5.3.6</v>
          </cell>
        </row>
        <row r="271">
          <cell r="A271" t="str">
            <v>630.4 P</v>
          </cell>
          <cell r="B271" t="str">
            <v>3.6.6.6</v>
          </cell>
        </row>
        <row r="272">
          <cell r="A272" t="str">
            <v>630.4.1 P</v>
          </cell>
          <cell r="B272" t="str">
            <v>3.3.5.3.6</v>
          </cell>
        </row>
        <row r="273">
          <cell r="A273" t="str">
            <v>630.4.2 P</v>
          </cell>
          <cell r="B273" t="str">
            <v>3.6.6.21.2</v>
          </cell>
        </row>
        <row r="274">
          <cell r="A274" t="str">
            <v>630.5</v>
          </cell>
          <cell r="B274" t="str">
            <v>3.6.6.6.44</v>
          </cell>
        </row>
        <row r="275">
          <cell r="A275" t="str">
            <v>630.6</v>
          </cell>
          <cell r="B275" t="str">
            <v>3.6.6.6.46</v>
          </cell>
        </row>
        <row r="276">
          <cell r="A276" t="str">
            <v>630.7</v>
          </cell>
          <cell r="B276" t="str">
            <v>3.6.6.6.47</v>
          </cell>
        </row>
        <row r="277">
          <cell r="A277" t="str">
            <v>630.7 P</v>
          </cell>
          <cell r="B277" t="str">
            <v>3.6.6.6</v>
          </cell>
        </row>
        <row r="278">
          <cell r="A278" t="str">
            <v>6302P</v>
          </cell>
          <cell r="B278" t="str">
            <v>3.3.5.2</v>
          </cell>
        </row>
        <row r="279">
          <cell r="A279" t="str">
            <v>630P</v>
          </cell>
          <cell r="B279" t="str">
            <v>3.3.5.3.6</v>
          </cell>
        </row>
        <row r="280">
          <cell r="A280" t="str">
            <v>631.1</v>
          </cell>
          <cell r="B280" t="str">
            <v>3.6.6.21.2</v>
          </cell>
        </row>
        <row r="281">
          <cell r="A281" t="str">
            <v>631P</v>
          </cell>
          <cell r="B281" t="str">
            <v>3.6.6.21.2</v>
          </cell>
        </row>
        <row r="282">
          <cell r="A282" t="str">
            <v>631P</v>
          </cell>
          <cell r="B282" t="str">
            <v>3.6.6.21.2</v>
          </cell>
        </row>
        <row r="283">
          <cell r="A283" t="str">
            <v>632.1</v>
          </cell>
          <cell r="B283" t="str">
            <v>3.6.6.7.1</v>
          </cell>
        </row>
        <row r="284">
          <cell r="A284" t="str">
            <v>632.2</v>
          </cell>
          <cell r="B284" t="str">
            <v>3.6.6.7.2</v>
          </cell>
        </row>
        <row r="285">
          <cell r="A285" t="str">
            <v>632.2</v>
          </cell>
          <cell r="B285" t="str">
            <v>3.6.6.7</v>
          </cell>
        </row>
        <row r="286">
          <cell r="A286" t="str">
            <v>632.3</v>
          </cell>
          <cell r="B286" t="str">
            <v>3.6.6.7</v>
          </cell>
        </row>
        <row r="287">
          <cell r="A287" t="str">
            <v>632.4</v>
          </cell>
          <cell r="B287" t="str">
            <v>3.6.6.7</v>
          </cell>
        </row>
        <row r="288">
          <cell r="A288" t="str">
            <v>632P</v>
          </cell>
          <cell r="B288" t="str">
            <v>3.6.6.11</v>
          </cell>
        </row>
        <row r="289">
          <cell r="A289" t="str">
            <v>633.1</v>
          </cell>
          <cell r="B289" t="str">
            <v>3.6.6.7.2</v>
          </cell>
        </row>
        <row r="290">
          <cell r="A290" t="str">
            <v>633.3P</v>
          </cell>
          <cell r="B290" t="str">
            <v> 3.3.6.10.3 </v>
          </cell>
        </row>
        <row r="291">
          <cell r="A291" t="str">
            <v>640.1</v>
          </cell>
          <cell r="B291" t="str">
            <v>3.6.6.8.1 </v>
          </cell>
        </row>
        <row r="292">
          <cell r="A292" t="str">
            <v>640.1P</v>
          </cell>
          <cell r="B292" t="str">
            <v> 3.6.6.11</v>
          </cell>
        </row>
        <row r="293">
          <cell r="A293" t="str">
            <v>640.1P1</v>
          </cell>
          <cell r="B293" t="str">
            <v> 3.6.6.11.5</v>
          </cell>
        </row>
        <row r="294">
          <cell r="A294" t="str">
            <v>640.1P2</v>
          </cell>
          <cell r="B294" t="str">
            <v>3.6.6.11.3</v>
          </cell>
        </row>
        <row r="295">
          <cell r="A295" t="str">
            <v>640.2</v>
          </cell>
          <cell r="B295" t="str">
            <v> 3.6.6.8.2 </v>
          </cell>
        </row>
        <row r="296">
          <cell r="A296" t="str">
            <v>640.2</v>
          </cell>
          <cell r="B296" t="str">
            <v>3.6.6.11</v>
          </cell>
        </row>
        <row r="297">
          <cell r="A297" t="str">
            <v>640.3</v>
          </cell>
          <cell r="B297" t="str">
            <v> 3.6.6.8.3 </v>
          </cell>
        </row>
        <row r="298">
          <cell r="A298" t="str">
            <v>641.1</v>
          </cell>
          <cell r="B298" t="str">
            <v>3.6.6.9.1</v>
          </cell>
        </row>
        <row r="299">
          <cell r="A299" t="str">
            <v>641.1P</v>
          </cell>
          <cell r="B299" t="str">
            <v>3.6.6.9</v>
          </cell>
        </row>
        <row r="300">
          <cell r="A300" t="str">
            <v>641.2</v>
          </cell>
          <cell r="B300" t="str">
            <v>3.6.6.9</v>
          </cell>
        </row>
        <row r="301">
          <cell r="A301" t="str">
            <v>641P</v>
          </cell>
          <cell r="B301" t="str">
            <v>3.6.6.9</v>
          </cell>
        </row>
        <row r="302">
          <cell r="A302" t="str">
            <v>642.1</v>
          </cell>
          <cell r="B302" t="str">
            <v>3.6.6.10.1</v>
          </cell>
        </row>
        <row r="303">
          <cell r="A303" t="str">
            <v>642.2</v>
          </cell>
          <cell r="B303" t="str">
            <v>3.6.6.10.2</v>
          </cell>
        </row>
        <row r="304">
          <cell r="A304" t="str">
            <v>642P1</v>
          </cell>
          <cell r="B304" t="str">
            <v>3.6.6.10</v>
          </cell>
        </row>
        <row r="305">
          <cell r="A305" t="str">
            <v>642P2</v>
          </cell>
          <cell r="B305" t="str">
            <v>3.6.6.10</v>
          </cell>
        </row>
        <row r="306">
          <cell r="A306" t="str">
            <v>642P3</v>
          </cell>
          <cell r="B306" t="str">
            <v>3.6.6.10</v>
          </cell>
        </row>
        <row r="307">
          <cell r="A307" t="str">
            <v>650.1</v>
          </cell>
          <cell r="B307" t="str">
            <v>3.6.6.11.1</v>
          </cell>
        </row>
        <row r="308">
          <cell r="A308" t="str">
            <v>650.2</v>
          </cell>
          <cell r="B308" t="str">
            <v>3.6.6.11.2</v>
          </cell>
        </row>
        <row r="309">
          <cell r="A309" t="str">
            <v>650.3</v>
          </cell>
          <cell r="B309" t="str">
            <v>3.6.6.11.7</v>
          </cell>
        </row>
        <row r="310">
          <cell r="A310" t="str">
            <v>650.3 OTRO</v>
          </cell>
          <cell r="B310" t="str">
            <v>3.6.6.11.7</v>
          </cell>
        </row>
        <row r="311">
          <cell r="A311" t="str">
            <v>650.3P</v>
          </cell>
          <cell r="B311" t="str">
            <v>3.6.6.11</v>
          </cell>
        </row>
        <row r="312">
          <cell r="A312" t="str">
            <v>650.4</v>
          </cell>
          <cell r="B312" t="str">
            <v>3.6.6.11.6</v>
          </cell>
        </row>
        <row r="313">
          <cell r="A313" t="str">
            <v>650.5P</v>
          </cell>
          <cell r="B313" t="str">
            <v>3.6.9 </v>
          </cell>
        </row>
        <row r="314">
          <cell r="A314" t="str">
            <v>651.1P</v>
          </cell>
          <cell r="B314" t="str">
            <v>3.6.7.5</v>
          </cell>
        </row>
        <row r="315">
          <cell r="A315" t="str">
            <v>651.2P</v>
          </cell>
          <cell r="B315" t="str">
            <v>3.6.7.5.1</v>
          </cell>
        </row>
        <row r="316">
          <cell r="A316" t="str">
            <v>660.1</v>
          </cell>
          <cell r="B316" t="str">
            <v>3.6.6.12.9 </v>
          </cell>
        </row>
        <row r="317">
          <cell r="A317" t="str">
            <v>660.1</v>
          </cell>
          <cell r="B317" t="str">
            <v>3.6.6.12.7</v>
          </cell>
        </row>
        <row r="318">
          <cell r="A318" t="str">
            <v>660.2</v>
          </cell>
          <cell r="B318" t="str">
            <v>3.6.6.12.8</v>
          </cell>
        </row>
        <row r="319">
          <cell r="A319" t="str">
            <v>660.3</v>
          </cell>
          <cell r="B319" t="str">
            <v>3.6.6.12.9</v>
          </cell>
        </row>
        <row r="320">
          <cell r="A320" t="str">
            <v>661 OTRO</v>
          </cell>
          <cell r="B320" t="str">
            <v>3.6.6.13</v>
          </cell>
        </row>
        <row r="321">
          <cell r="A321" t="str">
            <v>661.1</v>
          </cell>
          <cell r="B321" t="str">
            <v>3.6.6.13.4</v>
          </cell>
        </row>
        <row r="322">
          <cell r="A322" t="str">
            <v>661.1.1</v>
          </cell>
          <cell r="B322" t="str">
            <v>3.6.6.13</v>
          </cell>
        </row>
        <row r="323">
          <cell r="A323" t="str">
            <v>661.1.2</v>
          </cell>
          <cell r="B323" t="str">
            <v>3.6.6.13</v>
          </cell>
        </row>
        <row r="324">
          <cell r="A324" t="str">
            <v>661.1P</v>
          </cell>
          <cell r="B324" t="str">
            <v>3.6.6.13</v>
          </cell>
        </row>
        <row r="325">
          <cell r="A325" t="str">
            <v>661.2</v>
          </cell>
          <cell r="B325" t="str">
            <v>3.6.6.13.20</v>
          </cell>
        </row>
        <row r="326">
          <cell r="A326" t="str">
            <v>661.3</v>
          </cell>
          <cell r="B326" t="str">
            <v> 3.6.6.13.4 </v>
          </cell>
        </row>
        <row r="327">
          <cell r="A327" t="str">
            <v>662.1</v>
          </cell>
          <cell r="B327" t="str">
            <v>3.3.14.19.1</v>
          </cell>
        </row>
        <row r="328">
          <cell r="A328" t="str">
            <v>662.2</v>
          </cell>
          <cell r="B328" t="str">
            <v>3.6.6.14</v>
          </cell>
        </row>
        <row r="329">
          <cell r="A329" t="str">
            <v>670.1</v>
          </cell>
          <cell r="B329" t="str">
            <v>3.6.6.15.2</v>
          </cell>
        </row>
        <row r="330">
          <cell r="A330" t="str">
            <v>670.1P</v>
          </cell>
          <cell r="B330" t="str">
            <v>3.6.6.15.2</v>
          </cell>
        </row>
        <row r="331">
          <cell r="A331" t="str">
            <v>670.2</v>
          </cell>
          <cell r="B331" t="str">
            <v>3.6.6.15.2</v>
          </cell>
        </row>
        <row r="332">
          <cell r="A332" t="str">
            <v>671.1</v>
          </cell>
          <cell r="B332" t="str">
            <v>3.6.6.16.1</v>
          </cell>
        </row>
        <row r="333">
          <cell r="A333" t="str">
            <v>671.2</v>
          </cell>
          <cell r="B333" t="str">
            <v> 3.6.6.16.8</v>
          </cell>
        </row>
        <row r="334">
          <cell r="A334" t="str">
            <v>672.1</v>
          </cell>
          <cell r="B334" t="str">
            <v>3.6.6.19.2</v>
          </cell>
        </row>
        <row r="335">
          <cell r="A335" t="str">
            <v>672.2</v>
          </cell>
          <cell r="B335" t="str">
            <v>3.6.6.19</v>
          </cell>
        </row>
        <row r="336">
          <cell r="A336" t="str">
            <v>673.1</v>
          </cell>
          <cell r="B336" t="str">
            <v>3.6.6.19.2</v>
          </cell>
        </row>
        <row r="337">
          <cell r="A337" t="str">
            <v>673.2</v>
          </cell>
          <cell r="B337" t="str">
            <v>3.6.8.1.2</v>
          </cell>
        </row>
        <row r="338">
          <cell r="A338" t="str">
            <v>673.2P</v>
          </cell>
          <cell r="B338" t="str">
            <v>3.6.8.1</v>
          </cell>
        </row>
        <row r="339">
          <cell r="A339" t="str">
            <v>673.3</v>
          </cell>
          <cell r="B339" t="str">
            <v>3.6.8.1.2</v>
          </cell>
        </row>
        <row r="340">
          <cell r="A340" t="str">
            <v>673.4P</v>
          </cell>
          <cell r="B340" t="str">
            <v>3.6.8.3.6</v>
          </cell>
        </row>
        <row r="341">
          <cell r="A341" t="str">
            <v>674.1</v>
          </cell>
          <cell r="B341" t="str">
            <v>3.6.6.20.1</v>
          </cell>
        </row>
        <row r="342">
          <cell r="A342" t="str">
            <v>674.1P</v>
          </cell>
          <cell r="B342" t="str">
            <v>3.6.6.20.1</v>
          </cell>
        </row>
        <row r="343">
          <cell r="A343" t="str">
            <v>674.2</v>
          </cell>
          <cell r="B343" t="str">
            <v>3.6.6.20.2</v>
          </cell>
        </row>
        <row r="344">
          <cell r="A344" t="str">
            <v>674P</v>
          </cell>
          <cell r="B344" t="str">
            <v> 3.6.6.14</v>
          </cell>
        </row>
        <row r="345">
          <cell r="A345" t="str">
            <v>675.1</v>
          </cell>
          <cell r="B345" t="str">
            <v> 3.6.8.2.6 </v>
          </cell>
        </row>
        <row r="346">
          <cell r="A346" t="str">
            <v>675.2</v>
          </cell>
          <cell r="B346" t="str">
            <v>3.6.4.2</v>
          </cell>
        </row>
        <row r="347">
          <cell r="A347" t="str">
            <v>675.3</v>
          </cell>
          <cell r="B347" t="str">
            <v>3.6.4.1.2</v>
          </cell>
        </row>
        <row r="348">
          <cell r="A348" t="str">
            <v>676.1</v>
          </cell>
          <cell r="B348" t="str">
            <v> 3.6.8.2.2 </v>
          </cell>
        </row>
        <row r="349">
          <cell r="A349" t="str">
            <v>680.1</v>
          </cell>
          <cell r="B349" t="str">
            <v>3.6.6.20.1</v>
          </cell>
        </row>
        <row r="350">
          <cell r="A350" t="str">
            <v>680.1P</v>
          </cell>
          <cell r="B350" t="str">
            <v>3.6.6.20.1 </v>
          </cell>
        </row>
        <row r="351">
          <cell r="A351" t="str">
            <v>680.2</v>
          </cell>
          <cell r="B351" t="str">
            <v>3.6.6.20.2</v>
          </cell>
        </row>
        <row r="352">
          <cell r="A352" t="str">
            <v>680.3</v>
          </cell>
          <cell r="B352" t="str">
            <v>3.6.6.20.3</v>
          </cell>
        </row>
        <row r="353">
          <cell r="A353" t="str">
            <v>680P</v>
          </cell>
          <cell r="B353" t="str">
            <v>3.3.11.3</v>
          </cell>
        </row>
        <row r="354">
          <cell r="A354" t="str">
            <v>681.1</v>
          </cell>
          <cell r="B354" t="str">
            <v xml:space="preserve">3.6.6.21.1  </v>
          </cell>
        </row>
        <row r="355">
          <cell r="A355" t="str">
            <v>681.1P</v>
          </cell>
          <cell r="B355" t="str">
            <v>3.6.6.21</v>
          </cell>
        </row>
        <row r="356">
          <cell r="A356" t="str">
            <v>681.2</v>
          </cell>
          <cell r="B356" t="str">
            <v>3.6.6.20.2</v>
          </cell>
        </row>
        <row r="357">
          <cell r="A357" t="str">
            <v>681.2P</v>
          </cell>
          <cell r="B357" t="str">
            <v>3.6.6.21</v>
          </cell>
        </row>
        <row r="358">
          <cell r="A358" t="str">
            <v>682.1</v>
          </cell>
          <cell r="B358" t="str">
            <v>3.2.7.5.3</v>
          </cell>
        </row>
        <row r="359">
          <cell r="A359" t="str">
            <v>682.1</v>
          </cell>
          <cell r="B359" t="str">
            <v>3.2.7.5.3</v>
          </cell>
        </row>
        <row r="360">
          <cell r="A360" t="str">
            <v>682P</v>
          </cell>
          <cell r="B360" t="str">
            <v>3.2.7.5</v>
          </cell>
        </row>
        <row r="361">
          <cell r="A361" t="str">
            <v>682P</v>
          </cell>
          <cell r="B361" t="str">
            <v>3,6,6,22,1</v>
          </cell>
        </row>
        <row r="362">
          <cell r="A362" t="str">
            <v>683P</v>
          </cell>
          <cell r="B362" t="str">
            <v> 3.6.6.14</v>
          </cell>
        </row>
        <row r="363">
          <cell r="A363" t="str">
            <v>690.1</v>
          </cell>
          <cell r="B363" t="str">
            <v>3.6.7.1.1</v>
          </cell>
        </row>
        <row r="364">
          <cell r="A364" t="str">
            <v>700.1</v>
          </cell>
          <cell r="B364" t="str">
            <v>3.6.7.1.1</v>
          </cell>
        </row>
        <row r="365">
          <cell r="A365" t="str">
            <v>700.2</v>
          </cell>
          <cell r="B365" t="str">
            <v>3.6.7.1.6</v>
          </cell>
        </row>
        <row r="366">
          <cell r="A366" t="str">
            <v>700.3</v>
          </cell>
          <cell r="B366" t="str">
            <v> 3.6.7.1.2</v>
          </cell>
        </row>
        <row r="367">
          <cell r="A367" t="str">
            <v>700.4</v>
          </cell>
          <cell r="B367" t="str">
            <v>3.6.7.1.6</v>
          </cell>
        </row>
        <row r="368">
          <cell r="A368" t="str">
            <v>700.5P</v>
          </cell>
          <cell r="B368" t="str">
            <v>3.6.7.1.6</v>
          </cell>
        </row>
        <row r="369">
          <cell r="A369" t="str">
            <v>700.6P</v>
          </cell>
          <cell r="B369" t="str">
            <v>3.6.7.1</v>
          </cell>
        </row>
        <row r="370">
          <cell r="A370" t="str">
            <v>700P</v>
          </cell>
          <cell r="B370" t="str">
            <v>3.6.7</v>
          </cell>
        </row>
        <row r="371">
          <cell r="A371" t="str">
            <v>701.1</v>
          </cell>
          <cell r="B371" t="str">
            <v>3.6.7.2.1</v>
          </cell>
        </row>
        <row r="372">
          <cell r="A372" t="str">
            <v>701.2P</v>
          </cell>
          <cell r="B372" t="str">
            <v>3.6.7.6</v>
          </cell>
        </row>
        <row r="373">
          <cell r="A373" t="str">
            <v>701P</v>
          </cell>
          <cell r="B373" t="str">
            <v>3.6.7.2</v>
          </cell>
        </row>
        <row r="374">
          <cell r="A374" t="str">
            <v>710.1</v>
          </cell>
          <cell r="B374" t="str">
            <v>3.6.7.3.13</v>
          </cell>
        </row>
        <row r="375">
          <cell r="A375" t="str">
            <v>710.1.1</v>
          </cell>
          <cell r="B375" t="str">
            <v>3.6.7.3.39</v>
          </cell>
        </row>
        <row r="376">
          <cell r="A376" t="str">
            <v>710.1.2</v>
          </cell>
          <cell r="B376" t="str">
            <v>3.6.7.3</v>
          </cell>
        </row>
        <row r="377">
          <cell r="A377" t="str">
            <v>710.1.3</v>
          </cell>
          <cell r="B377" t="str">
            <v>3.6.7.3</v>
          </cell>
        </row>
        <row r="378">
          <cell r="A378" t="str">
            <v>710.1.4</v>
          </cell>
          <cell r="B378" t="str">
            <v>3.6.7.3</v>
          </cell>
        </row>
        <row r="379">
          <cell r="A379" t="str">
            <v>710.1.5</v>
          </cell>
          <cell r="B379" t="str">
            <v>3.6.7.3</v>
          </cell>
        </row>
        <row r="380">
          <cell r="A380" t="str">
            <v>710.2</v>
          </cell>
          <cell r="B380" t="str">
            <v>3.6.7.3</v>
          </cell>
        </row>
        <row r="381">
          <cell r="A381" t="str">
            <v>710.2.1</v>
          </cell>
          <cell r="B381" t="str">
            <v>3.6.7.3</v>
          </cell>
        </row>
        <row r="382">
          <cell r="A382" t="str">
            <v>710.3</v>
          </cell>
          <cell r="B382" t="str">
            <v>3.6.7.3</v>
          </cell>
        </row>
        <row r="383">
          <cell r="A383" t="str">
            <v>710.4</v>
          </cell>
          <cell r="B383" t="str">
            <v>3.6.7.3</v>
          </cell>
        </row>
        <row r="384">
          <cell r="A384" t="str">
            <v>710.5</v>
          </cell>
          <cell r="B384" t="str">
            <v>3.6.7.3</v>
          </cell>
        </row>
        <row r="385">
          <cell r="A385" t="str">
            <v>720.1</v>
          </cell>
          <cell r="B385" t="str">
            <v>3.6.7.4.1</v>
          </cell>
        </row>
        <row r="386">
          <cell r="A386" t="str">
            <v>730.1</v>
          </cell>
          <cell r="B386" t="str">
            <v>3.6.7.5.1</v>
          </cell>
        </row>
        <row r="387">
          <cell r="A387" t="str">
            <v>730.2</v>
          </cell>
          <cell r="B387" t="str">
            <v>3.6.7.5.2</v>
          </cell>
        </row>
        <row r="388">
          <cell r="A388" t="str">
            <v>730.2</v>
          </cell>
          <cell r="B388" t="str">
            <v>3.6.7.5.2</v>
          </cell>
        </row>
        <row r="389">
          <cell r="A389" t="str">
            <v>730.3</v>
          </cell>
          <cell r="B389" t="str">
            <v>3.6.7.5.3</v>
          </cell>
        </row>
        <row r="390">
          <cell r="A390" t="str">
            <v>731.1</v>
          </cell>
          <cell r="B390" t="str">
            <v>3.6.6.21</v>
          </cell>
        </row>
        <row r="391">
          <cell r="A391" t="str">
            <v>740.1</v>
          </cell>
          <cell r="B391" t="str">
            <v>3.6.7.6.1</v>
          </cell>
        </row>
        <row r="392">
          <cell r="A392" t="str">
            <v>741.1</v>
          </cell>
          <cell r="B392" t="str">
            <v>3.6.7</v>
          </cell>
        </row>
        <row r="393">
          <cell r="A393" t="str">
            <v>741.1P1</v>
          </cell>
          <cell r="B393" t="str">
            <v>3.6.7</v>
          </cell>
        </row>
        <row r="394">
          <cell r="A394" t="str">
            <v>741.1P2</v>
          </cell>
          <cell r="B394" t="str">
            <v>3.6.7</v>
          </cell>
        </row>
        <row r="395">
          <cell r="A395" t="str">
            <v>741.1P3</v>
          </cell>
          <cell r="B395" t="str">
            <v>3.6.7</v>
          </cell>
        </row>
        <row r="396">
          <cell r="A396" t="str">
            <v>800.1</v>
          </cell>
          <cell r="B396" t="str">
            <v>3.6.9.1.4</v>
          </cell>
        </row>
        <row r="397">
          <cell r="A397" t="str">
            <v>800.2</v>
          </cell>
          <cell r="B397" t="str">
            <v>3.6.9.1.10</v>
          </cell>
        </row>
        <row r="398">
          <cell r="A398" t="str">
            <v>800.3</v>
          </cell>
          <cell r="B398" t="str">
            <v>3.6.9.1.6</v>
          </cell>
        </row>
        <row r="399">
          <cell r="A399" t="str">
            <v>800.4</v>
          </cell>
          <cell r="B399" t="str">
            <v>3.6.9.1.13</v>
          </cell>
        </row>
        <row r="400">
          <cell r="A400" t="str">
            <v>800P</v>
          </cell>
          <cell r="B400" t="str">
            <v>3.6.9.1.30</v>
          </cell>
        </row>
        <row r="401">
          <cell r="A401" t="str">
            <v>801.1</v>
          </cell>
          <cell r="B401" t="str">
            <v>3.6.1.2</v>
          </cell>
        </row>
        <row r="402">
          <cell r="A402" t="str">
            <v>801.2</v>
          </cell>
          <cell r="B402" t="str">
            <v>3.6.9.4.12</v>
          </cell>
        </row>
        <row r="403">
          <cell r="A403" t="str">
            <v>801.3</v>
          </cell>
          <cell r="B403" t="str">
            <v>3.6.9.4.12</v>
          </cell>
        </row>
        <row r="404">
          <cell r="A404" t="str">
            <v>801.4</v>
          </cell>
          <cell r="B404" t="str">
            <v>3.6.9.4.12</v>
          </cell>
        </row>
        <row r="405">
          <cell r="A405" t="str">
            <v>801.5</v>
          </cell>
          <cell r="B405" t="str">
            <v>3.6.9.4.8</v>
          </cell>
        </row>
        <row r="406">
          <cell r="A406" t="str">
            <v>801.6</v>
          </cell>
          <cell r="B406" t="str">
            <v>3.6.9.4.10</v>
          </cell>
        </row>
        <row r="407">
          <cell r="A407" t="str">
            <v>801.7</v>
          </cell>
          <cell r="B407" t="str">
            <v>3.6.9.4</v>
          </cell>
        </row>
        <row r="408">
          <cell r="A408" t="str">
            <v>810.1</v>
          </cell>
          <cell r="B408" t="str">
            <v>3.6.9.2.1</v>
          </cell>
        </row>
        <row r="409">
          <cell r="A409" t="str">
            <v>810.1P</v>
          </cell>
          <cell r="B409" t="str">
            <v> 3.6.9.2</v>
          </cell>
        </row>
        <row r="410">
          <cell r="A410" t="str">
            <v>810.2</v>
          </cell>
          <cell r="B410" t="str">
            <v>3.6.9.2.2</v>
          </cell>
        </row>
        <row r="411">
          <cell r="A411" t="str">
            <v>810.3</v>
          </cell>
          <cell r="B411" t="str">
            <v>3.2.9.1.1</v>
          </cell>
        </row>
        <row r="412">
          <cell r="A412" t="str">
            <v>811.1</v>
          </cell>
          <cell r="B412" t="str">
            <v>3.2.10.1</v>
          </cell>
        </row>
        <row r="413">
          <cell r="A413" t="str">
            <v>811.1P1</v>
          </cell>
          <cell r="B413" t="str">
            <v>3.2.10.1</v>
          </cell>
        </row>
        <row r="414">
          <cell r="A414" t="str">
            <v>811.1P10</v>
          </cell>
          <cell r="B414" t="str">
            <v>3.2.10.1</v>
          </cell>
        </row>
        <row r="415">
          <cell r="A415" t="str">
            <v>811.1P11</v>
          </cell>
          <cell r="B415" t="str">
            <v>3.2.10.1</v>
          </cell>
        </row>
        <row r="416">
          <cell r="A416" t="str">
            <v>811.1P12</v>
          </cell>
          <cell r="B416" t="str">
            <v>3.2.10.1</v>
          </cell>
        </row>
        <row r="417">
          <cell r="A417" t="str">
            <v>811.1P13</v>
          </cell>
          <cell r="B417" t="str">
            <v>3.2.10.1</v>
          </cell>
        </row>
        <row r="418">
          <cell r="A418" t="str">
            <v>811.1P14</v>
          </cell>
          <cell r="B418" t="str">
            <v>3.2.10.1</v>
          </cell>
        </row>
        <row r="419">
          <cell r="A419" t="str">
            <v>811.1P2</v>
          </cell>
          <cell r="B419" t="str">
            <v>3.2.10.1</v>
          </cell>
        </row>
        <row r="420">
          <cell r="A420" t="str">
            <v>811.1P3</v>
          </cell>
          <cell r="B420" t="str">
            <v>3.2.10.1</v>
          </cell>
        </row>
        <row r="421">
          <cell r="A421" t="str">
            <v>811.1P4</v>
          </cell>
          <cell r="B421" t="str">
            <v>3.2.10.1</v>
          </cell>
        </row>
        <row r="422">
          <cell r="A422" t="str">
            <v>811.1P5</v>
          </cell>
          <cell r="B422" t="str">
            <v>3.2.10.1</v>
          </cell>
        </row>
        <row r="423">
          <cell r="A423" t="str">
            <v>811.1P6</v>
          </cell>
          <cell r="B423" t="str">
            <v>3.2.10.1</v>
          </cell>
        </row>
        <row r="424">
          <cell r="A424" t="str">
            <v>811.1P7</v>
          </cell>
          <cell r="B424" t="str">
            <v>3.2.10.1</v>
          </cell>
        </row>
        <row r="425">
          <cell r="A425" t="str">
            <v>811.1P8</v>
          </cell>
          <cell r="B425" t="str">
            <v>3.2.10.1</v>
          </cell>
        </row>
        <row r="426">
          <cell r="A426" t="str">
            <v>811.1P9</v>
          </cell>
          <cell r="B426" t="str">
            <v>3.2.10.1</v>
          </cell>
        </row>
        <row r="427">
          <cell r="A427" t="str">
            <v>812.1</v>
          </cell>
          <cell r="B427" t="str">
            <v> 3.3.6.10.3 </v>
          </cell>
        </row>
        <row r="428">
          <cell r="A428" t="str">
            <v>815P</v>
          </cell>
          <cell r="B428" t="str">
            <v>3.2.10.3</v>
          </cell>
        </row>
        <row r="429">
          <cell r="A429" t="str">
            <v>820P1</v>
          </cell>
          <cell r="B429" t="str">
            <v>3,6,8,2,2</v>
          </cell>
        </row>
        <row r="430">
          <cell r="A430" t="str">
            <v>900.1</v>
          </cell>
          <cell r="B430" t="str">
            <v xml:space="preserve">3.6.9.3.1   </v>
          </cell>
        </row>
        <row r="431">
          <cell r="A431" t="str">
            <v>900.2</v>
          </cell>
          <cell r="B431" t="str">
            <v xml:space="preserve">3.6.9.3.1   </v>
          </cell>
        </row>
        <row r="432">
          <cell r="A432" t="str">
            <v>900.3</v>
          </cell>
          <cell r="B432" t="str">
            <v xml:space="preserve">3.6.9.3.1   </v>
          </cell>
        </row>
        <row r="433">
          <cell r="A433" t="str">
            <v>900.3P</v>
          </cell>
          <cell r="B433" t="str">
            <v xml:space="preserve">3.6.9.3.1   </v>
          </cell>
        </row>
        <row r="434">
          <cell r="A434" t="str">
            <v>900.4P</v>
          </cell>
          <cell r="B434" t="str">
            <v xml:space="preserve">3.6.9.3.1   </v>
          </cell>
        </row>
        <row r="435">
          <cell r="A435" t="str">
            <v>trinchos de madera</v>
          </cell>
          <cell r="B435" t="str">
            <v>3.2.7.5.1</v>
          </cell>
        </row>
      </sheetData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.FILT"/>
      <sheetName val="A.BORD"/>
      <sheetName val="MC"/>
      <sheetName val="LISTAS"/>
      <sheetName val="MHEA"/>
      <sheetName val="GASTOS"/>
      <sheetName val="INSERTAR"/>
      <sheetName val="NOMINAS"/>
      <sheetName val="B.FUND"/>
      <sheetName val="PLACAS"/>
      <sheetName val="PLACAS RE"/>
      <sheetName val="FUND.DIA"/>
      <sheetName val="GASTOS.ITEM"/>
      <sheetName val="PLAN%"/>
      <sheetName val="CRO"/>
      <sheetName val="FLUJO"/>
      <sheetName val="SUB&amp;TR"/>
      <sheetName val="EV.ACERO"/>
      <sheetName val="PIEDRA "/>
      <sheetName val="EV.CONCRETO"/>
      <sheetName val="E.F.TRANSP"/>
      <sheetName val="ESTADO"/>
      <sheetName val="S1"/>
      <sheetName val="PAGA V2"/>
      <sheetName val="PAGA"/>
      <sheetName val="PMT"/>
      <sheetName val="FACT ORD OP"/>
      <sheetName val="1.1"/>
      <sheetName val="2.1"/>
      <sheetName val="2.2"/>
      <sheetName val="2.3"/>
      <sheetName val="2.4"/>
      <sheetName val="3.1"/>
      <sheetName val="4.1"/>
      <sheetName val="4.2"/>
      <sheetName val="4.3"/>
      <sheetName val="4.4"/>
      <sheetName val="4.5"/>
      <sheetName val="4.6"/>
      <sheetName val="4.7"/>
      <sheetName val="5.1"/>
      <sheetName val="5.2"/>
      <sheetName val="5.3"/>
      <sheetName val="5.4"/>
      <sheetName val="5.5"/>
      <sheetName val="6.1"/>
      <sheetName val="CONC 3000 PSI"/>
      <sheetName val="CONC 4000 PSI "/>
    </sheetNames>
    <sheetDataSet>
      <sheetData sheetId="0"/>
      <sheetData sheetId="1"/>
      <sheetData sheetId="2"/>
      <sheetData sheetId="3"/>
      <sheetData sheetId="4"/>
      <sheetData sheetId="5"/>
      <sheetData sheetId="6">
        <row r="7">
          <cell r="G7">
            <v>1</v>
          </cell>
        </row>
        <row r="8">
          <cell r="G8">
            <v>2</v>
          </cell>
        </row>
        <row r="9">
          <cell r="G9">
            <v>3</v>
          </cell>
        </row>
        <row r="10">
          <cell r="G10">
            <v>4</v>
          </cell>
        </row>
        <row r="11">
          <cell r="G11">
            <v>5</v>
          </cell>
        </row>
        <row r="12">
          <cell r="G12">
            <v>6</v>
          </cell>
        </row>
        <row r="13">
          <cell r="G13">
            <v>7</v>
          </cell>
        </row>
        <row r="14">
          <cell r="G14">
            <v>8</v>
          </cell>
        </row>
        <row r="15">
          <cell r="G15">
            <v>9</v>
          </cell>
        </row>
        <row r="16">
          <cell r="G16">
            <v>10</v>
          </cell>
        </row>
        <row r="17">
          <cell r="G17">
            <v>11</v>
          </cell>
        </row>
        <row r="18">
          <cell r="G18">
            <v>12</v>
          </cell>
        </row>
        <row r="19">
          <cell r="G19">
            <v>13</v>
          </cell>
        </row>
        <row r="20">
          <cell r="G20">
            <v>14</v>
          </cell>
        </row>
        <row r="21">
          <cell r="G21">
            <v>15</v>
          </cell>
        </row>
        <row r="22">
          <cell r="G22">
            <v>16</v>
          </cell>
        </row>
        <row r="23">
          <cell r="G23">
            <v>17</v>
          </cell>
        </row>
        <row r="24">
          <cell r="G24">
            <v>18</v>
          </cell>
        </row>
        <row r="25">
          <cell r="G25">
            <v>19</v>
          </cell>
        </row>
        <row r="26">
          <cell r="G26">
            <v>20</v>
          </cell>
        </row>
        <row r="27">
          <cell r="G27">
            <v>21</v>
          </cell>
        </row>
        <row r="28">
          <cell r="G28">
            <v>22</v>
          </cell>
        </row>
        <row r="29">
          <cell r="G29">
            <v>23</v>
          </cell>
        </row>
        <row r="30">
          <cell r="G30">
            <v>24</v>
          </cell>
        </row>
        <row r="31">
          <cell r="G31">
            <v>25</v>
          </cell>
        </row>
        <row r="32">
          <cell r="G32">
            <v>26</v>
          </cell>
        </row>
        <row r="33">
          <cell r="G33">
            <v>27</v>
          </cell>
        </row>
        <row r="34">
          <cell r="G34">
            <v>28</v>
          </cell>
        </row>
        <row r="35">
          <cell r="G35">
            <v>29</v>
          </cell>
        </row>
        <row r="36">
          <cell r="G36">
            <v>30</v>
          </cell>
        </row>
        <row r="37">
          <cell r="G37">
            <v>31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UNITARIOS"/>
      <sheetName val="MATERIAL"/>
      <sheetName val="EQUIPO"/>
      <sheetName val="TRANSPORTE"/>
      <sheetName val="MANO OBRA"/>
      <sheetName val="MEMORIAS"/>
    </sheetNames>
    <sheetDataSet>
      <sheetData sheetId="0"/>
      <sheetData sheetId="1"/>
      <sheetData sheetId="2">
        <row r="2">
          <cell r="B2">
            <v>0</v>
          </cell>
        </row>
        <row r="3">
          <cell r="B3" t="str">
            <v>ACCESORIOS ACERO INOXIDABLE</v>
          </cell>
        </row>
        <row r="4">
          <cell r="B4" t="str">
            <v>ABRAZADERAS 4"</v>
          </cell>
        </row>
        <row r="5">
          <cell r="B5" t="str">
            <v>ACCESORIO PVC P 1/2"</v>
          </cell>
        </row>
        <row r="6">
          <cell r="B6" t="str">
            <v>ACCESORIO PVC S 2"</v>
          </cell>
        </row>
        <row r="7">
          <cell r="B7" t="str">
            <v>ACCESORIO PVC S 3"</v>
          </cell>
        </row>
        <row r="8">
          <cell r="B8" t="str">
            <v>ACCESORIO PVC S 4"</v>
          </cell>
        </row>
        <row r="9">
          <cell r="B9" t="str">
            <v>ACCESORIOS</v>
          </cell>
        </row>
        <row r="10">
          <cell r="B10" t="str">
            <v>ACCESORIOS CONEXIÓN Y DERIVACION CABLE COAXIAL</v>
          </cell>
        </row>
        <row r="11">
          <cell r="B11" t="str">
            <v>Accesorios de conexion por atras SanitarioDO-TCDIC</v>
          </cell>
        </row>
        <row r="12">
          <cell r="B12" t="str">
            <v>ACCESORIOS DE CONEXIÓN Y SUJECION PARA CABLE AMTIFRAU</v>
          </cell>
        </row>
        <row r="13">
          <cell r="B13" t="str">
            <v>ACCESORIOS DE SUJECION</v>
          </cell>
        </row>
        <row r="14">
          <cell r="B14" t="str">
            <v>ACCESORIOS EMT</v>
          </cell>
        </row>
        <row r="15">
          <cell r="B15" t="str">
            <v xml:space="preserve">ACCESORIOS GALVANIZADOS PARA CONEXIÓN EQUIPO DE PRESION </v>
          </cell>
        </row>
        <row r="16">
          <cell r="B16" t="str">
            <v>ACCESORIOS CPVC-P 1/2" ( Codo , unión y tapón )</v>
          </cell>
        </row>
        <row r="17">
          <cell r="B17" t="str">
            <v>ACCESORIOS PVC P 21/2"</v>
          </cell>
        </row>
        <row r="18">
          <cell r="B18" t="str">
            <v>ACCESORIOS PVC-P 1 1/2" ( Codo , unión y tapón )</v>
          </cell>
        </row>
        <row r="19">
          <cell r="B19" t="str">
            <v>ACCESORIOS PVC-P 1 1/4" ( Codo , unión y tapón )</v>
          </cell>
        </row>
        <row r="20">
          <cell r="B20" t="str">
            <v>ACCESORIOS PVC-P 1/2" ( Codo , unión y tapón )</v>
          </cell>
        </row>
        <row r="21">
          <cell r="B21" t="str">
            <v>ACCESORIOS PVC-P 2" ( Codo , unión y tapón )</v>
          </cell>
        </row>
        <row r="22">
          <cell r="B22" t="str">
            <v>ACCESORIOS PVC-P 3/4" ( Codo, unión y tapón )</v>
          </cell>
        </row>
        <row r="23">
          <cell r="B23" t="str">
            <v>ACCESORIOS SUJECION TRANFORMADOR</v>
          </cell>
        </row>
        <row r="24">
          <cell r="B24" t="str">
            <v>ACERO 37.000 PSI</v>
          </cell>
        </row>
        <row r="25">
          <cell r="B25" t="str">
            <v xml:space="preserve">ACERO 60.000 PSI </v>
          </cell>
        </row>
        <row r="26">
          <cell r="B26" t="str">
            <v>ACERO ESTRUCTURAL ACESCO PHR Cal. 12</v>
          </cell>
        </row>
        <row r="27">
          <cell r="B27" t="str">
            <v>ACIDO FLORIDRICO</v>
          </cell>
        </row>
        <row r="28">
          <cell r="B28" t="str">
            <v>ACIDO NITRICO</v>
          </cell>
        </row>
        <row r="29">
          <cell r="B29" t="str">
            <v>ACONDICIONADOR NOVAFORT 250ML  Pavco</v>
          </cell>
        </row>
        <row r="30">
          <cell r="B30" t="str">
            <v>ACPM</v>
          </cell>
        </row>
        <row r="31">
          <cell r="B31" t="str">
            <v>ADAPTADOR CONDUIT PVC 1/2"</v>
          </cell>
        </row>
        <row r="32">
          <cell r="B32" t="str">
            <v>ADAPTADOR MACHO   3/4"</v>
          </cell>
        </row>
        <row r="33">
          <cell r="B33" t="str">
            <v>ADAPTADOR TERMINAL CONDUIT 3/4"</v>
          </cell>
        </row>
        <row r="34">
          <cell r="B34" t="str">
            <v>ADAPTADORES MACHO 1/2"</v>
          </cell>
        </row>
        <row r="35">
          <cell r="B35" t="str">
            <v>ADHESIVO EPOXICO G5 DE 651 ml</v>
          </cell>
        </row>
        <row r="36">
          <cell r="B36" t="str">
            <v>ADHESIVO NOVAFORT 310 ML  Pavco</v>
          </cell>
        </row>
        <row r="37">
          <cell r="B37" t="str">
            <v>AGUA</v>
          </cell>
        </row>
        <row r="38">
          <cell r="B38" t="str">
            <v>AISLADORES</v>
          </cell>
        </row>
        <row r="39">
          <cell r="B39" t="str">
            <v>AISLADORES DE PIN CON ESPIGO</v>
          </cell>
        </row>
        <row r="40">
          <cell r="B40" t="str">
            <v>AISLADORES DE RETENCION</v>
          </cell>
        </row>
        <row r="41">
          <cell r="B41" t="str">
            <v>AISLADORES EMISORES</v>
          </cell>
        </row>
        <row r="42">
          <cell r="B42" t="str">
            <v>ALAMBRE COBRE DESNUDO AWG  12</v>
          </cell>
        </row>
        <row r="43">
          <cell r="B43" t="str">
            <v>ALAMBRE COBRE THHN 12 AWG</v>
          </cell>
        </row>
        <row r="44">
          <cell r="B44" t="str">
            <v>ALAMBRE NEGRO       No.18</v>
          </cell>
        </row>
        <row r="45">
          <cell r="B45" t="str">
            <v>ALFACOLOR 3-15</v>
          </cell>
        </row>
        <row r="46">
          <cell r="B46" t="str">
            <v>ALFAJIAS CONCRETO     .25</v>
          </cell>
        </row>
        <row r="47">
          <cell r="B47" t="str">
            <v>ALUMINIO PARA CIELO RASO INC ESTRUCTURA</v>
          </cell>
        </row>
        <row r="48">
          <cell r="B48" t="str">
            <v>ALUMINIO PARA DIVISION BAÑO</v>
          </cell>
        </row>
        <row r="49">
          <cell r="B49" t="str">
            <v>AMPLIFICADOR TV CON 20 SALIDAS</v>
          </cell>
        </row>
        <row r="50">
          <cell r="B50" t="str">
            <v>ANCLAJE CAMISA DE 3/8"</v>
          </cell>
        </row>
        <row r="51">
          <cell r="B51" t="str">
            <v>ÁNGULO     1 x 1 x 1/8" de 6 mts</v>
          </cell>
        </row>
        <row r="52">
          <cell r="B52" t="str">
            <v>ÁNGULO     1 x 1 x 3/16" de 6 mts</v>
          </cell>
        </row>
        <row r="53">
          <cell r="B53" t="str">
            <v>ANGULO 1 1/2X3/16</v>
          </cell>
        </row>
        <row r="54">
          <cell r="B54" t="str">
            <v>ANGULO 1"X1/8"</v>
          </cell>
        </row>
        <row r="55">
          <cell r="B55" t="str">
            <v xml:space="preserve">ANGULO 2" * 2" * 1/8" </v>
          </cell>
        </row>
        <row r="56">
          <cell r="B56" t="str">
            <v xml:space="preserve">ANGULO 2" * 2" * 3/16" </v>
          </cell>
        </row>
        <row r="57">
          <cell r="B57" t="str">
            <v>ANGULO 3/4"</v>
          </cell>
        </row>
        <row r="58">
          <cell r="B58" t="str">
            <v>ANGULO DE 1"x1/8"</v>
          </cell>
        </row>
        <row r="59">
          <cell r="B59" t="str">
            <v>ANGULOS DE ENSAMBLE</v>
          </cell>
        </row>
        <row r="60">
          <cell r="B60" t="str">
            <v>ANGULOS EN ALUMINIO BLANCO DE 3m</v>
          </cell>
        </row>
        <row r="61">
          <cell r="B61" t="str">
            <v xml:space="preserve">ANTENA EXTERNA COMUNAL TV </v>
          </cell>
        </row>
        <row r="62">
          <cell r="B62" t="str">
            <v>ANTICORROSIVO</v>
          </cell>
        </row>
        <row r="63">
          <cell r="B63" t="str">
            <v xml:space="preserve">ANTICORROSIVO </v>
          </cell>
        </row>
        <row r="64">
          <cell r="B64" t="str">
            <v>ARENA DE RIO</v>
          </cell>
        </row>
        <row r="65">
          <cell r="B65" t="str">
            <v>ARENA LAVADA DE PEÑA</v>
          </cell>
        </row>
        <row r="66">
          <cell r="B66" t="str">
            <v>ARBOL</v>
          </cell>
        </row>
        <row r="67">
          <cell r="B67" t="str">
            <v>ASFALTO TIPO 190/220 200 kg</v>
          </cell>
        </row>
        <row r="68">
          <cell r="B68" t="str">
            <v>BALA DULUX 2X20W, REFLECTOR EN ALUMINIO BRILLADO. DIAMETRO 20,5 CMS, ACABADO BLANCO. INCLUYE 2 BOMBILLOS DULUX 20W ROSCA, LUZ 6500K</v>
          </cell>
        </row>
        <row r="69">
          <cell r="B69" t="str">
            <v>BALA FLUORESCENTE 2X26 CON BOMBILLOS AHORRADORES</v>
          </cell>
        </row>
        <row r="70">
          <cell r="B70" t="str">
            <v>BALDOSA EN GRANITO ALFA</v>
          </cell>
        </row>
        <row r="71">
          <cell r="B71" t="str">
            <v>BALDOSA PORCELANATICO</v>
          </cell>
        </row>
        <row r="72">
          <cell r="B72" t="str">
            <v>BARNIZ</v>
          </cell>
        </row>
        <row r="73">
          <cell r="B73" t="str">
            <v>BANDEJA PORTACABLES 60X8</v>
          </cell>
        </row>
        <row r="74">
          <cell r="B74" t="str">
            <v>BASE PARA FOTOCELDA CON SOPORTE</v>
          </cell>
        </row>
        <row r="75">
          <cell r="B75" t="str">
            <v>BISAGRAS</v>
          </cell>
        </row>
        <row r="76">
          <cell r="B76" t="str">
            <v>BISAGRAS PARA VENTANAS METALICAS</v>
          </cell>
        </row>
        <row r="77">
          <cell r="B77" t="str">
            <v>BISAGRAS PUERTAS COCINA</v>
          </cell>
        </row>
        <row r="78">
          <cell r="B78" t="str">
            <v>BISEL PARA VIDRIO ESPEJO</v>
          </cell>
        </row>
        <row r="79">
          <cell r="B79" t="str">
            <v>BLOQUE No. 3</v>
          </cell>
        </row>
        <row r="80">
          <cell r="B80" t="str">
            <v xml:space="preserve">BLOQUE No. 4 </v>
          </cell>
        </row>
        <row r="81">
          <cell r="B81" t="str">
            <v xml:space="preserve">BLOQUE No. 5 </v>
          </cell>
        </row>
        <row r="82">
          <cell r="B82" t="str">
            <v xml:space="preserve">Boca puerta en mármol,  incluye nariz redonda </v>
          </cell>
        </row>
        <row r="83">
          <cell r="B83" t="str">
            <v>BOQUILLA TERMINAL PVC 1"</v>
          </cell>
        </row>
        <row r="84">
          <cell r="B84" t="str">
            <v>BOSEL</v>
          </cell>
        </row>
        <row r="85">
          <cell r="B85" t="str">
            <v>BOMBAS PARA SISTEMA DE PLANTA TRATAMIENTO</v>
          </cell>
        </row>
        <row r="86">
          <cell r="B86" t="str">
            <v>BRAZO HIDRAULICO</v>
          </cell>
        </row>
        <row r="87">
          <cell r="B87" t="str">
            <v>BROCA DE 5/8"</v>
          </cell>
        </row>
        <row r="88">
          <cell r="B88" t="str">
            <v>BROCAS 1/2"</v>
          </cell>
        </row>
        <row r="89">
          <cell r="B89" t="str">
            <v>BROCAS 1/4"</v>
          </cell>
        </row>
        <row r="90">
          <cell r="B90" t="str">
            <v>BROCAS, GRAPAS, CHAZOS Y TORNILLOS</v>
          </cell>
        </row>
        <row r="91">
          <cell r="B91" t="str">
            <v>BUSHING 4"X2" A.C.</v>
          </cell>
        </row>
        <row r="92">
          <cell r="B92" t="str">
            <v>CABALLETE ETERNIT</v>
          </cell>
        </row>
        <row r="93">
          <cell r="B93" t="str">
            <v>CABALLETE THERMOACUSTICA DE 2.00X0.70</v>
          </cell>
        </row>
        <row r="94">
          <cell r="B94" t="str">
            <v>CABLE #4 COBRE DESNUDO</v>
          </cell>
        </row>
        <row r="95">
          <cell r="B95" t="str">
            <v>Cable 10 THWN/THHN Cu-AWG 600V</v>
          </cell>
        </row>
        <row r="96">
          <cell r="B96" t="str">
            <v>cable 2/0</v>
          </cell>
        </row>
        <row r="97">
          <cell r="B97" t="str">
            <v>Cable 8 THWN/THHN Cu-AWG 600V</v>
          </cell>
        </row>
        <row r="98">
          <cell r="B98" t="str">
            <v>CABLE ANTIFRAUDE #8</v>
          </cell>
        </row>
        <row r="99">
          <cell r="B99" t="str">
            <v xml:space="preserve">CABLE BLINDADO COAXIAL RG59 U TV </v>
          </cell>
        </row>
        <row r="100">
          <cell r="B100" t="str">
            <v>CABLE DUPLEX DE 2X16</v>
          </cell>
        </row>
        <row r="101">
          <cell r="B101" t="str">
            <v>Cable 12 THWN/THHN Cu-AWG 600V</v>
          </cell>
        </row>
        <row r="102">
          <cell r="B102" t="str">
            <v>Cable 14 THWN/THHN Cu-AWG 600V</v>
          </cell>
        </row>
        <row r="103">
          <cell r="B103" t="str">
            <v>Cable 8 THWN/THHN Cu-AWG 600V</v>
          </cell>
        </row>
        <row r="104">
          <cell r="B104" t="str">
            <v>CABLE ENCAUCHETADO 3#4+1#6 T</v>
          </cell>
        </row>
        <row r="105">
          <cell r="B105" t="str">
            <v>CABLE DE COBRE DESNUDO No.12 AWG</v>
          </cell>
        </row>
        <row r="106">
          <cell r="B106" t="str">
            <v>CABLE No. 12 T</v>
          </cell>
        </row>
        <row r="107">
          <cell r="B107" t="str">
            <v>CABLE PARA SEÑALES SISTEMA CONTRA INCENDIO  2 PARES (2X22AWG) NPLF AISLAMIENTO EN PVC DE ACUERDO A LAS NORMAS IEC189, IEC708</v>
          </cell>
        </row>
        <row r="108">
          <cell r="B108" t="str">
            <v>CABLE TELEFONICO 2 PARES</v>
          </cell>
        </row>
        <row r="109">
          <cell r="B109" t="str">
            <v>CAJA 2400</v>
          </cell>
        </row>
        <row r="110">
          <cell r="B110" t="str">
            <v>CAJA 5800</v>
          </cell>
        </row>
        <row r="111">
          <cell r="B111" t="str">
            <v>CAJA MEDIDOR ACUEDUCTO CON TAPA Y CERRADURA</v>
          </cell>
        </row>
        <row r="112">
          <cell r="B112" t="str">
            <v>CAJA MEDIDOR DE AGUA 60*28*14</v>
          </cell>
        </row>
        <row r="113">
          <cell r="B113" t="str">
            <v>CAJA MONOFASICA DE 4 CIRCUITOS CON TACOS</v>
          </cell>
        </row>
        <row r="114">
          <cell r="B114" t="str">
            <v>CAJA OCTOGONAL GALVANIZADA (CAJA EMP GALV.OCTAGONAL 4")</v>
          </cell>
        </row>
        <row r="115">
          <cell r="B115" t="str">
            <v>CAJA METALICA AMPLIFICADOR TV</v>
          </cell>
        </row>
        <row r="116">
          <cell r="B116" t="str">
            <v>CAJA SENCILLA CONDUIT (CAJA EMP GALV.RECTANG. 2X4")</v>
          </cell>
        </row>
        <row r="117">
          <cell r="B117" t="str">
            <v xml:space="preserve">CAJAS DE 20X25X10 CM PARA CONEXIÓN </v>
          </cell>
        </row>
        <row r="118">
          <cell r="B118" t="str">
            <v>CALENTADOR ELECTRICO 20 GL 120 V HACEB</v>
          </cell>
        </row>
        <row r="119">
          <cell r="B119" t="str">
            <v>CARBURO BLANCO</v>
          </cell>
        </row>
        <row r="120">
          <cell r="B120" t="str">
            <v>CAOLÍN</v>
          </cell>
        </row>
        <row r="121">
          <cell r="B121" t="str">
            <v>CAPACETE 1"</v>
          </cell>
        </row>
        <row r="122">
          <cell r="B122" t="str">
            <v>CASETÓN DE GUADUA h=0.42</v>
          </cell>
        </row>
        <row r="124">
          <cell r="B124" t="str">
            <v>CEDRO CAQUETA</v>
          </cell>
        </row>
        <row r="125">
          <cell r="B125" t="str">
            <v xml:space="preserve">CELDA METÁLICA -LÁMINA COLD-ROLLED PARA  TRANSFORMADOR </v>
          </cell>
        </row>
        <row r="126">
          <cell r="B126" t="str">
            <v>CEMENTO MARINO</v>
          </cell>
        </row>
        <row r="127">
          <cell r="B127" t="str">
            <v>CEMENTO BLANCO</v>
          </cell>
        </row>
        <row r="128">
          <cell r="B128" t="str">
            <v>CEMENTO GRIS</v>
          </cell>
        </row>
        <row r="129">
          <cell r="B129" t="str">
            <v xml:space="preserve">CERAMICA </v>
          </cell>
        </row>
        <row r="130">
          <cell r="B130" t="str">
            <v>CERRADURA INAFER</v>
          </cell>
        </row>
        <row r="131">
          <cell r="B131" t="str">
            <v>CERRADURA POMA MADERA ALCOBA</v>
          </cell>
        </row>
        <row r="132">
          <cell r="B132" t="str">
            <v>CERRADURA POMA PUERTAS</v>
          </cell>
        </row>
        <row r="133">
          <cell r="B133" t="str">
            <v>CENEFA EN MADERA DE 0.12 TINTADA</v>
          </cell>
        </row>
        <row r="134">
          <cell r="B134" t="str">
            <v>CERROJO EN ACERO INOXIDABLE</v>
          </cell>
        </row>
        <row r="135">
          <cell r="B135" t="str">
            <v>CERRADURA SCHLAGE BAÑO  A40S Cromado Mate</v>
          </cell>
        </row>
        <row r="136">
          <cell r="B136" t="str">
            <v>CHEQUE HORIZONTAL 1/2"</v>
          </cell>
        </row>
        <row r="137">
          <cell r="B137" t="str">
            <v>CHEQUE R&amp;W Roscado 3/4" Ref. 236</v>
          </cell>
        </row>
        <row r="138">
          <cell r="B138" t="str">
            <v>CIELO RASO Star Orion ( perfileria aluminio 1" )</v>
          </cell>
        </row>
        <row r="139">
          <cell r="B139" t="str">
            <v>CILINDRO DE GAS PROPANO</v>
          </cell>
        </row>
        <row r="140">
          <cell r="B140" t="str">
            <v>CINTA BANDIT 1/2" CON GRAPAS</v>
          </cell>
        </row>
        <row r="141">
          <cell r="B141" t="str">
            <v>CINTA PAPEL</v>
          </cell>
        </row>
        <row r="142">
          <cell r="B142" t="str">
            <v>CINTA TEFLÓN 10 m 1/2"</v>
          </cell>
        </row>
        <row r="143">
          <cell r="B143" t="str">
            <v>CLOSET</v>
          </cell>
        </row>
        <row r="144">
          <cell r="B144" t="str">
            <v>COCINA INTEGRAL</v>
          </cell>
        </row>
        <row r="145">
          <cell r="B145" t="str">
            <v>CODO 90° 1/4 CxC SANITARIO 3" Pavco</v>
          </cell>
        </row>
        <row r="146">
          <cell r="B146" t="str">
            <v>CODO 90° 1/4 CxC SANITARIO 4" Pavco</v>
          </cell>
        </row>
        <row r="147">
          <cell r="B147" t="str">
            <v>CODO 90° 1/4 CxE SANITARIO 2"</v>
          </cell>
        </row>
        <row r="148">
          <cell r="B148" t="str">
            <v>CODO 90° 4" EXTREMO BRIDADO</v>
          </cell>
        </row>
        <row r="149">
          <cell r="B149" t="str">
            <v>CODO 90° PRESIÓN PVC   3/4" Pavco</v>
          </cell>
        </row>
        <row r="150">
          <cell r="B150" t="str">
            <v>CODO 90° PRESIÓN PVC 1 1/2" Pavco</v>
          </cell>
        </row>
        <row r="151">
          <cell r="B151" t="str">
            <v>CODO PRESIÓN           1"</v>
          </cell>
        </row>
        <row r="152">
          <cell r="B152" t="str">
            <v>COMBO SANITARIO BLANCO AHORRADOR</v>
          </cell>
        </row>
        <row r="153">
          <cell r="B153" t="str">
            <v>CONCERTINA EN ACERO INOXIDABLE DE 18"</v>
          </cell>
        </row>
        <row r="154">
          <cell r="B154" t="str">
            <v>CONCRETO DE 1500 PSI</v>
          </cell>
        </row>
        <row r="155">
          <cell r="B155" t="str">
            <v>CONCRETO DE 2000 PSI</v>
          </cell>
        </row>
        <row r="156">
          <cell r="B156" t="str">
            <v>CONCRETO DE 2500 PSI</v>
          </cell>
        </row>
        <row r="157">
          <cell r="B157" t="str">
            <v>CONCRETO DE 3000 PSI</v>
          </cell>
        </row>
        <row r="158">
          <cell r="B158" t="str">
            <v>CONCRETO DE 3500 PSI</v>
          </cell>
        </row>
        <row r="159">
          <cell r="B159" t="str">
            <v>CONCRETO DE 4000 PSI</v>
          </cell>
        </row>
        <row r="160">
          <cell r="B160" t="str">
            <v>CONCRETO TREMIE TORNILLO DE 3000 PSI</v>
          </cell>
        </row>
        <row r="161">
          <cell r="B161" t="str">
            <v>CONCRETO TREMIE TORNILLO DE 4000 PSI</v>
          </cell>
        </row>
        <row r="162">
          <cell r="B162" t="str">
            <v>CONCRETO DE 3500 PSI BAJA PERMEABILIDAD</v>
          </cell>
        </row>
        <row r="163">
          <cell r="B163" t="str">
            <v>COPA ESMERIL</v>
          </cell>
        </row>
        <row r="164">
          <cell r="B164" t="str">
            <v>COPA SIERRA</v>
          </cell>
        </row>
        <row r="165">
          <cell r="B165" t="str">
            <v>CORREA EN MADERA</v>
          </cell>
        </row>
        <row r="166">
          <cell r="B166" t="str">
            <v>CORREA METALICA</v>
          </cell>
        </row>
        <row r="167">
          <cell r="B167" t="str">
            <v>CORTACIRCUITOS 15 KV-100 AMPERIOS-</v>
          </cell>
        </row>
        <row r="168">
          <cell r="B168" t="str">
            <v xml:space="preserve">Cortina corrida Automática tipo Blackout, h= 1.10 m </v>
          </cell>
        </row>
        <row r="169">
          <cell r="B169" t="str">
            <v>CURVA 90º PVC 1/2"</v>
          </cell>
        </row>
        <row r="170">
          <cell r="B170" t="str">
            <v>DESAGUE LAVAMANOS SENCILLO Gerfor GF-581084</v>
          </cell>
        </row>
        <row r="171">
          <cell r="B171" t="str">
            <v>DESAGUE ORINAL 1 1/2"</v>
          </cell>
        </row>
        <row r="172">
          <cell r="B172" t="str">
            <v>DESCARGADOR DE SOBRETENSION TIPO  LINEA 12 KV- 10 KA-</v>
          </cell>
        </row>
        <row r="173">
          <cell r="B173" t="str">
            <v xml:space="preserve">DESCARGADOR FRANKLIN DE 5 PUNTAS </v>
          </cell>
        </row>
        <row r="174">
          <cell r="B174" t="str">
            <v>DIAGONALES</v>
          </cell>
        </row>
        <row r="175">
          <cell r="B175" t="str">
            <v>DILATACION BRONCE</v>
          </cell>
        </row>
        <row r="176">
          <cell r="B176" t="str">
            <v>DILATACIÓN EN BRONCE PC13</v>
          </cell>
        </row>
        <row r="177">
          <cell r="B177" t="str">
            <v>DINTELES EN CONCRETO h=0.15m x 0.2m (2500 PSI Mezcla 1:3:3)</v>
          </cell>
        </row>
        <row r="178">
          <cell r="B178" t="str">
            <v>DISCO CORTE LADRILLO Y7O CONCRETO</v>
          </cell>
        </row>
        <row r="179">
          <cell r="B179" t="str">
            <v>DISCO PARA CORTE METAL</v>
          </cell>
        </row>
        <row r="180">
          <cell r="B180" t="str">
            <v>DISPENSADOR JABON</v>
          </cell>
        </row>
        <row r="181">
          <cell r="B181" t="str">
            <v>DUCHA Antivandalica Docol DO-17125106</v>
          </cell>
        </row>
        <row r="182">
          <cell r="B182" t="str">
            <v>DUCHA CON MEZCLADOR</v>
          </cell>
        </row>
        <row r="183">
          <cell r="B183" t="str">
            <v>DUCHA CON REGISTRO</v>
          </cell>
        </row>
        <row r="184">
          <cell r="B184" t="str">
            <v>DUCHA ELECTRICA</v>
          </cell>
        </row>
        <row r="185">
          <cell r="B185" t="str">
            <v>DURMIENTE ABARCO 4 m</v>
          </cell>
        </row>
        <row r="186">
          <cell r="B186" t="str">
            <v>DURMIENTE ORDINARIO DE 3 MTS</v>
          </cell>
        </row>
        <row r="187">
          <cell r="B187" t="str">
            <v>ELEMENTOS FIJACION MANTO</v>
          </cell>
        </row>
        <row r="188">
          <cell r="B188" t="str">
            <v>EMPAQUES</v>
          </cell>
        </row>
        <row r="189">
          <cell r="B189" t="str">
            <v>EMULSION ASFALTICA</v>
          </cell>
        </row>
        <row r="190">
          <cell r="B190" t="str">
            <v>ENCHAPE  DE 20X30</v>
          </cell>
        </row>
        <row r="191">
          <cell r="B191" t="str">
            <v>ENCHAPE CERAMICA BLANCO</v>
          </cell>
        </row>
        <row r="192">
          <cell r="B192" t="str">
            <v>Enchape paredes interiores Triplex Cedro Tintillad</v>
          </cell>
        </row>
        <row r="193">
          <cell r="B193" t="str">
            <v xml:space="preserve">EQUIPO AUTOMÁTICO PARA ALUMBRADO DE EMERGENCIA REFERENCIA ILURAM IL3-2H  </v>
          </cell>
        </row>
        <row r="194">
          <cell r="B194" t="str">
            <v xml:space="preserve">EQUIPO DE MEDICION  EN MEDIA TENSION </v>
          </cell>
        </row>
        <row r="195">
          <cell r="B195" t="str">
            <v>ESGRAFIADO PINTUCO 4 GALONES 30 KG</v>
          </cell>
        </row>
        <row r="196">
          <cell r="B196" t="str">
            <v>ESMALTE  Sobre lamina lineal Tipo pintulx anoloc verde bronce.</v>
          </cell>
        </row>
        <row r="197">
          <cell r="B197" t="str">
            <v>ESMALTE  Sobre lamina llena Tipo pintulx</v>
          </cell>
        </row>
        <row r="198">
          <cell r="B198" t="str">
            <v>ESMALTE ANTIHUMEDAD LAVABLE</v>
          </cell>
        </row>
        <row r="199">
          <cell r="B199" t="str">
            <v>ESMALTE SINTÉTICO PINTULUX</v>
          </cell>
        </row>
        <row r="200">
          <cell r="B200" t="str">
            <v>ESPEJO BORDE BISELADO DE 0.70X1.00</v>
          </cell>
        </row>
        <row r="201">
          <cell r="B201" t="str">
            <v>ESPEJO DE SEGURIDAD DE 40 CM</v>
          </cell>
        </row>
        <row r="202">
          <cell r="B202" t="str">
            <v>ESTACAS</v>
          </cell>
        </row>
        <row r="203">
          <cell r="B203" t="str">
            <v>ESTACIUON MANUAL DE APERTURA REF. BDS121/e SIEMENS o similar en marca reconocida</v>
          </cell>
        </row>
        <row r="204">
          <cell r="B204" t="str">
            <v>ESTRUCTURA CIELORASO DRYWALL(OMEGA-ANGULO-PARAL-TORNILLOS)</v>
          </cell>
        </row>
        <row r="205">
          <cell r="B205" t="str">
            <v>ESTRUCTURA CONEXIÓN RED TRENZADA CONJUNTO LA 320</v>
          </cell>
        </row>
        <row r="206">
          <cell r="B206" t="str">
            <v>ESTRUCTURA CONEXIÓN RED TRENZADA CONJUNTO LA 321</v>
          </cell>
        </row>
        <row r="207">
          <cell r="B207" t="str">
            <v>ESTRUCTURA CONEXIÓN RED TRENZADA CONJUNTO LA 324</v>
          </cell>
        </row>
        <row r="208">
          <cell r="B208" t="str">
            <v>ESQUINERO PLASTICO 2m</v>
          </cell>
        </row>
        <row r="209">
          <cell r="B209" t="str">
            <v>ESTUCO PLASTICO</v>
          </cell>
        </row>
        <row r="210">
          <cell r="B210" t="str">
            <v>ESTUFA CHALLENGER DE EMPOTRAR 4 PUESTOS ELECTRICA</v>
          </cell>
        </row>
        <row r="211">
          <cell r="B211" t="str">
            <v>ESTUFA DE EMPOTRAR MIXTA 4 PUESTOS</v>
          </cell>
        </row>
        <row r="212">
          <cell r="B212" t="str">
            <v>ESTUFA ELECTRICA 2 PUESTOS</v>
          </cell>
        </row>
        <row r="213">
          <cell r="B213" t="str">
            <v>EXTRAXTOR DE OLOR DE 20X20</v>
          </cell>
        </row>
        <row r="214">
          <cell r="B214" t="str">
            <v>Fachada Closet 4 Ptas Cedro ( Tintillado )</v>
          </cell>
        </row>
        <row r="215">
          <cell r="B215" t="str">
            <v>FIJADORES DE ALA</v>
          </cell>
        </row>
        <row r="216">
          <cell r="B216" t="str">
            <v>FILTRO AEROBICO CON ACC.</v>
          </cell>
        </row>
        <row r="217">
          <cell r="B217" t="str">
            <v>FILTRO DE DRENAJE 0.5 x 0.5 CON RELLENO EN GRAVILLA DE RIO 3/4" - 1" (SIN EXCAVACIÓN)</v>
          </cell>
        </row>
        <row r="218">
          <cell r="B218" t="str">
            <v>FORMALETA ENTREPISOS, con camilla</v>
          </cell>
        </row>
        <row r="219">
          <cell r="B219" t="str">
            <v>GANCHOS ANCLAJES TEJA THERMOACUSTICA</v>
          </cell>
        </row>
        <row r="220">
          <cell r="B220" t="str">
            <v>GANCHO TEJA ETERNIT 55 mm</v>
          </cell>
        </row>
        <row r="221">
          <cell r="B221" t="str">
            <v>GEOTEXTIL NO TEJIDO</v>
          </cell>
        </row>
        <row r="222">
          <cell r="B222" t="str">
            <v>GEOTEXTIL TR 4000</v>
          </cell>
        </row>
        <row r="223">
          <cell r="B223" t="str">
            <v>GRANITO TRAVERTINO</v>
          </cell>
        </row>
        <row r="224">
          <cell r="B224" t="str">
            <v xml:space="preserve">GRAVILLA </v>
          </cell>
        </row>
        <row r="225">
          <cell r="B225" t="str">
            <v>GRIFERIA AHORRADORA TIPO PUSH</v>
          </cell>
        </row>
        <row r="226">
          <cell r="B226" t="str">
            <v>GRIFERIA LAVAMANOS LINEA FENIX 4"</v>
          </cell>
        </row>
        <row r="227">
          <cell r="B227" t="str">
            <v>GUARDAESCOBA EN CERAMICA</v>
          </cell>
        </row>
        <row r="228">
          <cell r="B228" t="str">
            <v>GUARDAESCOBA EN GRANADILLO</v>
          </cell>
        </row>
        <row r="229">
          <cell r="B229" t="str">
            <v>GRIFERIA LAVAPLATOS GRIVAL LINEA AMARETO</v>
          </cell>
        </row>
        <row r="230">
          <cell r="B230" t="str">
            <v>GUARDAESCOBA PORCELANATO</v>
          </cell>
        </row>
        <row r="231">
          <cell r="B231" t="str">
            <v>IGAS GRIS - Masilla plastica 25210351</v>
          </cell>
        </row>
        <row r="232">
          <cell r="B232" t="str">
            <v>IMPRIMANTE DE VINILO</v>
          </cell>
        </row>
        <row r="233">
          <cell r="B233" t="str">
            <v>HERRAJES MUEBLES MADERA</v>
          </cell>
        </row>
        <row r="234">
          <cell r="B234" t="str">
            <v>Interior Closet en triplex cedro (Tintillado )</v>
          </cell>
        </row>
        <row r="235">
          <cell r="B235" t="str">
            <v>INTERRUPTOR CAJA MOLDEADA 3X40A / 25KA. CALIDAD MERLIN GERIN, SIEMENS O SUPERIOR</v>
          </cell>
        </row>
        <row r="236">
          <cell r="B236" t="str">
            <v>INTERRUPTOR CAJA MOLDEADA 3X80A / 50KA - 240V.</v>
          </cell>
        </row>
        <row r="237">
          <cell r="B237" t="str">
            <v>INTERRUPTOR DE TRANSFERENCIA TIPO SECCIONADOR TRIPOLAR</v>
          </cell>
        </row>
        <row r="238">
          <cell r="B238" t="str">
            <v xml:space="preserve">INTERRUPTOR DOBLE </v>
          </cell>
        </row>
        <row r="239">
          <cell r="B239" t="str">
            <v>INTERRUPTOR DOBLE CONMUTABLE</v>
          </cell>
        </row>
        <row r="240">
          <cell r="B240" t="str">
            <v>INTERRUPTOR ENCHUFABLE DE 2X20  A - 240 v - 10 ka</v>
          </cell>
        </row>
        <row r="241">
          <cell r="B241" t="str">
            <v>INTERRUPTOR ENCHUFABLE DE 2X30  A - 240 v - 10 ka</v>
          </cell>
        </row>
        <row r="242">
          <cell r="B242" t="str">
            <v xml:space="preserve">INTERRUPTOR SENCILLO </v>
          </cell>
        </row>
        <row r="243">
          <cell r="B243" t="str">
            <v>INTERRUPTOR SENCILLO CONMUTABLE CON LUZ PILOTO</v>
          </cell>
        </row>
        <row r="244">
          <cell r="B244" t="str">
            <v>INTERRUPTOR SENCILLOCON LUZ PILOTO</v>
          </cell>
        </row>
        <row r="245">
          <cell r="B245" t="str">
            <v>INTERRUPTORES ENCHUFABLES DE 1X15  A - 240 v - 10 ka</v>
          </cell>
        </row>
        <row r="246">
          <cell r="B246" t="str">
            <v>INTERRUPTORES ENCHUFABLES DE 1X20  A - 240 v - 10 kA</v>
          </cell>
        </row>
        <row r="247">
          <cell r="B247" t="str">
            <v>INTERRUPTORES ENCHUFABLES DE 3X30  A - 240 v - 10 ka</v>
          </cell>
        </row>
        <row r="248">
          <cell r="B248" t="str">
            <v>Jabonera - GRIVAL</v>
          </cell>
        </row>
        <row r="249">
          <cell r="B249" t="str">
            <v>Jabonera Ducha - GRIVAL</v>
          </cell>
        </row>
        <row r="250">
          <cell r="B250" t="str">
            <v>KORAZA Pintuco</v>
          </cell>
        </row>
        <row r="251">
          <cell r="B251" t="str">
            <v>LACA</v>
          </cell>
        </row>
        <row r="252">
          <cell r="B252" t="str">
            <v>LACA PARA MADERA</v>
          </cell>
        </row>
        <row r="253">
          <cell r="B253" t="str">
            <v>LADRILLO PORTANTE 12X29X9</v>
          </cell>
        </row>
        <row r="254">
          <cell r="B254" t="str">
            <v>Ladrillo Prensado</v>
          </cell>
        </row>
        <row r="255">
          <cell r="B255" t="str">
            <v>LADRILLO RECOCIDO</v>
          </cell>
        </row>
        <row r="256">
          <cell r="B256" t="str">
            <v>LADRILLO TOLETE COMUN RECOCIDO</v>
          </cell>
        </row>
        <row r="257">
          <cell r="B257" t="str">
            <v>LÁMINA COLD ROLLED Cal.16 (1.22x 2.44 )</v>
          </cell>
        </row>
        <row r="258">
          <cell r="B258" t="str">
            <v xml:space="preserve">LÁMINA COLD ROLLED Cal.18 </v>
          </cell>
        </row>
        <row r="259">
          <cell r="B259" t="str">
            <v>LÁMINA COLD ROLLED Cal.18 (1.22x 2.44 )</v>
          </cell>
        </row>
        <row r="260">
          <cell r="B260" t="str">
            <v>LÁMINA COLD ROLLED Cal.20 (1.00x 2.00 )</v>
          </cell>
        </row>
        <row r="261">
          <cell r="B261" t="str">
            <v>LÁMINA COLD ROLLED Cal.20 (1.22x 2.44 )</v>
          </cell>
        </row>
        <row r="262">
          <cell r="B262" t="str">
            <v>LAMINA DE ACRILICO DE 0.60X2.44 DE 1.80 mm</v>
          </cell>
        </row>
        <row r="263">
          <cell r="B263" t="str">
            <v>LAMINA COLABORANTE METALDECK 2" GRADO 40 CAL 22</v>
          </cell>
        </row>
        <row r="264">
          <cell r="B264" t="str">
            <v>LAMINA DE ACRILICO DE 1.20X1.80 DE 3.0 mm con color</v>
          </cell>
        </row>
        <row r="265">
          <cell r="B265" t="str">
            <v>LAMINA DE ACRILICO DE 1.20X1.80 DE 3.0 mm sin color</v>
          </cell>
        </row>
        <row r="266">
          <cell r="B266" t="str">
            <v>LAMINA DE ACRILICO DE 1.20X1.80 DE 3.00 mm</v>
          </cell>
        </row>
        <row r="267">
          <cell r="B267" t="str">
            <v>LAMINA DRY WALL 1.22X2.44</v>
          </cell>
        </row>
        <row r="268">
          <cell r="B268" t="str">
            <v>LAMINA EN ACRILICO DE 0.61X2,44 DE 1,8 mm</v>
          </cell>
        </row>
        <row r="269">
          <cell r="B269" t="str">
            <v>LAMINA GALVANIZADA DE 1.00X2.00 CAL  22</v>
          </cell>
        </row>
        <row r="270">
          <cell r="B270" t="str">
            <v>LAMINA GALVANIZADA DE 1.00X2.00 CAL  24</v>
          </cell>
        </row>
        <row r="271">
          <cell r="B271" t="str">
            <v>LAMINA GALVANIZADA DE 1.00X2.00 CAL  26</v>
          </cell>
        </row>
        <row r="272">
          <cell r="B272" t="str">
            <v>LAMINA GALVANIZADA DE 1.22X2.44 CAL  22</v>
          </cell>
        </row>
        <row r="273">
          <cell r="B273" t="str">
            <v>LAMINA SUPERBOARD 1.22X2.44</v>
          </cell>
        </row>
        <row r="274">
          <cell r="B274" t="str">
            <v>LIMATESA ETERNIT P7 L=1.14</v>
          </cell>
        </row>
        <row r="275">
          <cell r="B275" t="str">
            <v>LAMINAS DURACUSTIC</v>
          </cell>
        </row>
        <row r="276">
          <cell r="B276" t="str">
            <v>LAMINAS EN ACRILICO DE 60X60</v>
          </cell>
        </row>
        <row r="277">
          <cell r="B277" t="str">
            <v>LAMPARA DE 2x32</v>
          </cell>
        </row>
        <row r="278">
          <cell r="B278" t="str">
            <v xml:space="preserve">Lampara para luminaria - sodio 150 WATTS. </v>
          </cell>
        </row>
        <row r="279">
          <cell r="B279" t="str">
            <v>LAMPARA TIPO INCANDESCENTE DE 32 W</v>
          </cell>
        </row>
        <row r="280">
          <cell r="B280" t="str">
            <v>LAMPARA OJO DE BUEY</v>
          </cell>
        </row>
        <row r="281">
          <cell r="B281" t="str">
            <v>LAVAMANOS DE INCRUSTAR LINEA SAN LORENZO</v>
          </cell>
        </row>
        <row r="282">
          <cell r="B282" t="str">
            <v>LAVAPLATOS EN ACERO</v>
          </cell>
        </row>
        <row r="283">
          <cell r="B283" t="str">
            <v>LIJA</v>
          </cell>
        </row>
        <row r="284">
          <cell r="B284" t="str">
            <v xml:space="preserve">LIJA </v>
          </cell>
        </row>
        <row r="285">
          <cell r="B285" t="str">
            <v>LIMPIADOR PVC DE 1/4</v>
          </cell>
        </row>
        <row r="286">
          <cell r="B286" t="str">
            <v>LISTON ORDINARIO</v>
          </cell>
        </row>
        <row r="287">
          <cell r="B287" t="str">
            <v>LISTÓN CEDRO MACHO 5x2 cm.</v>
          </cell>
        </row>
        <row r="288">
          <cell r="B288" t="str">
            <v>LISTON EN OTOBO PARA CIELORRASO</v>
          </cell>
        </row>
        <row r="289">
          <cell r="B289" t="str">
            <v>LLAVE MANGUERA DE 1/2"</v>
          </cell>
        </row>
        <row r="290">
          <cell r="B290" t="str">
            <v>LLAVE PARA URINARIO</v>
          </cell>
        </row>
        <row r="291">
          <cell r="B291" t="str">
            <v>LOCKER METALICO DE 0.45X2.00</v>
          </cell>
        </row>
        <row r="292">
          <cell r="B292" t="str">
            <v>LOGO ACUEDUCTO EN ACERO DE 2.00X0.80</v>
          </cell>
        </row>
        <row r="293">
          <cell r="B293" t="str">
            <v>Luminaria abierta tipo INDULUX AA Sodio 400 WATTS.Pantalla de aluminio o policarbonato prismático, 633mmX482mm</v>
          </cell>
        </row>
        <row r="294">
          <cell r="B294" t="str">
            <v xml:space="preserve">Luminaria completa fluorescente  TMS028 2xTL-D36W HFS 20 CMx 120 cm 120 voltios. </v>
          </cell>
        </row>
        <row r="295">
          <cell r="B295" t="str">
            <v>Luminaria horizontal cerrada carcaza enteriza Sodio de alta presion  Potencia: 150W 208/220 Voltios . Incluye lampara y fotocelda</v>
          </cell>
        </row>
        <row r="296">
          <cell r="B296" t="str">
            <v>LUMINARIA HORIZONTAL CERRADA DE 150 VATIOS-BOMBILLO SODIO ALTA PRESION</v>
          </cell>
        </row>
        <row r="297">
          <cell r="B297" t="str">
            <v>LUMINARIA HORIZONTAL CERRADA DE 70 VATIOS-BOMBILLO SODIO ALTA PRESION</v>
          </cell>
        </row>
        <row r="298">
          <cell r="B298" t="str">
            <v xml:space="preserve">Luminaria tipo reflector ROY ALHPA Ref: QUIMBAYA 70 WATTS 208 V. </v>
          </cell>
        </row>
        <row r="299">
          <cell r="B299" t="str">
            <v>MADERA GRANADILLO</v>
          </cell>
        </row>
        <row r="300">
          <cell r="B300" t="str">
            <v xml:space="preserve">MALLA ELECTROSOLDADA </v>
          </cell>
        </row>
        <row r="301">
          <cell r="B301" t="str">
            <v>MALLA ELECTROSOLDADA M-084</v>
          </cell>
        </row>
        <row r="302">
          <cell r="B302" t="str">
            <v xml:space="preserve">MALLA ELECTROSOLDADA  6mm 15X15  6.00X2.35  42.20 KG </v>
          </cell>
        </row>
        <row r="303">
          <cell r="B303" t="str">
            <v>MALLA PROTECCION Ancho = 4 m</v>
          </cell>
        </row>
        <row r="304">
          <cell r="B304" t="str">
            <v>MALLA GALLINERO</v>
          </cell>
        </row>
        <row r="305">
          <cell r="B305" t="str">
            <v>MALLA ONDULADA CAL 10 DE 1 1/2" x 1 1/2"</v>
          </cell>
        </row>
        <row r="306">
          <cell r="B306" t="str">
            <v>MALLA ONDULADA Cal. 12 1 1/2" (Alambre galv.)</v>
          </cell>
        </row>
        <row r="307">
          <cell r="B307" t="str">
            <v>MALLA ONDULADA Cal. 8 1 3/4" (Alambre galv.)</v>
          </cell>
        </row>
        <row r="308">
          <cell r="B308" t="str">
            <v>MANGUERA FLEXIBLE DE CONEXIÓN</v>
          </cell>
        </row>
        <row r="309">
          <cell r="B309" t="str">
            <v>MANGUERAS DE LUCES TIPO AMERICANA</v>
          </cell>
        </row>
        <row r="310">
          <cell r="B310" t="str">
            <v>MANIJA VENTANA METALICA</v>
          </cell>
        </row>
        <row r="311">
          <cell r="B311" t="str">
            <v>MANIOBRA DE TRANSFORMADOR</v>
          </cell>
        </row>
        <row r="313">
          <cell r="B313" t="str">
            <v>MANTO ASFALTICO 10 M2</v>
          </cell>
        </row>
        <row r="314">
          <cell r="B314" t="str">
            <v>MARCO CAJA INSP. 40 x 40</v>
          </cell>
        </row>
        <row r="315">
          <cell r="B315" t="str">
            <v>MARCO CAJA INSP. 60 x 60</v>
          </cell>
        </row>
        <row r="316">
          <cell r="B316" t="str">
            <v>MARCO EN ACERO PARA TAPA CAJA CS 276</v>
          </cell>
        </row>
        <row r="317">
          <cell r="B317" t="str">
            <v>MARCO PUERTA MADERA</v>
          </cell>
        </row>
        <row r="318">
          <cell r="B318" t="str">
            <v>MARCO PUERTA METALICA</v>
          </cell>
        </row>
        <row r="319">
          <cell r="B319" t="str">
            <v>MARCO SENCILLO EN ANGULO EN ACERO A-37</v>
          </cell>
        </row>
        <row r="320">
          <cell r="B320" t="str">
            <v>MARCO VENTANA METALICA</v>
          </cell>
        </row>
        <row r="321">
          <cell r="B321" t="str">
            <v>MARCO Y CONTRAMARCO</v>
          </cell>
        </row>
        <row r="322">
          <cell r="B322" t="str">
            <v>MARCO Y TAPA EN ALFAJOR DE 0,30X0,30</v>
          </cell>
        </row>
        <row r="323">
          <cell r="B323" t="str">
            <v>MARMOLINA</v>
          </cell>
        </row>
        <row r="324">
          <cell r="B324" t="str">
            <v xml:space="preserve">MASILLA </v>
          </cell>
        </row>
        <row r="325">
          <cell r="B325" t="str">
            <v>MASTIL EN TUBO CONDUIT GALVANIZADO DE Ø1</v>
          </cell>
        </row>
        <row r="326">
          <cell r="B326" t="str">
            <v>MASTIQUE PARA JUNTAS</v>
          </cell>
        </row>
        <row r="327">
          <cell r="B327" t="str">
            <v>MATERIAL GRANULAR</v>
          </cell>
        </row>
        <row r="328">
          <cell r="B328" t="str">
            <v>MEDIDOR DE 1/2"</v>
          </cell>
        </row>
        <row r="329">
          <cell r="B329" t="str">
            <v>MEDIDOR DE AGUA      1/2"</v>
          </cell>
        </row>
        <row r="330">
          <cell r="B330" t="str">
            <v>MEDIDOR TRIFASICO TETRAFILAR 50(150)A 208-120V;</v>
          </cell>
        </row>
        <row r="331">
          <cell r="B331" t="str">
            <v>MEDIDORES DE 4"</v>
          </cell>
        </row>
        <row r="332">
          <cell r="B332" t="str">
            <v>MESON EN ACERO INOXIDABLE DE 60 cm CAL 20</v>
          </cell>
        </row>
        <row r="333">
          <cell r="B333" t="str">
            <v xml:space="preserve">MEZCLADOR LAVAPLATOS </v>
          </cell>
        </row>
        <row r="334">
          <cell r="B334" t="str">
            <v>MINISPLIT LG 18000 BTU</v>
          </cell>
        </row>
        <row r="335">
          <cell r="B335" t="str">
            <v>MORTERO 1:3 ( arena semilavada de peña )</v>
          </cell>
        </row>
        <row r="336">
          <cell r="B336" t="str">
            <v>MORTERO 1:4 ( arena semilavada )</v>
          </cell>
        </row>
        <row r="337">
          <cell r="B337" t="str">
            <v>MORTERO 1:3 IMPERMEABILIZADO</v>
          </cell>
        </row>
        <row r="338">
          <cell r="B338" t="str">
            <v>MORTERO 1:5</v>
          </cell>
        </row>
        <row r="339">
          <cell r="B339" t="str">
            <v>MURO EN LADRILLO TOLETE COMUN EN 0.125 CON PEGA DE MORTERO 1:5</v>
          </cell>
        </row>
        <row r="340">
          <cell r="B340" t="str">
            <v>NIPLE GALAVANIZADO DE 4" SH 40</v>
          </cell>
        </row>
        <row r="341">
          <cell r="B341" t="str">
            <v>ORINAL MEDIANO BLANCO PORCELANA</v>
          </cell>
        </row>
        <row r="342">
          <cell r="B342" t="str">
            <v>PABMERIL PLIEGO 9" x 11"</v>
          </cell>
        </row>
        <row r="343">
          <cell r="B343" t="str">
            <v>PARLANTE</v>
          </cell>
        </row>
        <row r="344">
          <cell r="B344" t="str">
            <v xml:space="preserve">PALETAS REFLECTIVAS DE SEÑALIZACION -CONOS-CINTA SEÑALI </v>
          </cell>
        </row>
        <row r="345">
          <cell r="B345" t="str">
            <v>PASTO</v>
          </cell>
        </row>
        <row r="346">
          <cell r="B346" t="str">
            <v>PEGACOR BLANCO</v>
          </cell>
        </row>
        <row r="347">
          <cell r="B347" t="str">
            <v>PEGACOR E-50</v>
          </cell>
        </row>
        <row r="348">
          <cell r="B348" t="str">
            <v>PEGANTE PARA GAS FUERZA MEDIA</v>
          </cell>
        </row>
        <row r="349">
          <cell r="B349" t="str">
            <v>PELICULA SAN BLASTING</v>
          </cell>
        </row>
        <row r="350">
          <cell r="B350" t="str">
            <v>Percha simple - GRIVAL</v>
          </cell>
        </row>
        <row r="351">
          <cell r="B351" t="str">
            <v>PERFIL ALN 173 DE 6 mts</v>
          </cell>
        </row>
        <row r="352">
          <cell r="B352" t="str">
            <v>PERFIL ALN 177 DE 6 mts</v>
          </cell>
        </row>
        <row r="353">
          <cell r="B353" t="str">
            <v>PERFIL ALN 292 DE 6 mts</v>
          </cell>
        </row>
        <row r="354">
          <cell r="B354" t="str">
            <v>PERFIL ESTRUCTURAL EN C 160*60 1.5mm</v>
          </cell>
        </row>
        <row r="355">
          <cell r="B355" t="str">
            <v>PIBOTES, RODACHINES, PARALES, OMEGAS</v>
          </cell>
        </row>
        <row r="356">
          <cell r="B356" t="str">
            <v>PIEDRA ESMERIL</v>
          </cell>
        </row>
        <row r="357">
          <cell r="B357" t="str">
            <v>PIEDRA MEDIA ZONGA</v>
          </cell>
        </row>
        <row r="358">
          <cell r="B358" t="str">
            <v>PIEDRA RAJON</v>
          </cell>
        </row>
        <row r="359">
          <cell r="B359" t="str">
            <v>PINTURA ACRILTEX</v>
          </cell>
        </row>
        <row r="360">
          <cell r="B360" t="str">
            <v>PINTURA Electrostatica (poliester gris )</v>
          </cell>
        </row>
        <row r="361">
          <cell r="B361" t="str">
            <v>PINTURA EPOXICA</v>
          </cell>
        </row>
        <row r="362">
          <cell r="B362" t="str">
            <v>PINTURA KORAZA</v>
          </cell>
        </row>
        <row r="363">
          <cell r="B363" t="str">
            <v>PINTURA BITUMINOSA</v>
          </cell>
        </row>
        <row r="364">
          <cell r="B364" t="str">
            <v>PINTURA VINILO TIPO 1</v>
          </cell>
        </row>
        <row r="365">
          <cell r="B365" t="str">
            <v>PISO EN CERAMICA DE 30X30</v>
          </cell>
        </row>
        <row r="366">
          <cell r="B366" t="str">
            <v>PISO EN MADERA GRANADILLO</v>
          </cell>
        </row>
        <row r="367">
          <cell r="B367" t="str">
            <v>PINTURA VINILO TIPO 2</v>
          </cell>
        </row>
        <row r="368">
          <cell r="B368" t="str">
            <v>PISO PORCELANATO</v>
          </cell>
        </row>
        <row r="369">
          <cell r="B369" t="str">
            <v>Porta rollos - GRIVAL Línea STYLO,</v>
          </cell>
        </row>
        <row r="370">
          <cell r="B370" t="str">
            <v>PLATINA DE  1/2" * 1/8</v>
          </cell>
        </row>
        <row r="371">
          <cell r="B371" t="str">
            <v xml:space="preserve">PLATINA DE  3/4" </v>
          </cell>
        </row>
        <row r="372">
          <cell r="B372" t="str">
            <v>PLATINA DE  3/4" X 1/8"</v>
          </cell>
        </row>
        <row r="373">
          <cell r="B373" t="str">
            <v>POLIETILENO No. 4</v>
          </cell>
        </row>
        <row r="374">
          <cell r="B374" t="str">
            <v>POLIETILENO No. 6</v>
          </cell>
        </row>
        <row r="375">
          <cell r="B375" t="str">
            <v>PRIMER ANTICORROSIVO</v>
          </cell>
        </row>
        <row r="376">
          <cell r="B376" t="str">
            <v>PUNTILLA 3/4"</v>
          </cell>
        </row>
        <row r="377">
          <cell r="B377" t="str">
            <v>PUNTILLA 1"</v>
          </cell>
        </row>
        <row r="378">
          <cell r="B378" t="str">
            <v>PUNTILLA 11/4"</v>
          </cell>
        </row>
        <row r="379">
          <cell r="B379" t="str">
            <v>PUNTILLA 11/2"</v>
          </cell>
        </row>
        <row r="380">
          <cell r="B380" t="str">
            <v>PUNTILLA 2"</v>
          </cell>
        </row>
        <row r="381">
          <cell r="B381" t="str">
            <v>PUNTILLA 21/2"</v>
          </cell>
        </row>
        <row r="386">
          <cell r="B386" t="str">
            <v>RECEBO B-200</v>
          </cell>
        </row>
        <row r="387">
          <cell r="B387" t="str">
            <v>RECEBO B-600</v>
          </cell>
        </row>
        <row r="388">
          <cell r="B388" t="str">
            <v>RECEBO COMÚN</v>
          </cell>
        </row>
        <row r="389">
          <cell r="B389" t="str">
            <v>RECEBO B-400</v>
          </cell>
        </row>
        <row r="390">
          <cell r="B390" t="str">
            <v>RED PARA ATERRIZAR SUBESTACION</v>
          </cell>
        </row>
        <row r="391">
          <cell r="B391" t="str">
            <v>RED TRENZADA CABLE 2X2+2</v>
          </cell>
        </row>
        <row r="392">
          <cell r="B392" t="str">
            <v>RED TRENZADA CABLE 3x1/0+1/0</v>
          </cell>
        </row>
        <row r="393">
          <cell r="B393" t="str">
            <v xml:space="preserve">REFLECTOR DE 250 VATIOS-SODIO ALTA PRESION -220 VOLTIOS-SODIO ALTA </v>
          </cell>
        </row>
        <row r="394">
          <cell r="B394" t="str">
            <v>REFLECTOR DE 400 W</v>
          </cell>
        </row>
        <row r="395">
          <cell r="B395" t="str">
            <v>REGISTRO DE 3/4"</v>
          </cell>
        </row>
        <row r="396">
          <cell r="B396" t="str">
            <v>REGISTRO DE BOLA 1/2"</v>
          </cell>
        </row>
        <row r="397">
          <cell r="B397" t="str">
            <v>REGISTRO P.D.  R&amp;W - 2 1/2 " ( de cortina )</v>
          </cell>
        </row>
        <row r="398">
          <cell r="B398" t="str">
            <v>REGISTRO R&amp;W - 1" ( de cortina ) Ref. 206</v>
          </cell>
        </row>
        <row r="399">
          <cell r="B399" t="str">
            <v>REGISTRO R&amp;W - 1/2" ( de cortina ) Ref. 206</v>
          </cell>
        </row>
        <row r="400">
          <cell r="B400" t="str">
            <v>REGISTRO R&amp;W - 3/4" ( de cortina ) Ref. 206</v>
          </cell>
        </row>
        <row r="401">
          <cell r="B401" t="str">
            <v xml:space="preserve">REJILLA Aluminio 3"x2" </v>
          </cell>
        </row>
        <row r="402">
          <cell r="B402" t="str">
            <v>REJILLA VENTILACION PLASTICA DE 25X25</v>
          </cell>
        </row>
        <row r="403">
          <cell r="B403" t="str">
            <v>Rejillas de piso en aluminio de 3x2 con sosco</v>
          </cell>
        </row>
        <row r="404">
          <cell r="B404" t="str">
            <v>RELLENO ARENA DE PEÑA</v>
          </cell>
        </row>
        <row r="405">
          <cell r="B405" t="str">
            <v>Repisa vidrio Baño Línea STYLO</v>
          </cell>
        </row>
        <row r="406">
          <cell r="B406" t="str">
            <v>REMOVEDOR PVC</v>
          </cell>
        </row>
        <row r="408">
          <cell r="B408" t="str">
            <v>REPISA ORDINARIO 3 m</v>
          </cell>
        </row>
        <row r="409">
          <cell r="B409" t="str">
            <v xml:space="preserve">ROCKTOP </v>
          </cell>
        </row>
        <row r="410">
          <cell r="B410" t="str">
            <v>SANITARIO LINEA MONTECARLO CON GRIFERIA</v>
          </cell>
        </row>
        <row r="411">
          <cell r="B411" t="str">
            <v xml:space="preserve">SECCIONADOR TRIPOLAR EN AIRE 400A-17,5 kV DE OPERACIÓN BAJO </v>
          </cell>
        </row>
        <row r="412">
          <cell r="B412" t="str">
            <v>SELLADOR</v>
          </cell>
        </row>
        <row r="413">
          <cell r="B413" t="str">
            <v>SELLADOR O CERA DE PISO</v>
          </cell>
        </row>
        <row r="414">
          <cell r="B414" t="str">
            <v>SELLADOR Y TINTILLA</v>
          </cell>
        </row>
        <row r="415">
          <cell r="B415" t="str">
            <v>SENSOR FOTOELECTRICO DETECTOR DE HUMO</v>
          </cell>
        </row>
        <row r="416">
          <cell r="B416" t="str">
            <v>SIFON LAVAMANOS plastico gerfor GF-580322</v>
          </cell>
        </row>
        <row r="417">
          <cell r="B417" t="str">
            <v>SIKA 1</v>
          </cell>
        </row>
        <row r="418">
          <cell r="B418" t="str">
            <v>SIKADUR 32</v>
          </cell>
        </row>
        <row r="419">
          <cell r="B419" t="str">
            <v xml:space="preserve">SIKAFLEX-1a cartu </v>
          </cell>
        </row>
        <row r="420">
          <cell r="B420" t="str">
            <v>SILICONA</v>
          </cell>
        </row>
        <row r="421">
          <cell r="B421" t="str">
            <v>SISTEMA DESINFECCION AGUA TRATADA</v>
          </cell>
        </row>
        <row r="422">
          <cell r="B422" t="str">
            <v>SISTEMA CONTROL ELECTRICO TODO INCLUIDO PARA LA PLANTA TRATAMIENTO</v>
          </cell>
        </row>
        <row r="423">
          <cell r="B423" t="str">
            <v>SOLDADOR PVC 1/4</v>
          </cell>
        </row>
        <row r="424">
          <cell r="B424" t="str">
            <v xml:space="preserve">SOLDADURA E - 70  </v>
          </cell>
        </row>
        <row r="425">
          <cell r="B425" t="str">
            <v>SOLDADURA ESTAÑO</v>
          </cell>
        </row>
        <row r="426">
          <cell r="B426" t="str">
            <v>SOLDADURA EXOTERMICA TIPO CADWELD o SIMILAR  de 90 GRAMOS</v>
          </cell>
        </row>
        <row r="427">
          <cell r="B427" t="str">
            <v>SOPORTE PARA TUBERIA DE 4"</v>
          </cell>
        </row>
        <row r="428">
          <cell r="B428" t="str">
            <v>SOPORTES LAVAMANOS</v>
          </cell>
        </row>
        <row r="429">
          <cell r="B429" t="str">
            <v>SOPORTES ORINAL</v>
          </cell>
        </row>
        <row r="430">
          <cell r="B430" t="str">
            <v>TABLA BURRA ORDINARIA 0.20 DE 3.0 MTS</v>
          </cell>
        </row>
        <row r="431">
          <cell r="B431" t="str">
            <v>TABLA BURRA ORDINARIA 0.30 DE 3.0 MTS</v>
          </cell>
        </row>
        <row r="432">
          <cell r="B432" t="str">
            <v>TABLA CHAPA ORDINARIA 0.25 DE 3.0 MTS</v>
          </cell>
        </row>
        <row r="433">
          <cell r="B433" t="str">
            <v>TABLA CHAPA ORDINARIA 0.20 DE 3.0 MTS</v>
          </cell>
        </row>
        <row r="434">
          <cell r="B434" t="str">
            <v>TABLA CHAPA ORDINARIA 0.15 DE 3.0 MTS</v>
          </cell>
        </row>
        <row r="437">
          <cell r="B437" t="str">
            <v xml:space="preserve">TABLERO DE 12 CIRCUITOS CON ESPACIO PARA TOTALIZADOR, PUERTA Y CHAPA  -208 V - 3F5H-60HZ </v>
          </cell>
        </row>
        <row r="438">
          <cell r="B438" t="str">
            <v>TABLERO DE 12 CTOS</v>
          </cell>
        </row>
        <row r="439">
          <cell r="B439" t="str">
            <v>TABLERO 24 CIRCUITOS, PUERTA Y CHAPA, ESP TOTALIZADOR</v>
          </cell>
        </row>
        <row r="440">
          <cell r="B440" t="str">
            <v xml:space="preserve">TABLERO 36 CIRCUITOS, PUERTA Y CHAPA, ESP TOTALIZADOR  </v>
          </cell>
        </row>
        <row r="441">
          <cell r="B441" t="str">
            <v>TABLERO TRIFASICO DE 6 CIRCUITOS</v>
          </cell>
        </row>
        <row r="442">
          <cell r="B442" t="str">
            <v>TABLETA GRES DE 25X25</v>
          </cell>
        </row>
        <row r="443">
          <cell r="B443" t="str">
            <v>TABLEX, LISTONES, PALOS</v>
          </cell>
        </row>
        <row r="444">
          <cell r="B444" t="str">
            <v>TABLÓN DE GRES  25X25</v>
          </cell>
        </row>
        <row r="445">
          <cell r="B445" t="str">
            <v>TABLON DE GRESS DE 33X33</v>
          </cell>
        </row>
        <row r="446">
          <cell r="B446" t="str">
            <v>TANQUE COLEMPAQUES 500 LT (incluye tapa y accesorios)</v>
          </cell>
        </row>
        <row r="447">
          <cell r="B447" t="str">
            <v>TABLERO MELAMINICO DE 1.83X2.44</v>
          </cell>
        </row>
        <row r="448">
          <cell r="B448" t="str">
            <v>TABLERO EN AMARILLO</v>
          </cell>
        </row>
        <row r="449">
          <cell r="B449" t="str">
            <v>TAPA CAJA INSP. 60 x 60</v>
          </cell>
        </row>
        <row r="450">
          <cell r="B450" t="str">
            <v>TABLETA MARMOL</v>
          </cell>
        </row>
        <row r="451">
          <cell r="B451" t="str">
            <v>TAPA CIEGA CON IMPACTO GALVANIZADA CUADRADA 4X4"</v>
          </cell>
        </row>
        <row r="452">
          <cell r="B452" t="str">
            <v>TAPA EN CONCRETO (4000 PSI)</v>
          </cell>
        </row>
        <row r="453">
          <cell r="B453" t="str">
            <v>TAPA EN CONCRETO CAJA CS 276</v>
          </cell>
        </row>
        <row r="454">
          <cell r="B454" t="str">
            <v>TAPA REGISTRO PLASTICO DE 20X20</v>
          </cell>
        </row>
        <row r="455">
          <cell r="B455" t="str">
            <v>TAPON GALVANIZADO MACHO DE 2"</v>
          </cell>
        </row>
        <row r="456">
          <cell r="B456" t="str">
            <v>TAPÓN SOLDADO PRESIÓN 1 1/2"</v>
          </cell>
        </row>
        <row r="457">
          <cell r="B457" t="str">
            <v>TAZA Institucional blanca Mancesa IC-IP41</v>
          </cell>
        </row>
        <row r="458">
          <cell r="B458" t="str">
            <v>TEE EN ALUMINIO BLANCO</v>
          </cell>
        </row>
        <row r="459">
          <cell r="B459" t="str">
            <v>TEE GALVANIZADA DE 4"</v>
          </cell>
        </row>
        <row r="460">
          <cell r="B460" t="str">
            <v>TEE PRESIÓN  1 1/2" Pavco</v>
          </cell>
        </row>
        <row r="461">
          <cell r="B461" t="str">
            <v>TEE PRESIÓN SOLDADA  1"</v>
          </cell>
        </row>
        <row r="462">
          <cell r="B462" t="str">
            <v>TEJA DE ZINC 0.80X2.43</v>
          </cell>
        </row>
        <row r="463">
          <cell r="B463" t="str">
            <v>TEJA CANALETA 90</v>
          </cell>
        </row>
        <row r="464">
          <cell r="B464" t="str">
            <v xml:space="preserve">TEJA DE BARRO </v>
          </cell>
        </row>
        <row r="465">
          <cell r="B465" t="str">
            <v>TEJA ONDULADA ETERNIT No. 6 DE 0.92X1.83</v>
          </cell>
        </row>
        <row r="466">
          <cell r="B466" t="str">
            <v>TEJA THERMOACUSTICA TRAPEZOIDAL  2.44X0.82</v>
          </cell>
        </row>
        <row r="467">
          <cell r="B467" t="str">
            <v>TELA ASFALTICA DE 15 M2</v>
          </cell>
        </row>
        <row r="468">
          <cell r="B468" t="str">
            <v>TELA VERDE CERRAMIENTO</v>
          </cell>
        </row>
        <row r="469">
          <cell r="B469" t="str">
            <v>TERMINAL PONCHAR 2 AWG</v>
          </cell>
        </row>
        <row r="470">
          <cell r="B470" t="str">
            <v xml:space="preserve">Terminal preformado uso interior 15 kV para cable 2 – 3/0 AWG; </v>
          </cell>
        </row>
        <row r="471">
          <cell r="B471" t="str">
            <v>Terminal Soldar/Ponchar barril largo para cable 8. Calidad 3M, Panduit o superior.</v>
          </cell>
        </row>
        <row r="472">
          <cell r="B472" t="str">
            <v>Thiner</v>
          </cell>
        </row>
        <row r="473">
          <cell r="B473" t="str">
            <v>TIERRA NEGRA</v>
          </cell>
        </row>
        <row r="474">
          <cell r="B474" t="str">
            <v>TINTILLA</v>
          </cell>
        </row>
        <row r="475">
          <cell r="B475" t="str">
            <v>TIRAS ALISTADO 3 x 3 x 3</v>
          </cell>
        </row>
        <row r="476">
          <cell r="B476" t="str">
            <v>TOMA BIFASICA 2P+T</v>
          </cell>
        </row>
        <row r="477">
          <cell r="B477" t="str">
            <v>TOMA CORRIENTE DOBLE</v>
          </cell>
        </row>
        <row r="478">
          <cell r="B478" t="str">
            <v>TOMA COAXIAL PARA TV TIPO AMERICANA</v>
          </cell>
        </row>
        <row r="479">
          <cell r="B479" t="str">
            <v>TOMA TV+TELEFONO</v>
          </cell>
        </row>
        <row r="480">
          <cell r="B480" t="str">
            <v>Toallero Barra - GRIVAL Línea STYLO,</v>
          </cell>
        </row>
        <row r="481">
          <cell r="B481" t="str">
            <v>Toallero Argolla - GRIVAL Línea STYLO</v>
          </cell>
        </row>
        <row r="482">
          <cell r="B482" t="str">
            <v xml:space="preserve">TORNILLOS </v>
          </cell>
        </row>
        <row r="483">
          <cell r="B483" t="str">
            <v>TRIPLEX FORMALETA DE 1.22X2.44 DE 18 mm</v>
          </cell>
        </row>
        <row r="490">
          <cell r="B490" t="str">
            <v>TUBERIA GALVANIZADA 2"</v>
          </cell>
        </row>
        <row r="491">
          <cell r="B491" t="str">
            <v>TUBERIA GALVANIZADA 2" DE 0.098</v>
          </cell>
        </row>
        <row r="492">
          <cell r="B492" t="str">
            <v>TUBERIA HIERRO DUCTIL DE 4" ESP 3.2 mm</v>
          </cell>
        </row>
        <row r="493">
          <cell r="B493" t="str">
            <v>TUBERIAS, VALVULAS, ACCESORIOS</v>
          </cell>
        </row>
        <row r="494">
          <cell r="B494" t="str">
            <v>TUBERIA NOVAFORT DE 6"</v>
          </cell>
        </row>
        <row r="495">
          <cell r="B495" t="str">
            <v>TUBERIA PEX AL PEX 1/2"</v>
          </cell>
        </row>
        <row r="496">
          <cell r="B496" t="str">
            <v>TUBERIA CONDUCCION AGUAS RESIDUALES INC ACCESORIOS</v>
          </cell>
        </row>
        <row r="497">
          <cell r="B497" t="str">
            <v>TUBERIA RECTANGULAR DE 3 1/2" X 1 1/2"</v>
          </cell>
        </row>
        <row r="498">
          <cell r="B498" t="str">
            <v>TUBO 4X8 EN COLD ROLLED CAL 18</v>
          </cell>
        </row>
        <row r="499">
          <cell r="B499" t="str">
            <v>TUBO alcantarillado  PVC   160 MM ( 6" ) Pavco</v>
          </cell>
        </row>
        <row r="500">
          <cell r="B500" t="str">
            <v>TUBO alcantarillado  PVC   160 MM ( 8" ) Pavco</v>
          </cell>
        </row>
        <row r="501">
          <cell r="B501" t="str">
            <v>TUBO alcantarillado PVC   110MM  ( 4") Pavco</v>
          </cell>
        </row>
        <row r="502">
          <cell r="B502" t="str">
            <v>TUBO alcantarillado PVC   250MM  ( 10") Pavco</v>
          </cell>
        </row>
        <row r="503">
          <cell r="B503" t="str">
            <v>TUBO CONDUIT EMT 1"</v>
          </cell>
        </row>
        <row r="504">
          <cell r="B504" t="str">
            <v>TUBO CONDUIT EMT1/2"</v>
          </cell>
        </row>
        <row r="505">
          <cell r="B505" t="str">
            <v>TUBO CONDUIT GALVANIZADO PESADO 1" CON UNIÓN</v>
          </cell>
        </row>
        <row r="506">
          <cell r="B506" t="str">
            <v>TUBO CONDUIT PVC 1"  3m</v>
          </cell>
        </row>
        <row r="507">
          <cell r="B507" t="str">
            <v>TUBO CONDUIT PVC 1/2" 3m</v>
          </cell>
        </row>
        <row r="508">
          <cell r="B508" t="str">
            <v>TUBO CONDUIT PVC 3/4" 3m</v>
          </cell>
        </row>
        <row r="509">
          <cell r="B509" t="str">
            <v>TUBO CUADRADO DE 1 1/2" x 1 1/2"</v>
          </cell>
        </row>
        <row r="510">
          <cell r="B510" t="str">
            <v>TUBO CPVC 1/2" DE 3 M</v>
          </cell>
        </row>
        <row r="511">
          <cell r="B511" t="str">
            <v>TUBO GALVANIZADO 2"  2.0mm</v>
          </cell>
        </row>
        <row r="512">
          <cell r="B512" t="str">
            <v>TUBO GALVANIZADO 3"  2.0mm</v>
          </cell>
        </row>
        <row r="513">
          <cell r="B513" t="str">
            <v xml:space="preserve">TUBO GALVANIZADO 3/4"  </v>
          </cell>
        </row>
        <row r="514">
          <cell r="B514" t="str">
            <v>TUBO NOVAFOR DE 4" PERFORADO</v>
          </cell>
        </row>
        <row r="515">
          <cell r="B515" t="str">
            <v>TUBO NOVAFORT 6"</v>
          </cell>
        </row>
        <row r="516">
          <cell r="B516" t="str">
            <v>TUBO PRESIÓN /13.5 PVC  1/2" Pavco</v>
          </cell>
        </row>
        <row r="517">
          <cell r="B517" t="str">
            <v>TUBO PRESIÓN /13.5 PVC  3/4" Pavco</v>
          </cell>
        </row>
        <row r="518">
          <cell r="B518" t="str">
            <v>TUBO PRESIÓN /21 PVC    1"</v>
          </cell>
        </row>
        <row r="519">
          <cell r="B519" t="str">
            <v>TUBO PRESIÓN /21 PVC    2" Pavco</v>
          </cell>
        </row>
        <row r="520">
          <cell r="B520" t="str">
            <v>TUBO PRESIÓN /21 PVC  1 1/2" Pavco</v>
          </cell>
        </row>
        <row r="521">
          <cell r="B521" t="str">
            <v>TUBO PRESIÓN /21 PVC  1 1/4" Pavco</v>
          </cell>
        </row>
        <row r="522">
          <cell r="B522" t="str">
            <v>TUBO PVC A.LL. 2" DE  6 MTS</v>
          </cell>
        </row>
        <row r="523">
          <cell r="B523" t="str">
            <v>TUBO PVC A.LL. 3" DE  6 MTS</v>
          </cell>
        </row>
        <row r="524">
          <cell r="B524" t="str">
            <v>TUBO PVC A.LL. 4" DE 6 MTS</v>
          </cell>
        </row>
        <row r="525">
          <cell r="B525" t="str">
            <v>TUBO PVC SANITARIO 2" DE 6 MTS</v>
          </cell>
        </row>
        <row r="526">
          <cell r="B526" t="str">
            <v>TUBO PVC SANITARIO 3" DE 6 MTS</v>
          </cell>
        </row>
        <row r="527">
          <cell r="B527" t="str">
            <v>TUBO PVC SANITARIO 4" DE 6 MTS</v>
          </cell>
        </row>
        <row r="528">
          <cell r="B528" t="str">
            <v>TUBOS PVC DB 1"</v>
          </cell>
        </row>
        <row r="529">
          <cell r="B529" t="str">
            <v xml:space="preserve">UNION  GALVANIZADA 2 1/2" </v>
          </cell>
        </row>
        <row r="530">
          <cell r="B530" t="str">
            <v>UNIÓN alcantarillado PVC  110MM ( 4" ) Pavco</v>
          </cell>
        </row>
        <row r="531">
          <cell r="B531" t="str">
            <v>UNIÓN alcantarillado PVC 160MM  ( 6") Pavco</v>
          </cell>
        </row>
        <row r="532">
          <cell r="B532" t="str">
            <v>UNIÓN alcantarillado PVC 160MM  ( 8") Pavco</v>
          </cell>
        </row>
        <row r="533">
          <cell r="B533" t="str">
            <v>UNIÓN alcantarillado PVC 250MM  ( 10") Pavco</v>
          </cell>
        </row>
        <row r="534">
          <cell r="B534" t="str">
            <v>UNIÓN GALVANIZADA      3"</v>
          </cell>
        </row>
        <row r="535">
          <cell r="B535" t="str">
            <v>UNION GALVANIZADA DE 1/2"</v>
          </cell>
        </row>
        <row r="536">
          <cell r="B536" t="str">
            <v>UNION GALVANIZADA DE 4" SH 40</v>
          </cell>
        </row>
        <row r="537">
          <cell r="B537" t="str">
            <v>UNIÓN SANITARIA  2" Pavco</v>
          </cell>
        </row>
        <row r="538">
          <cell r="B538" t="str">
            <v>UNIÓN SANITARIA 4" Pavco</v>
          </cell>
        </row>
        <row r="539">
          <cell r="B539" t="str">
            <v>UNIÓN SANITARIA 6" Pavco</v>
          </cell>
        </row>
        <row r="540">
          <cell r="B540" t="str">
            <v>UNIVERSAL GALVANIZADA 3/4"</v>
          </cell>
        </row>
        <row r="541">
          <cell r="B541" t="str">
            <v xml:space="preserve">VALVULA BETA COMPUERTA ELASTICA 4" </v>
          </cell>
        </row>
        <row r="542">
          <cell r="B542" t="str">
            <v>VALVULA DE CHEQUE OPERACIÓN HORIZONTAL 4" EXT BRIDADO</v>
          </cell>
        </row>
        <row r="543">
          <cell r="B543" t="str">
            <v>VALVULA DE CIERRE RAPIDO DE 4"</v>
          </cell>
        </row>
        <row r="544">
          <cell r="B544" t="str">
            <v>VALVULA DE COMPUERTA  VASTAGO NO ASCENTE EXTREMO BRIDA</v>
          </cell>
        </row>
        <row r="545">
          <cell r="B545" t="str">
            <v>VALVULA Descarga sanitario DO-01051300</v>
          </cell>
        </row>
        <row r="546">
          <cell r="B546" t="str">
            <v>VARA DE CLAVO</v>
          </cell>
        </row>
        <row r="547">
          <cell r="B547" t="str">
            <v>VARILLA CORRUGADA DE 1/2" DE 12 MTS</v>
          </cell>
        </row>
        <row r="548">
          <cell r="B548" t="str">
            <v>VARILLA CORRUGADA DE 1/2" DE 6 MTS</v>
          </cell>
        </row>
        <row r="549">
          <cell r="B549" t="str">
            <v>VARILLA CORRUGADA DE 3/8" DE 12 MTS</v>
          </cell>
        </row>
        <row r="550">
          <cell r="B550" t="str">
            <v>VARILLA CORRUGADA DE 5/8" DE 12 MTS</v>
          </cell>
        </row>
        <row r="551">
          <cell r="B551" t="str">
            <v>VARILLA CUADRADA DE 1/2"</v>
          </cell>
        </row>
        <row r="552">
          <cell r="B552" t="str">
            <v>VARILLA CUADRADA DE 3/8"</v>
          </cell>
        </row>
        <row r="553">
          <cell r="B553" t="str">
            <v>VARILLA DE COBRE-COBRE Ø5/8" X 2.40 m</v>
          </cell>
        </row>
        <row r="554">
          <cell r="B554" t="str">
            <v>VARILLA DE COBRE-COBRE Ø5/8" X 2.40 m COOPER WELL</v>
          </cell>
        </row>
        <row r="555">
          <cell r="B555" t="str">
            <v>VARILLA EN ACERO DE 3/8"</v>
          </cell>
        </row>
        <row r="556">
          <cell r="B556" t="str">
            <v>VARILLA EN ACERO DE 5/8"</v>
          </cell>
        </row>
        <row r="557">
          <cell r="B557" t="str">
            <v>VARILLA LISA DE 1/2" DE 6 MTS</v>
          </cell>
        </row>
        <row r="558">
          <cell r="B558" t="str">
            <v>VARILLA LISA DE 3/8" DE 6 MTS</v>
          </cell>
        </row>
        <row r="559">
          <cell r="B559" t="str">
            <v>VIDRIO TEMPLADO DE 10 mm</v>
          </cell>
        </row>
        <row r="560">
          <cell r="B560" t="str">
            <v>VIDRIO DE 4 mm</v>
          </cell>
        </row>
        <row r="561">
          <cell r="B561" t="str">
            <v>VIDRIO TEMPLADO DE 8 mm</v>
          </cell>
        </row>
        <row r="562">
          <cell r="B562" t="str">
            <v>VINILTEX Pintuco</v>
          </cell>
        </row>
        <row r="563">
          <cell r="B563" t="str">
            <v>Wash Primer A Pintura</v>
          </cell>
        </row>
        <row r="564">
          <cell r="B564" t="str">
            <v>WASH PRIMER ANTICORROSIVO</v>
          </cell>
        </row>
        <row r="565">
          <cell r="B565" t="str">
            <v>Wash Primer B Catalizador</v>
          </cell>
        </row>
        <row r="566">
          <cell r="B566" t="str">
            <v>WASH PRIMER PINTURA</v>
          </cell>
        </row>
        <row r="567">
          <cell r="B567" t="str">
            <v>WIN Aluminio x 6 mts</v>
          </cell>
        </row>
        <row r="568">
          <cell r="B568" t="str">
            <v>Xypes concentrado</v>
          </cell>
        </row>
        <row r="569">
          <cell r="B569" t="str">
            <v>Xypes Patch and Plug por 1.25 kg</v>
          </cell>
        </row>
        <row r="570">
          <cell r="B570" t="str">
            <v>YEE SANITARIA 2"  Pavco</v>
          </cell>
        </row>
        <row r="571">
          <cell r="B571" t="str">
            <v>YEE SANITARIA 4"  Pavco</v>
          </cell>
        </row>
        <row r="572">
          <cell r="B572" t="str">
            <v>YESO CORRIENTE VENCEDOR</v>
          </cell>
        </row>
        <row r="573">
          <cell r="B573" t="str">
            <v>ZÓCALO Baldosa grano de marmol 30x7 Fondo blanco</v>
          </cell>
        </row>
        <row r="574">
          <cell r="B574" t="str">
            <v>ZÓCALO en ceramica pompei color coral  30*7</v>
          </cell>
        </row>
      </sheetData>
      <sheetData sheetId="3">
        <row r="2">
          <cell r="B2">
            <v>0</v>
          </cell>
          <cell r="C2" t="str">
            <v xml:space="preserve"> </v>
          </cell>
        </row>
        <row r="3">
          <cell r="B3" t="str">
            <v>ANDAMIO TUBULAR</v>
          </cell>
          <cell r="C3" t="str">
            <v>dd</v>
          </cell>
          <cell r="D3">
            <v>500</v>
          </cell>
        </row>
        <row r="4">
          <cell r="B4" t="str">
            <v>ALLANADORA GASOLINA HELICOPTERO</v>
          </cell>
          <cell r="C4" t="str">
            <v>dd</v>
          </cell>
          <cell r="D4">
            <v>55000</v>
          </cell>
        </row>
        <row r="5">
          <cell r="B5" t="str">
            <v>BAÑOS PORTATILES</v>
          </cell>
          <cell r="C5" t="str">
            <v>Mes</v>
          </cell>
          <cell r="D5">
            <v>525000</v>
          </cell>
        </row>
        <row r="6">
          <cell r="B6" t="str">
            <v xml:space="preserve">BOMBAS </v>
          </cell>
          <cell r="C6" t="str">
            <v>dd</v>
          </cell>
          <cell r="D6">
            <v>40000</v>
          </cell>
        </row>
        <row r="7">
          <cell r="B7" t="str">
            <v>COMPRESOR DE DOS MARTILLOS</v>
          </cell>
          <cell r="C7" t="str">
            <v>dd</v>
          </cell>
          <cell r="D7">
            <v>145000</v>
          </cell>
        </row>
        <row r="8">
          <cell r="B8" t="str">
            <v>CRUCETAS, PARALES Y CERCHAS</v>
          </cell>
          <cell r="C8" t="str">
            <v>Mes</v>
          </cell>
          <cell r="D8">
            <v>4500</v>
          </cell>
        </row>
        <row r="9">
          <cell r="B9" t="str">
            <v>EQUIPO BÁSICO ( Construcción )</v>
          </cell>
          <cell r="C9" t="str">
            <v>dd</v>
          </cell>
          <cell r="D9">
            <v>1000</v>
          </cell>
        </row>
        <row r="10">
          <cell r="B10" t="str">
            <v>EQUIPO BÁSICO ( Herramienta menor )</v>
          </cell>
          <cell r="C10" t="str">
            <v>dd</v>
          </cell>
          <cell r="D10">
            <v>1000</v>
          </cell>
        </row>
        <row r="11">
          <cell r="B11" t="str">
            <v>EQUIPO DE CARPINTERIA</v>
          </cell>
          <cell r="C11" t="str">
            <v>dd</v>
          </cell>
          <cell r="D11">
            <v>25000</v>
          </cell>
        </row>
        <row r="12">
          <cell r="B12" t="str">
            <v>EQUIPO DE ORNAMENTACION</v>
          </cell>
          <cell r="C12" t="str">
            <v>dd</v>
          </cell>
          <cell r="D12">
            <v>65000</v>
          </cell>
        </row>
        <row r="13">
          <cell r="B13" t="str">
            <v>EQUIPO SOLDADURA</v>
          </cell>
          <cell r="C13" t="str">
            <v>dd</v>
          </cell>
          <cell r="D13">
            <v>30000</v>
          </cell>
        </row>
        <row r="14">
          <cell r="B14" t="str">
            <v>EQUIPO TOPOGRAFICO</v>
          </cell>
          <cell r="C14" t="str">
            <v>dd</v>
          </cell>
          <cell r="D14">
            <v>250000</v>
          </cell>
        </row>
        <row r="15">
          <cell r="B15" t="str">
            <v>FORMALETA CANAL EN LAMINA</v>
          </cell>
          <cell r="C15" t="str">
            <v>dd</v>
          </cell>
          <cell r="D15">
            <v>5000</v>
          </cell>
        </row>
        <row r="16">
          <cell r="B16" t="str">
            <v>FORMALETA DE ENTREPISO POR M2</v>
          </cell>
          <cell r="C16" t="str">
            <v>Mes</v>
          </cell>
          <cell r="D16">
            <v>6500</v>
          </cell>
        </row>
        <row r="17">
          <cell r="B17" t="str">
            <v>FORK CLAMP</v>
          </cell>
          <cell r="C17" t="str">
            <v>dd</v>
          </cell>
          <cell r="D17">
            <v>90</v>
          </cell>
        </row>
        <row r="18">
          <cell r="B18" t="str">
            <v>LABORATORISTAS</v>
          </cell>
          <cell r="C18" t="str">
            <v>dd</v>
          </cell>
          <cell r="D18">
            <v>250000</v>
          </cell>
        </row>
        <row r="19">
          <cell r="B19" t="str">
            <v>GUADAÑA</v>
          </cell>
          <cell r="C19" t="str">
            <v>dd</v>
          </cell>
          <cell r="D19">
            <v>15000</v>
          </cell>
        </row>
        <row r="20">
          <cell r="B20" t="str">
            <v>ENSAYO PROCTOR MODIFICADO</v>
          </cell>
          <cell r="C20" t="str">
            <v>un</v>
          </cell>
          <cell r="D20">
            <v>95000</v>
          </cell>
        </row>
        <row r="21">
          <cell r="B21" t="str">
            <v>MEZCLADORA CONCRETO</v>
          </cell>
          <cell r="C21" t="str">
            <v>dd</v>
          </cell>
          <cell r="D21">
            <v>35000</v>
          </cell>
        </row>
        <row r="22">
          <cell r="B22" t="str">
            <v>MINICARGADOR BOBCAT 753</v>
          </cell>
          <cell r="C22" t="str">
            <v>hr</v>
          </cell>
          <cell r="D22">
            <v>60000</v>
          </cell>
        </row>
        <row r="23">
          <cell r="B23" t="str">
            <v>MORDAZA METÁLICA</v>
          </cell>
          <cell r="C23" t="str">
            <v>dd</v>
          </cell>
          <cell r="D23">
            <v>150</v>
          </cell>
        </row>
        <row r="24">
          <cell r="B24" t="str">
            <v>EQUIPOS LABORATORIOS</v>
          </cell>
          <cell r="C24" t="str">
            <v>dd</v>
          </cell>
          <cell r="D24">
            <v>80000</v>
          </cell>
        </row>
        <row r="25">
          <cell r="B25" t="str">
            <v>PARAL CORIENTE 2 a 3.50 m</v>
          </cell>
          <cell r="C25" t="str">
            <v>dd</v>
          </cell>
          <cell r="D25">
            <v>100</v>
          </cell>
        </row>
        <row r="26">
          <cell r="B26" t="str">
            <v>PISTOLA PARA EPOXICO</v>
          </cell>
          <cell r="C26" t="str">
            <v>dd</v>
          </cell>
          <cell r="D26">
            <v>7500</v>
          </cell>
        </row>
        <row r="27">
          <cell r="B27" t="str">
            <v>ENSAYO DENSIDAD DEL TERRENO</v>
          </cell>
          <cell r="C27" t="str">
            <v>un</v>
          </cell>
          <cell r="D27">
            <v>50000</v>
          </cell>
        </row>
        <row r="28">
          <cell r="B28" t="str">
            <v>PULIDORA</v>
          </cell>
          <cell r="C28" t="str">
            <v>dd</v>
          </cell>
          <cell r="D28">
            <v>25000</v>
          </cell>
        </row>
        <row r="29">
          <cell r="B29" t="str">
            <v>RANA</v>
          </cell>
          <cell r="C29" t="str">
            <v>dd</v>
          </cell>
          <cell r="D29">
            <v>30000</v>
          </cell>
        </row>
        <row r="30">
          <cell r="B30" t="str">
            <v>RETROEXCAVADORA + combustible+operario</v>
          </cell>
          <cell r="C30" t="str">
            <v>hr</v>
          </cell>
          <cell r="D30">
            <v>125000</v>
          </cell>
        </row>
        <row r="31">
          <cell r="B31" t="str">
            <v>SOPLETE</v>
          </cell>
          <cell r="C31" t="str">
            <v>dd</v>
          </cell>
          <cell r="D31">
            <v>15000</v>
          </cell>
        </row>
        <row r="32">
          <cell r="B32" t="str">
            <v>TALADRO</v>
          </cell>
          <cell r="C32" t="str">
            <v>dd</v>
          </cell>
          <cell r="D32">
            <v>15000</v>
          </cell>
        </row>
        <row r="33">
          <cell r="B33" t="str">
            <v>VIBRADOR A GASOLINA</v>
          </cell>
          <cell r="C33" t="str">
            <v>dd</v>
          </cell>
          <cell r="D33">
            <v>30000</v>
          </cell>
        </row>
        <row r="34">
          <cell r="B34" t="str">
            <v>EQUIPO DE EXCAVACION Y HORMIGADO PILOTES(Combustible+operario+Transporte)</v>
          </cell>
          <cell r="C34" t="str">
            <v>hr</v>
          </cell>
          <cell r="D34">
            <v>650000</v>
          </cell>
        </row>
        <row r="35">
          <cell r="B35" t="str">
            <v>VIBROCOMPACTADOR</v>
          </cell>
          <cell r="C35" t="str">
            <v>dd</v>
          </cell>
          <cell r="D35">
            <v>40000</v>
          </cell>
        </row>
        <row r="36">
          <cell r="B36" t="str">
            <v>HIDROLAVADORA</v>
          </cell>
          <cell r="C36" t="str">
            <v>dd</v>
          </cell>
          <cell r="D36">
            <v>25000</v>
          </cell>
        </row>
      </sheetData>
      <sheetData sheetId="4"/>
      <sheetData sheetId="5"/>
      <sheetData sheetId="6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311.1P"/>
      <sheetName val="701.2P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311.1P"/>
      <sheetName val="701.2P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"/>
      <sheetName val="B.D"/>
      <sheetName val="CGM"/>
      <sheetName val="PPTO"/>
      <sheetName val="1. DEMOL"/>
      <sheetName val="CERRMTO PISCINA"/>
      <sheetName val="EST-CBTA"/>
      <sheetName val="MA-PIS-ENCH"/>
      <sheetName val="I.HS"/>
      <sheetName val="I. E"/>
      <sheetName val="PAÑ-PINT"/>
      <sheetName val="Pintura"/>
      <sheetName val="Bajante"/>
      <sheetName val="canal"/>
      <sheetName val="Telef"/>
      <sheetName val="CARP"/>
      <sheetName val="Hoja2"/>
    </sheetNames>
    <sheetDataSet>
      <sheetData sheetId="0" refreshError="1"/>
      <sheetData sheetId="1">
        <row r="3">
          <cell r="B3" t="str">
            <v xml:space="preserve"> SEÑORA DEL SOCORRO SEDE A, MUNICIPIO DE GUACA  DEPARTAMENTO DE SANTANDER </v>
          </cell>
        </row>
        <row r="15">
          <cell r="B15" t="str">
            <v>Andamio Tubular</v>
          </cell>
          <cell r="C15" t="str">
            <v>Dia</v>
          </cell>
          <cell r="D15">
            <v>950</v>
          </cell>
        </row>
        <row r="16">
          <cell r="B16" t="str">
            <v>Arnes de Seguridad</v>
          </cell>
          <cell r="C16" t="str">
            <v>Dia</v>
          </cell>
          <cell r="D16">
            <v>25000</v>
          </cell>
        </row>
        <row r="17">
          <cell r="B17" t="str">
            <v>Bulldozer D-6 Caterpillar</v>
          </cell>
          <cell r="C17" t="str">
            <v>Hora</v>
          </cell>
          <cell r="D17">
            <v>100000</v>
          </cell>
        </row>
        <row r="18">
          <cell r="B18" t="str">
            <v>Campamento</v>
          </cell>
          <cell r="C18" t="str">
            <v>Glb</v>
          </cell>
          <cell r="D18">
            <v>250000</v>
          </cell>
        </row>
        <row r="19">
          <cell r="B19" t="str">
            <v>Cargador 0.50 M3 sobre llantas</v>
          </cell>
          <cell r="C19" t="str">
            <v>Hora</v>
          </cell>
          <cell r="D19">
            <v>100000</v>
          </cell>
        </row>
        <row r="20">
          <cell r="B20" t="str">
            <v>Cortadora manual</v>
          </cell>
          <cell r="C20" t="str">
            <v>Día</v>
          </cell>
          <cell r="D20">
            <v>18000</v>
          </cell>
        </row>
        <row r="21">
          <cell r="B21" t="str">
            <v>Diferencial</v>
          </cell>
          <cell r="C21" t="str">
            <v>HM</v>
          </cell>
          <cell r="D21">
            <v>30000</v>
          </cell>
        </row>
        <row r="22">
          <cell r="B22" t="str">
            <v>Equipo de soldadura</v>
          </cell>
          <cell r="C22" t="str">
            <v>Dia</v>
          </cell>
          <cell r="D22">
            <v>60000</v>
          </cell>
        </row>
        <row r="23">
          <cell r="B23" t="str">
            <v>Equipo de Topografia</v>
          </cell>
          <cell r="C23" t="str">
            <v>Dia</v>
          </cell>
          <cell r="D23">
            <v>80000</v>
          </cell>
        </row>
        <row r="24">
          <cell r="B24" t="str">
            <v>Formaleta</v>
          </cell>
          <cell r="C24" t="str">
            <v>Hora</v>
          </cell>
          <cell r="D24">
            <v>2850</v>
          </cell>
        </row>
        <row r="25">
          <cell r="B25" t="str">
            <v>Herramienta Electrica</v>
          </cell>
          <cell r="C25" t="str">
            <v>Hora</v>
          </cell>
          <cell r="D25">
            <v>2000</v>
          </cell>
        </row>
        <row r="26">
          <cell r="B26" t="str">
            <v>Herramienta Menor</v>
          </cell>
          <cell r="C26" t="str">
            <v>Hora</v>
          </cell>
          <cell r="D26">
            <v>1500</v>
          </cell>
        </row>
        <row r="27">
          <cell r="B27" t="str">
            <v>Mezcladora</v>
          </cell>
          <cell r="C27" t="str">
            <v>Hora</v>
          </cell>
          <cell r="D27">
            <v>1000</v>
          </cell>
        </row>
        <row r="28">
          <cell r="B28" t="str">
            <v>Pulidora</v>
          </cell>
          <cell r="C28" t="str">
            <v>Hora</v>
          </cell>
          <cell r="D28">
            <v>5000</v>
          </cell>
        </row>
        <row r="29">
          <cell r="B29" t="str">
            <v>Microbús</v>
          </cell>
          <cell r="C29" t="str">
            <v>Hora</v>
          </cell>
          <cell r="D29">
            <v>20000</v>
          </cell>
        </row>
        <row r="30">
          <cell r="B30" t="str">
            <v xml:space="preserve">Vehículo </v>
          </cell>
          <cell r="C30" t="str">
            <v>Hora</v>
          </cell>
          <cell r="D30">
            <v>25000</v>
          </cell>
        </row>
        <row r="31">
          <cell r="B31" t="str">
            <v>Vibrador a gasolina</v>
          </cell>
          <cell r="C31" t="str">
            <v>Hora</v>
          </cell>
          <cell r="D31">
            <v>7500</v>
          </cell>
        </row>
        <row r="32">
          <cell r="B32" t="str">
            <v>Vibrocompactador Manual</v>
          </cell>
          <cell r="C32" t="str">
            <v>Hora</v>
          </cell>
          <cell r="D32">
            <v>10000</v>
          </cell>
        </row>
        <row r="33">
          <cell r="B33" t="str">
            <v>Volqueta de 6 m3</v>
          </cell>
          <cell r="C33" t="str">
            <v>Hora</v>
          </cell>
          <cell r="D33">
            <v>45000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localizacion (estructuras)"/>
      <sheetName val="localizacion (carreteras)"/>
      <sheetName val="200.1"/>
      <sheetName val="200.2"/>
      <sheetName val="200P ROCERIA"/>
      <sheetName val="201.P y 201.5P"/>
      <sheetName val="201.2 Pciclopeo"/>
      <sheetName val="201.2.1P reforzado"/>
      <sheetName val="201.3"/>
      <sheetName val="201.4"/>
      <sheetName val="201.7"/>
      <sheetName val="201.8"/>
      <sheetName val="201.8P"/>
      <sheetName val="201.11"/>
      <sheetName val="201.12"/>
      <sheetName val="201.13 y 201.17"/>
      <sheetName val="201.16"/>
      <sheetName val="201.14"/>
      <sheetName val="201.15"/>
      <sheetName val="201.21"/>
      <sheetName val="210.1.1"/>
      <sheetName val="210.1.2"/>
      <sheetName val="210.2.1"/>
      <sheetName val="210.2.1P"/>
      <sheetName val="210.2.2"/>
      <sheetName val="210.2.4"/>
      <sheetName val="211.1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.1 Via 9003"/>
      <sheetName val="311.1P"/>
      <sheetName val="311.2P"/>
      <sheetName val="311.3P"/>
      <sheetName val="320.1"/>
      <sheetName val="320.1Via 9003"/>
      <sheetName val="320.1Via 9004"/>
      <sheetName val="320.1Via 7801"/>
      <sheetName val="320.2"/>
      <sheetName val="320.2 Via 9003"/>
      <sheetName val="320.2 Via 9004"/>
      <sheetName val="320.2 Via 7801"/>
      <sheetName val="330.1"/>
      <sheetName val="330.1 Vía 9003"/>
      <sheetName val="330.1 Vía 9004"/>
      <sheetName val="330.1 Vía 7801"/>
      <sheetName val="330.2"/>
      <sheetName val="330.2 Vía 9003"/>
      <sheetName val="330.2 Vía 9004"/>
      <sheetName val="330.2 Via 7801"/>
      <sheetName val="330.1P"/>
      <sheetName val="330.1P Lorica- Coveñas"/>
      <sheetName val="330.1P (7801)"/>
      <sheetName val="340.1"/>
      <sheetName val="340.2"/>
      <sheetName val="340.3"/>
      <sheetName val="341.1"/>
      <sheetName val="341.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5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 COMPRADA"/>
      <sheetName val="440.2"/>
      <sheetName val="440.2 COMPRADA"/>
      <sheetName val="440.3"/>
      <sheetName val="440.3 COMPRADA"/>
      <sheetName val="440.4"/>
      <sheetName val="441.1"/>
      <sheetName val="441.1 COMPRADA"/>
      <sheetName val="441.2"/>
      <sheetName val="441.2 COMPRADA"/>
      <sheetName val="441.3"/>
      <sheetName val="441.3 COMPRADA"/>
      <sheetName val="441.4"/>
      <sheetName val="450.1"/>
      <sheetName val="450.1P COMPRADA"/>
      <sheetName val="450.1P COMPRADA Via 9003"/>
      <sheetName val="450.1P COMPRADA Via 9004"/>
      <sheetName val="450.1P COMPRADA Via 7801"/>
      <sheetName val="450.2"/>
      <sheetName val="450.2P COMPRADA"/>
      <sheetName val="450.2P COMPRADA Vía 9003"/>
      <sheetName val="450.2P COMPRADA Vía 9004"/>
      <sheetName val="450.2P COMPRADA Vía 7801"/>
      <sheetName val="450.3"/>
      <sheetName val="450.3P COMPRADA"/>
      <sheetName val="450.9 "/>
      <sheetName val="450.9P  "/>
      <sheetName val="450.9 Via 9003"/>
      <sheetName val="450.9 Via 9004"/>
      <sheetName val="450.9 Via 7801"/>
      <sheetName val="451.1"/>
      <sheetName val="451. 1 COMPRADA "/>
      <sheetName val="451.2"/>
      <sheetName val="451. 2 COMPRADA"/>
      <sheetName val="451.3"/>
      <sheetName val="451.3 COMPRADA"/>
      <sheetName val="452.1"/>
      <sheetName val="452.1 COMPRADA"/>
      <sheetName val="452.2"/>
      <sheetName val="452.2 COMPRADA"/>
      <sheetName val="452.3"/>
      <sheetName val="452.3 COMPRADA"/>
      <sheetName val="452.4"/>
      <sheetName val="452.4 COMPRADA"/>
      <sheetName val="453"/>
      <sheetName val="460.1"/>
      <sheetName val="460.1P"/>
      <sheetName val="460.1P.1"/>
      <sheetName val="461.1"/>
      <sheetName val="461.2"/>
      <sheetName val="462.1.1"/>
      <sheetName val="462.1.2"/>
      <sheetName val="462.1.3"/>
      <sheetName val="462.1.4"/>
      <sheetName val="462.2"/>
      <sheetName val="464.1"/>
      <sheetName val="465.1"/>
      <sheetName val="466.1"/>
      <sheetName val="466.2"/>
      <sheetName val="466P Sello de Grietas"/>
      <sheetName val="500.1"/>
      <sheetName val="501.1"/>
      <sheetName val="510"/>
      <sheetName val="510P1"/>
      <sheetName val="510P2"/>
      <sheetName val="510P3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1P"/>
      <sheetName val="610.1 Vía 9003"/>
      <sheetName val="610.1 Vía 9004"/>
      <sheetName val="610.1 Vía 7801"/>
      <sheetName val="610.2"/>
      <sheetName val="610.2 Vía 9003"/>
      <sheetName val="610.2 Vía 9004"/>
      <sheetName val="610.2 Vía 7801"/>
      <sheetName val="620.1"/>
      <sheetName val="620.2"/>
      <sheetName val="620.3"/>
      <sheetName val="620P"/>
      <sheetName val="621.1"/>
      <sheetName val="621.1 (2)"/>
      <sheetName val="621.1 (3)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.1"/>
      <sheetName val="630.1"/>
      <sheetName val="630.1 Vía 9003"/>
      <sheetName val="630.1 Vía 9004"/>
      <sheetName val="630.1 Vía 7801"/>
      <sheetName val="630.2"/>
      <sheetName val="630.2 Vía 9003"/>
      <sheetName val="630.2 Vía 9004"/>
      <sheetName val="630.2 Vía 7801"/>
      <sheetName val="630.3"/>
      <sheetName val="630.3 Vía 9003"/>
      <sheetName val="630.3 Vía 9004"/>
      <sheetName val="630.3 Vía 7801"/>
      <sheetName val="630.4"/>
      <sheetName val="630.4 Vía 9003"/>
      <sheetName val="630.4 Vía 9004"/>
      <sheetName val="630.4 Vía 7801"/>
      <sheetName val="630.5"/>
      <sheetName val="630.5 Vía 9003"/>
      <sheetName val="630.5 Vía 9004"/>
      <sheetName val="630.5 Vía 7801"/>
      <sheetName val="630.6"/>
      <sheetName val="630.6 Vía 9003"/>
      <sheetName val="630.6 Vía 9004"/>
      <sheetName val="630.6 Vía 7801"/>
      <sheetName val="630.7"/>
      <sheetName val="630.7 Vía 9003"/>
      <sheetName val="630.7 Vía 9004"/>
      <sheetName val="630.7 Vía 7801"/>
      <sheetName val="630.1.1P"/>
      <sheetName val="630.1.1P MORTERO 1,3"/>
      <sheetName val="630.1.2P. BOLSACRETOS"/>
      <sheetName val="630.1.3P Mortero sello de griet"/>
      <sheetName val="630.1.4P Mortero Revest. Alcant"/>
      <sheetName val="630.1.5P Mortero epoxico"/>
      <sheetName val="630.1.6 P Mortero Anillar Tub"/>
      <sheetName val="632.1"/>
      <sheetName val="632.1P "/>
      <sheetName val="632.2P"/>
      <sheetName val="632.3P"/>
      <sheetName val="632.4P"/>
      <sheetName val="640.1"/>
      <sheetName val="640.1 Via 9003"/>
      <sheetName val="640.1 Via 9004"/>
      <sheetName val="640.1 Via 7801"/>
      <sheetName val="640.1.1"/>
      <sheetName val="640.1.1 Via 9003"/>
      <sheetName val="640.1.1 Via 9004"/>
      <sheetName val="640.1.1 Via 7801"/>
      <sheetName val="640.1.2"/>
      <sheetName val="640.1.2 Via 9003"/>
      <sheetName val="640.1.2 Via 9004"/>
      <sheetName val="640.1.2 Via 7801"/>
      <sheetName val="641.1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P"/>
      <sheetName val="650.4"/>
      <sheetName val="660.1"/>
      <sheetName val="660.2"/>
      <sheetName val="660.3"/>
      <sheetName val="661.1 TIPO 1"/>
      <sheetName val="661.1.1 TIPO 2"/>
      <sheetName val="661.1.2 En obra"/>
      <sheetName val="662.1"/>
      <sheetName val="662.2"/>
      <sheetName val="670.1"/>
      <sheetName val="670.2"/>
      <sheetName val="671.1"/>
      <sheetName val="672.1"/>
      <sheetName val="672.2"/>
      <sheetName val="673.1"/>
      <sheetName val="673.1 Vía 9003"/>
      <sheetName val="673.1 Vía 9004"/>
      <sheetName val="673.1 Vía 7801"/>
      <sheetName val="673.2"/>
      <sheetName val="673.3"/>
      <sheetName val="674.1"/>
      <sheetName val="680.1"/>
      <sheetName val="680.2"/>
      <sheetName val="680.3"/>
      <sheetName val="680P"/>
      <sheetName val="680.1P"/>
      <sheetName val="681.1"/>
      <sheetName val="681.1 Vía 9003"/>
      <sheetName val="681.1 Vía 9004"/>
      <sheetName val="681.1 Vía 7801"/>
      <sheetName val="681.1P"/>
      <sheetName val="681.2P"/>
      <sheetName val="682.1"/>
      <sheetName val="700.1"/>
      <sheetName val="700.2"/>
      <sheetName val="700.3"/>
      <sheetName val="700.4"/>
      <sheetName val="700.5P"/>
      <sheetName val="700.6P"/>
      <sheetName val="701.1"/>
      <sheetName val="710.1"/>
      <sheetName val="710.1.1"/>
      <sheetName val="710.1.2"/>
      <sheetName val="710.1.3"/>
      <sheetName val="710.2"/>
      <sheetName val="710.2.1"/>
      <sheetName val="720.1"/>
      <sheetName val="730.1"/>
      <sheetName val="730.2"/>
      <sheetName val="740.1"/>
      <sheetName val="800.1"/>
      <sheetName val="800.2"/>
      <sheetName val="800.3"/>
      <sheetName val="800.4"/>
      <sheetName val="800P"/>
      <sheetName val="810.1"/>
      <sheetName val="810.1P"/>
      <sheetName val="810.2"/>
      <sheetName val="810.3"/>
      <sheetName val="815P"/>
      <sheetName val="900.1"/>
      <sheetName val="900.2"/>
      <sheetName val="900.3"/>
      <sheetName val="900.4P"/>
      <sheetName val="690 Mampostería en piedra"/>
      <sheetName val="Tub RIB1,40 (2)"/>
      <sheetName val="692.1P PINTURA ACABADO "/>
      <sheetName val="693.1P EPOXIAMIDA"/>
      <sheetName val="694.1P EPOXIPOLIAMIDA"/>
      <sheetName val="695P CHORRO ARENA"/>
      <sheetName val="695.1P"/>
      <sheetName val="675.1"/>
      <sheetName val="2-P"/>
      <sheetName val="675.2"/>
      <sheetName val="675.3"/>
      <sheetName val="682P"/>
      <sheetName val="810.2P Con semillas"/>
      <sheetName val="23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>
        <row r="52">
          <cell r="H52">
            <v>73846</v>
          </cell>
        </row>
      </sheetData>
      <sheetData sheetId="15" refreshError="1">
        <row r="53">
          <cell r="H53">
            <v>20565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>
        <row r="49">
          <cell r="H49">
            <v>44017</v>
          </cell>
        </row>
      </sheetData>
      <sheetData sheetId="23" refreshError="1">
        <row r="50">
          <cell r="H50">
            <v>10360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>
        <row r="50">
          <cell r="H50">
            <v>112154</v>
          </cell>
        </row>
      </sheetData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>
        <row r="57">
          <cell r="H57">
            <v>224024</v>
          </cell>
        </row>
      </sheetData>
      <sheetData sheetId="239" refreshError="1"/>
      <sheetData sheetId="240" refreshError="1"/>
      <sheetData sheetId="241" refreshError="1">
        <row r="51">
          <cell r="H51">
            <v>373318</v>
          </cell>
        </row>
      </sheetData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 OBRA"/>
      <sheetName val="CUADRO RESUM"/>
      <sheetName val="CUADRO RESUM FALTANTE"/>
    </sheetNames>
    <sheetDataSet>
      <sheetData sheetId="0">
        <row r="1">
          <cell r="A1" t="str">
            <v>INSTITUTO NACIONAL DE VIAS</v>
          </cell>
        </row>
        <row r="2">
          <cell r="A2" t="str">
            <v>REGIONAL CASANARE</v>
          </cell>
        </row>
        <row r="5">
          <cell r="A5" t="str">
            <v>CALCULO DE CANTIDADES Y COSTOS ESTIMADOS DE NECESIDADES DE LAS VIAS</v>
          </cell>
        </row>
        <row r="6">
          <cell r="A6" t="str">
            <v>PARA MANTENIMIENTO</v>
          </cell>
        </row>
        <row r="9">
          <cell r="A9" t="str">
            <v>Administrador Vial:  CESAR FIGUEROA MELGAREJO</v>
          </cell>
        </row>
        <row r="10">
          <cell r="A10" t="str">
            <v>Carretera:   COROCORO - ARAUCA</v>
          </cell>
          <cell r="E10" t="str">
            <v>SECTOR: 6606</v>
          </cell>
          <cell r="H10" t="str">
            <v>Enero del 2001</v>
          </cell>
        </row>
        <row r="12">
          <cell r="A12" t="str">
            <v>ITEM DE PAGO</v>
          </cell>
          <cell r="B12" t="str">
            <v>ESPECIFICACIONES</v>
          </cell>
        </row>
        <row r="13">
          <cell r="B13" t="str">
            <v>GRAL</v>
          </cell>
          <cell r="C13" t="str">
            <v>PART</v>
          </cell>
          <cell r="D13" t="str">
            <v>DESCRIPCION</v>
          </cell>
          <cell r="E13" t="str">
            <v>UND</v>
          </cell>
          <cell r="F13" t="str">
            <v>CANTIDAD</v>
          </cell>
          <cell r="G13" t="str">
            <v>VALOR UNITARIO        $</v>
          </cell>
          <cell r="H13" t="str">
            <v>VALOR                  TOTAL                         $</v>
          </cell>
        </row>
        <row r="15">
          <cell r="A15" t="str">
            <v>CONSTRUCCION DE BOLSACRETOS PARA PROTECCION DEL ESTRIBO, PUENTE CAÑO JESUS PR 37+0768</v>
          </cell>
        </row>
        <row r="16">
          <cell r="A16">
            <v>310.10000000000002</v>
          </cell>
          <cell r="B16">
            <v>310</v>
          </cell>
          <cell r="C16" t="str">
            <v>310P</v>
          </cell>
          <cell r="D16" t="str">
            <v>EXCAVACION MANUAL</v>
          </cell>
          <cell r="E16" t="str">
            <v>m3</v>
          </cell>
          <cell r="F16">
            <v>27</v>
          </cell>
          <cell r="G16">
            <v>28624</v>
          </cell>
          <cell r="H16">
            <v>772848</v>
          </cell>
        </row>
        <row r="17">
          <cell r="D17" t="str">
            <v>BOLSACRETOS</v>
          </cell>
          <cell r="E17" t="str">
            <v>m3</v>
          </cell>
          <cell r="F17">
            <v>87</v>
          </cell>
          <cell r="G17">
            <v>484200</v>
          </cell>
          <cell r="H17">
            <v>42125400</v>
          </cell>
        </row>
        <row r="18">
          <cell r="D18" t="str">
            <v>MANEJO DE AGUAS</v>
          </cell>
          <cell r="E18" t="str">
            <v>GLOBAL</v>
          </cell>
          <cell r="F18">
            <v>1</v>
          </cell>
          <cell r="G18">
            <v>3000000</v>
          </cell>
          <cell r="H18">
            <v>3000000</v>
          </cell>
        </row>
        <row r="22">
          <cell r="G22" t="str">
            <v xml:space="preserve">Valor Basico : </v>
          </cell>
          <cell r="H22">
            <v>45898248</v>
          </cell>
        </row>
        <row r="23">
          <cell r="G23" t="str">
            <v xml:space="preserve">Valor I.V.A (16%) : </v>
          </cell>
          <cell r="H23">
            <v>451921.21107692301</v>
          </cell>
        </row>
        <row r="24">
          <cell r="G24" t="str">
            <v xml:space="preserve">VALOR TOTAL : </v>
          </cell>
          <cell r="H24">
            <v>46350169.211076923</v>
          </cell>
        </row>
        <row r="34">
          <cell r="A34" t="str">
            <v>Administrador Vial</v>
          </cell>
          <cell r="E34" t="str">
            <v>Vo. Bo. Director Regional</v>
          </cell>
        </row>
        <row r="40">
          <cell r="A40" t="str">
            <v>INSTITUTO NACIONAL DE VIAS</v>
          </cell>
        </row>
        <row r="41">
          <cell r="A41" t="str">
            <v>REGIONAL CASANARE</v>
          </cell>
        </row>
        <row r="44">
          <cell r="A44" t="str">
            <v>CALCULO DE CANTIDADES Y COSTOS ESTIMADOS DE NECESIDADES DE LAS VIAS</v>
          </cell>
        </row>
        <row r="45">
          <cell r="A45" t="str">
            <v>PARA MANTENIMIENTO</v>
          </cell>
        </row>
        <row r="48">
          <cell r="A48" t="str">
            <v>Administrador Vial:  CESAR FIGUEROA MELGAREJO</v>
          </cell>
        </row>
        <row r="49">
          <cell r="A49" t="str">
            <v>Carretera:   COROCORO - ARAUCA</v>
          </cell>
          <cell r="E49" t="str">
            <v>SECTOR: 6606</v>
          </cell>
          <cell r="H49" t="str">
            <v>Enero del 2001</v>
          </cell>
        </row>
        <row r="51">
          <cell r="A51" t="str">
            <v>ITEM DE PAGO</v>
          </cell>
          <cell r="B51" t="str">
            <v>ESPECIFICACIONES</v>
          </cell>
        </row>
        <row r="52">
          <cell r="B52" t="str">
            <v>GRAL</v>
          </cell>
          <cell r="C52" t="str">
            <v>PART</v>
          </cell>
          <cell r="D52" t="str">
            <v>DESCRIPCION</v>
          </cell>
          <cell r="E52" t="str">
            <v>UND</v>
          </cell>
          <cell r="F52" t="str">
            <v>CANTIDAD</v>
          </cell>
          <cell r="G52" t="str">
            <v>VALOR UNITARIO        $</v>
          </cell>
          <cell r="H52" t="str">
            <v>VALOR                  TOTAL                         $</v>
          </cell>
        </row>
        <row r="54">
          <cell r="A54" t="str">
            <v>CONSTRUCCION DE CUATRO ALETAS DE PROTECCION A LOS PUENTES CAÑO EL ARENAL PR 17+0834 Y CAÑO EL RUANO PR 36+0543</v>
          </cell>
        </row>
        <row r="55">
          <cell r="A55">
            <v>630.4</v>
          </cell>
          <cell r="B55">
            <v>630</v>
          </cell>
          <cell r="D55" t="str">
            <v>CONCRETO 3000 p.s.i.</v>
          </cell>
          <cell r="E55" t="str">
            <v>m3</v>
          </cell>
          <cell r="F55">
            <v>123</v>
          </cell>
          <cell r="G55">
            <v>318667</v>
          </cell>
          <cell r="H55">
            <v>39196041</v>
          </cell>
        </row>
        <row r="56">
          <cell r="A56">
            <v>600.4</v>
          </cell>
          <cell r="B56">
            <v>600</v>
          </cell>
          <cell r="D56" t="str">
            <v>EXCAVACION EN MATERIAL DE GRAVA</v>
          </cell>
          <cell r="E56" t="str">
            <v>m3</v>
          </cell>
          <cell r="F56">
            <v>342</v>
          </cell>
          <cell r="G56">
            <v>25561</v>
          </cell>
          <cell r="H56">
            <v>8741862</v>
          </cell>
        </row>
        <row r="57">
          <cell r="A57">
            <v>640.29999999999995</v>
          </cell>
          <cell r="B57">
            <v>640</v>
          </cell>
          <cell r="D57" t="str">
            <v>ACERO DE REFUERZO</v>
          </cell>
          <cell r="E57" t="str">
            <v>kg</v>
          </cell>
          <cell r="F57">
            <v>3310</v>
          </cell>
          <cell r="G57">
            <v>1966</v>
          </cell>
          <cell r="H57">
            <v>6507460</v>
          </cell>
        </row>
        <row r="58">
          <cell r="A58">
            <v>610.1</v>
          </cell>
          <cell r="B58">
            <v>610</v>
          </cell>
          <cell r="D58" t="str">
            <v>RELLENO ESTRUCTURAL</v>
          </cell>
          <cell r="E58" t="str">
            <v>m3</v>
          </cell>
          <cell r="F58">
            <v>340</v>
          </cell>
          <cell r="G58">
            <v>27365</v>
          </cell>
          <cell r="H58">
            <v>9304100</v>
          </cell>
        </row>
        <row r="59">
          <cell r="D59" t="str">
            <v>DEMOLICION ESTRUCTURA EXISTENTE</v>
          </cell>
          <cell r="E59" t="str">
            <v>m3</v>
          </cell>
          <cell r="F59">
            <v>67</v>
          </cell>
          <cell r="G59">
            <v>89300</v>
          </cell>
          <cell r="H59">
            <v>5983100</v>
          </cell>
        </row>
        <row r="63">
          <cell r="G63" t="str">
            <v xml:space="preserve">Valor Basico : </v>
          </cell>
          <cell r="H63">
            <v>69732563</v>
          </cell>
        </row>
        <row r="64">
          <cell r="G64" t="str">
            <v xml:space="preserve">Valor I.V.A (16%) : </v>
          </cell>
          <cell r="H64">
            <v>686597.54338461533</v>
          </cell>
        </row>
        <row r="65">
          <cell r="G65" t="str">
            <v xml:space="preserve">VALOR TOTAL : </v>
          </cell>
          <cell r="H65">
            <v>70419160.543384612</v>
          </cell>
        </row>
        <row r="76">
          <cell r="A76" t="str">
            <v>Administrador Vial</v>
          </cell>
          <cell r="E76" t="str">
            <v>Vo. Bo. Director Regional</v>
          </cell>
        </row>
        <row r="79">
          <cell r="A79" t="str">
            <v>INSTITUTO NACIONAL DE VIAS</v>
          </cell>
        </row>
        <row r="80">
          <cell r="A80" t="str">
            <v>REGIONAL CASANARE</v>
          </cell>
        </row>
        <row r="83">
          <cell r="A83" t="str">
            <v>CALCULO DE CANTIDADES Y COSTOS ESTIMADOS DE NECESIDADES DE LAS VIAS</v>
          </cell>
        </row>
        <row r="84">
          <cell r="A84" t="str">
            <v>PARA MANTENIMIENTO</v>
          </cell>
        </row>
        <row r="87">
          <cell r="A87" t="str">
            <v>Administrador Vial:  CESAR FIGUEROA MELGAREJO</v>
          </cell>
        </row>
        <row r="88">
          <cell r="A88" t="str">
            <v xml:space="preserve">Carretera:  TAME - COROCORO </v>
          </cell>
          <cell r="E88" t="str">
            <v xml:space="preserve">SECTOR: 6605 </v>
          </cell>
          <cell r="H88" t="str">
            <v>Enero del 2001</v>
          </cell>
        </row>
        <row r="90">
          <cell r="A90" t="str">
            <v>ITEM DE PAGO</v>
          </cell>
          <cell r="B90" t="str">
            <v>ESPECIFICACIONES</v>
          </cell>
        </row>
        <row r="91">
          <cell r="B91" t="str">
            <v>GRAL</v>
          </cell>
          <cell r="C91" t="str">
            <v>PART</v>
          </cell>
          <cell r="D91" t="str">
            <v>DESCRIPCION</v>
          </cell>
          <cell r="E91" t="str">
            <v>UND</v>
          </cell>
          <cell r="F91" t="str">
            <v>CANTIDAD</v>
          </cell>
          <cell r="G91" t="str">
            <v>VALOR UNITARIO        $</v>
          </cell>
          <cell r="H91" t="str">
            <v>VALOR                  TOTAL                         $</v>
          </cell>
        </row>
        <row r="93">
          <cell r="A93" t="str">
            <v xml:space="preserve">CONSTRUCCION DE BOX COULVERT 2,0 * 1,50 PR 0+0540 </v>
          </cell>
        </row>
        <row r="94">
          <cell r="D94" t="str">
            <v>DEMOLICIÓN ESTRUCTURA EXISTENTE</v>
          </cell>
          <cell r="E94" t="str">
            <v>m3</v>
          </cell>
          <cell r="F94">
            <v>3</v>
          </cell>
          <cell r="G94">
            <v>89300</v>
          </cell>
          <cell r="H94">
            <v>267900</v>
          </cell>
        </row>
        <row r="95">
          <cell r="A95">
            <v>600.4</v>
          </cell>
          <cell r="B95">
            <v>600</v>
          </cell>
          <cell r="D95" t="str">
            <v>EXCAVACION MANUAL EN GRAVA</v>
          </cell>
          <cell r="E95" t="str">
            <v>m3</v>
          </cell>
          <cell r="F95">
            <v>80</v>
          </cell>
          <cell r="G95">
            <v>25565</v>
          </cell>
          <cell r="H95">
            <v>2045200</v>
          </cell>
        </row>
        <row r="96">
          <cell r="A96">
            <v>630.4</v>
          </cell>
          <cell r="B96">
            <v>630</v>
          </cell>
          <cell r="D96" t="str">
            <v>CONCRETO 3000 p.s.i.</v>
          </cell>
          <cell r="E96" t="str">
            <v>m3</v>
          </cell>
          <cell r="F96">
            <v>35</v>
          </cell>
          <cell r="G96">
            <v>318667</v>
          </cell>
          <cell r="H96">
            <v>11153345</v>
          </cell>
        </row>
        <row r="97">
          <cell r="A97">
            <v>640.29999999999995</v>
          </cell>
          <cell r="B97">
            <v>640</v>
          </cell>
          <cell r="D97" t="str">
            <v>ACERO DE REFUERZO</v>
          </cell>
          <cell r="E97" t="str">
            <v>kg</v>
          </cell>
          <cell r="F97">
            <v>1330</v>
          </cell>
          <cell r="G97">
            <v>1960</v>
          </cell>
          <cell r="H97">
            <v>2606800</v>
          </cell>
        </row>
        <row r="98">
          <cell r="A98">
            <v>610.1</v>
          </cell>
          <cell r="B98">
            <v>610</v>
          </cell>
          <cell r="D98" t="str">
            <v>RELLENO ESTRUCTURAL</v>
          </cell>
          <cell r="E98" t="str">
            <v>m3</v>
          </cell>
          <cell r="F98">
            <v>30</v>
          </cell>
          <cell r="G98">
            <v>27365</v>
          </cell>
          <cell r="H98">
            <v>820950</v>
          </cell>
        </row>
        <row r="99">
          <cell r="A99">
            <v>450.1</v>
          </cell>
          <cell r="B99">
            <v>450</v>
          </cell>
          <cell r="D99" t="str">
            <v>CANCRETO ASFALTICO</v>
          </cell>
          <cell r="E99" t="str">
            <v>m3</v>
          </cell>
          <cell r="F99">
            <v>1.5</v>
          </cell>
          <cell r="G99">
            <v>215487</v>
          </cell>
          <cell r="H99">
            <v>323230.5</v>
          </cell>
        </row>
        <row r="104">
          <cell r="G104" t="str">
            <v xml:space="preserve">Valor Basico : </v>
          </cell>
          <cell r="H104">
            <v>17217425.5</v>
          </cell>
        </row>
        <row r="105">
          <cell r="G105" t="str">
            <v xml:space="preserve">Valor I.V.A (16%) : </v>
          </cell>
          <cell r="H105">
            <v>169525.42030769229</v>
          </cell>
        </row>
        <row r="106">
          <cell r="G106" t="str">
            <v xml:space="preserve">VALOR TOTAL : </v>
          </cell>
          <cell r="H106">
            <v>17386950.920307692</v>
          </cell>
        </row>
        <row r="108">
          <cell r="A108" t="str">
            <v>NOTA: El cual reemplazará una alcantarilla actualmente construida, que no está capacitada para evacuar las aguas del Río Cravo en la época invernal.</v>
          </cell>
        </row>
        <row r="115">
          <cell r="A115" t="str">
            <v>Administrador Vial</v>
          </cell>
          <cell r="E115" t="str">
            <v>Vo. Bo. Director Regional</v>
          </cell>
        </row>
        <row r="118">
          <cell r="A118" t="str">
            <v>INSTITUTO NACIONAL DE VIAS</v>
          </cell>
        </row>
        <row r="119">
          <cell r="A119" t="str">
            <v>REGIONAL CASANARE</v>
          </cell>
        </row>
        <row r="122">
          <cell r="A122" t="str">
            <v>CALCULO DE CANTIDADES Y COSTOS ESTIMADOS DE NECESIDADES DE LAS VIAS</v>
          </cell>
        </row>
        <row r="123">
          <cell r="A123" t="str">
            <v>PARA MANTENIMIENTO</v>
          </cell>
        </row>
        <row r="126">
          <cell r="A126" t="str">
            <v>Administrador Vial:  CESAR FIGUEROA MELGAREJO</v>
          </cell>
        </row>
        <row r="127">
          <cell r="A127" t="str">
            <v xml:space="preserve">Carretera:  TAME - COROCORO </v>
          </cell>
          <cell r="E127" t="str">
            <v xml:space="preserve">SECTOR: 6605 </v>
          </cell>
          <cell r="H127" t="str">
            <v>Enero del 2001</v>
          </cell>
        </row>
        <row r="129">
          <cell r="A129" t="str">
            <v>ITEM DE PAGO</v>
          </cell>
          <cell r="B129" t="str">
            <v>ESPECIFICACIONES</v>
          </cell>
        </row>
        <row r="130">
          <cell r="B130" t="str">
            <v>GRAL</v>
          </cell>
          <cell r="C130" t="str">
            <v>PART</v>
          </cell>
          <cell r="D130" t="str">
            <v>DESCRIPCION</v>
          </cell>
          <cell r="E130" t="str">
            <v>UND</v>
          </cell>
          <cell r="F130" t="str">
            <v>CANTIDAD</v>
          </cell>
          <cell r="G130" t="str">
            <v>VALOR UNITARIO        $</v>
          </cell>
          <cell r="H130" t="str">
            <v>VALOR                  TOTAL                         $</v>
          </cell>
        </row>
        <row r="132">
          <cell r="A132" t="str">
            <v>CONFORMACION DE LA BANCA CON ADICION DE MATERIAL Y ESTABILIZACION DE LA SUBRASANTE PR 116+0640 AL PR 117+0980</v>
          </cell>
        </row>
        <row r="133">
          <cell r="A133">
            <v>310</v>
          </cell>
          <cell r="B133">
            <v>310</v>
          </cell>
          <cell r="D133" t="str">
            <v>CONFORMACION DE LA CALZADA EXISTENTE</v>
          </cell>
          <cell r="E133" t="str">
            <v>m2</v>
          </cell>
          <cell r="F133">
            <v>10050</v>
          </cell>
          <cell r="G133">
            <v>446</v>
          </cell>
          <cell r="H133">
            <v>4482300</v>
          </cell>
        </row>
        <row r="134">
          <cell r="A134">
            <v>230.1</v>
          </cell>
          <cell r="B134">
            <v>230</v>
          </cell>
          <cell r="D134" t="str">
            <v>ESTABILIZACION DE LA SUBRASANTE</v>
          </cell>
          <cell r="E134" t="str">
            <v>m2</v>
          </cell>
          <cell r="F134">
            <v>10050</v>
          </cell>
          <cell r="G134">
            <v>1950</v>
          </cell>
          <cell r="H134">
            <v>19597500</v>
          </cell>
        </row>
        <row r="135">
          <cell r="B135">
            <v>230</v>
          </cell>
          <cell r="D135" t="str">
            <v>ADITIVO ESTABILIZANTE</v>
          </cell>
          <cell r="E135" t="str">
            <v>lt</v>
          </cell>
          <cell r="F135">
            <v>151</v>
          </cell>
          <cell r="G135">
            <v>67751</v>
          </cell>
          <cell r="H135">
            <v>10230401</v>
          </cell>
        </row>
        <row r="136">
          <cell r="A136">
            <v>320.10000000000002</v>
          </cell>
          <cell r="B136">
            <v>320</v>
          </cell>
          <cell r="D136" t="str">
            <v>SUB-BASE</v>
          </cell>
          <cell r="E136" t="str">
            <v>m3</v>
          </cell>
          <cell r="F136">
            <v>1650</v>
          </cell>
          <cell r="G136">
            <v>125400</v>
          </cell>
          <cell r="H136">
            <v>206910000</v>
          </cell>
        </row>
        <row r="141">
          <cell r="G141" t="str">
            <v xml:space="preserve">Valor Basico : </v>
          </cell>
          <cell r="H141">
            <v>241220201</v>
          </cell>
        </row>
        <row r="142">
          <cell r="G142" t="str">
            <v xml:space="preserve">Valor I.V.A (16%) : </v>
          </cell>
          <cell r="H142">
            <v>2375091.2098461539</v>
          </cell>
        </row>
        <row r="143">
          <cell r="G143" t="str">
            <v xml:space="preserve">VALOR TOTAL : </v>
          </cell>
          <cell r="H143">
            <v>243595292.20984614</v>
          </cell>
        </row>
        <row r="146">
          <cell r="A146" t="str">
            <v xml:space="preserve">Nota: </v>
          </cell>
          <cell r="B146" t="str">
            <v>Consiste en la conformación de 1 Km. de vía con aditivo estabilizante como tramo de prueba.</v>
          </cell>
        </row>
        <row r="154">
          <cell r="A154" t="str">
            <v>Administrador Vial</v>
          </cell>
          <cell r="E154" t="str">
            <v>Vo. Bo. Director Regional</v>
          </cell>
        </row>
        <row r="157">
          <cell r="A157" t="str">
            <v>INSTITUTO NACIONAL DE VIAS</v>
          </cell>
        </row>
        <row r="158">
          <cell r="A158" t="str">
            <v>REGIONAL CASANARE</v>
          </cell>
        </row>
        <row r="161">
          <cell r="A161" t="str">
            <v>CALCULO DE CANTIDADES Y COSTOS ESTIMADOS DE NECESIDADES DE LAS VIAS</v>
          </cell>
        </row>
        <row r="162">
          <cell r="A162" t="str">
            <v>PARA MANTENIMIENTO</v>
          </cell>
        </row>
        <row r="165">
          <cell r="A165" t="str">
            <v>Administrador Vial:  CESAR FIGUEROA MELGAREJO</v>
          </cell>
        </row>
        <row r="166">
          <cell r="A166" t="str">
            <v xml:space="preserve">Carretera:  TAME - COROCORO </v>
          </cell>
          <cell r="E166" t="str">
            <v xml:space="preserve">SECTOR: 6605 </v>
          </cell>
          <cell r="H166" t="str">
            <v>Enero del 2001</v>
          </cell>
        </row>
        <row r="168">
          <cell r="A168" t="str">
            <v>ITEM DE PAGO</v>
          </cell>
          <cell r="B168" t="str">
            <v>ESPECIFICACIONES</v>
          </cell>
        </row>
        <row r="169">
          <cell r="B169" t="str">
            <v>GRAL</v>
          </cell>
          <cell r="C169" t="str">
            <v>PART</v>
          </cell>
          <cell r="D169" t="str">
            <v>DESCRIPCION</v>
          </cell>
          <cell r="E169" t="str">
            <v>UND</v>
          </cell>
          <cell r="F169" t="str">
            <v>CANTIDAD</v>
          </cell>
          <cell r="G169" t="str">
            <v>VALOR UNITARIO        $</v>
          </cell>
          <cell r="H169" t="str">
            <v>VALOR                  TOTAL                         $</v>
          </cell>
        </row>
        <row r="171">
          <cell r="A171" t="str">
            <v>MANTENIMIENTO SITIOS CRITICOS PR 90+0480 AL PR 90+0700 Y DEL PR 118+0000 AL PR 131+0400</v>
          </cell>
        </row>
        <row r="172">
          <cell r="A172">
            <v>310</v>
          </cell>
          <cell r="B172">
            <v>300</v>
          </cell>
          <cell r="D172" t="str">
            <v>CONFORMACION DE LA CALZADA EXISTENTE</v>
          </cell>
          <cell r="E172" t="str">
            <v>m2</v>
          </cell>
          <cell r="F172">
            <v>20000</v>
          </cell>
          <cell r="G172">
            <v>446</v>
          </cell>
          <cell r="H172">
            <v>8920000</v>
          </cell>
        </row>
        <row r="173">
          <cell r="A173">
            <v>210.3</v>
          </cell>
          <cell r="B173">
            <v>210</v>
          </cell>
          <cell r="D173" t="str">
            <v>EXCAVACION DE LA CALZADA EXISTENTE</v>
          </cell>
          <cell r="E173" t="str">
            <v>m3</v>
          </cell>
          <cell r="F173">
            <v>815</v>
          </cell>
          <cell r="G173">
            <v>4118</v>
          </cell>
          <cell r="H173">
            <v>3356170</v>
          </cell>
        </row>
        <row r="174">
          <cell r="A174">
            <v>320.10000000000002</v>
          </cell>
          <cell r="B174">
            <v>320</v>
          </cell>
          <cell r="D174" t="str">
            <v>SUB-BASE GRANULAR</v>
          </cell>
          <cell r="E174" t="str">
            <v>m3</v>
          </cell>
          <cell r="F174">
            <v>2150</v>
          </cell>
          <cell r="G174">
            <v>32390</v>
          </cell>
          <cell r="H174">
            <v>69638500</v>
          </cell>
        </row>
        <row r="175">
          <cell r="A175">
            <v>900.2</v>
          </cell>
          <cell r="B175">
            <v>900</v>
          </cell>
          <cell r="D175" t="str">
            <v>TRANSPORTE SUB-BASE GRANULAR</v>
          </cell>
          <cell r="E175" t="str">
            <v>m3 - Km</v>
          </cell>
          <cell r="F175">
            <v>193500</v>
          </cell>
          <cell r="G175">
            <v>813</v>
          </cell>
          <cell r="H175">
            <v>157315500</v>
          </cell>
        </row>
        <row r="180">
          <cell r="G180" t="str">
            <v xml:space="preserve">Valor Basico : </v>
          </cell>
          <cell r="H180">
            <v>239230170</v>
          </cell>
        </row>
        <row r="181">
          <cell r="G181" t="str">
            <v xml:space="preserve">Valor I.V.A (16%) : </v>
          </cell>
          <cell r="H181">
            <v>2355497.0584615385</v>
          </cell>
        </row>
        <row r="182">
          <cell r="G182" t="str">
            <v xml:space="preserve">VALOR TOTAL : </v>
          </cell>
          <cell r="H182">
            <v>241585667.05846155</v>
          </cell>
        </row>
        <row r="184">
          <cell r="A184" t="str">
            <v xml:space="preserve">Nota: </v>
          </cell>
          <cell r="B184" t="str">
            <v xml:space="preserve">Consiste en la escarificación, la conformación, renivelación y compactación del afirmado existente en 2 Km. de vía. Con adición de </v>
          </cell>
        </row>
        <row r="185">
          <cell r="B185" t="str">
            <v>material de afirmado en los pasos críticos.</v>
          </cell>
        </row>
        <row r="194">
          <cell r="A194" t="str">
            <v>Administrador Vial</v>
          </cell>
          <cell r="E194" t="str">
            <v>Vo. Bo. Director Regional</v>
          </cell>
        </row>
      </sheetData>
      <sheetData sheetId="1" refreshError="1"/>
      <sheetData sheetId="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R-HH-EE"/>
      <sheetName val="MC"/>
      <sheetName val="ZONAS"/>
      <sheetName val="F-INV"/>
      <sheetName val="F-INV (2)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PPTO"/>
    </sheetNames>
    <sheetDataSet>
      <sheetData sheetId="0">
        <row r="3">
          <cell r="B3" t="str">
            <v>LISTADO DE EQUIPOS</v>
          </cell>
        </row>
        <row r="4">
          <cell r="B4" t="str">
            <v>RETROEXCAVADORA</v>
          </cell>
        </row>
        <row r="5">
          <cell r="B5" t="str">
            <v>EQUIPO DE SOLDADURA PEQUEÑO</v>
          </cell>
        </row>
        <row r="6">
          <cell r="B6">
            <v>0</v>
          </cell>
        </row>
        <row r="7">
          <cell r="B7">
            <v>0</v>
          </cell>
        </row>
        <row r="8">
          <cell r="B8">
            <v>0</v>
          </cell>
        </row>
        <row r="9">
          <cell r="B9">
            <v>0</v>
          </cell>
        </row>
        <row r="11">
          <cell r="B11" t="str">
            <v>LISTADO DE HERRAMIENTAS</v>
          </cell>
        </row>
        <row r="12">
          <cell r="B12" t="str">
            <v>PARALES</v>
          </cell>
        </row>
        <row r="13">
          <cell r="B13" t="str">
            <v>CERCHAS</v>
          </cell>
        </row>
        <row r="14">
          <cell r="B14" t="str">
            <v>FORMALETAS 10 X 120</v>
          </cell>
        </row>
        <row r="15">
          <cell r="B15" t="str">
            <v>FORMALETAS 20 X 120</v>
          </cell>
        </row>
        <row r="16">
          <cell r="B16" t="str">
            <v>FORMALETAS 25 X 120</v>
          </cell>
        </row>
        <row r="17">
          <cell r="B17" t="str">
            <v>FORMALETAS 30 X 120</v>
          </cell>
        </row>
        <row r="18">
          <cell r="B18" t="str">
            <v>FORMALETAS 40 X 120</v>
          </cell>
        </row>
        <row r="19">
          <cell r="B19" t="str">
            <v>FORMALETAS 60 X 120</v>
          </cell>
        </row>
        <row r="20">
          <cell r="B20" t="str">
            <v>ANDAMIOS NORMALES</v>
          </cell>
        </row>
        <row r="21">
          <cell r="B21" t="str">
            <v>TABLONES PARA ANDAMIOS NORMALES</v>
          </cell>
        </row>
        <row r="22">
          <cell r="B22" t="str">
            <v>ANDAMIOS CERTIFICADOS</v>
          </cell>
        </row>
        <row r="23">
          <cell r="B23" t="str">
            <v>TABLEROS</v>
          </cell>
        </row>
        <row r="24">
          <cell r="B24">
            <v>0</v>
          </cell>
        </row>
        <row r="25">
          <cell r="B25">
            <v>0</v>
          </cell>
        </row>
        <row r="28">
          <cell r="B28" t="str">
            <v>Concreto de 3000 psi</v>
          </cell>
        </row>
        <row r="29">
          <cell r="B29" t="str">
            <v>Malla Electrosoldada</v>
          </cell>
        </row>
        <row r="30">
          <cell r="B30" t="str">
            <v>Lamina Colaborante metalica tipo Metal Deck calibre 20</v>
          </cell>
        </row>
        <row r="31">
          <cell r="B31" t="str">
            <v>Pernos pasantes para asegurar lamina colaborante</v>
          </cell>
        </row>
        <row r="32">
          <cell r="B32" t="str">
            <v>Testeros para confinamiento de la fundida con la lamina</v>
          </cell>
        </row>
        <row r="33">
          <cell r="B33" t="str">
            <v>Madera</v>
          </cell>
        </row>
        <row r="34">
          <cell r="B34" t="str">
            <v>Alambre negro</v>
          </cell>
        </row>
        <row r="35">
          <cell r="B35" t="str">
            <v>Puntillas</v>
          </cell>
        </row>
        <row r="36">
          <cell r="B36">
            <v>0</v>
          </cell>
        </row>
        <row r="37">
          <cell r="B37">
            <v>0</v>
          </cell>
        </row>
        <row r="38">
          <cell r="B38">
            <v>0</v>
          </cell>
        </row>
        <row r="39">
          <cell r="B39">
            <v>0</v>
          </cell>
        </row>
        <row r="40">
          <cell r="B40">
            <v>0</v>
          </cell>
        </row>
        <row r="41">
          <cell r="B41">
            <v>0</v>
          </cell>
        </row>
        <row r="42">
          <cell r="B42">
            <v>0</v>
          </cell>
        </row>
        <row r="43">
          <cell r="B43">
            <v>0</v>
          </cell>
        </row>
        <row r="44">
          <cell r="B44">
            <v>0</v>
          </cell>
        </row>
      </sheetData>
      <sheetData sheetId="1"/>
      <sheetData sheetId="2"/>
      <sheetData sheetId="3"/>
      <sheetData sheetId="4"/>
      <sheetData sheetId="5">
        <row r="36">
          <cell r="F36">
            <v>105000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1.7"/>
      <sheetName val="201.8"/>
      <sheetName val="201.15"/>
      <sheetName val="201.21"/>
      <sheetName val="210.1.1"/>
      <sheetName val="210.1.2"/>
      <sheetName val="210.2.2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310.1"/>
      <sheetName val="311.1"/>
      <sheetName val="320.1"/>
      <sheetName val="320.2"/>
      <sheetName val="330.1"/>
      <sheetName val="330.2"/>
      <sheetName val="330.1P"/>
      <sheetName val="410.1"/>
      <sheetName val="420.1"/>
      <sheetName val="420.2"/>
      <sheetName val="421.1"/>
      <sheetName val="421.2"/>
      <sheetName val="421.3"/>
      <sheetName val="421.4"/>
      <sheetName val="450.2 7403"/>
      <sheetName val="450.9 7403"/>
      <sheetName val="460.1"/>
      <sheetName val="460.1-P"/>
      <sheetName val="464.1"/>
      <sheetName val="465.1"/>
      <sheetName val="466.1"/>
      <sheetName val="466.2"/>
      <sheetName val="500.1"/>
      <sheetName val="600.1"/>
      <sheetName val="600.4"/>
      <sheetName val="600.5"/>
      <sheetName val="812.1-P"/>
      <sheetName val="610.1"/>
      <sheetName val="610.1P"/>
      <sheetName val="610.2"/>
      <sheetName val="630.1"/>
      <sheetName val="630.2"/>
      <sheetName val="630.3"/>
      <sheetName val="630.4"/>
      <sheetName val="630.5"/>
      <sheetName val="630.6"/>
      <sheetName val="630.7"/>
      <sheetName val="633.1P"/>
      <sheetName val="633.2P"/>
      <sheetName val="633-3P"/>
      <sheetName val="640.1"/>
      <sheetName val="642.1"/>
      <sheetName val="650.4"/>
      <sheetName val="651.1P"/>
      <sheetName val="651.2P"/>
      <sheetName val="661.1"/>
      <sheetName val="670.2"/>
      <sheetName val="671.1"/>
      <sheetName val="672.1"/>
      <sheetName val="673.1"/>
      <sheetName val="673.2"/>
      <sheetName val="673.3"/>
      <sheetName val="674.1P"/>
      <sheetName val="681.1"/>
      <sheetName val="681.1P"/>
      <sheetName val="681.2P"/>
      <sheetName val="692.1P"/>
      <sheetName val="693.1P"/>
      <sheetName val="694.1P"/>
      <sheetName val="695.1P"/>
      <sheetName val="700.1"/>
      <sheetName val="700.2"/>
      <sheetName val="700.3"/>
      <sheetName val="700.4"/>
      <sheetName val="700.5P"/>
      <sheetName val="701.1"/>
      <sheetName val="710.1"/>
      <sheetName val="702.1P"/>
      <sheetName val="710.2"/>
      <sheetName val="730.1"/>
      <sheetName val="730.2"/>
      <sheetName val="740.1"/>
      <sheetName val="900.2"/>
      <sheetName val="900.3"/>
      <sheetName val="680P"/>
      <sheetName val="Mortero Sello Grietas O. D."/>
      <sheetName val="SELLO DE GRIETAS"/>
      <sheetName val="PINTURA ACABADO"/>
      <sheetName val="CHORRO ARENA"/>
      <sheetName val="MAMPOSTERIA EN PIEDRA"/>
      <sheetName val="Mampostería en piedra"/>
      <sheetName val="Tub RIB1,40 (2)"/>
      <sheetName val="EPOXIAMIDA"/>
      <sheetName val="EPOXIPOLIAMIDA"/>
      <sheetName val="235"/>
      <sheetName val="localizacion (estructuras)"/>
      <sheetName val="632"/>
      <sheetName val="225P"/>
      <sheetName val="800.1"/>
      <sheetName val="810.1"/>
      <sheetName val="810.2"/>
      <sheetName val="810.3"/>
      <sheetName val="642.2P"/>
      <sheetName val="632.3P"/>
      <sheetName val="632.1P-2"/>
      <sheetName val="Hoja1"/>
      <sheetName val="Hoja3"/>
      <sheetName val="Hoja4"/>
      <sheetName val="items"/>
    </sheetNames>
    <sheetDataSet>
      <sheetData sheetId="0"/>
      <sheetData sheetId="1">
        <row r="1">
          <cell r="A1" t="str">
            <v>ITEM</v>
          </cell>
          <cell r="B1">
            <v>0</v>
          </cell>
          <cell r="C1" t="str">
            <v>CODIGO</v>
          </cell>
          <cell r="D1">
            <v>0</v>
          </cell>
          <cell r="E1" t="str">
            <v>DESCRIPCION</v>
          </cell>
          <cell r="F1" t="str">
            <v>UNIDAD DE</v>
          </cell>
          <cell r="G1" t="str">
            <v>APROXIMACION</v>
          </cell>
          <cell r="H1" t="str">
            <v>VALOR UNITARIO</v>
          </cell>
          <cell r="K1" t="str">
            <v>No. CAPITULO</v>
          </cell>
          <cell r="L1" t="str">
            <v>CAPITULO</v>
          </cell>
          <cell r="M1" t="str">
            <v>ARTICULO</v>
          </cell>
        </row>
        <row r="2">
          <cell r="A2" t="str">
            <v>GENERAL</v>
          </cell>
          <cell r="B2" t="str">
            <v>PAGO</v>
          </cell>
          <cell r="C2" t="str">
            <v>C.U.B.S</v>
          </cell>
          <cell r="D2">
            <v>0</v>
          </cell>
          <cell r="E2">
            <v>0</v>
          </cell>
          <cell r="F2" t="str">
            <v>PAGO</v>
          </cell>
          <cell r="G2">
            <v>0</v>
          </cell>
          <cell r="H2">
            <v>0</v>
          </cell>
          <cell r="K2">
            <v>0</v>
          </cell>
          <cell r="L2">
            <v>0</v>
          </cell>
          <cell r="M2">
            <v>0</v>
          </cell>
        </row>
        <row r="3">
          <cell r="A3">
            <v>0</v>
          </cell>
          <cell r="B3">
            <v>0</v>
          </cell>
          <cell r="C3">
            <v>0</v>
          </cell>
          <cell r="D3">
            <v>0</v>
          </cell>
          <cell r="E3">
            <v>0</v>
          </cell>
          <cell r="F3">
            <v>0</v>
          </cell>
          <cell r="G3">
            <v>0</v>
          </cell>
          <cell r="H3">
            <v>0</v>
          </cell>
          <cell r="K3">
            <v>0</v>
          </cell>
          <cell r="L3">
            <v>0</v>
          </cell>
          <cell r="M3">
            <v>0</v>
          </cell>
        </row>
        <row r="4">
          <cell r="A4" t="str">
            <v>200.1</v>
          </cell>
          <cell r="B4" t="str">
            <v>200-07</v>
          </cell>
          <cell r="C4">
            <v>0</v>
          </cell>
          <cell r="D4" t="str">
            <v>3.6.1.2.1</v>
          </cell>
          <cell r="E4" t="str">
            <v xml:space="preserve">Desmonte y limpieza en bosque </v>
          </cell>
          <cell r="F4" t="str">
            <v>Ha</v>
          </cell>
          <cell r="G4">
            <v>0</v>
          </cell>
          <cell r="H4">
            <v>0</v>
          </cell>
          <cell r="K4">
            <v>2</v>
          </cell>
          <cell r="L4" t="str">
            <v>EXPLANACIONES</v>
          </cell>
          <cell r="M4" t="str">
            <v>Desmonte y limpieza</v>
          </cell>
        </row>
        <row r="5">
          <cell r="A5" t="str">
            <v>200.2</v>
          </cell>
          <cell r="B5" t="str">
            <v>200-07</v>
          </cell>
          <cell r="C5">
            <v>0</v>
          </cell>
          <cell r="D5" t="str">
            <v>3.6.1.2.3</v>
          </cell>
          <cell r="E5" t="str">
            <v xml:space="preserve">Desmonte y limpieza en zonas no boscosas </v>
          </cell>
          <cell r="F5" t="str">
            <v>Ha</v>
          </cell>
          <cell r="G5">
            <v>0</v>
          </cell>
          <cell r="H5">
            <v>0</v>
          </cell>
          <cell r="K5">
            <v>2</v>
          </cell>
          <cell r="L5" t="str">
            <v>EXPLANACIONES</v>
          </cell>
          <cell r="M5" t="str">
            <v>Desmonte y limpieza</v>
          </cell>
        </row>
        <row r="6">
          <cell r="A6" t="str">
            <v>201.1</v>
          </cell>
          <cell r="B6" t="str">
            <v>201-07</v>
          </cell>
          <cell r="C6">
            <v>0</v>
          </cell>
          <cell r="D6" t="str">
            <v>3.6.1.3.11</v>
          </cell>
          <cell r="E6" t="str">
            <v xml:space="preserve">Demolición de edificaciones </v>
          </cell>
          <cell r="F6" t="str">
            <v>Gl</v>
          </cell>
          <cell r="G6">
            <v>0</v>
          </cell>
          <cell r="H6">
            <v>0</v>
          </cell>
          <cell r="K6">
            <v>2</v>
          </cell>
          <cell r="L6" t="str">
            <v>EXPLANACIONES</v>
          </cell>
          <cell r="M6" t="str">
            <v>Demolición y remoción</v>
          </cell>
        </row>
        <row r="7">
          <cell r="A7" t="str">
            <v>201.2</v>
          </cell>
          <cell r="B7" t="str">
            <v>201-07</v>
          </cell>
          <cell r="C7">
            <v>0</v>
          </cell>
          <cell r="D7" t="str">
            <v>3.6.1.3.11</v>
          </cell>
          <cell r="E7" t="str">
            <v xml:space="preserve">Demolición de estructuras </v>
          </cell>
          <cell r="F7" t="str">
            <v>Gl</v>
          </cell>
          <cell r="G7">
            <v>0</v>
          </cell>
          <cell r="H7">
            <v>0</v>
          </cell>
          <cell r="K7">
            <v>2</v>
          </cell>
          <cell r="L7" t="str">
            <v>EXPLANACIONES</v>
          </cell>
          <cell r="M7" t="str">
            <v>Demolición y remoción</v>
          </cell>
        </row>
        <row r="8">
          <cell r="A8" t="str">
            <v>201.3</v>
          </cell>
          <cell r="B8" t="str">
            <v>201-07</v>
          </cell>
          <cell r="C8">
            <v>0</v>
          </cell>
          <cell r="D8" t="str">
            <v>3.6.1.3.15</v>
          </cell>
          <cell r="E8" t="str">
            <v xml:space="preserve">Demolición de pavimentos rígidos, pisos, andenes y bordillos de concreto </v>
          </cell>
          <cell r="F8" t="str">
            <v>Gl</v>
          </cell>
          <cell r="G8">
            <v>0</v>
          </cell>
          <cell r="H8">
            <v>0</v>
          </cell>
          <cell r="K8">
            <v>2</v>
          </cell>
          <cell r="L8" t="str">
            <v>EXPLANACIONES</v>
          </cell>
          <cell r="M8" t="str">
            <v>Demolición y remoción</v>
          </cell>
        </row>
        <row r="9">
          <cell r="A9" t="str">
            <v>201.4</v>
          </cell>
          <cell r="B9" t="str">
            <v>201-07</v>
          </cell>
          <cell r="C9">
            <v>0</v>
          </cell>
          <cell r="D9" t="str">
            <v>3.6.1.3.14</v>
          </cell>
          <cell r="E9" t="str">
            <v xml:space="preserve">Demolición de obstáculos </v>
          </cell>
          <cell r="F9" t="str">
            <v>Gl</v>
          </cell>
          <cell r="G9">
            <v>0</v>
          </cell>
          <cell r="H9">
            <v>0</v>
          </cell>
          <cell r="K9">
            <v>2</v>
          </cell>
          <cell r="L9" t="str">
            <v>EXPLANACIONES</v>
          </cell>
          <cell r="M9" t="str">
            <v>Demolición y remoción</v>
          </cell>
        </row>
        <row r="10">
          <cell r="A10" t="str">
            <v>201.5</v>
          </cell>
          <cell r="B10" t="str">
            <v>201-07</v>
          </cell>
          <cell r="C10">
            <v>0</v>
          </cell>
          <cell r="D10" t="str">
            <v>3.3.1.1</v>
          </cell>
          <cell r="E10" t="str">
            <v xml:space="preserve">Demolición de edificaciones </v>
          </cell>
          <cell r="F10" t="str">
            <v>U</v>
          </cell>
          <cell r="G10">
            <v>0</v>
          </cell>
          <cell r="H10">
            <v>0</v>
          </cell>
          <cell r="K10">
            <v>2</v>
          </cell>
          <cell r="L10" t="str">
            <v>EXPLANACIONES</v>
          </cell>
          <cell r="M10" t="str">
            <v>Demolición y remoción</v>
          </cell>
        </row>
        <row r="11">
          <cell r="A11" t="str">
            <v>201.6</v>
          </cell>
          <cell r="B11" t="str">
            <v>201-07</v>
          </cell>
          <cell r="C11">
            <v>0</v>
          </cell>
          <cell r="D11" t="str">
            <v>3.6.1.3.11</v>
          </cell>
          <cell r="E11" t="str">
            <v xml:space="preserve">Demolición de estructuras </v>
          </cell>
          <cell r="F11" t="str">
            <v>U</v>
          </cell>
          <cell r="G11">
            <v>0</v>
          </cell>
          <cell r="H11">
            <v>0</v>
          </cell>
          <cell r="K11">
            <v>2</v>
          </cell>
          <cell r="L11" t="str">
            <v>EXPLANACIONES</v>
          </cell>
          <cell r="M11" t="str">
            <v>Demolición y remoción</v>
          </cell>
        </row>
        <row r="12">
          <cell r="A12" t="str">
            <v>201.7</v>
          </cell>
          <cell r="B12" t="str">
            <v>201-07</v>
          </cell>
          <cell r="C12">
            <v>0</v>
          </cell>
          <cell r="D12" t="str">
            <v xml:space="preserve">3.6.1.3.13  </v>
          </cell>
          <cell r="E12" t="str">
            <v xml:space="preserve">Demolición de estructuras </v>
          </cell>
          <cell r="F12" t="str">
            <v>M3</v>
          </cell>
          <cell r="G12">
            <v>0</v>
          </cell>
          <cell r="H12">
            <v>76126</v>
          </cell>
          <cell r="K12">
            <v>2</v>
          </cell>
          <cell r="L12" t="str">
            <v>EXPLANACIONES</v>
          </cell>
          <cell r="M12" t="str">
            <v>Demolición y remoción</v>
          </cell>
        </row>
        <row r="13">
          <cell r="A13" t="str">
            <v>201.8</v>
          </cell>
          <cell r="B13" t="str">
            <v>201-07</v>
          </cell>
          <cell r="C13">
            <v>0</v>
          </cell>
          <cell r="D13" t="str">
            <v>3.6.1.3.15</v>
          </cell>
          <cell r="E13" t="str">
            <v xml:space="preserve">Demolición de pavimentos rígidos </v>
          </cell>
          <cell r="F13" t="str">
            <v>M2</v>
          </cell>
          <cell r="G13">
            <v>0</v>
          </cell>
          <cell r="H13">
            <v>21203</v>
          </cell>
          <cell r="K13">
            <v>2</v>
          </cell>
          <cell r="L13" t="str">
            <v>EXPLANACIONES</v>
          </cell>
          <cell r="M13" t="str">
            <v>Demolición y remoción</v>
          </cell>
        </row>
        <row r="14">
          <cell r="A14" t="str">
            <v>201.9</v>
          </cell>
          <cell r="B14" t="str">
            <v>201-07</v>
          </cell>
          <cell r="C14">
            <v>0</v>
          </cell>
          <cell r="D14" t="str">
            <v>3.6.1.3.33</v>
          </cell>
          <cell r="E14" t="str">
            <v xml:space="preserve">Demolición de pisos y andenes de concreto </v>
          </cell>
          <cell r="F14" t="str">
            <v>M2</v>
          </cell>
          <cell r="G14">
            <v>0</v>
          </cell>
          <cell r="H14">
            <v>0</v>
          </cell>
          <cell r="K14">
            <v>2</v>
          </cell>
          <cell r="L14" t="str">
            <v>EXPLANACIONES</v>
          </cell>
          <cell r="M14" t="str">
            <v>Demolición y remoción</v>
          </cell>
        </row>
        <row r="15">
          <cell r="A15" t="str">
            <v>201.10</v>
          </cell>
          <cell r="B15" t="str">
            <v>201-07</v>
          </cell>
          <cell r="C15">
            <v>0</v>
          </cell>
          <cell r="D15" t="str">
            <v>3.6.1.3.35</v>
          </cell>
          <cell r="E15" t="str">
            <v xml:space="preserve">Demolición de bordillos de concreto </v>
          </cell>
          <cell r="F15" t="str">
            <v>M</v>
          </cell>
          <cell r="G15">
            <v>0</v>
          </cell>
          <cell r="H15">
            <v>0</v>
          </cell>
          <cell r="K15">
            <v>2</v>
          </cell>
          <cell r="L15" t="str">
            <v>EXPLANACIONES</v>
          </cell>
          <cell r="M15" t="str">
            <v>Demolición y remoción</v>
          </cell>
        </row>
        <row r="16">
          <cell r="A16" t="str">
            <v>201.11</v>
          </cell>
          <cell r="B16" t="str">
            <v>201-07</v>
          </cell>
          <cell r="C16">
            <v>0</v>
          </cell>
          <cell r="D16" t="str">
            <v>3.6.1.3</v>
          </cell>
          <cell r="E16" t="str">
            <v xml:space="preserve">Desmontaje y traslado de estructuras metálicas </v>
          </cell>
          <cell r="F16" t="str">
            <v>Kg</v>
          </cell>
          <cell r="G16">
            <v>0</v>
          </cell>
          <cell r="H16">
            <v>0</v>
          </cell>
          <cell r="K16">
            <v>2</v>
          </cell>
          <cell r="L16" t="str">
            <v>EXPLANACIONES</v>
          </cell>
          <cell r="M16" t="str">
            <v>Demolición y remoción</v>
          </cell>
        </row>
        <row r="17">
          <cell r="A17" t="str">
            <v>201.12</v>
          </cell>
          <cell r="B17" t="str">
            <v>201-07</v>
          </cell>
          <cell r="C17">
            <v>0</v>
          </cell>
          <cell r="D17" t="str">
            <v>3.6.1.3.47</v>
          </cell>
          <cell r="E17" t="str">
            <v xml:space="preserve">Remoción de especies vegetales </v>
          </cell>
          <cell r="F17" t="str">
            <v>U</v>
          </cell>
          <cell r="G17">
            <v>0</v>
          </cell>
          <cell r="H17">
            <v>0</v>
          </cell>
          <cell r="K17">
            <v>2</v>
          </cell>
          <cell r="L17" t="str">
            <v>EXPLANACIONES</v>
          </cell>
          <cell r="M17" t="str">
            <v>Demolición y remoción</v>
          </cell>
        </row>
        <row r="18">
          <cell r="A18" t="str">
            <v>201.13</v>
          </cell>
          <cell r="B18" t="str">
            <v>201-07</v>
          </cell>
          <cell r="C18">
            <v>0</v>
          </cell>
          <cell r="D18" t="str">
            <v>3.6.1.3</v>
          </cell>
          <cell r="E18" t="str">
            <v xml:space="preserve">Remoción de obstáculos (Se deberá hacer un ítem de pago para cada tipo de obstáculo) </v>
          </cell>
          <cell r="F18" t="str">
            <v>U</v>
          </cell>
          <cell r="G18">
            <v>0</v>
          </cell>
          <cell r="H18">
            <v>0</v>
          </cell>
          <cell r="K18">
            <v>2</v>
          </cell>
          <cell r="L18" t="str">
            <v>EXPLANACIONES</v>
          </cell>
          <cell r="M18" t="str">
            <v>Demolición y remoción</v>
          </cell>
        </row>
        <row r="19">
          <cell r="A19" t="str">
            <v>201.14</v>
          </cell>
          <cell r="B19" t="str">
            <v>201-07</v>
          </cell>
          <cell r="C19">
            <v>0</v>
          </cell>
          <cell r="D19" t="str">
            <v>3.6.1.3.9</v>
          </cell>
          <cell r="E19" t="str">
            <v xml:space="preserve">Remoción de ductos de servicios existentes </v>
          </cell>
          <cell r="F19" t="str">
            <v>M</v>
          </cell>
          <cell r="G19">
            <v>0</v>
          </cell>
          <cell r="H19">
            <v>0</v>
          </cell>
          <cell r="K19">
            <v>2</v>
          </cell>
          <cell r="L19" t="str">
            <v>EXPLANACIONES</v>
          </cell>
          <cell r="M19" t="str">
            <v>Demolición y remoción</v>
          </cell>
        </row>
        <row r="20">
          <cell r="A20" t="str">
            <v>201.15</v>
          </cell>
          <cell r="B20" t="str">
            <v>201-07</v>
          </cell>
          <cell r="C20" t="str">
            <v>3.2.1.9.38</v>
          </cell>
          <cell r="D20" t="str">
            <v>3.6.1.3</v>
          </cell>
          <cell r="E20" t="str">
            <v xml:space="preserve">Remoción de alcantarillas </v>
          </cell>
          <cell r="F20" t="str">
            <v>M</v>
          </cell>
          <cell r="G20">
            <v>0</v>
          </cell>
          <cell r="H20">
            <v>45372</v>
          </cell>
          <cell r="K20">
            <v>2</v>
          </cell>
          <cell r="L20" t="str">
            <v>EXPLANACIONES</v>
          </cell>
          <cell r="M20" t="str">
            <v>Demolición y remoción</v>
          </cell>
        </row>
        <row r="21">
          <cell r="A21" t="str">
            <v>201.16</v>
          </cell>
          <cell r="B21" t="str">
            <v>201-07</v>
          </cell>
          <cell r="C21">
            <v>0</v>
          </cell>
          <cell r="D21" t="str">
            <v>3.6.1.3</v>
          </cell>
          <cell r="E21" t="str">
            <v xml:space="preserve">Remoción de cercas de alambre </v>
          </cell>
          <cell r="F21" t="str">
            <v>M</v>
          </cell>
          <cell r="G21">
            <v>0</v>
          </cell>
          <cell r="H21">
            <v>0</v>
          </cell>
          <cell r="K21">
            <v>2</v>
          </cell>
          <cell r="L21" t="str">
            <v>EXPLANACIONES</v>
          </cell>
          <cell r="M21" t="str">
            <v>Demolición y remoción</v>
          </cell>
        </row>
        <row r="22">
          <cell r="A22" t="str">
            <v>201.17</v>
          </cell>
          <cell r="B22" t="str">
            <v>201-07</v>
          </cell>
          <cell r="C22">
            <v>0</v>
          </cell>
          <cell r="D22" t="str">
            <v>3.6.1.3</v>
          </cell>
          <cell r="E22" t="str">
            <v xml:space="preserve">Remoción de obstáculos (Se deberá hacer un ítem de pago para cada tipo de obstáculo) </v>
          </cell>
          <cell r="F22" t="str">
            <v>M</v>
          </cell>
          <cell r="G22">
            <v>0</v>
          </cell>
          <cell r="H22">
            <v>0</v>
          </cell>
          <cell r="K22">
            <v>2</v>
          </cell>
          <cell r="L22" t="str">
            <v>EXPLANACIONES</v>
          </cell>
          <cell r="M22" t="str">
            <v>Demolición y remoción</v>
          </cell>
        </row>
        <row r="23">
          <cell r="A23" t="str">
            <v>201.18</v>
          </cell>
          <cell r="B23" t="str">
            <v>201-07</v>
          </cell>
          <cell r="C23">
            <v>0</v>
          </cell>
          <cell r="D23" t="str">
            <v>3.6.1.3.1</v>
          </cell>
          <cell r="E23" t="str">
            <v xml:space="preserve">Traslado de postes </v>
          </cell>
          <cell r="F23" t="str">
            <v>U</v>
          </cell>
          <cell r="G23">
            <v>0</v>
          </cell>
          <cell r="H23">
            <v>0</v>
          </cell>
          <cell r="K23">
            <v>2</v>
          </cell>
          <cell r="L23" t="str">
            <v>EXPLANACIONES</v>
          </cell>
          <cell r="M23" t="str">
            <v>Demolición y remoción</v>
          </cell>
        </row>
        <row r="24">
          <cell r="A24" t="str">
            <v>201.19</v>
          </cell>
          <cell r="B24" t="str">
            <v>201-07</v>
          </cell>
          <cell r="C24">
            <v>0</v>
          </cell>
          <cell r="D24" t="str">
            <v>3.6.1.3</v>
          </cell>
          <cell r="E24" t="str">
            <v xml:space="preserve">Traslado de torres </v>
          </cell>
          <cell r="F24" t="str">
            <v>U</v>
          </cell>
          <cell r="G24">
            <v>0</v>
          </cell>
          <cell r="H24">
            <v>0</v>
          </cell>
          <cell r="K24">
            <v>2</v>
          </cell>
          <cell r="L24" t="str">
            <v>EXPLANACIONES</v>
          </cell>
          <cell r="M24" t="str">
            <v>Demolición y remoción</v>
          </cell>
        </row>
        <row r="25">
          <cell r="A25" t="str">
            <v>201.20</v>
          </cell>
          <cell r="B25" t="str">
            <v>201-07</v>
          </cell>
          <cell r="C25">
            <v>0</v>
          </cell>
          <cell r="D25" t="str">
            <v>3.6.1.3</v>
          </cell>
          <cell r="E25" t="str">
            <v xml:space="preserve">Remoción de rieles </v>
          </cell>
          <cell r="F25" t="str">
            <v>M</v>
          </cell>
          <cell r="G25">
            <v>0</v>
          </cell>
          <cell r="H25">
            <v>0</v>
          </cell>
          <cell r="K25">
            <v>2</v>
          </cell>
          <cell r="L25" t="str">
            <v>EXPLANACIONES</v>
          </cell>
          <cell r="M25" t="str">
            <v>Demolición y remoción</v>
          </cell>
        </row>
        <row r="26">
          <cell r="A26" t="str">
            <v>201.21</v>
          </cell>
          <cell r="B26" t="str">
            <v>201-07</v>
          </cell>
          <cell r="C26">
            <v>0</v>
          </cell>
          <cell r="D26" t="str">
            <v>3.6.1.3</v>
          </cell>
          <cell r="E26" t="str">
            <v xml:space="preserve">Remoción de defensas metálicas </v>
          </cell>
          <cell r="F26" t="str">
            <v>M</v>
          </cell>
          <cell r="G26">
            <v>0</v>
          </cell>
          <cell r="H26">
            <v>10716</v>
          </cell>
          <cell r="K26">
            <v>2</v>
          </cell>
          <cell r="L26" t="str">
            <v>EXPLANACIONES</v>
          </cell>
          <cell r="M26" t="str">
            <v>Demolición y remoción</v>
          </cell>
        </row>
        <row r="27">
          <cell r="A27" t="str">
            <v>201.22</v>
          </cell>
          <cell r="B27" t="str">
            <v>201-07</v>
          </cell>
          <cell r="C27">
            <v>0</v>
          </cell>
          <cell r="D27" t="str">
            <v>3.6.1.3.13</v>
          </cell>
          <cell r="E27" t="str">
            <v xml:space="preserve">Remoción de barreras de seguridad </v>
          </cell>
          <cell r="F27" t="str">
            <v>M</v>
          </cell>
          <cell r="G27">
            <v>0</v>
          </cell>
          <cell r="H27">
            <v>0</v>
          </cell>
          <cell r="K27">
            <v>2</v>
          </cell>
          <cell r="L27" t="str">
            <v>EXPLANACIONES</v>
          </cell>
          <cell r="M27" t="str">
            <v>Demolición y remoción</v>
          </cell>
        </row>
        <row r="28">
          <cell r="A28" t="str">
            <v>210.1.1</v>
          </cell>
          <cell r="B28" t="str">
            <v>210-07</v>
          </cell>
          <cell r="C28">
            <v>0</v>
          </cell>
          <cell r="D28" t="str">
            <v xml:space="preserve">3.6.2.1.1 </v>
          </cell>
          <cell r="E28" t="str">
            <v xml:space="preserve">Excavación sin clasificar de la explanación y canales </v>
          </cell>
          <cell r="F28" t="str">
            <v>M3</v>
          </cell>
          <cell r="G28">
            <v>0</v>
          </cell>
          <cell r="H28">
            <v>5544</v>
          </cell>
          <cell r="K28">
            <v>2</v>
          </cell>
          <cell r="L28" t="str">
            <v>EXPLANACIONES</v>
          </cell>
          <cell r="M28" t="str">
            <v>Excavación de la explanación, canales y préstamos</v>
          </cell>
        </row>
        <row r="29">
          <cell r="A29" t="str">
            <v>210.1.2</v>
          </cell>
          <cell r="B29" t="str">
            <v>210-07</v>
          </cell>
          <cell r="C29">
            <v>0</v>
          </cell>
          <cell r="D29" t="str">
            <v>3.6.2.1.3 </v>
          </cell>
          <cell r="E29" t="str">
            <v xml:space="preserve">Excavación sin clasificar de préstamos </v>
          </cell>
          <cell r="F29" t="str">
            <v>M3</v>
          </cell>
          <cell r="G29">
            <v>0</v>
          </cell>
          <cell r="H29">
            <v>2772</v>
          </cell>
          <cell r="K29">
            <v>2</v>
          </cell>
          <cell r="L29" t="str">
            <v>EXPLANACIONES</v>
          </cell>
          <cell r="M29" t="str">
            <v>Excavación de la explanación, canales y préstamos</v>
          </cell>
        </row>
        <row r="30">
          <cell r="A30" t="str">
            <v>210.2.1</v>
          </cell>
          <cell r="B30" t="str">
            <v>210-07</v>
          </cell>
          <cell r="C30">
            <v>0</v>
          </cell>
          <cell r="D30" t="str">
            <v>3.6.2.1.3</v>
          </cell>
          <cell r="E30" t="str">
            <v xml:space="preserve">Excavación en roca de la explanación y canales </v>
          </cell>
          <cell r="F30" t="str">
            <v>M3</v>
          </cell>
          <cell r="G30">
            <v>0</v>
          </cell>
          <cell r="H30">
            <v>0</v>
          </cell>
          <cell r="K30">
            <v>2</v>
          </cell>
          <cell r="L30" t="str">
            <v>EXPLANACIONES</v>
          </cell>
          <cell r="M30" t="str">
            <v>Excavación de la explanación, canales y préstamos</v>
          </cell>
        </row>
        <row r="31">
          <cell r="A31" t="str">
            <v>210.2.2</v>
          </cell>
          <cell r="B31" t="str">
            <v>210-07</v>
          </cell>
          <cell r="C31">
            <v>0</v>
          </cell>
          <cell r="D31" t="str">
            <v>3.6.2.1.5</v>
          </cell>
          <cell r="E31" t="str">
            <v xml:space="preserve">Excavación en material común de la explanación y canales </v>
          </cell>
          <cell r="F31" t="str">
            <v>M3</v>
          </cell>
          <cell r="G31">
            <v>0</v>
          </cell>
          <cell r="H31">
            <v>4752</v>
          </cell>
          <cell r="K31">
            <v>2</v>
          </cell>
          <cell r="L31" t="str">
            <v>EXPLANACIONES</v>
          </cell>
          <cell r="M31" t="str">
            <v>Excavación de la explanación, canales y préstamos</v>
          </cell>
        </row>
        <row r="32">
          <cell r="A32" t="str">
            <v>210.2.3</v>
          </cell>
          <cell r="B32" t="str">
            <v>210-07</v>
          </cell>
          <cell r="C32">
            <v>0</v>
          </cell>
          <cell r="D32" t="str">
            <v>3.6.2.1.5</v>
          </cell>
          <cell r="E32" t="str">
            <v xml:space="preserve">Excavación en roca de préstamos </v>
          </cell>
          <cell r="F32" t="str">
            <v>M3</v>
          </cell>
          <cell r="G32">
            <v>0</v>
          </cell>
          <cell r="H32">
            <v>0</v>
          </cell>
          <cell r="K32">
            <v>2</v>
          </cell>
          <cell r="L32" t="str">
            <v>EXPLANACIONES</v>
          </cell>
          <cell r="M32" t="str">
            <v>Excavación de la explanación, canales y préstamos</v>
          </cell>
        </row>
        <row r="33">
          <cell r="A33" t="str">
            <v>210.2.4</v>
          </cell>
          <cell r="B33" t="str">
            <v>210-07</v>
          </cell>
          <cell r="C33">
            <v>0</v>
          </cell>
          <cell r="D33" t="str">
            <v>3.6.2.1.5</v>
          </cell>
          <cell r="E33" t="str">
            <v xml:space="preserve">Excavación en material común de préstamos </v>
          </cell>
          <cell r="F33" t="str">
            <v>M3</v>
          </cell>
          <cell r="G33">
            <v>0</v>
          </cell>
          <cell r="H33">
            <v>14602</v>
          </cell>
          <cell r="K33">
            <v>2</v>
          </cell>
          <cell r="L33" t="str">
            <v>EXPLANACIONES</v>
          </cell>
          <cell r="M33" t="str">
            <v>Excavación de la explanación, canales y préstamos</v>
          </cell>
        </row>
        <row r="34">
          <cell r="A34" t="str">
            <v>211.1</v>
          </cell>
          <cell r="B34" t="str">
            <v>211-07</v>
          </cell>
          <cell r="C34">
            <v>0</v>
          </cell>
          <cell r="D34" t="str">
            <v xml:space="preserve">3.6.2.2.1  </v>
          </cell>
          <cell r="E34" t="str">
            <v xml:space="preserve">Remoción de derrumbes </v>
          </cell>
          <cell r="F34" t="str">
            <v>M3</v>
          </cell>
          <cell r="G34">
            <v>0</v>
          </cell>
          <cell r="H34">
            <v>5407</v>
          </cell>
          <cell r="K34">
            <v>2</v>
          </cell>
          <cell r="L34" t="str">
            <v>EXPLANACIONES</v>
          </cell>
          <cell r="M34" t="str">
            <v>Remoción de derrumbes</v>
          </cell>
        </row>
        <row r="35">
          <cell r="A35" t="str">
            <v>220.1</v>
          </cell>
          <cell r="B35" t="str">
            <v>220-07</v>
          </cell>
          <cell r="C35" t="str">
            <v>3.6.2.3.2</v>
          </cell>
          <cell r="D35" t="str">
            <v>3.6.2.3.1</v>
          </cell>
          <cell r="E35" t="str">
            <v xml:space="preserve">Terraplenes </v>
          </cell>
          <cell r="F35" t="str">
            <v>M3</v>
          </cell>
          <cell r="G35">
            <v>0</v>
          </cell>
          <cell r="H35">
            <v>9531</v>
          </cell>
          <cell r="K35">
            <v>2</v>
          </cell>
          <cell r="L35" t="str">
            <v>EXPLANACIONES</v>
          </cell>
          <cell r="M35" t="str">
            <v>Terraplenes</v>
          </cell>
        </row>
        <row r="36">
          <cell r="A36" t="str">
            <v>221.1</v>
          </cell>
          <cell r="B36" t="str">
            <v>221-07</v>
          </cell>
          <cell r="C36" t="str">
            <v>3.6.2.4.2</v>
          </cell>
          <cell r="D36" t="str">
            <v>3.6.2.4.2</v>
          </cell>
          <cell r="E36" t="str">
            <v xml:space="preserve">Pedraplén compacto </v>
          </cell>
          <cell r="F36" t="str">
            <v>M3</v>
          </cell>
          <cell r="G36">
            <v>0</v>
          </cell>
          <cell r="H36">
            <v>14061</v>
          </cell>
          <cell r="K36">
            <v>2</v>
          </cell>
          <cell r="L36" t="str">
            <v>EXPLANACIONES</v>
          </cell>
          <cell r="M36" t="str">
            <v>Pedraplenes</v>
          </cell>
        </row>
        <row r="37">
          <cell r="A37" t="str">
            <v>221.2</v>
          </cell>
          <cell r="B37" t="str">
            <v>221-07</v>
          </cell>
          <cell r="C37">
            <v>0</v>
          </cell>
          <cell r="D37" t="str">
            <v>3.6.2.4.1</v>
          </cell>
          <cell r="E37" t="str">
            <v xml:space="preserve">Pedraplén suelto </v>
          </cell>
          <cell r="F37" t="str">
            <v>M3</v>
          </cell>
          <cell r="G37">
            <v>0</v>
          </cell>
          <cell r="H37">
            <v>5571</v>
          </cell>
          <cell r="K37">
            <v>2</v>
          </cell>
          <cell r="L37" t="str">
            <v>EXPLANACIONES</v>
          </cell>
          <cell r="M37" t="str">
            <v>Pedraplenes</v>
          </cell>
        </row>
        <row r="38">
          <cell r="A38" t="str">
            <v>230.1</v>
          </cell>
          <cell r="B38" t="str">
            <v>230-07</v>
          </cell>
          <cell r="C38">
            <v>0</v>
          </cell>
          <cell r="D38" t="str">
            <v>3.6.2.5.1</v>
          </cell>
          <cell r="E38" t="str">
            <v xml:space="preserve">Mejoramiento de la subrasante involucrando el suelo existente  </v>
          </cell>
          <cell r="F38" t="str">
            <v>M2</v>
          </cell>
          <cell r="G38">
            <v>0</v>
          </cell>
          <cell r="H38">
            <v>635</v>
          </cell>
          <cell r="K38">
            <v>2</v>
          </cell>
          <cell r="L38" t="str">
            <v>EXPLANACIONES</v>
          </cell>
          <cell r="M38" t="str">
            <v>Mejoramiento de la subrasante</v>
          </cell>
        </row>
        <row r="39">
          <cell r="A39" t="str">
            <v>230.2</v>
          </cell>
          <cell r="B39" t="str">
            <v>230-07</v>
          </cell>
          <cell r="C39">
            <v>0</v>
          </cell>
          <cell r="D39" t="str">
            <v>3.6.2.5.2</v>
          </cell>
          <cell r="E39" t="str">
            <v>Mejoramiento de la subrasante empleando únicamente material adicionado</v>
          </cell>
          <cell r="F39" t="str">
            <v>M3</v>
          </cell>
          <cell r="G39">
            <v>0</v>
          </cell>
          <cell r="H39">
            <v>0</v>
          </cell>
          <cell r="K39">
            <v>2</v>
          </cell>
          <cell r="L39" t="str">
            <v>EXPLANACIONES</v>
          </cell>
          <cell r="M39" t="str">
            <v>Mejoramiento de la subrasante</v>
          </cell>
        </row>
        <row r="40">
          <cell r="A40" t="str">
            <v>231.1</v>
          </cell>
          <cell r="B40" t="str">
            <v>231-07</v>
          </cell>
          <cell r="C40">
            <v>0</v>
          </cell>
          <cell r="D40" t="str">
            <v>3.6.8.2 </v>
          </cell>
          <cell r="E40" t="str">
            <v xml:space="preserve">Geotextil para separación de suelos de subrasante y capas granulares </v>
          </cell>
          <cell r="F40" t="str">
            <v>M2</v>
          </cell>
          <cell r="G40">
            <v>0</v>
          </cell>
          <cell r="H40">
            <v>7485</v>
          </cell>
          <cell r="K40">
            <v>2</v>
          </cell>
          <cell r="L40" t="str">
            <v>EXPLANACIONES</v>
          </cell>
          <cell r="M40" t="str">
            <v>Separación de suelos de subrasante y capas granulares con geotextiles</v>
          </cell>
        </row>
        <row r="41">
          <cell r="A41" t="str">
            <v>232.1</v>
          </cell>
          <cell r="B41" t="str">
            <v>232-07</v>
          </cell>
          <cell r="C41">
            <v>0</v>
          </cell>
          <cell r="D41" t="str">
            <v>3.6.8.2 </v>
          </cell>
          <cell r="E41" t="str">
            <v xml:space="preserve">Geotextil para estabilización de suelos de subrasante y capas granulares </v>
          </cell>
          <cell r="F41" t="str">
            <v>M2</v>
          </cell>
          <cell r="G41">
            <v>0</v>
          </cell>
          <cell r="H41">
            <v>7545</v>
          </cell>
          <cell r="K41">
            <v>2</v>
          </cell>
          <cell r="L41" t="str">
            <v>EXPLANACIONES</v>
          </cell>
          <cell r="M41" t="str">
            <v>Estabilización de suelos de subrasante y capas granulares con geotextiles</v>
          </cell>
        </row>
        <row r="42">
          <cell r="A42" t="str">
            <v>234.1</v>
          </cell>
          <cell r="B42" t="str">
            <v>234-07</v>
          </cell>
          <cell r="C42">
            <v>0</v>
          </cell>
          <cell r="D42" t="str">
            <v>3.6.8.2 </v>
          </cell>
          <cell r="E42" t="str">
            <v xml:space="preserve">Afinamiento de taludes </v>
          </cell>
          <cell r="F42" t="str">
            <v>M2</v>
          </cell>
          <cell r="G42">
            <v>0</v>
          </cell>
          <cell r="H42">
            <v>0</v>
          </cell>
          <cell r="K42">
            <v>2</v>
          </cell>
          <cell r="L42" t="str">
            <v>EXPLANACIONES</v>
          </cell>
          <cell r="M42" t="str">
            <v>Afinamiento de taludes</v>
          </cell>
        </row>
        <row r="43">
          <cell r="A43" t="str">
            <v>310.1</v>
          </cell>
          <cell r="B43" t="str">
            <v>310-07</v>
          </cell>
          <cell r="C43">
            <v>0</v>
          </cell>
          <cell r="D43" t="str">
            <v>3.6.3.1.1</v>
          </cell>
          <cell r="E43" t="str">
            <v xml:space="preserve">Conformación de la calzada existente </v>
          </cell>
          <cell r="F43" t="str">
            <v>M2</v>
          </cell>
          <cell r="G43">
            <v>0</v>
          </cell>
          <cell r="H43">
            <v>480</v>
          </cell>
          <cell r="K43">
            <v>3</v>
          </cell>
          <cell r="L43" t="str">
            <v>AFIRMADOS, SUBBASES Y BASES</v>
          </cell>
          <cell r="M43" t="str">
            <v>Conformación de la calzada existente</v>
          </cell>
        </row>
        <row r="44">
          <cell r="A44" t="str">
            <v>311.1</v>
          </cell>
          <cell r="B44" t="str">
            <v>311-07</v>
          </cell>
          <cell r="C44" t="str">
            <v>3.6.3.2.1.</v>
          </cell>
          <cell r="D44" t="str">
            <v>3.6.3.2.1</v>
          </cell>
          <cell r="E44" t="str">
            <v>Afirmado</v>
          </cell>
          <cell r="F44" t="str">
            <v>M3</v>
          </cell>
          <cell r="G44">
            <v>0</v>
          </cell>
          <cell r="H44">
            <v>70255</v>
          </cell>
          <cell r="K44">
            <v>3</v>
          </cell>
          <cell r="L44" t="str">
            <v>AFIRMADOS, SUBBASES Y BASES</v>
          </cell>
          <cell r="M44" t="str">
            <v>Afirmado</v>
          </cell>
        </row>
        <row r="45">
          <cell r="A45" t="str">
            <v>312.1</v>
          </cell>
          <cell r="B45" t="str">
            <v>312-07</v>
          </cell>
          <cell r="C45">
            <v>0</v>
          </cell>
          <cell r="D45" t="str">
            <v>3.6.3.2</v>
          </cell>
          <cell r="E45" t="str">
            <v xml:space="preserve">Tratamiento paliativo de polvo aplicado en forma sólida en hojuelas. </v>
          </cell>
          <cell r="F45" t="str">
            <v>Kg</v>
          </cell>
          <cell r="G45">
            <v>0</v>
          </cell>
          <cell r="H45">
            <v>0</v>
          </cell>
          <cell r="K45">
            <v>3</v>
          </cell>
          <cell r="L45" t="str">
            <v>AFIRMADOS, SUBBASES Y BASES</v>
          </cell>
          <cell r="M45" t="str">
            <v>Tratamiento paliativo del polvo en afirmados</v>
          </cell>
        </row>
        <row r="46">
          <cell r="A46" t="str">
            <v>312.2</v>
          </cell>
          <cell r="B46" t="str">
            <v>312-07</v>
          </cell>
          <cell r="C46">
            <v>0</v>
          </cell>
          <cell r="D46" t="str">
            <v>3.6.3.2</v>
          </cell>
          <cell r="E46" t="str">
            <v xml:space="preserve">Tratamiento paliativo de polvo aplicado en forma sólida en esferas. </v>
          </cell>
          <cell r="F46" t="str">
            <v>Kg</v>
          </cell>
          <cell r="G46">
            <v>0</v>
          </cell>
          <cell r="H46">
            <v>0</v>
          </cell>
          <cell r="K46">
            <v>3</v>
          </cell>
          <cell r="L46" t="str">
            <v>AFIRMADOS, SUBBASES Y BASES</v>
          </cell>
          <cell r="M46" t="str">
            <v>Tratamiento paliativo del polvo en afirmados</v>
          </cell>
        </row>
        <row r="47">
          <cell r="A47" t="str">
            <v>312.3</v>
          </cell>
          <cell r="B47" t="str">
            <v>312-07</v>
          </cell>
          <cell r="C47">
            <v>0</v>
          </cell>
          <cell r="D47" t="str">
            <v>3.6.3.2</v>
          </cell>
          <cell r="E47" t="str">
            <v xml:space="preserve">Tratamiento paliativo de polvo aplicado en forma líquida. </v>
          </cell>
          <cell r="F47" t="str">
            <v>L</v>
          </cell>
          <cell r="G47">
            <v>0</v>
          </cell>
          <cell r="H47">
            <v>0</v>
          </cell>
          <cell r="K47">
            <v>3</v>
          </cell>
          <cell r="L47" t="str">
            <v>AFIRMADOS, SUBBASES Y BASES</v>
          </cell>
          <cell r="M47" t="str">
            <v>Tratamiento paliativo del polvo en afirmados</v>
          </cell>
        </row>
        <row r="48">
          <cell r="A48" t="str">
            <v>312.4</v>
          </cell>
          <cell r="B48" t="str">
            <v>312-07</v>
          </cell>
          <cell r="C48">
            <v>0</v>
          </cell>
          <cell r="D48" t="str">
            <v>3.6.3.3</v>
          </cell>
          <cell r="E48" t="str">
            <v xml:space="preserve">Material granular de adición. </v>
          </cell>
          <cell r="F48" t="str">
            <v>M3</v>
          </cell>
          <cell r="G48">
            <v>0</v>
          </cell>
          <cell r="H48">
            <v>0</v>
          </cell>
          <cell r="K48">
            <v>3</v>
          </cell>
          <cell r="L48" t="str">
            <v>AFIRMADOS, SUBBASES Y BASES</v>
          </cell>
          <cell r="M48" t="str">
            <v>Tratamiento paliativo del polvo en afirmados</v>
          </cell>
        </row>
        <row r="49">
          <cell r="A49" t="str">
            <v>320.1</v>
          </cell>
          <cell r="B49" t="str">
            <v>320-07</v>
          </cell>
          <cell r="C49" t="str">
            <v>3.6.3.4.4</v>
          </cell>
          <cell r="D49" t="str">
            <v xml:space="preserve"> 3.6.3.4.2</v>
          </cell>
          <cell r="E49" t="str">
            <v xml:space="preserve">Subbase granular </v>
          </cell>
          <cell r="F49" t="str">
            <v>M3</v>
          </cell>
          <cell r="G49">
            <v>0</v>
          </cell>
          <cell r="H49">
            <v>124802</v>
          </cell>
          <cell r="K49">
            <v>3</v>
          </cell>
          <cell r="L49" t="str">
            <v>AFIRMADOS, SUBBASES Y BASES</v>
          </cell>
          <cell r="M49" t="str">
            <v>Subbase granular</v>
          </cell>
        </row>
        <row r="50">
          <cell r="A50" t="str">
            <v>320.2</v>
          </cell>
          <cell r="B50" t="str">
            <v>320-07</v>
          </cell>
          <cell r="C50">
            <v>0</v>
          </cell>
          <cell r="D50" t="str">
            <v>3.6.3.4.4</v>
          </cell>
          <cell r="E50" t="str">
            <v>Subbase granular para bacheo</v>
          </cell>
          <cell r="F50" t="str">
            <v>M3</v>
          </cell>
          <cell r="G50">
            <v>0</v>
          </cell>
          <cell r="H50">
            <v>140326</v>
          </cell>
          <cell r="K50">
            <v>3</v>
          </cell>
          <cell r="L50" t="str">
            <v>AFIRMADOS, SUBBASES Y BASES</v>
          </cell>
          <cell r="M50" t="str">
            <v>Subbase granular</v>
          </cell>
        </row>
        <row r="51">
          <cell r="A51" t="str">
            <v>330.1</v>
          </cell>
          <cell r="B51" t="str">
            <v>330-07</v>
          </cell>
          <cell r="C51">
            <v>0</v>
          </cell>
          <cell r="D51" t="str">
            <v>3.6.3.6.2</v>
          </cell>
          <cell r="E51" t="str">
            <v xml:space="preserve">Base granular </v>
          </cell>
          <cell r="F51" t="str">
            <v>M3</v>
          </cell>
          <cell r="G51">
            <v>0</v>
          </cell>
          <cell r="H51">
            <v>152653</v>
          </cell>
          <cell r="K51">
            <v>3</v>
          </cell>
          <cell r="L51" t="str">
            <v>AFIRMADOS, SUBBASES Y BASES</v>
          </cell>
          <cell r="M51" t="str">
            <v>Base granular</v>
          </cell>
        </row>
        <row r="52">
          <cell r="A52" t="str">
            <v>330.2</v>
          </cell>
          <cell r="B52" t="str">
            <v>330-07</v>
          </cell>
          <cell r="C52">
            <v>0</v>
          </cell>
          <cell r="D52" t="str">
            <v>3.6.3.6.3</v>
          </cell>
          <cell r="E52" t="str">
            <v xml:space="preserve">Base granular para bacheo </v>
          </cell>
          <cell r="F52" t="str">
            <v>M3</v>
          </cell>
          <cell r="G52">
            <v>0</v>
          </cell>
          <cell r="H52">
            <v>156685</v>
          </cell>
          <cell r="K52">
            <v>3</v>
          </cell>
          <cell r="L52" t="str">
            <v>AFIRMADOS, SUBBASES Y BASES</v>
          </cell>
          <cell r="M52" t="str">
            <v>Base granular</v>
          </cell>
        </row>
        <row r="53">
          <cell r="A53" t="str">
            <v>330.1P</v>
          </cell>
          <cell r="B53" t="str">
            <v>330-07P</v>
          </cell>
          <cell r="C53">
            <v>0</v>
          </cell>
          <cell r="D53" t="e">
            <v>#N/A</v>
          </cell>
          <cell r="E53" t="str">
            <v>Base granular reciclada</v>
          </cell>
          <cell r="F53" t="str">
            <v>M3</v>
          </cell>
          <cell r="G53">
            <v>0</v>
          </cell>
          <cell r="H53">
            <v>112399</v>
          </cell>
          <cell r="K53">
            <v>3</v>
          </cell>
          <cell r="L53" t="str">
            <v>AFIRMADOS, SUBBASES Y BASES</v>
          </cell>
          <cell r="M53" t="str">
            <v>Base granular</v>
          </cell>
        </row>
        <row r="54">
          <cell r="A54" t="str">
            <v>340.1</v>
          </cell>
          <cell r="B54" t="str">
            <v>340-07</v>
          </cell>
          <cell r="C54">
            <v>0</v>
          </cell>
          <cell r="D54" t="str">
            <v>3.6.3.7.1</v>
          </cell>
          <cell r="E54" t="str">
            <v xml:space="preserve">Base estabilizada con emulsión asfáltica tipo BEE-1 </v>
          </cell>
          <cell r="F54" t="str">
            <v>M3</v>
          </cell>
          <cell r="G54">
            <v>0</v>
          </cell>
          <cell r="H54">
            <v>0</v>
          </cell>
          <cell r="K54">
            <v>3</v>
          </cell>
          <cell r="L54" t="str">
            <v>AFIRMADOS, SUBBASES Y BASES</v>
          </cell>
          <cell r="M54" t="str">
            <v>Base estabilizada con emulsión asfáltica</v>
          </cell>
        </row>
        <row r="55">
          <cell r="A55" t="str">
            <v>340.2</v>
          </cell>
          <cell r="B55" t="str">
            <v>340-07</v>
          </cell>
          <cell r="C55">
            <v>0</v>
          </cell>
          <cell r="D55" t="str">
            <v>3.6.3.7.3</v>
          </cell>
          <cell r="E55" t="str">
            <v xml:space="preserve">Base estabilizada con emulsión asfáltica tipo BEE-2 </v>
          </cell>
          <cell r="F55" t="str">
            <v>M3</v>
          </cell>
          <cell r="G55">
            <v>0</v>
          </cell>
          <cell r="H55">
            <v>0</v>
          </cell>
          <cell r="K55">
            <v>3</v>
          </cell>
          <cell r="L55" t="str">
            <v>AFIRMADOS, SUBBASES Y BASES</v>
          </cell>
          <cell r="M55" t="str">
            <v>Base estabilizada con emulsión asfáltica</v>
          </cell>
        </row>
        <row r="56">
          <cell r="A56" t="str">
            <v>340.3</v>
          </cell>
          <cell r="B56" t="str">
            <v>340-07</v>
          </cell>
          <cell r="C56">
            <v>0</v>
          </cell>
          <cell r="D56" t="str">
            <v>3.6.3.7.5</v>
          </cell>
          <cell r="E56" t="str">
            <v>Base estabilizada con emulsión asfáltica tipo BEE-3</v>
          </cell>
          <cell r="F56" t="str">
            <v>M3</v>
          </cell>
          <cell r="G56">
            <v>0</v>
          </cell>
          <cell r="H56">
            <v>0</v>
          </cell>
          <cell r="K56">
            <v>3</v>
          </cell>
          <cell r="L56" t="str">
            <v>AFIRMADOS, SUBBASES Y BASES</v>
          </cell>
          <cell r="M56" t="str">
            <v>Base estabilizada con emulsión asfáltica</v>
          </cell>
        </row>
        <row r="57">
          <cell r="A57" t="str">
            <v>341.1</v>
          </cell>
          <cell r="B57" t="str">
            <v>341-07</v>
          </cell>
          <cell r="C57">
            <v>0</v>
          </cell>
          <cell r="D57" t="str">
            <v>3.6.3.7</v>
          </cell>
          <cell r="E57" t="str">
            <v xml:space="preserve">Base estabilizada con cemento Portland </v>
          </cell>
          <cell r="F57" t="str">
            <v>M3</v>
          </cell>
          <cell r="G57">
            <v>0</v>
          </cell>
          <cell r="H57">
            <v>0</v>
          </cell>
          <cell r="K57">
            <v>3</v>
          </cell>
          <cell r="L57" t="str">
            <v>AFIRMADOS, SUBBASES Y BASES</v>
          </cell>
          <cell r="M57" t="str">
            <v>Base estabilizada con cemento</v>
          </cell>
        </row>
        <row r="58">
          <cell r="A58" t="str">
            <v>341.2</v>
          </cell>
          <cell r="B58" t="str">
            <v>341-07</v>
          </cell>
          <cell r="C58">
            <v>0</v>
          </cell>
          <cell r="D58" t="str">
            <v>3.6.4.1.8</v>
          </cell>
          <cell r="E58" t="str">
            <v>Cemento Portland</v>
          </cell>
          <cell r="F58" t="str">
            <v>Kg</v>
          </cell>
          <cell r="G58">
            <v>0</v>
          </cell>
          <cell r="H58">
            <v>0</v>
          </cell>
          <cell r="K58">
            <v>3</v>
          </cell>
          <cell r="L58" t="str">
            <v>AFIRMADOS, SUBBASES Y BASES</v>
          </cell>
          <cell r="M58" t="str">
            <v>Base estabilizada con cemento</v>
          </cell>
        </row>
        <row r="59">
          <cell r="A59" t="str">
            <v>342.1</v>
          </cell>
          <cell r="B59" t="str">
            <v>342-07</v>
          </cell>
          <cell r="C59">
            <v>0</v>
          </cell>
          <cell r="D59" t="str">
            <v>3.6.4.1</v>
          </cell>
          <cell r="E59" t="str">
            <v xml:space="preserve">Base de concreto hidráulico </v>
          </cell>
          <cell r="F59" t="str">
            <v>M3</v>
          </cell>
          <cell r="G59">
            <v>0</v>
          </cell>
          <cell r="H59">
            <v>0</v>
          </cell>
          <cell r="K59">
            <v>3</v>
          </cell>
          <cell r="L59" t="str">
            <v>AFIRMADOS, SUBBASES Y BASES</v>
          </cell>
          <cell r="M59" t="str">
            <v>Base de concreto hidráulico</v>
          </cell>
        </row>
        <row r="60">
          <cell r="A60" t="str">
            <v>410.1</v>
          </cell>
          <cell r="B60" t="str">
            <v>410-07</v>
          </cell>
          <cell r="C60">
            <v>0</v>
          </cell>
          <cell r="D60" t="str">
            <v>3.6.4.1.1</v>
          </cell>
          <cell r="E60" t="str">
            <v xml:space="preserve">Cemento asfáltico de penetración 60-70 </v>
          </cell>
          <cell r="F60" t="str">
            <v>Kg</v>
          </cell>
          <cell r="G60">
            <v>0</v>
          </cell>
          <cell r="H60">
            <v>1607</v>
          </cell>
          <cell r="K60">
            <v>4</v>
          </cell>
          <cell r="L60" t="str">
            <v>PAVIMENTOS ASFÁLTICOS</v>
          </cell>
          <cell r="M60" t="str">
            <v>Suministro de cemento asfáltico</v>
          </cell>
        </row>
        <row r="61">
          <cell r="A61" t="str">
            <v>410.2</v>
          </cell>
          <cell r="B61" t="str">
            <v>410-07</v>
          </cell>
          <cell r="C61">
            <v>0</v>
          </cell>
          <cell r="D61" t="str">
            <v>3.6.4.1.2</v>
          </cell>
          <cell r="E61" t="str">
            <v>Cemento asfáltico de penetración 80-100</v>
          </cell>
          <cell r="F61" t="str">
            <v>Kg</v>
          </cell>
          <cell r="G61">
            <v>0</v>
          </cell>
          <cell r="H61">
            <v>0</v>
          </cell>
          <cell r="K61">
            <v>4</v>
          </cell>
          <cell r="L61" t="str">
            <v>PAVIMENTOS ASFÁLTICOS</v>
          </cell>
          <cell r="M61" t="str">
            <v>Suministro de cemento asfáltico</v>
          </cell>
        </row>
        <row r="62">
          <cell r="A62" t="str">
            <v>411.1</v>
          </cell>
          <cell r="B62" t="str">
            <v>411-07</v>
          </cell>
          <cell r="C62">
            <v>0</v>
          </cell>
          <cell r="D62" t="str">
            <v>3.6.4.2.1</v>
          </cell>
          <cell r="E62" t="str">
            <v xml:space="preserve">Emulsión asfáltica de rotura media CRM </v>
          </cell>
          <cell r="F62" t="str">
            <v>L</v>
          </cell>
          <cell r="G62">
            <v>0</v>
          </cell>
          <cell r="H62">
            <v>0</v>
          </cell>
          <cell r="K62">
            <v>4</v>
          </cell>
          <cell r="L62" t="str">
            <v>PAVIMENTOS ASFÁLTICOS</v>
          </cell>
          <cell r="M62" t="str">
            <v>Suministro de emulsión asfáltica</v>
          </cell>
        </row>
        <row r="63">
          <cell r="A63" t="str">
            <v>411.2</v>
          </cell>
          <cell r="B63" t="str">
            <v>411-07</v>
          </cell>
          <cell r="C63">
            <v>0</v>
          </cell>
          <cell r="D63" t="str">
            <v>3.6.4.2.2</v>
          </cell>
          <cell r="E63" t="str">
            <v xml:space="preserve">Emulsión asfáltica de rotura lenta CRL-1 </v>
          </cell>
          <cell r="F63" t="str">
            <v>L</v>
          </cell>
          <cell r="G63">
            <v>0</v>
          </cell>
          <cell r="H63">
            <v>0</v>
          </cell>
          <cell r="K63">
            <v>4</v>
          </cell>
          <cell r="L63" t="str">
            <v>PAVIMENTOS ASFÁLTICOS</v>
          </cell>
          <cell r="M63" t="str">
            <v>Suministro de emulsión asfáltica</v>
          </cell>
        </row>
        <row r="64">
          <cell r="A64" t="str">
            <v>411.3</v>
          </cell>
          <cell r="B64" t="str">
            <v>411-07</v>
          </cell>
          <cell r="C64">
            <v>0</v>
          </cell>
          <cell r="D64" t="str">
            <v>3.6.4.2.3</v>
          </cell>
          <cell r="E64" t="str">
            <v xml:space="preserve">Emulsión asfáltica de rotura lenta CRL-1h </v>
          </cell>
          <cell r="F64" t="str">
            <v>L</v>
          </cell>
          <cell r="G64">
            <v>0</v>
          </cell>
          <cell r="H64">
            <v>0</v>
          </cell>
          <cell r="K64">
            <v>4</v>
          </cell>
          <cell r="L64" t="str">
            <v>PAVIMENTOS ASFÁLTICOS</v>
          </cell>
          <cell r="M64" t="str">
            <v>Suministro de emulsión asfáltica</v>
          </cell>
        </row>
        <row r="65">
          <cell r="A65" t="str">
            <v>414.1</v>
          </cell>
          <cell r="B65" t="str">
            <v>414-07</v>
          </cell>
          <cell r="C65">
            <v>0</v>
          </cell>
          <cell r="D65" t="str">
            <v>3.6.4.1.3</v>
          </cell>
          <cell r="E65" t="str">
            <v xml:space="preserve">Cemento asfáltico modificado con polímeros tipo I </v>
          </cell>
          <cell r="F65" t="str">
            <v>Kg</v>
          </cell>
          <cell r="G65">
            <v>0</v>
          </cell>
          <cell r="H65">
            <v>0</v>
          </cell>
          <cell r="K65">
            <v>4</v>
          </cell>
          <cell r="L65" t="str">
            <v>PAVIMENTOS ASFÁLTICOS</v>
          </cell>
          <cell r="M65" t="str">
            <v>Suministro de cemento asfáltico modificado con polímeros</v>
          </cell>
        </row>
        <row r="66">
          <cell r="A66" t="str">
            <v>414.2</v>
          </cell>
          <cell r="B66" t="str">
            <v>414-07</v>
          </cell>
          <cell r="C66">
            <v>0</v>
          </cell>
          <cell r="D66" t="str">
            <v>3.6.4.1.4</v>
          </cell>
          <cell r="E66" t="str">
            <v xml:space="preserve">Cemento asfáltico modificado con polímeros tipo II </v>
          </cell>
          <cell r="F66" t="str">
            <v>Kg</v>
          </cell>
          <cell r="G66">
            <v>0</v>
          </cell>
          <cell r="H66">
            <v>0</v>
          </cell>
          <cell r="K66">
            <v>4</v>
          </cell>
          <cell r="L66" t="str">
            <v>PAVIMENTOS ASFÁLTICOS</v>
          </cell>
          <cell r="M66" t="str">
            <v>Suministro de cemento asfáltico modificado con polímeros</v>
          </cell>
        </row>
        <row r="67">
          <cell r="A67" t="str">
            <v>414.3</v>
          </cell>
          <cell r="B67" t="str">
            <v>414-07</v>
          </cell>
          <cell r="C67">
            <v>0</v>
          </cell>
          <cell r="D67" t="str">
            <v>3.6.4.1.5</v>
          </cell>
          <cell r="E67" t="str">
            <v xml:space="preserve">Cemento asfáltico modificado con polímeros tipo III </v>
          </cell>
          <cell r="F67" t="str">
            <v>Kg</v>
          </cell>
          <cell r="G67">
            <v>0</v>
          </cell>
          <cell r="H67">
            <v>0</v>
          </cell>
          <cell r="K67">
            <v>4</v>
          </cell>
          <cell r="L67" t="str">
            <v>PAVIMENTOS ASFÁLTICOS</v>
          </cell>
          <cell r="M67" t="str">
            <v>Suministro de cemento asfáltico modificado con polímeros</v>
          </cell>
        </row>
        <row r="68">
          <cell r="A68" t="str">
            <v>414.4</v>
          </cell>
          <cell r="B68" t="str">
            <v>414-07</v>
          </cell>
          <cell r="C68">
            <v>0</v>
          </cell>
          <cell r="D68" t="str">
            <v>3.6.4.1.6</v>
          </cell>
          <cell r="E68" t="str">
            <v xml:space="preserve">Cemento asfáltico modificado con polímeros tipo IV </v>
          </cell>
          <cell r="F68" t="str">
            <v>Kg</v>
          </cell>
          <cell r="G68">
            <v>0</v>
          </cell>
          <cell r="H68">
            <v>0</v>
          </cell>
          <cell r="K68">
            <v>4</v>
          </cell>
          <cell r="L68" t="str">
            <v>PAVIMENTOS ASFÁLTICOS</v>
          </cell>
          <cell r="M68" t="str">
            <v>Suministro de cemento asfáltico modificado con polímeros</v>
          </cell>
        </row>
        <row r="69">
          <cell r="A69" t="str">
            <v>414.5</v>
          </cell>
          <cell r="B69" t="str">
            <v>414-07</v>
          </cell>
          <cell r="C69">
            <v>0</v>
          </cell>
          <cell r="D69" t="str">
            <v>3.6.4.1</v>
          </cell>
          <cell r="E69" t="str">
            <v xml:space="preserve">Cemento asfáltico modificado con polímeros tipo V </v>
          </cell>
          <cell r="F69" t="str">
            <v>Kg</v>
          </cell>
          <cell r="G69">
            <v>0</v>
          </cell>
          <cell r="H69">
            <v>0</v>
          </cell>
          <cell r="K69">
            <v>4</v>
          </cell>
          <cell r="L69" t="str">
            <v>PAVIMENTOS ASFÁLTICOS</v>
          </cell>
          <cell r="M69" t="str">
            <v>Suministro de cemento asfáltico modificado con polímeros</v>
          </cell>
        </row>
        <row r="70">
          <cell r="A70" t="str">
            <v>415.1</v>
          </cell>
          <cell r="B70" t="str">
            <v>415-07</v>
          </cell>
          <cell r="C70">
            <v>0</v>
          </cell>
          <cell r="D70" t="str">
            <v>3.6.4.2.5</v>
          </cell>
          <cell r="E70" t="str">
            <v xml:space="preserve">Emulsión asfáltica de rotura media, modificada con polímeros, CRM-m </v>
          </cell>
          <cell r="F70" t="str">
            <v>L</v>
          </cell>
          <cell r="G70">
            <v>0</v>
          </cell>
          <cell r="H70">
            <v>0</v>
          </cell>
          <cell r="K70">
            <v>4</v>
          </cell>
          <cell r="L70" t="str">
            <v>PAVIMENTOS ASFÁLTICOS</v>
          </cell>
          <cell r="M70" t="str">
            <v>Suministro de emulsión asfáltica modificada con polímeros</v>
          </cell>
        </row>
        <row r="71">
          <cell r="A71" t="str">
            <v>420.1</v>
          </cell>
          <cell r="B71" t="str">
            <v>420-07</v>
          </cell>
          <cell r="C71">
            <v>0</v>
          </cell>
          <cell r="D71" t="str">
            <v xml:space="preserve">3.6.4.3.1 </v>
          </cell>
          <cell r="E71" t="str">
            <v xml:space="preserve">Riego de imprimación con emulsión asfáltica </v>
          </cell>
          <cell r="F71" t="str">
            <v>M2</v>
          </cell>
          <cell r="G71">
            <v>0</v>
          </cell>
          <cell r="H71">
            <v>1259</v>
          </cell>
          <cell r="K71">
            <v>4</v>
          </cell>
          <cell r="L71" t="str">
            <v>PAVIMENTOS ASFÁLTICOS</v>
          </cell>
          <cell r="M71" t="str">
            <v>Riego de imprimación</v>
          </cell>
        </row>
        <row r="72">
          <cell r="A72" t="str">
            <v>420.2</v>
          </cell>
          <cell r="B72" t="str">
            <v>420-07</v>
          </cell>
          <cell r="C72">
            <v>0</v>
          </cell>
          <cell r="D72" t="str">
            <v>3.6.4.3.2</v>
          </cell>
          <cell r="E72" t="str">
            <v xml:space="preserve">Riego de imprimación con asfalto líquido </v>
          </cell>
          <cell r="F72" t="str">
            <v>M2</v>
          </cell>
          <cell r="G72">
            <v>0</v>
          </cell>
          <cell r="H72">
            <v>4387</v>
          </cell>
          <cell r="K72">
            <v>4</v>
          </cell>
          <cell r="L72" t="str">
            <v>PAVIMENTOS ASFÁLTICOS</v>
          </cell>
          <cell r="M72" t="str">
            <v>Riego de imprimación</v>
          </cell>
        </row>
        <row r="73">
          <cell r="A73" t="str">
            <v>421.1</v>
          </cell>
          <cell r="B73" t="str">
            <v>421-07</v>
          </cell>
          <cell r="C73">
            <v>0</v>
          </cell>
          <cell r="D73" t="str">
            <v>3.6.4.4.2</v>
          </cell>
          <cell r="E73" t="str">
            <v xml:space="preserve">Riego de liga con emulsión asfáltica CRR-1 </v>
          </cell>
          <cell r="F73" t="str">
            <v>M2</v>
          </cell>
          <cell r="G73">
            <v>0</v>
          </cell>
          <cell r="H73">
            <v>993</v>
          </cell>
          <cell r="K73">
            <v>4</v>
          </cell>
          <cell r="L73" t="str">
            <v>PAVIMENTOS ASFÁLTICOS</v>
          </cell>
          <cell r="M73" t="str">
            <v>Riego de liga</v>
          </cell>
        </row>
        <row r="74">
          <cell r="A74" t="str">
            <v>421.2</v>
          </cell>
          <cell r="B74" t="str">
            <v>421-07</v>
          </cell>
          <cell r="C74">
            <v>0</v>
          </cell>
          <cell r="D74" t="str">
            <v>3.6.4.4.3</v>
          </cell>
          <cell r="E74" t="str">
            <v xml:space="preserve">Riego de liga con emulsión asfáltica CRR-2 </v>
          </cell>
          <cell r="F74" t="str">
            <v>M2</v>
          </cell>
          <cell r="G74">
            <v>0</v>
          </cell>
          <cell r="H74">
            <v>917</v>
          </cell>
          <cell r="K74">
            <v>4</v>
          </cell>
          <cell r="L74" t="str">
            <v>PAVIMENTOS ASFÁLTICOS</v>
          </cell>
          <cell r="M74" t="str">
            <v>Riego de liga</v>
          </cell>
        </row>
        <row r="75">
          <cell r="A75" t="str">
            <v>421.3</v>
          </cell>
          <cell r="B75" t="str">
            <v>421-07</v>
          </cell>
          <cell r="C75">
            <v>0</v>
          </cell>
          <cell r="D75" t="str">
            <v>3.6.4.4.4</v>
          </cell>
          <cell r="E75" t="str">
            <v xml:space="preserve">Riego de liga con emulsión modificada con polímeros CRR-1m </v>
          </cell>
          <cell r="F75" t="str">
            <v>M2</v>
          </cell>
          <cell r="G75">
            <v>0</v>
          </cell>
          <cell r="H75">
            <v>1551</v>
          </cell>
          <cell r="K75">
            <v>4</v>
          </cell>
          <cell r="L75" t="str">
            <v>PAVIMENTOS ASFÁLTICOS</v>
          </cell>
          <cell r="M75" t="str">
            <v>Riego de liga</v>
          </cell>
        </row>
        <row r="76">
          <cell r="A76" t="str">
            <v>421.4</v>
          </cell>
          <cell r="B76" t="str">
            <v>421-07</v>
          </cell>
          <cell r="C76">
            <v>0</v>
          </cell>
          <cell r="D76" t="str">
            <v>3.6.4.4.5</v>
          </cell>
          <cell r="E76" t="str">
            <v xml:space="preserve">Riego de liga con emulsión modificada con polímeros CRR-2m </v>
          </cell>
          <cell r="F76" t="str">
            <v>M2</v>
          </cell>
          <cell r="G76">
            <v>0</v>
          </cell>
          <cell r="H76">
            <v>1604</v>
          </cell>
          <cell r="K76">
            <v>4</v>
          </cell>
          <cell r="L76" t="str">
            <v>PAVIMENTOS ASFÁLTICOS</v>
          </cell>
          <cell r="M76" t="str">
            <v>Riego de liga</v>
          </cell>
        </row>
        <row r="77">
          <cell r="A77" t="str">
            <v>430.1</v>
          </cell>
          <cell r="B77" t="str">
            <v>430-07</v>
          </cell>
          <cell r="C77">
            <v>0</v>
          </cell>
          <cell r="D77" t="str">
            <v>3.6.4.5.1</v>
          </cell>
          <cell r="E77" t="str">
            <v xml:space="preserve">Tratamiento superficial simple con emulsión CRR-2 </v>
          </cell>
          <cell r="F77" t="str">
            <v>M2</v>
          </cell>
          <cell r="G77">
            <v>0</v>
          </cell>
          <cell r="H77">
            <v>0</v>
          </cell>
          <cell r="K77">
            <v>4</v>
          </cell>
          <cell r="L77" t="str">
            <v>PAVIMENTOS ASFÁLTICOS</v>
          </cell>
          <cell r="M77" t="str">
            <v>Tratamiento superficial simple</v>
          </cell>
        </row>
        <row r="78">
          <cell r="A78" t="str">
            <v>430.2</v>
          </cell>
          <cell r="B78" t="str">
            <v>430-07</v>
          </cell>
          <cell r="C78">
            <v>0</v>
          </cell>
          <cell r="D78" t="str">
            <v>3.6.4.5.2</v>
          </cell>
          <cell r="E78" t="str">
            <v xml:space="preserve">Tratamiento superficial simple con emulsión CRR-2 m </v>
          </cell>
          <cell r="F78" t="str">
            <v>M2</v>
          </cell>
          <cell r="G78">
            <v>0</v>
          </cell>
          <cell r="H78">
            <v>0</v>
          </cell>
          <cell r="K78">
            <v>4</v>
          </cell>
          <cell r="L78" t="str">
            <v>PAVIMENTOS ASFÁLTICOS</v>
          </cell>
          <cell r="M78" t="str">
            <v>Tratamiento superficial simple</v>
          </cell>
        </row>
        <row r="79">
          <cell r="A79" t="str">
            <v>431.1</v>
          </cell>
          <cell r="B79" t="str">
            <v>431-07</v>
          </cell>
          <cell r="C79">
            <v>0</v>
          </cell>
          <cell r="D79" t="str">
            <v>3.6.4.6.1</v>
          </cell>
          <cell r="E79" t="str">
            <v xml:space="preserve">Tratamiento superficial doble con emulsión CRR-2 </v>
          </cell>
          <cell r="F79" t="str">
            <v>M2</v>
          </cell>
          <cell r="G79">
            <v>0</v>
          </cell>
          <cell r="H79">
            <v>0</v>
          </cell>
          <cell r="K79">
            <v>4</v>
          </cell>
          <cell r="L79" t="str">
            <v>PAVIMENTOS ASFÁLTICOS</v>
          </cell>
          <cell r="M79" t="str">
            <v>Tratamiento superficial doble</v>
          </cell>
        </row>
        <row r="80">
          <cell r="A80" t="str">
            <v>431.2</v>
          </cell>
          <cell r="B80" t="str">
            <v>431-07</v>
          </cell>
          <cell r="C80">
            <v>0</v>
          </cell>
          <cell r="D80" t="str">
            <v>3.6.4.6.2</v>
          </cell>
          <cell r="E80" t="str">
            <v xml:space="preserve">Tratamiento superficial doble con emulsión CRR-2 m </v>
          </cell>
          <cell r="F80" t="str">
            <v>M2</v>
          </cell>
          <cell r="G80">
            <v>0</v>
          </cell>
          <cell r="H80">
            <v>0</v>
          </cell>
          <cell r="K80">
            <v>4</v>
          </cell>
          <cell r="L80" t="str">
            <v>PAVIMENTOS ASFÁLTICOS</v>
          </cell>
          <cell r="M80" t="str">
            <v>Tratamiento superficial doble</v>
          </cell>
        </row>
        <row r="81">
          <cell r="A81" t="str">
            <v>432.1</v>
          </cell>
          <cell r="B81" t="str">
            <v>432-07</v>
          </cell>
          <cell r="C81">
            <v>0</v>
          </cell>
          <cell r="D81" t="str">
            <v>3.6.4.7.1</v>
          </cell>
          <cell r="E81" t="str">
            <v xml:space="preserve">Sello de arena-asfalto con emulsión CRR-2 </v>
          </cell>
          <cell r="F81" t="str">
            <v>M2</v>
          </cell>
          <cell r="G81">
            <v>0</v>
          </cell>
          <cell r="H81">
            <v>0</v>
          </cell>
          <cell r="K81">
            <v>4</v>
          </cell>
          <cell r="L81" t="str">
            <v>PAVIMENTOS ASFÁLTICOS</v>
          </cell>
          <cell r="M81" t="str">
            <v>Sello de arena-asfalto</v>
          </cell>
        </row>
        <row r="82">
          <cell r="A82" t="str">
            <v>432.2</v>
          </cell>
          <cell r="B82" t="str">
            <v>432-07</v>
          </cell>
          <cell r="C82">
            <v>0</v>
          </cell>
          <cell r="D82" t="str">
            <v>3.6.4.7.1</v>
          </cell>
          <cell r="E82" t="str">
            <v xml:space="preserve">Sello de arena-asfalto con emulsión CRR-2m </v>
          </cell>
          <cell r="F82" t="str">
            <v>M2</v>
          </cell>
          <cell r="G82">
            <v>0</v>
          </cell>
          <cell r="H82">
            <v>0</v>
          </cell>
          <cell r="K82">
            <v>4</v>
          </cell>
          <cell r="L82" t="str">
            <v>PAVIMENTOS ASFÁLTICOS</v>
          </cell>
          <cell r="M82" t="str">
            <v>Sello de arena-asfalto</v>
          </cell>
        </row>
        <row r="83">
          <cell r="A83" t="str">
            <v>433.1</v>
          </cell>
          <cell r="B83" t="str">
            <v>433-07</v>
          </cell>
          <cell r="C83">
            <v>0</v>
          </cell>
          <cell r="D83" t="str">
            <v>3.6.4.8.1</v>
          </cell>
          <cell r="E83" t="str">
            <v xml:space="preserve">Lechada asfáltica con emulsión CRL-1h, tipo LA-1 </v>
          </cell>
          <cell r="F83" t="str">
            <v>M2</v>
          </cell>
          <cell r="G83">
            <v>0</v>
          </cell>
          <cell r="H83">
            <v>0</v>
          </cell>
          <cell r="K83">
            <v>4</v>
          </cell>
          <cell r="L83" t="str">
            <v>PAVIMENTOS ASFÁLTICOS</v>
          </cell>
          <cell r="M83" t="str">
            <v>Lechada asfáltica</v>
          </cell>
        </row>
        <row r="84">
          <cell r="A84" t="str">
            <v>433.2</v>
          </cell>
          <cell r="B84" t="str">
            <v>433-07</v>
          </cell>
          <cell r="C84">
            <v>0</v>
          </cell>
          <cell r="D84" t="str">
            <v>3.6.4.8.2</v>
          </cell>
          <cell r="E84" t="str">
            <v>Lechada asfáltica con emulsión CRL-1h, tipo LA-2</v>
          </cell>
          <cell r="F84" t="str">
            <v>M2</v>
          </cell>
          <cell r="G84">
            <v>0</v>
          </cell>
          <cell r="H84">
            <v>0</v>
          </cell>
          <cell r="K84">
            <v>4</v>
          </cell>
          <cell r="L84" t="str">
            <v>PAVIMENTOS ASFÁLTICOS</v>
          </cell>
          <cell r="M84" t="str">
            <v>Lechada asfáltica</v>
          </cell>
        </row>
        <row r="85">
          <cell r="A85" t="str">
            <v>433.3</v>
          </cell>
          <cell r="B85" t="str">
            <v>433-07</v>
          </cell>
          <cell r="C85">
            <v>0</v>
          </cell>
          <cell r="D85" t="str">
            <v>3.6.4.8.3</v>
          </cell>
          <cell r="E85" t="str">
            <v>Lechada asfáltica con emulsión CRL-1h, tipo LA-3</v>
          </cell>
          <cell r="F85" t="str">
            <v>M2</v>
          </cell>
          <cell r="G85">
            <v>0</v>
          </cell>
          <cell r="H85">
            <v>0</v>
          </cell>
          <cell r="K85">
            <v>4</v>
          </cell>
          <cell r="L85" t="str">
            <v>PAVIMENTOS ASFÁLTICOS</v>
          </cell>
          <cell r="M85" t="str">
            <v>Lechada asfáltica</v>
          </cell>
        </row>
        <row r="86">
          <cell r="A86" t="str">
            <v>433.4</v>
          </cell>
          <cell r="B86" t="str">
            <v>433-07</v>
          </cell>
          <cell r="C86">
            <v>0</v>
          </cell>
          <cell r="D86" t="str">
            <v>3.6.4.8.4</v>
          </cell>
          <cell r="E86" t="str">
            <v xml:space="preserve">Lechada asfáltica con emulsión CRL-1h, tipo LA-4 </v>
          </cell>
          <cell r="F86" t="str">
            <v>M2</v>
          </cell>
          <cell r="G86">
            <v>0</v>
          </cell>
          <cell r="H86">
            <v>0</v>
          </cell>
          <cell r="K86">
            <v>4</v>
          </cell>
          <cell r="L86" t="str">
            <v>PAVIMENTOS ASFÁLTICOS</v>
          </cell>
          <cell r="M86" t="str">
            <v>Lechada asfáltica</v>
          </cell>
        </row>
        <row r="87">
          <cell r="A87" t="str">
            <v>433.5</v>
          </cell>
          <cell r="B87" t="str">
            <v>433-07</v>
          </cell>
          <cell r="C87">
            <v>0</v>
          </cell>
          <cell r="D87" t="str">
            <v>3.6.4.8.5</v>
          </cell>
          <cell r="E87" t="str">
            <v xml:space="preserve">Lechada asfáltica con emulsión CRL-1hm ,tipo LA-1 </v>
          </cell>
          <cell r="F87" t="str">
            <v>M2</v>
          </cell>
          <cell r="G87">
            <v>0</v>
          </cell>
          <cell r="H87">
            <v>0</v>
          </cell>
          <cell r="K87">
            <v>4</v>
          </cell>
          <cell r="L87" t="str">
            <v>PAVIMENTOS ASFÁLTICOS</v>
          </cell>
          <cell r="M87" t="str">
            <v>Lechada asfáltica</v>
          </cell>
        </row>
        <row r="88">
          <cell r="A88" t="str">
            <v>433.6</v>
          </cell>
          <cell r="B88" t="str">
            <v>433-07</v>
          </cell>
          <cell r="C88">
            <v>0</v>
          </cell>
          <cell r="D88" t="str">
            <v>3.6.4.8.6</v>
          </cell>
          <cell r="E88" t="str">
            <v xml:space="preserve">Lechada asfáltica con emulsión CRL-1hm ,tipo LA-2 </v>
          </cell>
          <cell r="F88" t="str">
            <v>M2</v>
          </cell>
          <cell r="G88">
            <v>0</v>
          </cell>
          <cell r="H88">
            <v>0</v>
          </cell>
          <cell r="K88">
            <v>4</v>
          </cell>
          <cell r="L88" t="str">
            <v>PAVIMENTOS ASFÁLTICOS</v>
          </cell>
          <cell r="M88" t="str">
            <v>Lechada asfáltica</v>
          </cell>
        </row>
        <row r="89">
          <cell r="A89" t="str">
            <v>433.7</v>
          </cell>
          <cell r="B89" t="str">
            <v>433-07</v>
          </cell>
          <cell r="C89">
            <v>0</v>
          </cell>
          <cell r="D89" t="str">
            <v>3.6.4.8.7</v>
          </cell>
          <cell r="E89" t="str">
            <v xml:space="preserve">Lechada asfáltica con emulsión CRL-1hm ,tipo LA-3 </v>
          </cell>
          <cell r="F89" t="str">
            <v>M2</v>
          </cell>
          <cell r="G89">
            <v>0</v>
          </cell>
          <cell r="H89">
            <v>0</v>
          </cell>
          <cell r="K89">
            <v>4</v>
          </cell>
          <cell r="L89" t="str">
            <v>PAVIMENTOS ASFÁLTICOS</v>
          </cell>
          <cell r="M89" t="str">
            <v>Lechada asfáltica</v>
          </cell>
        </row>
        <row r="90">
          <cell r="A90" t="str">
            <v>433.8</v>
          </cell>
          <cell r="B90" t="str">
            <v>433-07</v>
          </cell>
          <cell r="C90">
            <v>0</v>
          </cell>
          <cell r="D90" t="str">
            <v>3.6.4.8.8</v>
          </cell>
          <cell r="E90" t="str">
            <v xml:space="preserve">Lechada asfáltica con emulsión CRL-1hm ,tipo LA-4 </v>
          </cell>
          <cell r="F90" t="str">
            <v>M2</v>
          </cell>
          <cell r="G90">
            <v>0</v>
          </cell>
          <cell r="H90">
            <v>0</v>
          </cell>
          <cell r="K90">
            <v>4</v>
          </cell>
          <cell r="L90" t="str">
            <v>PAVIMENTOS ASFÁLTICOS</v>
          </cell>
          <cell r="M90" t="str">
            <v>Lechada asfáltica</v>
          </cell>
        </row>
        <row r="91">
          <cell r="A91" t="str">
            <v>440.1</v>
          </cell>
          <cell r="B91" t="str">
            <v>440-07</v>
          </cell>
          <cell r="C91">
            <v>0</v>
          </cell>
          <cell r="D91" t="str">
            <v>3.6.4.9.1</v>
          </cell>
          <cell r="E91" t="str">
            <v xml:space="preserve">Mezcla densa en frío tipo MDF-1 </v>
          </cell>
          <cell r="F91" t="str">
            <v>M3</v>
          </cell>
          <cell r="G91">
            <v>0</v>
          </cell>
          <cell r="H91">
            <v>0</v>
          </cell>
          <cell r="K91">
            <v>4</v>
          </cell>
          <cell r="L91" t="str">
            <v>PAVIMENTOS ASFÁLTICOS</v>
          </cell>
          <cell r="M91" t="str">
            <v>Mezcla densa en frío</v>
          </cell>
        </row>
        <row r="92">
          <cell r="A92" t="str">
            <v>440.2</v>
          </cell>
          <cell r="B92" t="str">
            <v>440-07</v>
          </cell>
          <cell r="C92">
            <v>0</v>
          </cell>
          <cell r="D92" t="str">
            <v>3.6.4.9.2</v>
          </cell>
          <cell r="E92" t="str">
            <v xml:space="preserve">Mezcla densa en frío tipo MDF-2 </v>
          </cell>
          <cell r="F92" t="str">
            <v>M3</v>
          </cell>
          <cell r="G92">
            <v>0</v>
          </cell>
          <cell r="H92">
            <v>0</v>
          </cell>
          <cell r="K92">
            <v>4</v>
          </cell>
          <cell r="L92" t="str">
            <v>PAVIMENTOS ASFÁLTICOS</v>
          </cell>
          <cell r="M92" t="str">
            <v>Mezcla densa en frío</v>
          </cell>
        </row>
        <row r="93">
          <cell r="A93" t="str">
            <v>440.3</v>
          </cell>
          <cell r="B93" t="str">
            <v>440-07</v>
          </cell>
          <cell r="C93">
            <v>0</v>
          </cell>
          <cell r="D93" t="str">
            <v>3.6.4.9.3</v>
          </cell>
          <cell r="E93" t="str">
            <v xml:space="preserve">Mezcla densa en frío tipo MDF-3 </v>
          </cell>
          <cell r="F93" t="str">
            <v>M3</v>
          </cell>
          <cell r="G93">
            <v>0</v>
          </cell>
          <cell r="H93">
            <v>0</v>
          </cell>
          <cell r="K93">
            <v>4</v>
          </cell>
          <cell r="L93" t="str">
            <v>PAVIMENTOS ASFÁLTICOS</v>
          </cell>
          <cell r="M93" t="str">
            <v>Mezcla densa en frío</v>
          </cell>
        </row>
        <row r="94">
          <cell r="A94" t="str">
            <v>440.4</v>
          </cell>
          <cell r="B94" t="str">
            <v>440-07</v>
          </cell>
          <cell r="C94">
            <v>0</v>
          </cell>
          <cell r="D94" t="str">
            <v>3.6.4.9.4</v>
          </cell>
          <cell r="E94" t="str">
            <v xml:space="preserve">Mezcla densa en frío para bacheo </v>
          </cell>
          <cell r="F94" t="str">
            <v>M3</v>
          </cell>
          <cell r="G94">
            <v>0</v>
          </cell>
          <cell r="H94">
            <v>0</v>
          </cell>
          <cell r="K94">
            <v>4</v>
          </cell>
          <cell r="L94" t="str">
            <v>PAVIMENTOS ASFÁLTICOS</v>
          </cell>
          <cell r="M94" t="str">
            <v>Mezcla densa en frío</v>
          </cell>
        </row>
        <row r="95">
          <cell r="A95" t="str">
            <v>441.1</v>
          </cell>
          <cell r="B95" t="str">
            <v>441-07</v>
          </cell>
          <cell r="C95">
            <v>0</v>
          </cell>
          <cell r="D95" t="str">
            <v>3.6.4.10.1</v>
          </cell>
          <cell r="E95" t="str">
            <v xml:space="preserve">Mezcla abierta en frío tipo MAF-1 </v>
          </cell>
          <cell r="F95" t="str">
            <v>M3</v>
          </cell>
          <cell r="G95">
            <v>0</v>
          </cell>
          <cell r="H95">
            <v>0</v>
          </cell>
          <cell r="K95">
            <v>4</v>
          </cell>
          <cell r="L95" t="str">
            <v>PAVIMENTOS ASFÁLTICOS</v>
          </cell>
          <cell r="M95" t="str">
            <v>Mezcla abierta en frío</v>
          </cell>
        </row>
        <row r="96">
          <cell r="A96" t="str">
            <v>441.2</v>
          </cell>
          <cell r="B96" t="str">
            <v>441-07</v>
          </cell>
          <cell r="C96">
            <v>0</v>
          </cell>
          <cell r="D96" t="str">
            <v>3.6.4.10.2</v>
          </cell>
          <cell r="E96" t="str">
            <v xml:space="preserve">Mezcla abierta en frío tipo MAF-2 </v>
          </cell>
          <cell r="F96" t="str">
            <v>M3</v>
          </cell>
          <cell r="G96">
            <v>0</v>
          </cell>
          <cell r="H96">
            <v>0</v>
          </cell>
          <cell r="K96">
            <v>4</v>
          </cell>
          <cell r="L96" t="str">
            <v>PAVIMENTOS ASFÁLTICOS</v>
          </cell>
          <cell r="M96" t="str">
            <v>Mezcla abierta en frío</v>
          </cell>
        </row>
        <row r="97">
          <cell r="A97" t="str">
            <v>441.3</v>
          </cell>
          <cell r="B97" t="str">
            <v>441-07</v>
          </cell>
          <cell r="C97">
            <v>0</v>
          </cell>
          <cell r="D97" t="str">
            <v>3.6.4.10.3</v>
          </cell>
          <cell r="E97" t="str">
            <v xml:space="preserve">Mezcla abierta en frío tipo MAF-3 </v>
          </cell>
          <cell r="F97" t="str">
            <v>M3</v>
          </cell>
          <cell r="G97">
            <v>0</v>
          </cell>
          <cell r="H97">
            <v>0</v>
          </cell>
          <cell r="K97">
            <v>4</v>
          </cell>
          <cell r="L97" t="str">
            <v>PAVIMENTOS ASFÁLTICOS</v>
          </cell>
          <cell r="M97" t="str">
            <v>Mezcla abierta en frío</v>
          </cell>
        </row>
        <row r="98">
          <cell r="A98" t="str">
            <v>441.4</v>
          </cell>
          <cell r="B98" t="str">
            <v>441-07</v>
          </cell>
          <cell r="C98">
            <v>0</v>
          </cell>
          <cell r="D98" t="str">
            <v>3.6.4.10.4</v>
          </cell>
          <cell r="E98" t="str">
            <v>Mezcla abierta en frío para bacheo</v>
          </cell>
          <cell r="F98" t="str">
            <v>M3</v>
          </cell>
          <cell r="G98">
            <v>0</v>
          </cell>
          <cell r="H98">
            <v>0</v>
          </cell>
          <cell r="K98">
            <v>4</v>
          </cell>
          <cell r="L98" t="str">
            <v>PAVIMENTOS ASFÁLTICOS</v>
          </cell>
          <cell r="M98" t="str">
            <v>Mezcla abierta en frío</v>
          </cell>
        </row>
        <row r="99">
          <cell r="A99" t="str">
            <v>450.1</v>
          </cell>
          <cell r="B99" t="str">
            <v>450-07</v>
          </cell>
          <cell r="C99">
            <v>0</v>
          </cell>
          <cell r="D99" t="str">
            <v>3.6.4.11.2</v>
          </cell>
          <cell r="E99" t="str">
            <v xml:space="preserve">Mezcla densa en caliente tipo MDC-1 </v>
          </cell>
          <cell r="F99" t="str">
            <v>M3</v>
          </cell>
          <cell r="G99">
            <v>0</v>
          </cell>
          <cell r="H99">
            <v>0</v>
          </cell>
          <cell r="K99">
            <v>4</v>
          </cell>
          <cell r="L99" t="str">
            <v>PAVIMENTOS ASFÁLTICOS</v>
          </cell>
          <cell r="M99" t="str">
            <v>Mezclas asfálticas en caliente (Concreto asfáltico y Mezcla de alto módulo)</v>
          </cell>
        </row>
        <row r="100">
          <cell r="A100" t="str">
            <v>450.2 (7401)</v>
          </cell>
          <cell r="B100" t="str">
            <v>450-07</v>
          </cell>
          <cell r="C100" t="str">
            <v>3.6.4.11.3</v>
          </cell>
          <cell r="D100" t="e">
            <v>#N/A</v>
          </cell>
          <cell r="E100" t="str">
            <v>Mezcla densa en caliente tipo MDC-2 (7403)</v>
          </cell>
          <cell r="F100" t="str">
            <v>M3</v>
          </cell>
          <cell r="G100">
            <v>1</v>
          </cell>
          <cell r="H100">
            <v>614388</v>
          </cell>
          <cell r="K100">
            <v>4</v>
          </cell>
          <cell r="L100" t="str">
            <v>PAVIMENTOS ASFÁLTICOS</v>
          </cell>
          <cell r="M100" t="str">
            <v>Mezclas asfálticas en caliente (Concreto asfáltico y Mezcla de alto módulo)</v>
          </cell>
        </row>
        <row r="101">
          <cell r="A101" t="str">
            <v>450.3</v>
          </cell>
          <cell r="B101" t="str">
            <v>450-07</v>
          </cell>
          <cell r="C101">
            <v>0</v>
          </cell>
          <cell r="D101" t="str">
            <v>3.6.4.11.4</v>
          </cell>
          <cell r="E101" t="str">
            <v xml:space="preserve">Mezcla densa en caliente tipo MDC-3 </v>
          </cell>
          <cell r="F101" t="str">
            <v>M3</v>
          </cell>
          <cell r="G101">
            <v>0</v>
          </cell>
          <cell r="H101">
            <v>0</v>
          </cell>
          <cell r="K101">
            <v>4</v>
          </cell>
          <cell r="L101" t="str">
            <v>PAVIMENTOS ASFÁLTICOS</v>
          </cell>
          <cell r="M101" t="str">
            <v>Mezclas asfálticas en caliente (Concreto asfáltico y Mezcla de alto módulo)</v>
          </cell>
        </row>
        <row r="102">
          <cell r="A102" t="str">
            <v>450.4</v>
          </cell>
          <cell r="B102" t="str">
            <v>450-07</v>
          </cell>
          <cell r="C102">
            <v>0</v>
          </cell>
          <cell r="D102" t="str">
            <v>3.6.4</v>
          </cell>
          <cell r="E102" t="str">
            <v xml:space="preserve">Mezcla semidensa en caliente tipo MSC-1 </v>
          </cell>
          <cell r="F102" t="str">
            <v>M3</v>
          </cell>
          <cell r="G102">
            <v>0</v>
          </cell>
          <cell r="H102">
            <v>0</v>
          </cell>
          <cell r="K102">
            <v>4</v>
          </cell>
          <cell r="L102" t="str">
            <v>PAVIMENTOS ASFÁLTICOS</v>
          </cell>
          <cell r="M102" t="str">
            <v>Mezclas asfálticas en caliente (Concreto asfáltico y Mezcla de alto módulo)</v>
          </cell>
        </row>
        <row r="103">
          <cell r="A103" t="str">
            <v>450.5</v>
          </cell>
          <cell r="B103" t="str">
            <v>450-07</v>
          </cell>
          <cell r="C103">
            <v>0</v>
          </cell>
          <cell r="D103" t="str">
            <v>3.6.4</v>
          </cell>
          <cell r="E103" t="str">
            <v xml:space="preserve">Mezcla semidensa en caliente tipo MSC-2 </v>
          </cell>
          <cell r="F103" t="str">
            <v>M3</v>
          </cell>
          <cell r="G103">
            <v>0</v>
          </cell>
          <cell r="H103">
            <v>0</v>
          </cell>
          <cell r="K103">
            <v>4</v>
          </cell>
          <cell r="L103" t="str">
            <v>PAVIMENTOS ASFÁLTICOS</v>
          </cell>
          <cell r="M103" t="str">
            <v>Mezclas asfálticas en caliente (Concreto asfáltico y Mezcla de alto módulo)</v>
          </cell>
        </row>
        <row r="104">
          <cell r="A104" t="str">
            <v>450.6</v>
          </cell>
          <cell r="B104" t="str">
            <v>450-07</v>
          </cell>
          <cell r="C104">
            <v>0</v>
          </cell>
          <cell r="D104" t="str">
            <v>3.6.4</v>
          </cell>
          <cell r="E104" t="str">
            <v xml:space="preserve">Mezcla gruesa en caliente tipo MGC-0 </v>
          </cell>
          <cell r="F104" t="str">
            <v>M3</v>
          </cell>
          <cell r="G104">
            <v>0</v>
          </cell>
          <cell r="H104">
            <v>0</v>
          </cell>
          <cell r="K104">
            <v>4</v>
          </cell>
          <cell r="L104" t="str">
            <v>PAVIMENTOS ASFÁLTICOS</v>
          </cell>
          <cell r="M104" t="str">
            <v>Mezclas asfálticas en caliente (Concreto asfáltico y Mezcla de alto módulo)</v>
          </cell>
        </row>
        <row r="105">
          <cell r="A105" t="str">
            <v>450.7</v>
          </cell>
          <cell r="B105" t="str">
            <v>450-07</v>
          </cell>
          <cell r="C105">
            <v>0</v>
          </cell>
          <cell r="D105" t="str">
            <v>3.6.4</v>
          </cell>
          <cell r="E105" t="str">
            <v xml:space="preserve">Mezcla gruesa en caliente tipo MGC-1 </v>
          </cell>
          <cell r="F105" t="str">
            <v>M3</v>
          </cell>
          <cell r="G105">
            <v>0</v>
          </cell>
          <cell r="H105">
            <v>0</v>
          </cell>
          <cell r="K105">
            <v>4</v>
          </cell>
          <cell r="L105" t="str">
            <v>PAVIMENTOS ASFÁLTICOS</v>
          </cell>
          <cell r="M105" t="str">
            <v>Mezclas asfálticas en caliente (Concreto asfáltico y Mezcla de alto módulo)</v>
          </cell>
        </row>
        <row r="106">
          <cell r="A106" t="str">
            <v>450.8</v>
          </cell>
          <cell r="B106" t="str">
            <v>450-07</v>
          </cell>
          <cell r="C106">
            <v>0</v>
          </cell>
          <cell r="D106" t="str">
            <v>3.6.4</v>
          </cell>
          <cell r="E106" t="str">
            <v xml:space="preserve">Mezcla de alto módulo </v>
          </cell>
          <cell r="F106" t="str">
            <v>M3</v>
          </cell>
          <cell r="G106">
            <v>0</v>
          </cell>
          <cell r="H106">
            <v>0</v>
          </cell>
          <cell r="K106">
            <v>4</v>
          </cell>
          <cell r="L106" t="str">
            <v>PAVIMENTOS ASFÁLTICOS</v>
          </cell>
          <cell r="M106" t="str">
            <v>Mezclas asfálticas en caliente (Concreto asfáltico y Mezcla de alto módulo)</v>
          </cell>
        </row>
        <row r="107">
          <cell r="A107" t="str">
            <v>450.9 (7401)</v>
          </cell>
          <cell r="B107" t="str">
            <v>450-07</v>
          </cell>
          <cell r="C107" t="str">
            <v>3.6.4.11.10</v>
          </cell>
          <cell r="D107" t="e">
            <v>#N/A</v>
          </cell>
          <cell r="E107" t="str">
            <v>Mezcla en caliente para bacheo (7403)</v>
          </cell>
          <cell r="F107" t="str">
            <v>M3</v>
          </cell>
          <cell r="G107">
            <v>1</v>
          </cell>
          <cell r="H107">
            <v>663609</v>
          </cell>
          <cell r="K107">
            <v>4</v>
          </cell>
          <cell r="L107" t="str">
            <v>PAVIMENTOS ASFÁLTICOS</v>
          </cell>
          <cell r="M107" t="str">
            <v>Mezclas asfálticas en caliente (Concreto asfáltico y Mezcla de alto módulo)</v>
          </cell>
        </row>
        <row r="108">
          <cell r="A108" t="str">
            <v>450.1.1</v>
          </cell>
          <cell r="B108" t="str">
            <v>450-07</v>
          </cell>
          <cell r="C108">
            <v>0</v>
          </cell>
          <cell r="D108" t="str">
            <v>3.6.4.11</v>
          </cell>
          <cell r="E108" t="str">
            <v xml:space="preserve">Mezcla densa en caliente tipo MDC-1, para capa de rodadura. </v>
          </cell>
          <cell r="F108" t="str">
            <v>M3</v>
          </cell>
          <cell r="G108">
            <v>0</v>
          </cell>
          <cell r="H108">
            <v>0</v>
          </cell>
          <cell r="K108">
            <v>4</v>
          </cell>
          <cell r="L108" t="str">
            <v>PAVIMENTOS ASFÁLTICOS</v>
          </cell>
          <cell r="M108" t="str">
            <v>Mezclas asfálticas en caliente (Concreto asfáltico y Mezcla de alto módulo)</v>
          </cell>
        </row>
        <row r="109">
          <cell r="A109" t="str">
            <v>450.1.2</v>
          </cell>
          <cell r="B109" t="str">
            <v>450-07</v>
          </cell>
          <cell r="C109">
            <v>0</v>
          </cell>
          <cell r="D109" t="str">
            <v>3.6.4.11</v>
          </cell>
          <cell r="E109" t="str">
            <v>Mezcla densa en caliente tipo MDC-1, para capa intermedia.</v>
          </cell>
          <cell r="F109" t="str">
            <v>M3</v>
          </cell>
          <cell r="G109">
            <v>0</v>
          </cell>
          <cell r="H109">
            <v>0</v>
          </cell>
          <cell r="K109">
            <v>4</v>
          </cell>
          <cell r="L109" t="str">
            <v>PAVIMENTOS ASFÁLTICOS</v>
          </cell>
          <cell r="M109" t="str">
            <v>Mezclas asfálticas en caliente (Concreto asfáltico y Mezcla de alto módulo)</v>
          </cell>
        </row>
        <row r="110">
          <cell r="A110" t="str">
            <v>451.1</v>
          </cell>
          <cell r="B110" t="str">
            <v>451-07</v>
          </cell>
          <cell r="C110">
            <v>0</v>
          </cell>
          <cell r="D110" t="str">
            <v>3.6.4.12.1</v>
          </cell>
          <cell r="E110" t="str">
            <v xml:space="preserve">Mezcla abierta en caliente tipo MAC-1 </v>
          </cell>
          <cell r="F110" t="str">
            <v>M3</v>
          </cell>
          <cell r="G110">
            <v>0</v>
          </cell>
          <cell r="H110">
            <v>0</v>
          </cell>
          <cell r="K110">
            <v>4</v>
          </cell>
          <cell r="L110" t="str">
            <v>PAVIMENTOS ASFÁLTICOS</v>
          </cell>
          <cell r="M110" t="str">
            <v>Mezcla abierta en caliente</v>
          </cell>
        </row>
        <row r="111">
          <cell r="A111" t="str">
            <v>451.2</v>
          </cell>
          <cell r="B111" t="str">
            <v>451-07</v>
          </cell>
          <cell r="C111">
            <v>0</v>
          </cell>
          <cell r="D111" t="str">
            <v>3.6.4.12.2</v>
          </cell>
          <cell r="E111" t="str">
            <v xml:space="preserve">Mezcla abierta en caliente tipo MAC-2 </v>
          </cell>
          <cell r="F111" t="str">
            <v>M3</v>
          </cell>
          <cell r="G111">
            <v>0</v>
          </cell>
          <cell r="H111">
            <v>0</v>
          </cell>
          <cell r="K111">
            <v>4</v>
          </cell>
          <cell r="L111" t="str">
            <v>PAVIMENTOS ASFÁLTICOS</v>
          </cell>
          <cell r="M111" t="str">
            <v>Mezcla abierta en caliente</v>
          </cell>
        </row>
        <row r="112">
          <cell r="A112" t="str">
            <v>451.3</v>
          </cell>
          <cell r="B112" t="str">
            <v>451-07</v>
          </cell>
          <cell r="C112">
            <v>0</v>
          </cell>
          <cell r="D112" t="str">
            <v>3.6.4.12.3</v>
          </cell>
          <cell r="E112" t="str">
            <v xml:space="preserve">Mezcla abierta en caliente tipo MAC-3 </v>
          </cell>
          <cell r="F112" t="str">
            <v>M3</v>
          </cell>
          <cell r="G112">
            <v>0</v>
          </cell>
          <cell r="H112">
            <v>0</v>
          </cell>
          <cell r="K112">
            <v>4</v>
          </cell>
          <cell r="L112" t="str">
            <v>PAVIMENTOS ASFÁLTICOS</v>
          </cell>
          <cell r="M112" t="str">
            <v>Mezcla abierta en caliente</v>
          </cell>
        </row>
        <row r="113">
          <cell r="A113" t="str">
            <v>451.4</v>
          </cell>
          <cell r="B113" t="str">
            <v>451-07</v>
          </cell>
          <cell r="C113">
            <v>0</v>
          </cell>
          <cell r="D113" t="str">
            <v>3.6.4.12</v>
          </cell>
          <cell r="E113" t="str">
            <v>Mezcla abierta en caliente tipo MAC-3 para bacheo</v>
          </cell>
          <cell r="F113" t="str">
            <v>M3</v>
          </cell>
          <cell r="G113">
            <v>0</v>
          </cell>
          <cell r="H113">
            <v>0</v>
          </cell>
          <cell r="K113">
            <v>4</v>
          </cell>
          <cell r="L113" t="str">
            <v>PAVIMENTOS ASFÁLTICOS</v>
          </cell>
          <cell r="M113" t="str">
            <v>Mezcla abierta en caliente</v>
          </cell>
        </row>
        <row r="114">
          <cell r="A114" t="str">
            <v>452.1</v>
          </cell>
          <cell r="B114" t="str">
            <v>452-07</v>
          </cell>
          <cell r="C114">
            <v>0</v>
          </cell>
          <cell r="D114" t="str">
            <v>3.6.4.13.1</v>
          </cell>
          <cell r="E114" t="str">
            <v xml:space="preserve">Mezcla discontinua en caliente tipo M-1 </v>
          </cell>
          <cell r="F114" t="str">
            <v>M3</v>
          </cell>
          <cell r="G114">
            <v>0</v>
          </cell>
          <cell r="H114">
            <v>0</v>
          </cell>
          <cell r="K114">
            <v>4</v>
          </cell>
          <cell r="L114" t="str">
            <v>PAVIMENTOS ASFÁLTICOS</v>
          </cell>
          <cell r="M114" t="str">
            <v>Mezcla discontinua en caliente para capa de rodadura</v>
          </cell>
        </row>
        <row r="115">
          <cell r="A115" t="str">
            <v>452.2</v>
          </cell>
          <cell r="B115" t="str">
            <v>452-07</v>
          </cell>
          <cell r="C115">
            <v>0</v>
          </cell>
          <cell r="D115" t="str">
            <v>3.6.4.13.2</v>
          </cell>
          <cell r="E115" t="str">
            <v xml:space="preserve">Mezcla discontinua en caliente tipo M-2 </v>
          </cell>
          <cell r="F115" t="str">
            <v>M3</v>
          </cell>
          <cell r="G115">
            <v>0</v>
          </cell>
          <cell r="H115">
            <v>0</v>
          </cell>
          <cell r="K115">
            <v>4</v>
          </cell>
          <cell r="L115" t="str">
            <v>PAVIMENTOS ASFÁLTICOS</v>
          </cell>
          <cell r="M115" t="str">
            <v>Mezcla discontinua en caliente para capa de rodadura</v>
          </cell>
        </row>
        <row r="116">
          <cell r="A116" t="str">
            <v>452.3</v>
          </cell>
          <cell r="B116" t="str">
            <v>452-07</v>
          </cell>
          <cell r="C116">
            <v>0</v>
          </cell>
          <cell r="D116" t="str">
            <v>3.6.4.13.7</v>
          </cell>
          <cell r="E116" t="str">
            <v xml:space="preserve">Mezcla discontinua en caliente tipo F-1 </v>
          </cell>
          <cell r="F116" t="str">
            <v>M3</v>
          </cell>
          <cell r="G116">
            <v>0</v>
          </cell>
          <cell r="H116">
            <v>0</v>
          </cell>
          <cell r="K116">
            <v>4</v>
          </cell>
          <cell r="L116" t="str">
            <v>PAVIMENTOS ASFÁLTICOS</v>
          </cell>
          <cell r="M116" t="str">
            <v>Mezcla discontinua en caliente para capa de rodadura</v>
          </cell>
        </row>
        <row r="117">
          <cell r="A117" t="str">
            <v>452.4</v>
          </cell>
          <cell r="B117" t="str">
            <v>452-07</v>
          </cell>
          <cell r="C117">
            <v>0</v>
          </cell>
          <cell r="D117" t="str">
            <v>3.6.4.13.8</v>
          </cell>
          <cell r="E117" t="str">
            <v xml:space="preserve">Mezcla discontinua en caliente tipo F-2 </v>
          </cell>
          <cell r="F117" t="str">
            <v>M3</v>
          </cell>
          <cell r="G117">
            <v>0</v>
          </cell>
          <cell r="H117">
            <v>0</v>
          </cell>
          <cell r="K117">
            <v>4</v>
          </cell>
          <cell r="L117" t="str">
            <v>PAVIMENTOS ASFÁLTICOS</v>
          </cell>
          <cell r="M117" t="str">
            <v>Mezcla discontinua en caliente para capa de rodadura</v>
          </cell>
        </row>
        <row r="118">
          <cell r="A118" t="str">
            <v>453.1</v>
          </cell>
          <cell r="B118" t="str">
            <v>453-07</v>
          </cell>
          <cell r="C118">
            <v>0</v>
          </cell>
          <cell r="D118" t="str">
            <v>3.6.4.13.7</v>
          </cell>
          <cell r="E118" t="str">
            <v xml:space="preserve">Mezcla drenante </v>
          </cell>
          <cell r="F118" t="str">
            <v>M3</v>
          </cell>
          <cell r="G118">
            <v>0</v>
          </cell>
          <cell r="H118">
            <v>0</v>
          </cell>
          <cell r="K118">
            <v>4</v>
          </cell>
          <cell r="L118" t="str">
            <v>PAVIMENTOS ASFÁLTICOS</v>
          </cell>
          <cell r="M118" t="str">
            <v>Mezcla drenante</v>
          </cell>
        </row>
        <row r="119">
          <cell r="A119" t="str">
            <v>460.1</v>
          </cell>
          <cell r="B119" t="str">
            <v>460-07</v>
          </cell>
          <cell r="C119" t="str">
            <v>3.6.4.15.1</v>
          </cell>
          <cell r="D119" t="str">
            <v>3.6.4.15.2</v>
          </cell>
          <cell r="E119" t="str">
            <v xml:space="preserve">Fresado de pavimento asfáltico en espesor de 4 cm </v>
          </cell>
          <cell r="F119" t="str">
            <v>M2</v>
          </cell>
          <cell r="G119">
            <v>0</v>
          </cell>
          <cell r="H119">
            <v>2821</v>
          </cell>
          <cell r="K119">
            <v>4</v>
          </cell>
          <cell r="L119" t="str">
            <v>PAVIMENTOS ASFÁLTICOS</v>
          </cell>
          <cell r="M119" t="str">
            <v>Fresado de pavimento asfáltico</v>
          </cell>
        </row>
        <row r="120">
          <cell r="A120" t="str">
            <v>460-P</v>
          </cell>
          <cell r="B120" t="str">
            <v>460-07P</v>
          </cell>
          <cell r="C120" t="str">
            <v>3.6.4.15.1</v>
          </cell>
          <cell r="D120" t="e">
            <v>#N/A</v>
          </cell>
          <cell r="E120" t="str">
            <v xml:space="preserve">Fresado de pavimento asfáltico en espesor de 4 cm </v>
          </cell>
          <cell r="F120" t="str">
            <v>M3</v>
          </cell>
          <cell r="G120">
            <v>0</v>
          </cell>
          <cell r="H120">
            <v>58713</v>
          </cell>
          <cell r="K120">
            <v>4</v>
          </cell>
          <cell r="L120" t="str">
            <v>PAVIMENTOS ASFÁLTICOS</v>
          </cell>
          <cell r="M120" t="str">
            <v>Fresado de pavimento asfáltico</v>
          </cell>
        </row>
        <row r="121">
          <cell r="A121" t="str">
            <v>461.1</v>
          </cell>
          <cell r="B121" t="str">
            <v>461-07</v>
          </cell>
          <cell r="C121">
            <v>0</v>
          </cell>
          <cell r="D121" t="str">
            <v>3.6.4.16.1</v>
          </cell>
          <cell r="E121" t="str">
            <v xml:space="preserve">Pavimento reciclado en frío en el lugar con emulsión asfáltica  </v>
          </cell>
          <cell r="F121" t="str">
            <v>M3</v>
          </cell>
          <cell r="G121">
            <v>0</v>
          </cell>
          <cell r="H121">
            <v>0</v>
          </cell>
          <cell r="K121">
            <v>4</v>
          </cell>
          <cell r="L121" t="str">
            <v>PAVIMENTOS ASFÁLTICOS</v>
          </cell>
          <cell r="M121" t="str">
            <v>Reciclado de pavimento asfáltico en frío en el lugar empleando ligantes bituminosos</v>
          </cell>
        </row>
        <row r="122">
          <cell r="A122" t="str">
            <v>461.2</v>
          </cell>
          <cell r="B122" t="str">
            <v>461-07</v>
          </cell>
          <cell r="C122">
            <v>0</v>
          </cell>
          <cell r="D122" t="str">
            <v>3.6.4.16.2</v>
          </cell>
          <cell r="E122" t="str">
            <v>Pavimento reciclado en frío en el lugar con cemento asfáltico espumado</v>
          </cell>
          <cell r="F122" t="str">
            <v>M3</v>
          </cell>
          <cell r="G122">
            <v>0</v>
          </cell>
          <cell r="H122">
            <v>0</v>
          </cell>
          <cell r="K122">
            <v>4</v>
          </cell>
          <cell r="L122" t="str">
            <v>PAVIMENTOS ASFÁLTICOS</v>
          </cell>
          <cell r="M122" t="str">
            <v>Reciclado de pavimento asfáltico en frío en el lugar empleando ligantes bituminosos</v>
          </cell>
        </row>
        <row r="123">
          <cell r="A123" t="str">
            <v>462.1</v>
          </cell>
          <cell r="B123" t="str">
            <v>462-07</v>
          </cell>
          <cell r="C123">
            <v>0</v>
          </cell>
          <cell r="D123" t="str">
            <v>3.6.4.17.1 </v>
          </cell>
          <cell r="E123" t="str">
            <v>Mezcla asfáltica reciclada en caliente del tipo______</v>
          </cell>
          <cell r="F123" t="str">
            <v>M3</v>
          </cell>
          <cell r="G123">
            <v>0</v>
          </cell>
          <cell r="H123">
            <v>0</v>
          </cell>
          <cell r="K123">
            <v>4</v>
          </cell>
          <cell r="L123" t="str">
            <v>PAVIMENTOS ASFÁLTICOS</v>
          </cell>
          <cell r="M123" t="str">
            <v>Reciclado de pavimento asfáltico en planta y en caliente</v>
          </cell>
        </row>
        <row r="124">
          <cell r="A124" t="str">
            <v>462.2</v>
          </cell>
          <cell r="B124" t="str">
            <v>462-07</v>
          </cell>
          <cell r="C124">
            <v>0</v>
          </cell>
          <cell r="D124" t="str">
            <v>3.6.4.17</v>
          </cell>
          <cell r="E124" t="str">
            <v>Mezcla asfáltica reciclada en caliente del tipo para bacheo</v>
          </cell>
          <cell r="F124" t="str">
            <v>M3</v>
          </cell>
          <cell r="G124">
            <v>0</v>
          </cell>
          <cell r="H124">
            <v>0</v>
          </cell>
          <cell r="K124">
            <v>4</v>
          </cell>
          <cell r="L124" t="str">
            <v>PAVIMENTOS ASFÁLTICOS</v>
          </cell>
          <cell r="M124" t="str">
            <v>Reciclado de pavimento asfáltico en planta y en caliente</v>
          </cell>
        </row>
        <row r="125">
          <cell r="A125" t="str">
            <v>462.1.1</v>
          </cell>
          <cell r="B125" t="str">
            <v>462-07</v>
          </cell>
          <cell r="C125">
            <v>0</v>
          </cell>
          <cell r="D125" t="str">
            <v>3.6.4.17.3</v>
          </cell>
          <cell r="E125" t="str">
            <v xml:space="preserve">Mezcla asfáltica reciclada en caliente del tipo MDC-2 </v>
          </cell>
          <cell r="F125" t="str">
            <v>M3</v>
          </cell>
          <cell r="G125">
            <v>0</v>
          </cell>
          <cell r="H125">
            <v>0</v>
          </cell>
          <cell r="K125">
            <v>4</v>
          </cell>
          <cell r="L125" t="str">
            <v>PAVIMENTOS ASFÁLTICOS</v>
          </cell>
          <cell r="M125" t="str">
            <v>Reciclado de pavimento asfáltico en planta y en caliente</v>
          </cell>
        </row>
        <row r="126">
          <cell r="A126" t="str">
            <v>462.1.2</v>
          </cell>
          <cell r="B126" t="str">
            <v>462-07</v>
          </cell>
          <cell r="C126">
            <v>0</v>
          </cell>
          <cell r="D126" t="str">
            <v>3.6.4.17.4</v>
          </cell>
          <cell r="E126" t="str">
            <v>Mezcla asfáltica reciclada en caliente del tipo MSC -1</v>
          </cell>
          <cell r="F126" t="str">
            <v>M3</v>
          </cell>
          <cell r="G126">
            <v>0</v>
          </cell>
          <cell r="H126">
            <v>0</v>
          </cell>
          <cell r="K126">
            <v>4</v>
          </cell>
          <cell r="L126" t="str">
            <v>PAVIMENTOS ASFÁLTICOS</v>
          </cell>
          <cell r="M126" t="str">
            <v>Reciclado de pavimento asfáltico en planta y en caliente</v>
          </cell>
        </row>
        <row r="127">
          <cell r="A127" t="str">
            <v>464.1</v>
          </cell>
          <cell r="B127" t="str">
            <v>464-07</v>
          </cell>
          <cell r="C127">
            <v>0</v>
          </cell>
          <cell r="D127" t="str">
            <v>3.6.8</v>
          </cell>
          <cell r="E127" t="str">
            <v xml:space="preserve">Geotextil para rehabilitación de pavimentos asfálticos </v>
          </cell>
          <cell r="F127" t="str">
            <v>M2</v>
          </cell>
          <cell r="G127">
            <v>0</v>
          </cell>
          <cell r="H127">
            <v>6230</v>
          </cell>
          <cell r="K127">
            <v>4</v>
          </cell>
          <cell r="L127" t="str">
            <v>PAVIMENTOS ASFÁLTICOS</v>
          </cell>
          <cell r="M127" t="str">
            <v>Rehabilitación de pavimentos asfálticos con geotextiles</v>
          </cell>
        </row>
        <row r="128">
          <cell r="A128" t="str">
            <v>464.2</v>
          </cell>
          <cell r="B128" t="str">
            <v>464-07</v>
          </cell>
          <cell r="C128">
            <v>0</v>
          </cell>
          <cell r="D128" t="str">
            <v>3.6.4.8 </v>
          </cell>
          <cell r="E128" t="str">
            <v xml:space="preserve">Suministro de cemento asfáltico </v>
          </cell>
          <cell r="F128" t="str">
            <v>Kg</v>
          </cell>
          <cell r="G128">
            <v>0</v>
          </cell>
          <cell r="H128">
            <v>0</v>
          </cell>
          <cell r="K128">
            <v>4</v>
          </cell>
          <cell r="L128" t="str">
            <v>PAVIMENTOS ASFÁLTICOS</v>
          </cell>
          <cell r="M128" t="str">
            <v>Rehabilitación de pavimentos asfálticos con geotextiles</v>
          </cell>
        </row>
        <row r="129">
          <cell r="A129" t="str">
            <v>464.3</v>
          </cell>
          <cell r="B129" t="str">
            <v>464-07</v>
          </cell>
          <cell r="C129">
            <v>0</v>
          </cell>
          <cell r="D129" t="str">
            <v>3.6.4.2</v>
          </cell>
          <cell r="E129" t="str">
            <v xml:space="preserve">Suministro de emulsión asfáltica convencional </v>
          </cell>
          <cell r="F129" t="str">
            <v>L</v>
          </cell>
          <cell r="G129">
            <v>0</v>
          </cell>
          <cell r="H129">
            <v>0</v>
          </cell>
          <cell r="K129">
            <v>4</v>
          </cell>
          <cell r="L129" t="str">
            <v>PAVIMENTOS ASFÁLTICOS</v>
          </cell>
          <cell r="M129" t="str">
            <v>Rehabilitación de pavimentos asfálticos con geotextiles</v>
          </cell>
        </row>
        <row r="130">
          <cell r="A130" t="str">
            <v>464.4</v>
          </cell>
          <cell r="B130" t="str">
            <v>464-07</v>
          </cell>
          <cell r="C130">
            <v>0</v>
          </cell>
          <cell r="D130" t="str">
            <v> 3.6.4.2.5 </v>
          </cell>
          <cell r="E130" t="str">
            <v xml:space="preserve">Suministro de emulsión asfáltica modificada con polímeros </v>
          </cell>
          <cell r="F130" t="str">
            <v>L</v>
          </cell>
          <cell r="G130">
            <v>0</v>
          </cell>
          <cell r="H130">
            <v>0</v>
          </cell>
          <cell r="K130">
            <v>4</v>
          </cell>
          <cell r="L130" t="str">
            <v>PAVIMENTOS ASFÁLTICOS</v>
          </cell>
          <cell r="M130" t="str">
            <v>Rehabilitación de pavimentos asfálticos con geotextiles</v>
          </cell>
        </row>
        <row r="131">
          <cell r="A131" t="str">
            <v>465.1</v>
          </cell>
          <cell r="B131" t="str">
            <v>465-07</v>
          </cell>
          <cell r="C131" t="str">
            <v>3.6.1.3.32</v>
          </cell>
          <cell r="D131" t="str">
            <v>3.6.2.1</v>
          </cell>
          <cell r="E131" t="str">
            <v xml:space="preserve">Excavación para reparación de pavimento asfáltico existente </v>
          </cell>
          <cell r="F131" t="str">
            <v>M3</v>
          </cell>
          <cell r="G131">
            <v>1</v>
          </cell>
          <cell r="H131">
            <v>46438</v>
          </cell>
          <cell r="K131">
            <v>4</v>
          </cell>
          <cell r="L131" t="str">
            <v>PAVIMENTOS ASFÁLTICOS</v>
          </cell>
          <cell r="M131" t="str">
            <v>Excavación para reparación del pavimento existente</v>
          </cell>
        </row>
        <row r="132">
          <cell r="A132" t="str">
            <v>466.1</v>
          </cell>
          <cell r="B132" t="str">
            <v>466-07</v>
          </cell>
          <cell r="C132">
            <v>0</v>
          </cell>
          <cell r="D132" t="str">
            <v>3.6.4.7</v>
          </cell>
          <cell r="E132" t="str">
            <v xml:space="preserve">Sello de grietas en pavimento asfáltico sin ruteo </v>
          </cell>
          <cell r="F132" t="str">
            <v>M</v>
          </cell>
          <cell r="G132">
            <v>0</v>
          </cell>
          <cell r="H132">
            <v>2149</v>
          </cell>
          <cell r="K132">
            <v>4</v>
          </cell>
          <cell r="L132" t="str">
            <v>PAVIMENTOS ASFÁLTICOS</v>
          </cell>
          <cell r="M132" t="str">
            <v>Sello de grietas en pavimentos asfálticos</v>
          </cell>
        </row>
        <row r="133">
          <cell r="A133" t="str">
            <v>466.2</v>
          </cell>
          <cell r="B133" t="str">
            <v>466-07</v>
          </cell>
          <cell r="C133">
            <v>0</v>
          </cell>
          <cell r="D133" t="str">
            <v>3.6.4.7</v>
          </cell>
          <cell r="E133" t="str">
            <v xml:space="preserve">Sello de grietas en pavimento asfáltico con ruteo </v>
          </cell>
          <cell r="F133" t="str">
            <v>M</v>
          </cell>
          <cell r="G133">
            <v>0</v>
          </cell>
          <cell r="H133">
            <v>2937</v>
          </cell>
          <cell r="K133">
            <v>4</v>
          </cell>
          <cell r="L133" t="str">
            <v>PAVIMENTOS ASFÁLTICOS</v>
          </cell>
          <cell r="M133" t="str">
            <v>Sello de grietas en pavimentos asfálticos</v>
          </cell>
        </row>
        <row r="134">
          <cell r="A134" t="str">
            <v>500.1</v>
          </cell>
          <cell r="B134" t="str">
            <v>500-07</v>
          </cell>
          <cell r="C134">
            <v>0</v>
          </cell>
          <cell r="D134" t="str">
            <v>3.6.5.1</v>
          </cell>
          <cell r="E134" t="str">
            <v>Pavimento de concreto hidráulico</v>
          </cell>
          <cell r="F134" t="str">
            <v>M3</v>
          </cell>
          <cell r="G134">
            <v>1</v>
          </cell>
          <cell r="H134">
            <v>681027</v>
          </cell>
          <cell r="K134">
            <v>5</v>
          </cell>
          <cell r="L134" t="str">
            <v>PAVIMENTOS DE CONCRETO</v>
          </cell>
          <cell r="M134" t="str">
            <v>Pavimento de concreto hidráulico</v>
          </cell>
        </row>
        <row r="135">
          <cell r="A135" t="str">
            <v>501.1</v>
          </cell>
          <cell r="B135" t="str">
            <v>501-07</v>
          </cell>
          <cell r="C135">
            <v>0</v>
          </cell>
          <cell r="D135" t="str">
            <v>1.35.1.1.3</v>
          </cell>
          <cell r="E135" t="str">
            <v>Cemento Portland normal</v>
          </cell>
          <cell r="F135" t="str">
            <v>Kg</v>
          </cell>
          <cell r="G135">
            <v>0</v>
          </cell>
          <cell r="H135">
            <v>0</v>
          </cell>
          <cell r="K135">
            <v>5</v>
          </cell>
          <cell r="L135" t="str">
            <v>PAVIMENTOS DE CONCRETO</v>
          </cell>
          <cell r="M135" t="str">
            <v>Suministro de cemento Portland normal</v>
          </cell>
        </row>
        <row r="136">
          <cell r="A136" t="str">
            <v>510.1</v>
          </cell>
          <cell r="B136" t="str">
            <v>510-07</v>
          </cell>
          <cell r="C136">
            <v>0</v>
          </cell>
          <cell r="D136" t="str">
            <v>3.6.5.2.10</v>
          </cell>
          <cell r="E136" t="str">
            <v xml:space="preserve">Pavimento de adoquines de concreto </v>
          </cell>
          <cell r="F136" t="str">
            <v>M2</v>
          </cell>
          <cell r="G136">
            <v>0</v>
          </cell>
          <cell r="H136">
            <v>0</v>
          </cell>
          <cell r="K136">
            <v>5</v>
          </cell>
          <cell r="L136" t="str">
            <v>PAVIMENTOS DE CONCRETO</v>
          </cell>
          <cell r="M136" t="str">
            <v>Pavimento de adoquines de concreto</v>
          </cell>
        </row>
        <row r="137">
          <cell r="A137" t="str">
            <v>600.1</v>
          </cell>
          <cell r="B137" t="str">
            <v>600-07</v>
          </cell>
          <cell r="C137" t="str">
            <v>3.6.6.1.</v>
          </cell>
          <cell r="D137" t="str">
            <v>3.6.6.1.9</v>
          </cell>
          <cell r="E137" t="str">
            <v xml:space="preserve">Excavaciones varias sin clasificar </v>
          </cell>
          <cell r="F137" t="str">
            <v>M3</v>
          </cell>
          <cell r="G137">
            <v>1</v>
          </cell>
          <cell r="H137">
            <v>19104</v>
          </cell>
          <cell r="K137">
            <v>6</v>
          </cell>
          <cell r="L137" t="str">
            <v>ESTRUCTURAS Y DRENAJES</v>
          </cell>
          <cell r="M137" t="str">
            <v>Excavaciones varias</v>
          </cell>
        </row>
        <row r="138">
          <cell r="A138" t="str">
            <v>600.2</v>
          </cell>
          <cell r="B138" t="str">
            <v>600-07</v>
          </cell>
          <cell r="C138">
            <v>0</v>
          </cell>
          <cell r="D138" t="str">
            <v>3.6.6.1.9</v>
          </cell>
          <cell r="E138" t="str">
            <v xml:space="preserve">Excavaciones varias en roca en seco </v>
          </cell>
          <cell r="F138" t="str">
            <v>M3</v>
          </cell>
          <cell r="G138">
            <v>0</v>
          </cell>
          <cell r="H138">
            <v>0</v>
          </cell>
          <cell r="K138">
            <v>6</v>
          </cell>
          <cell r="L138" t="str">
            <v>ESTRUCTURAS Y DRENAJES</v>
          </cell>
          <cell r="M138" t="str">
            <v>Excavaciones varias</v>
          </cell>
        </row>
        <row r="139">
          <cell r="A139" t="str">
            <v>600.3</v>
          </cell>
          <cell r="B139" t="str">
            <v>600-07</v>
          </cell>
          <cell r="C139">
            <v>0</v>
          </cell>
          <cell r="D139" t="str">
            <v>3.6.6.1.9</v>
          </cell>
          <cell r="E139" t="str">
            <v xml:space="preserve">Excavaciones varias en roca bajo agua </v>
          </cell>
          <cell r="F139" t="str">
            <v>M3</v>
          </cell>
          <cell r="G139">
            <v>0</v>
          </cell>
          <cell r="H139">
            <v>0</v>
          </cell>
          <cell r="K139">
            <v>6</v>
          </cell>
          <cell r="L139" t="str">
            <v>ESTRUCTURAS Y DRENAJES</v>
          </cell>
          <cell r="M139" t="str">
            <v>Excavaciones varias</v>
          </cell>
        </row>
        <row r="140">
          <cell r="A140" t="str">
            <v>600.4</v>
          </cell>
          <cell r="B140" t="str">
            <v>600-07</v>
          </cell>
          <cell r="C140" t="str">
            <v>3.6.6.1.10</v>
          </cell>
          <cell r="D140" t="str">
            <v xml:space="preserve">3.6.6.1.10  </v>
          </cell>
          <cell r="E140" t="str">
            <v>Excavaciones varias en material común en seco</v>
          </cell>
          <cell r="F140" t="str">
            <v>M3</v>
          </cell>
          <cell r="G140">
            <v>1</v>
          </cell>
          <cell r="H140">
            <v>25038</v>
          </cell>
          <cell r="K140">
            <v>6</v>
          </cell>
          <cell r="L140" t="str">
            <v>ESTRUCTURAS Y DRENAJES</v>
          </cell>
          <cell r="M140" t="str">
            <v>Excavaciones varias</v>
          </cell>
        </row>
        <row r="141">
          <cell r="A141" t="str">
            <v>600.5</v>
          </cell>
          <cell r="B141" t="str">
            <v>600-07</v>
          </cell>
          <cell r="C141">
            <v>0</v>
          </cell>
          <cell r="D141" t="str">
            <v>3.6.6.1.11</v>
          </cell>
          <cell r="E141" t="str">
            <v xml:space="preserve">Excavaciones varias en material común bajo agua </v>
          </cell>
          <cell r="F141" t="str">
            <v>M3</v>
          </cell>
          <cell r="G141">
            <v>1</v>
          </cell>
          <cell r="H141">
            <v>24728</v>
          </cell>
          <cell r="K141">
            <v>6</v>
          </cell>
          <cell r="L141" t="str">
            <v>ESTRUCTURAS Y DRENAJES</v>
          </cell>
          <cell r="M141" t="str">
            <v>Excavaciones varias</v>
          </cell>
        </row>
        <row r="142">
          <cell r="A142" t="str">
            <v>812.1-P</v>
          </cell>
          <cell r="B142" t="str">
            <v>812-07P</v>
          </cell>
          <cell r="C142">
            <v>0</v>
          </cell>
          <cell r="D142" t="e">
            <v>#N/A</v>
          </cell>
          <cell r="E142" t="str">
            <v>Piedra pegada</v>
          </cell>
          <cell r="F142" t="str">
            <v>M2</v>
          </cell>
          <cell r="G142">
            <v>1</v>
          </cell>
          <cell r="H142">
            <v>39563</v>
          </cell>
          <cell r="K142">
            <v>6</v>
          </cell>
          <cell r="L142" t="str">
            <v>ESTRUCTURAS Y DRENAJES</v>
          </cell>
          <cell r="M142" t="str">
            <v>Rellenos para estructuras</v>
          </cell>
        </row>
        <row r="143">
          <cell r="A143" t="str">
            <v>610.1</v>
          </cell>
          <cell r="B143" t="str">
            <v>610-07</v>
          </cell>
          <cell r="C143" t="str">
            <v>3.6.6.2.1</v>
          </cell>
          <cell r="D143" t="str">
            <v xml:space="preserve">3.6.6.2.1   </v>
          </cell>
          <cell r="E143" t="str">
            <v xml:space="preserve">Rellenos para estructuras </v>
          </cell>
          <cell r="F143" t="str">
            <v>M3</v>
          </cell>
          <cell r="G143">
            <v>1</v>
          </cell>
          <cell r="H143">
            <v>81912</v>
          </cell>
          <cell r="K143">
            <v>6</v>
          </cell>
          <cell r="L143" t="str">
            <v>ESTRUCTURAS Y DRENAJES</v>
          </cell>
          <cell r="M143" t="str">
            <v>Rellenos para estructuras</v>
          </cell>
        </row>
        <row r="144">
          <cell r="A144" t="str">
            <v>610.2</v>
          </cell>
          <cell r="B144" t="str">
            <v>610-07</v>
          </cell>
          <cell r="C144">
            <v>0</v>
          </cell>
          <cell r="D144" t="str">
            <v>3.6.6.2.4</v>
          </cell>
          <cell r="E144" t="str">
            <v>Rellenos con material filtrante</v>
          </cell>
          <cell r="F144" t="str">
            <v>M3</v>
          </cell>
          <cell r="G144">
            <v>1</v>
          </cell>
          <cell r="H144">
            <v>84453</v>
          </cell>
          <cell r="K144">
            <v>6</v>
          </cell>
          <cell r="L144" t="str">
            <v>ESTRUCTURAS Y DRENAJES</v>
          </cell>
          <cell r="M144" t="str">
            <v>Rellenos para estructuras</v>
          </cell>
        </row>
        <row r="145">
          <cell r="A145" t="str">
            <v>610.1P</v>
          </cell>
          <cell r="B145" t="str">
            <v>610-07P</v>
          </cell>
          <cell r="C145">
            <v>0</v>
          </cell>
          <cell r="D145" t="str">
            <v>3.6.2.4.2</v>
          </cell>
          <cell r="E145" t="str">
            <v>Relleno en piedra</v>
          </cell>
          <cell r="F145" t="str">
            <v>M3</v>
          </cell>
          <cell r="G145">
            <v>1</v>
          </cell>
          <cell r="H145">
            <v>130113</v>
          </cell>
          <cell r="K145">
            <v>6</v>
          </cell>
          <cell r="L145" t="str">
            <v>ESTRUCTURAS Y DRENAJES</v>
          </cell>
          <cell r="M145" t="str">
            <v>Rellenos para estructuras</v>
          </cell>
        </row>
        <row r="146">
          <cell r="A146" t="str">
            <v>620.1</v>
          </cell>
          <cell r="B146" t="str">
            <v>620-07</v>
          </cell>
          <cell r="C146">
            <v>0</v>
          </cell>
          <cell r="D146" t="str">
            <v>3.6.6.3.1</v>
          </cell>
          <cell r="E146" t="str">
            <v xml:space="preserve">Pilotes prefabricados de concreto </v>
          </cell>
          <cell r="F146" t="str">
            <v>M</v>
          </cell>
          <cell r="G146">
            <v>0</v>
          </cell>
          <cell r="H146">
            <v>0</v>
          </cell>
          <cell r="K146">
            <v>6</v>
          </cell>
          <cell r="L146" t="str">
            <v>ESTRUCTURAS Y DRENAJES</v>
          </cell>
          <cell r="M146" t="str">
            <v>Pilotes prefabricados de concreto</v>
          </cell>
        </row>
        <row r="147">
          <cell r="A147" t="str">
            <v>620.2</v>
          </cell>
          <cell r="B147" t="str">
            <v>620-07</v>
          </cell>
          <cell r="C147">
            <v>0</v>
          </cell>
          <cell r="D147" t="str">
            <v>3.6.6.3.2</v>
          </cell>
          <cell r="E147" t="str">
            <v xml:space="preserve">Extensión de pilotes </v>
          </cell>
          <cell r="F147" t="str">
            <v>M</v>
          </cell>
          <cell r="G147">
            <v>0</v>
          </cell>
          <cell r="H147">
            <v>0</v>
          </cell>
          <cell r="K147">
            <v>6</v>
          </cell>
          <cell r="L147" t="str">
            <v>ESTRUCTURAS Y DRENAJES</v>
          </cell>
          <cell r="M147" t="str">
            <v>Pilotes prefabricados de concreto</v>
          </cell>
        </row>
        <row r="148">
          <cell r="A148" t="str">
            <v>620.3</v>
          </cell>
          <cell r="B148" t="str">
            <v>620-07</v>
          </cell>
          <cell r="C148">
            <v>0</v>
          </cell>
          <cell r="D148" t="str">
            <v>3.6.6.4.6</v>
          </cell>
          <cell r="E148" t="str">
            <v xml:space="preserve">Prueba de carga </v>
          </cell>
          <cell r="F148" t="str">
            <v>U</v>
          </cell>
          <cell r="G148">
            <v>0</v>
          </cell>
          <cell r="H148">
            <v>0</v>
          </cell>
          <cell r="K148">
            <v>6</v>
          </cell>
          <cell r="L148" t="str">
            <v>ESTRUCTURAS Y DRENAJES</v>
          </cell>
          <cell r="M148" t="str">
            <v>Pilotes prefabricados de concreto</v>
          </cell>
        </row>
        <row r="149">
          <cell r="A149" t="str">
            <v>621.1</v>
          </cell>
          <cell r="B149" t="str">
            <v>621-07</v>
          </cell>
          <cell r="C149">
            <v>0</v>
          </cell>
          <cell r="D149" t="str">
            <v>3.6.6.4.1</v>
          </cell>
          <cell r="E149" t="str">
            <v xml:space="preserve">Pilote de concreto fundido in situ, de diámetro_____ </v>
          </cell>
          <cell r="F149" t="str">
            <v>M</v>
          </cell>
          <cell r="G149">
            <v>0</v>
          </cell>
          <cell r="H149">
            <v>0</v>
          </cell>
          <cell r="K149">
            <v>6</v>
          </cell>
          <cell r="L149" t="str">
            <v>ESTRUCTURAS Y DRENAJES</v>
          </cell>
          <cell r="M149" t="str">
            <v>Pilotes preexcavados</v>
          </cell>
        </row>
        <row r="150">
          <cell r="A150" t="str">
            <v>621.2</v>
          </cell>
          <cell r="B150" t="str">
            <v>621-07</v>
          </cell>
          <cell r="C150">
            <v>0</v>
          </cell>
          <cell r="D150" t="str">
            <v>3.6.6.4.2</v>
          </cell>
          <cell r="E150" t="str">
            <v>Base acampanada</v>
          </cell>
          <cell r="F150" t="str">
            <v>M3</v>
          </cell>
          <cell r="G150">
            <v>2</v>
          </cell>
          <cell r="H150">
            <v>0</v>
          </cell>
          <cell r="K150">
            <v>6</v>
          </cell>
          <cell r="L150" t="str">
            <v>ESTRUCTURAS Y DRENAJES</v>
          </cell>
          <cell r="M150" t="str">
            <v>Pilotes preexcavados</v>
          </cell>
        </row>
        <row r="151">
          <cell r="A151" t="str">
            <v>621.3</v>
          </cell>
          <cell r="B151" t="str">
            <v>621-07</v>
          </cell>
          <cell r="C151">
            <v>0</v>
          </cell>
          <cell r="D151" t="str">
            <v>3.6.6.4.3</v>
          </cell>
          <cell r="E151" t="str">
            <v xml:space="preserve">Pilote de prueba de diámetro _____ </v>
          </cell>
          <cell r="F151" t="str">
            <v>M</v>
          </cell>
          <cell r="G151">
            <v>0</v>
          </cell>
          <cell r="H151">
            <v>0</v>
          </cell>
          <cell r="I151">
            <v>0</v>
          </cell>
          <cell r="K151">
            <v>6</v>
          </cell>
          <cell r="L151" t="str">
            <v>ESTRUCTURAS Y DRENAJES</v>
          </cell>
          <cell r="M151" t="str">
            <v>Pilotes preexcavados</v>
          </cell>
        </row>
        <row r="152">
          <cell r="A152" t="str">
            <v>621.4</v>
          </cell>
          <cell r="B152" t="str">
            <v>621-07</v>
          </cell>
          <cell r="C152">
            <v>0</v>
          </cell>
          <cell r="D152" t="str">
            <v xml:space="preserve"> 3.6.6.4.4</v>
          </cell>
          <cell r="E152" t="str">
            <v xml:space="preserve">Base acampanada de prueba </v>
          </cell>
          <cell r="F152" t="str">
            <v>M3</v>
          </cell>
          <cell r="G152">
            <v>2</v>
          </cell>
          <cell r="H152">
            <v>0</v>
          </cell>
          <cell r="I152">
            <v>0</v>
          </cell>
          <cell r="K152">
            <v>6</v>
          </cell>
          <cell r="L152" t="str">
            <v>ESTRUCTURAS Y DRENAJES</v>
          </cell>
          <cell r="M152" t="str">
            <v>Pilotes preexcavados</v>
          </cell>
        </row>
        <row r="153">
          <cell r="A153" t="str">
            <v>621.5</v>
          </cell>
          <cell r="B153" t="str">
            <v>621-07</v>
          </cell>
          <cell r="C153">
            <v>0</v>
          </cell>
          <cell r="D153" t="str">
            <v>3.6.6.5.5</v>
          </cell>
          <cell r="E153" t="str">
            <v xml:space="preserve">Camisa permanente de diámetro exterior ______ </v>
          </cell>
          <cell r="F153" t="str">
            <v>M</v>
          </cell>
          <cell r="G153">
            <v>0</v>
          </cell>
          <cell r="H153">
            <v>0</v>
          </cell>
          <cell r="K153">
            <v>6</v>
          </cell>
          <cell r="L153" t="str">
            <v>ESTRUCTURAS Y DRENAJES</v>
          </cell>
          <cell r="M153" t="str">
            <v>Pilotes preexcavados</v>
          </cell>
        </row>
        <row r="154">
          <cell r="A154" t="str">
            <v>621.6</v>
          </cell>
          <cell r="B154" t="str">
            <v>621-07</v>
          </cell>
          <cell r="C154">
            <v>0</v>
          </cell>
          <cell r="D154" t="str">
            <v xml:space="preserve"> 3.6.6.4.6 </v>
          </cell>
          <cell r="E154" t="str">
            <v xml:space="preserve">Prueba de carga </v>
          </cell>
          <cell r="F154" t="str">
            <v>U</v>
          </cell>
          <cell r="G154">
            <v>0</v>
          </cell>
          <cell r="H154">
            <v>0</v>
          </cell>
          <cell r="K154">
            <v>6</v>
          </cell>
          <cell r="L154" t="str">
            <v>ESTRUCTURAS Y DRENAJES</v>
          </cell>
          <cell r="M154" t="str">
            <v>Pilotes preexcavados</v>
          </cell>
        </row>
        <row r="155">
          <cell r="A155" t="str">
            <v>622.1</v>
          </cell>
          <cell r="B155" t="str">
            <v>622-07</v>
          </cell>
          <cell r="C155">
            <v>0</v>
          </cell>
          <cell r="D155" t="str">
            <v>3.6.6.5.1</v>
          </cell>
          <cell r="E155" t="str">
            <v xml:space="preserve">Tablestacado de madera </v>
          </cell>
          <cell r="F155" t="str">
            <v>M2</v>
          </cell>
          <cell r="G155">
            <v>0</v>
          </cell>
          <cell r="H155">
            <v>0</v>
          </cell>
          <cell r="K155">
            <v>6</v>
          </cell>
          <cell r="L155" t="str">
            <v>ESTRUCTURAS Y DRENAJES</v>
          </cell>
          <cell r="M155" t="str">
            <v>Tablestacados</v>
          </cell>
        </row>
        <row r="156">
          <cell r="A156" t="str">
            <v>622.2</v>
          </cell>
          <cell r="B156" t="str">
            <v>622-07</v>
          </cell>
          <cell r="C156">
            <v>0</v>
          </cell>
          <cell r="D156" t="str">
            <v>3.6.6.5.3</v>
          </cell>
          <cell r="E156" t="str">
            <v xml:space="preserve">Tablestacado metálico </v>
          </cell>
          <cell r="F156" t="str">
            <v>M2</v>
          </cell>
          <cell r="G156">
            <v>0</v>
          </cell>
          <cell r="H156">
            <v>0</v>
          </cell>
          <cell r="K156">
            <v>6</v>
          </cell>
          <cell r="L156" t="str">
            <v>ESTRUCTURAS Y DRENAJES</v>
          </cell>
          <cell r="M156" t="str">
            <v>Tablestacados</v>
          </cell>
        </row>
        <row r="157">
          <cell r="A157" t="str">
            <v>622.3</v>
          </cell>
          <cell r="B157" t="str">
            <v>622-07</v>
          </cell>
          <cell r="C157">
            <v>0</v>
          </cell>
          <cell r="D157" t="str">
            <v>3.6.6.5.2</v>
          </cell>
          <cell r="E157" t="str">
            <v xml:space="preserve">Tablestacado de concreto reforzado </v>
          </cell>
          <cell r="F157" t="str">
            <v>M2</v>
          </cell>
          <cell r="G157">
            <v>0</v>
          </cell>
          <cell r="H157">
            <v>0</v>
          </cell>
          <cell r="K157">
            <v>6</v>
          </cell>
          <cell r="L157" t="str">
            <v>ESTRUCTURAS Y DRENAJES</v>
          </cell>
          <cell r="M157" t="str">
            <v>Tablestacados</v>
          </cell>
        </row>
        <row r="158">
          <cell r="A158" t="str">
            <v>622.4</v>
          </cell>
          <cell r="B158" t="str">
            <v>622-07</v>
          </cell>
          <cell r="C158">
            <v>0</v>
          </cell>
          <cell r="D158" t="str">
            <v>3.6.6.5.4 </v>
          </cell>
          <cell r="E158" t="str">
            <v xml:space="preserve">Tablestacado de concreto preesforzado </v>
          </cell>
          <cell r="F158" t="str">
            <v>M2</v>
          </cell>
          <cell r="G158">
            <v>0</v>
          </cell>
          <cell r="H158">
            <v>0</v>
          </cell>
          <cell r="K158">
            <v>6</v>
          </cell>
          <cell r="L158" t="str">
            <v>ESTRUCTURAS Y DRENAJES</v>
          </cell>
          <cell r="M158" t="str">
            <v>Tablestacados</v>
          </cell>
        </row>
        <row r="159">
          <cell r="A159" t="str">
            <v>622.5</v>
          </cell>
          <cell r="B159" t="str">
            <v>622-07</v>
          </cell>
          <cell r="C159">
            <v>0</v>
          </cell>
          <cell r="D159" t="str">
            <v>3.6.6.5.5</v>
          </cell>
          <cell r="E159" t="str">
            <v xml:space="preserve">Corte del extremo superior del elemento </v>
          </cell>
          <cell r="F159" t="str">
            <v>M</v>
          </cell>
          <cell r="G159">
            <v>0</v>
          </cell>
          <cell r="H159">
            <v>0</v>
          </cell>
          <cell r="K159">
            <v>6</v>
          </cell>
          <cell r="L159" t="str">
            <v>ESTRUCTURAS Y DRENAJES</v>
          </cell>
          <cell r="M159" t="str">
            <v>Tablestacados</v>
          </cell>
        </row>
        <row r="160">
          <cell r="A160" t="str">
            <v>623.1</v>
          </cell>
          <cell r="B160" t="str">
            <v>623-07</v>
          </cell>
          <cell r="C160">
            <v>0</v>
          </cell>
          <cell r="D160" t="str">
            <v>3.6.6.8</v>
          </cell>
          <cell r="E160" t="str">
            <v xml:space="preserve">Anclaje tipo _____ </v>
          </cell>
          <cell r="F160" t="str">
            <v>M</v>
          </cell>
          <cell r="G160">
            <v>0</v>
          </cell>
          <cell r="H160">
            <v>0</v>
          </cell>
          <cell r="K160">
            <v>6</v>
          </cell>
          <cell r="L160" t="str">
            <v>ESTRUCTURAS Y DRENAJES</v>
          </cell>
          <cell r="M160" t="str">
            <v>Anclajes</v>
          </cell>
        </row>
        <row r="161">
          <cell r="A161" t="str">
            <v>623.1</v>
          </cell>
          <cell r="B161" t="str">
            <v>623-07</v>
          </cell>
          <cell r="C161">
            <v>0</v>
          </cell>
          <cell r="D161" t="str">
            <v>3.6.6.8</v>
          </cell>
          <cell r="E161" t="str">
            <v xml:space="preserve">Prueba de carga </v>
          </cell>
          <cell r="F161" t="str">
            <v>U</v>
          </cell>
          <cell r="G161">
            <v>0</v>
          </cell>
          <cell r="H161">
            <v>0</v>
          </cell>
          <cell r="K161">
            <v>6</v>
          </cell>
          <cell r="L161" t="str">
            <v>ESTRUCTURAS Y DRENAJES</v>
          </cell>
          <cell r="M161" t="str">
            <v>Anclajes</v>
          </cell>
        </row>
        <row r="162">
          <cell r="A162" t="str">
            <v>630.1</v>
          </cell>
          <cell r="B162" t="str">
            <v>630-07</v>
          </cell>
          <cell r="C162">
            <v>0</v>
          </cell>
          <cell r="D162" t="str">
            <v>3.6.6.6.8</v>
          </cell>
          <cell r="E162" t="str">
            <v xml:space="preserve">Concreto Clase A </v>
          </cell>
          <cell r="F162" t="str">
            <v>M3</v>
          </cell>
          <cell r="G162">
            <v>1</v>
          </cell>
          <cell r="H162">
            <v>903127</v>
          </cell>
          <cell r="K162">
            <v>6</v>
          </cell>
          <cell r="L162" t="str">
            <v>ESTRUCTURAS Y DRENAJES</v>
          </cell>
          <cell r="M162" t="str">
            <v>Concreto estructural</v>
          </cell>
        </row>
        <row r="163">
          <cell r="A163" t="str">
            <v>630.2</v>
          </cell>
          <cell r="B163" t="str">
            <v>630-07</v>
          </cell>
          <cell r="C163">
            <v>0</v>
          </cell>
          <cell r="D163" t="str">
            <v>3.6.6.6.17</v>
          </cell>
          <cell r="E163" t="str">
            <v xml:space="preserve">Concreto Clase B </v>
          </cell>
          <cell r="F163" t="str">
            <v>M3</v>
          </cell>
          <cell r="G163">
            <v>1</v>
          </cell>
          <cell r="H163">
            <v>879050</v>
          </cell>
          <cell r="K163">
            <v>6</v>
          </cell>
          <cell r="L163" t="str">
            <v>ESTRUCTURAS Y DRENAJES</v>
          </cell>
          <cell r="M163" t="str">
            <v>Concreto estructural</v>
          </cell>
        </row>
        <row r="164">
          <cell r="A164" t="str">
            <v>630.3</v>
          </cell>
          <cell r="B164" t="str">
            <v>630-07</v>
          </cell>
          <cell r="C164">
            <v>0</v>
          </cell>
          <cell r="D164" t="str">
            <v xml:space="preserve"> 3.6.6.6.26</v>
          </cell>
          <cell r="E164" t="str">
            <v xml:space="preserve">Concreto Clase C </v>
          </cell>
          <cell r="F164" t="str">
            <v>M3</v>
          </cell>
          <cell r="G164">
            <v>1</v>
          </cell>
          <cell r="H164">
            <v>606256</v>
          </cell>
          <cell r="K164">
            <v>6</v>
          </cell>
          <cell r="L164" t="str">
            <v>ESTRUCTURAS Y DRENAJES</v>
          </cell>
          <cell r="M164" t="str">
            <v>Concreto estructural</v>
          </cell>
        </row>
        <row r="165">
          <cell r="A165" t="str">
            <v>630.4</v>
          </cell>
          <cell r="B165" t="str">
            <v>630-07</v>
          </cell>
          <cell r="C165" t="str">
            <v>3.6.6.6.35</v>
          </cell>
          <cell r="D165" t="str">
            <v xml:space="preserve">3.6.6.6.35 </v>
          </cell>
          <cell r="E165" t="str">
            <v xml:space="preserve">Concreto Clase D </v>
          </cell>
          <cell r="F165" t="str">
            <v>M3</v>
          </cell>
          <cell r="G165">
            <v>1</v>
          </cell>
          <cell r="H165">
            <v>453676</v>
          </cell>
          <cell r="I165">
            <v>0</v>
          </cell>
          <cell r="K165">
            <v>6</v>
          </cell>
          <cell r="L165" t="str">
            <v>ESTRUCTURAS Y DRENAJES</v>
          </cell>
          <cell r="M165" t="str">
            <v>Concreto estructural</v>
          </cell>
        </row>
        <row r="166">
          <cell r="A166" t="str">
            <v>630.5</v>
          </cell>
          <cell r="B166" t="str">
            <v>630-07</v>
          </cell>
          <cell r="C166">
            <v>0</v>
          </cell>
          <cell r="D166" t="str">
            <v>3.6.6.6.44</v>
          </cell>
          <cell r="E166" t="str">
            <v xml:space="preserve">Concreto Clase E </v>
          </cell>
          <cell r="F166" t="str">
            <v>M3</v>
          </cell>
          <cell r="G166">
            <v>1</v>
          </cell>
          <cell r="H166">
            <v>431078</v>
          </cell>
          <cell r="K166">
            <v>6</v>
          </cell>
          <cell r="L166" t="str">
            <v>ESTRUCTURAS Y DRENAJES</v>
          </cell>
          <cell r="M166" t="str">
            <v>Concreto estructural</v>
          </cell>
        </row>
        <row r="167">
          <cell r="A167" t="str">
            <v>630.6</v>
          </cell>
          <cell r="B167" t="str">
            <v>630-07</v>
          </cell>
          <cell r="C167" t="str">
            <v>3.6.6.6.46</v>
          </cell>
          <cell r="D167" t="str">
            <v>3.6.6.6.46</v>
          </cell>
          <cell r="E167" t="str">
            <v xml:space="preserve">Concreto Clase F </v>
          </cell>
          <cell r="F167" t="str">
            <v>M3</v>
          </cell>
          <cell r="G167">
            <v>1</v>
          </cell>
          <cell r="H167">
            <v>392422</v>
          </cell>
          <cell r="K167">
            <v>6</v>
          </cell>
          <cell r="L167" t="str">
            <v>ESTRUCTURAS Y DRENAJES</v>
          </cell>
          <cell r="M167" t="str">
            <v>Concreto estructural</v>
          </cell>
        </row>
        <row r="168">
          <cell r="A168" t="str">
            <v>630.7</v>
          </cell>
          <cell r="B168" t="str">
            <v>630-07</v>
          </cell>
          <cell r="C168" t="str">
            <v>3.6.6.6.47</v>
          </cell>
          <cell r="D168" t="str">
            <v>3.6.6.6.47</v>
          </cell>
          <cell r="E168" t="str">
            <v xml:space="preserve">Concreto Clase G </v>
          </cell>
          <cell r="F168" t="str">
            <v>M3</v>
          </cell>
          <cell r="G168">
            <v>1</v>
          </cell>
          <cell r="H168">
            <v>328306</v>
          </cell>
          <cell r="K168">
            <v>6</v>
          </cell>
          <cell r="L168" t="str">
            <v>ESTRUCTURAS Y DRENAJES</v>
          </cell>
          <cell r="M168" t="str">
            <v>Concreto estructural</v>
          </cell>
        </row>
        <row r="169">
          <cell r="A169" t="str">
            <v>633.1P</v>
          </cell>
          <cell r="B169" t="str">
            <v>633-P</v>
          </cell>
          <cell r="C169">
            <v>0</v>
          </cell>
          <cell r="D169" t="e">
            <v>#N/A</v>
          </cell>
          <cell r="E169" t="str">
            <v>Mortero 1:3</v>
          </cell>
          <cell r="F169" t="str">
            <v>M3</v>
          </cell>
          <cell r="G169">
            <v>1</v>
          </cell>
          <cell r="H169">
            <v>253355</v>
          </cell>
          <cell r="K169">
            <v>6</v>
          </cell>
          <cell r="L169" t="str">
            <v>ESTRUCTURAS Y DRENAJES</v>
          </cell>
          <cell r="M169" t="str">
            <v>Concreto estructural</v>
          </cell>
        </row>
        <row r="170">
          <cell r="A170" t="str">
            <v>633.2P</v>
          </cell>
          <cell r="B170" t="str">
            <v>633-P</v>
          </cell>
          <cell r="C170">
            <v>0</v>
          </cell>
          <cell r="D170" t="e">
            <v>#N/A</v>
          </cell>
          <cell r="E170" t="str">
            <v>Mortero epoxico</v>
          </cell>
          <cell r="F170" t="str">
            <v>M2</v>
          </cell>
          <cell r="G170">
            <v>1</v>
          </cell>
          <cell r="H170">
            <v>226553</v>
          </cell>
          <cell r="K170">
            <v>0</v>
          </cell>
          <cell r="L170">
            <v>0</v>
          </cell>
          <cell r="M170">
            <v>0</v>
          </cell>
        </row>
        <row r="171">
          <cell r="A171" t="str">
            <v>632.1</v>
          </cell>
          <cell r="B171" t="str">
            <v>632-07</v>
          </cell>
          <cell r="C171">
            <v>0</v>
          </cell>
          <cell r="D171" t="str">
            <v>3.6.6.7.1</v>
          </cell>
          <cell r="E171" t="str">
            <v xml:space="preserve">Baranda de concreto </v>
          </cell>
          <cell r="F171" t="str">
            <v>M</v>
          </cell>
          <cell r="G171">
            <v>0</v>
          </cell>
          <cell r="H171">
            <v>0</v>
          </cell>
          <cell r="K171">
            <v>6</v>
          </cell>
          <cell r="L171" t="str">
            <v>ESTRUCTURAS Y DRENAJES</v>
          </cell>
          <cell r="M171" t="str">
            <v>Barandas de concreto</v>
          </cell>
        </row>
        <row r="172">
          <cell r="A172" t="str">
            <v>651.1P</v>
          </cell>
          <cell r="B172" t="str">
            <v>651-P</v>
          </cell>
          <cell r="C172">
            <v>0</v>
          </cell>
          <cell r="D172" t="str">
            <v>3.6.7.5</v>
          </cell>
          <cell r="E172" t="str">
            <v>Baranda metálica para tráfio peatonal</v>
          </cell>
          <cell r="F172" t="str">
            <v>M</v>
          </cell>
          <cell r="G172">
            <v>1</v>
          </cell>
          <cell r="H172">
            <v>231186</v>
          </cell>
          <cell r="K172">
            <v>6</v>
          </cell>
          <cell r="L172" t="str">
            <v>ESTRUCTURAS Y DRENAJES</v>
          </cell>
          <cell r="M172" t="str">
            <v>Barandas metálicas</v>
          </cell>
        </row>
        <row r="173">
          <cell r="A173" t="str">
            <v>651.2P</v>
          </cell>
          <cell r="B173" t="str">
            <v>651-P</v>
          </cell>
          <cell r="C173">
            <v>0</v>
          </cell>
          <cell r="D173" t="str">
            <v>3.6.7.5.1</v>
          </cell>
          <cell r="E173" t="str">
            <v>Baranda metálica para tráfico vehicular</v>
          </cell>
          <cell r="F173" t="str">
            <v>M</v>
          </cell>
          <cell r="G173">
            <v>1</v>
          </cell>
          <cell r="H173">
            <v>480537</v>
          </cell>
          <cell r="K173">
            <v>6</v>
          </cell>
          <cell r="L173" t="str">
            <v>ESTRUCTURAS Y DRENAJES</v>
          </cell>
          <cell r="M173" t="str">
            <v>Barandas metálicas</v>
          </cell>
        </row>
        <row r="174">
          <cell r="A174" t="str">
            <v>640.1</v>
          </cell>
          <cell r="B174" t="str">
            <v>640-07</v>
          </cell>
          <cell r="C174" t="str">
            <v>3.6.6.8.3</v>
          </cell>
          <cell r="D174" t="str">
            <v>3.6.6.8.1 </v>
          </cell>
          <cell r="E174" t="str">
            <v xml:space="preserve">Acero de refuerzo fy 4,2 MPa </v>
          </cell>
          <cell r="F174" t="str">
            <v>Kg</v>
          </cell>
          <cell r="G174">
            <v>1</v>
          </cell>
          <cell r="H174">
            <v>4213</v>
          </cell>
          <cell r="K174">
            <v>6</v>
          </cell>
          <cell r="L174" t="str">
            <v>ESTRUCTURAS Y DRENAJES</v>
          </cell>
          <cell r="M174" t="str">
            <v>Acero de refuerzo</v>
          </cell>
        </row>
        <row r="175">
          <cell r="A175" t="str">
            <v>640.2</v>
          </cell>
          <cell r="B175" t="str">
            <v>640-07</v>
          </cell>
          <cell r="C175">
            <v>0</v>
          </cell>
          <cell r="D175" t="str">
            <v> 3.6.6.8.2 </v>
          </cell>
          <cell r="E175" t="str">
            <v xml:space="preserve">Malla de refuerzo fy ___ MPa </v>
          </cell>
          <cell r="F175" t="str">
            <v>Kg</v>
          </cell>
          <cell r="G175">
            <v>0</v>
          </cell>
          <cell r="H175">
            <v>0</v>
          </cell>
          <cell r="K175">
            <v>6</v>
          </cell>
          <cell r="L175" t="str">
            <v>ESTRUCTURAS Y DRENAJES</v>
          </cell>
          <cell r="M175" t="str">
            <v>Acero de refuerzo</v>
          </cell>
        </row>
        <row r="176">
          <cell r="A176" t="str">
            <v>641.1</v>
          </cell>
          <cell r="B176" t="str">
            <v>641-07</v>
          </cell>
          <cell r="C176">
            <v>0</v>
          </cell>
          <cell r="D176" t="str">
            <v>3.6.6.9.1</v>
          </cell>
          <cell r="E176" t="str">
            <v xml:space="preserve">Acero de preesfuerzo </v>
          </cell>
          <cell r="F176" t="str">
            <v>Ton-M</v>
          </cell>
          <cell r="G176">
            <v>0</v>
          </cell>
          <cell r="H176">
            <v>0</v>
          </cell>
          <cell r="K176">
            <v>6</v>
          </cell>
          <cell r="L176" t="str">
            <v>ESTRUCTURAS Y DRENAJES</v>
          </cell>
          <cell r="M176" t="str">
            <v>Acero de preesfuerzo</v>
          </cell>
        </row>
        <row r="177">
          <cell r="A177" t="str">
            <v>641.2</v>
          </cell>
          <cell r="B177" t="str">
            <v>641-07</v>
          </cell>
          <cell r="C177">
            <v>0</v>
          </cell>
          <cell r="D177" t="str">
            <v>3.6.6.9</v>
          </cell>
          <cell r="E177" t="str">
            <v xml:space="preserve">Acero de preesfuerzo </v>
          </cell>
          <cell r="F177" t="str">
            <v>Kg</v>
          </cell>
          <cell r="G177">
            <v>0</v>
          </cell>
          <cell r="H177">
            <v>0</v>
          </cell>
          <cell r="K177">
            <v>6</v>
          </cell>
          <cell r="L177" t="str">
            <v>ESTRUCTURAS Y DRENAJES</v>
          </cell>
          <cell r="M177" t="str">
            <v>Acero de preesfuerzo</v>
          </cell>
        </row>
        <row r="178">
          <cell r="A178" t="str">
            <v>642.1</v>
          </cell>
          <cell r="B178" t="str">
            <v>642-07</v>
          </cell>
          <cell r="C178">
            <v>0</v>
          </cell>
          <cell r="D178" t="str">
            <v>3.6.6.10.1</v>
          </cell>
          <cell r="E178" t="str">
            <v xml:space="preserve">Apoyo elastomérico </v>
          </cell>
          <cell r="F178" t="str">
            <v>U</v>
          </cell>
          <cell r="G178">
            <v>0</v>
          </cell>
          <cell r="H178">
            <v>0</v>
          </cell>
          <cell r="K178">
            <v>6</v>
          </cell>
          <cell r="L178" t="str">
            <v>ESTRUCTURAS Y DRENAJES</v>
          </cell>
          <cell r="M178" t="str">
            <v>Apoyos y sellos para juntas de puentes</v>
          </cell>
        </row>
        <row r="179">
          <cell r="A179" t="str">
            <v>642.2</v>
          </cell>
          <cell r="B179" t="str">
            <v>642-07</v>
          </cell>
          <cell r="C179">
            <v>0</v>
          </cell>
          <cell r="D179" t="str">
            <v>3.6.6.10.2</v>
          </cell>
          <cell r="E179" t="str">
            <v xml:space="preserve">Sello para juntas de puentes </v>
          </cell>
          <cell r="F179" t="str">
            <v>M</v>
          </cell>
          <cell r="G179">
            <v>2</v>
          </cell>
          <cell r="H179">
            <v>43752</v>
          </cell>
          <cell r="K179">
            <v>6</v>
          </cell>
          <cell r="L179" t="str">
            <v>ESTRUCTURAS Y DRENAJES</v>
          </cell>
          <cell r="M179" t="str">
            <v>Apoyos y sellos para juntas de puentes</v>
          </cell>
        </row>
        <row r="180">
          <cell r="A180" t="str">
            <v>650.1</v>
          </cell>
          <cell r="B180" t="str">
            <v>650-07</v>
          </cell>
          <cell r="C180">
            <v>0</v>
          </cell>
          <cell r="D180" t="str">
            <v>3.6.6.11.1</v>
          </cell>
          <cell r="E180" t="str">
            <v xml:space="preserve">Diseño y fabricación de estructura metálica </v>
          </cell>
          <cell r="F180" t="str">
            <v>Kg</v>
          </cell>
          <cell r="G180">
            <v>0</v>
          </cell>
          <cell r="H180">
            <v>0</v>
          </cell>
          <cell r="K180">
            <v>6</v>
          </cell>
          <cell r="L180" t="str">
            <v>ESTRUCTURAS Y DRENAJES</v>
          </cell>
          <cell r="M180" t="str">
            <v>Estructuras de acero</v>
          </cell>
        </row>
        <row r="181">
          <cell r="A181" t="str">
            <v>650.2</v>
          </cell>
          <cell r="B181" t="str">
            <v>650-07</v>
          </cell>
          <cell r="C181">
            <v>0</v>
          </cell>
          <cell r="D181" t="str">
            <v>3.6.6.11.2</v>
          </cell>
          <cell r="E181" t="str">
            <v xml:space="preserve">Fabricación de la estructura metálica </v>
          </cell>
          <cell r="F181" t="str">
            <v>Kg</v>
          </cell>
          <cell r="G181">
            <v>0</v>
          </cell>
          <cell r="H181">
            <v>0</v>
          </cell>
          <cell r="K181">
            <v>6</v>
          </cell>
          <cell r="L181" t="str">
            <v>ESTRUCTURAS Y DRENAJES</v>
          </cell>
          <cell r="M181" t="str">
            <v>Estructuras de acero</v>
          </cell>
        </row>
        <row r="182">
          <cell r="A182" t="str">
            <v>650.3</v>
          </cell>
          <cell r="B182" t="str">
            <v>650-07</v>
          </cell>
          <cell r="C182">
            <v>0</v>
          </cell>
          <cell r="D182" t="str">
            <v>3.6.6.11.7</v>
          </cell>
          <cell r="E182" t="str">
            <v xml:space="preserve">Transporte de estructura metálica </v>
          </cell>
          <cell r="F182" t="str">
            <v>Kg</v>
          </cell>
          <cell r="G182">
            <v>0</v>
          </cell>
          <cell r="H182">
            <v>0</v>
          </cell>
          <cell r="K182">
            <v>6</v>
          </cell>
          <cell r="L182" t="str">
            <v>ESTRUCTURAS Y DRENAJES</v>
          </cell>
          <cell r="M182" t="str">
            <v>Estructuras de acero</v>
          </cell>
        </row>
        <row r="183">
          <cell r="A183" t="str">
            <v>650.4</v>
          </cell>
          <cell r="B183" t="str">
            <v>650-07</v>
          </cell>
          <cell r="C183">
            <v>0</v>
          </cell>
          <cell r="D183" t="str">
            <v>3.6.6.11.6</v>
          </cell>
          <cell r="E183" t="str">
            <v xml:space="preserve">Montaje y pintura de estructura metálica </v>
          </cell>
          <cell r="F183" t="str">
            <v>Kg</v>
          </cell>
          <cell r="G183">
            <v>0</v>
          </cell>
          <cell r="H183">
            <v>1296</v>
          </cell>
          <cell r="K183">
            <v>6</v>
          </cell>
          <cell r="L183" t="str">
            <v>ESTRUCTURAS Y DRENAJES</v>
          </cell>
          <cell r="M183" t="str">
            <v>Estructuras de acero</v>
          </cell>
        </row>
        <row r="184">
          <cell r="A184" t="str">
            <v>660.1</v>
          </cell>
          <cell r="B184" t="str">
            <v>660-07</v>
          </cell>
          <cell r="C184">
            <v>0</v>
          </cell>
          <cell r="D184" t="str">
            <v>3.6.6.12.9 </v>
          </cell>
          <cell r="E184" t="str">
            <v xml:space="preserve">Tubería de concreto simple de diámetro 450 mm </v>
          </cell>
          <cell r="F184" t="str">
            <v>M</v>
          </cell>
          <cell r="G184">
            <v>0</v>
          </cell>
          <cell r="H184">
            <v>0</v>
          </cell>
          <cell r="K184">
            <v>6</v>
          </cell>
          <cell r="L184" t="str">
            <v>ESTRUCTURAS Y DRENAJES</v>
          </cell>
          <cell r="M184" t="str">
            <v>Tubería de concreto simple</v>
          </cell>
        </row>
        <row r="185">
          <cell r="A185" t="str">
            <v>660.2</v>
          </cell>
          <cell r="B185" t="str">
            <v>660-07</v>
          </cell>
          <cell r="C185">
            <v>0</v>
          </cell>
          <cell r="D185" t="str">
            <v>3.6.6.12.8</v>
          </cell>
          <cell r="E185" t="str">
            <v xml:space="preserve">Tubería de concreto simple de diámetro 500 mm </v>
          </cell>
          <cell r="F185" t="str">
            <v>M</v>
          </cell>
          <cell r="G185">
            <v>0</v>
          </cell>
          <cell r="H185">
            <v>0</v>
          </cell>
          <cell r="K185">
            <v>6</v>
          </cell>
          <cell r="L185" t="str">
            <v>ESTRUCTURAS Y DRENAJES</v>
          </cell>
          <cell r="M185" t="str">
            <v>Tubería de concreto simple</v>
          </cell>
        </row>
        <row r="186">
          <cell r="A186" t="str">
            <v>660.3</v>
          </cell>
          <cell r="B186" t="str">
            <v>660-07</v>
          </cell>
          <cell r="C186">
            <v>0</v>
          </cell>
          <cell r="D186" t="str">
            <v>3.6.6.12.9</v>
          </cell>
          <cell r="E186" t="str">
            <v xml:space="preserve">Tubería de concreto simple de diámetro 600 mm </v>
          </cell>
          <cell r="F186" t="str">
            <v>M</v>
          </cell>
          <cell r="G186">
            <v>0</v>
          </cell>
          <cell r="H186">
            <v>0</v>
          </cell>
          <cell r="K186">
            <v>6</v>
          </cell>
          <cell r="L186" t="str">
            <v>ESTRUCTURAS Y DRENAJES</v>
          </cell>
          <cell r="M186" t="str">
            <v>Tubería de concreto simple</v>
          </cell>
        </row>
        <row r="187">
          <cell r="A187" t="str">
            <v>661.1</v>
          </cell>
          <cell r="B187" t="str">
            <v>661-07</v>
          </cell>
          <cell r="C187">
            <v>0</v>
          </cell>
          <cell r="D187" t="str">
            <v>3.6.6.13.4</v>
          </cell>
          <cell r="E187" t="str">
            <v>Tubería de concreto reforzado de 900 mm de diámetro interior</v>
          </cell>
          <cell r="F187" t="str">
            <v>M</v>
          </cell>
          <cell r="G187">
            <v>1</v>
          </cell>
          <cell r="H187">
            <v>774714</v>
          </cell>
          <cell r="K187">
            <v>6</v>
          </cell>
          <cell r="L187" t="str">
            <v>ESTRUCTURAS Y DRENAJES</v>
          </cell>
          <cell r="M187" t="str">
            <v>Tubería de concreto reforzado</v>
          </cell>
        </row>
        <row r="188">
          <cell r="A188" t="str">
            <v>662.1</v>
          </cell>
          <cell r="B188" t="str">
            <v>662-07</v>
          </cell>
          <cell r="C188">
            <v>0</v>
          </cell>
          <cell r="D188" t="str">
            <v>3.3.14.19.1</v>
          </cell>
          <cell r="E188" t="str">
            <v xml:space="preserve">Tubería corrugada de acero galvanizado, de lámina calibre ___ y diámetro (mm) </v>
          </cell>
          <cell r="F188" t="str">
            <v>M</v>
          </cell>
          <cell r="G188">
            <v>0</v>
          </cell>
          <cell r="H188">
            <v>0</v>
          </cell>
          <cell r="K188">
            <v>6</v>
          </cell>
          <cell r="L188" t="str">
            <v>ESTRUCTURAS Y DRENAJES</v>
          </cell>
          <cell r="M188" t="str">
            <v>Tubería metálica corrugada</v>
          </cell>
        </row>
        <row r="189">
          <cell r="A189" t="str">
            <v>662.2</v>
          </cell>
          <cell r="B189" t="str">
            <v>662-07</v>
          </cell>
          <cell r="C189">
            <v>0</v>
          </cell>
          <cell r="D189" t="str">
            <v>3.6.6.14</v>
          </cell>
          <cell r="E189" t="str">
            <v xml:space="preserve">Tubería corrugada de acero con recubrimiento bituminoso, de lámina calibre ___ y diámetro ___ (mm) </v>
          </cell>
          <cell r="F189" t="str">
            <v>M</v>
          </cell>
          <cell r="G189">
            <v>0</v>
          </cell>
          <cell r="H189">
            <v>0</v>
          </cell>
          <cell r="K189">
            <v>6</v>
          </cell>
          <cell r="L189" t="str">
            <v>ESTRUCTURAS Y DRENAJES</v>
          </cell>
          <cell r="M189" t="str">
            <v>Tubería metálica corrugada</v>
          </cell>
        </row>
        <row r="190">
          <cell r="A190" t="str">
            <v>670.1</v>
          </cell>
          <cell r="B190" t="str">
            <v>670-07</v>
          </cell>
          <cell r="C190">
            <v>0</v>
          </cell>
          <cell r="D190" t="str">
            <v>3.6.6.15.2</v>
          </cell>
          <cell r="E190" t="str">
            <v xml:space="preserve">Disipadores de energía y sedimentadores en gaviones. </v>
          </cell>
          <cell r="F190" t="str">
            <v>M3</v>
          </cell>
          <cell r="G190">
            <v>0</v>
          </cell>
          <cell r="H190">
            <v>0</v>
          </cell>
          <cell r="K190">
            <v>6</v>
          </cell>
          <cell r="L190" t="str">
            <v>ESTRUCTURAS Y DRENAJES</v>
          </cell>
          <cell r="M190" t="str">
            <v>Disipadores de energía y sedimentadores</v>
          </cell>
        </row>
        <row r="191">
          <cell r="A191" t="str">
            <v>670.2</v>
          </cell>
          <cell r="B191" t="str">
            <v>670-07</v>
          </cell>
          <cell r="C191">
            <v>0</v>
          </cell>
          <cell r="D191" t="str">
            <v>3.6.6.15.2</v>
          </cell>
          <cell r="E191" t="str">
            <v>Disipadores de energía y sedimentadores en concreto ciclópeo.</v>
          </cell>
          <cell r="F191" t="str">
            <v>M3</v>
          </cell>
          <cell r="G191">
            <v>1</v>
          </cell>
          <cell r="H191">
            <v>392299</v>
          </cell>
          <cell r="K191">
            <v>6</v>
          </cell>
          <cell r="L191" t="str">
            <v>ESTRUCTURAS Y DRENAJES</v>
          </cell>
          <cell r="M191" t="str">
            <v>Disipadores de energía y sedimentadores</v>
          </cell>
        </row>
        <row r="192">
          <cell r="A192" t="str">
            <v>671.1</v>
          </cell>
          <cell r="B192" t="str">
            <v>671-07</v>
          </cell>
          <cell r="C192">
            <v>0</v>
          </cell>
          <cell r="D192" t="str">
            <v>3.6.6.16.1</v>
          </cell>
          <cell r="E192" t="str">
            <v xml:space="preserve">Cuneta de concreto fundida en el lugar </v>
          </cell>
          <cell r="F192" t="str">
            <v>M3</v>
          </cell>
          <cell r="G192">
            <v>1</v>
          </cell>
          <cell r="H192">
            <v>473032</v>
          </cell>
          <cell r="I192">
            <v>0</v>
          </cell>
          <cell r="K192">
            <v>6</v>
          </cell>
          <cell r="L192" t="str">
            <v>ESTRUCTURAS Y DRENAJES</v>
          </cell>
          <cell r="M192" t="str">
            <v>Cunetas revestidas en concreto</v>
          </cell>
        </row>
        <row r="193">
          <cell r="A193" t="str">
            <v>671.2</v>
          </cell>
          <cell r="B193" t="str">
            <v>671-07</v>
          </cell>
          <cell r="C193">
            <v>0</v>
          </cell>
          <cell r="D193" t="str">
            <v> 3.6.6.16.8</v>
          </cell>
          <cell r="E193" t="str">
            <v xml:space="preserve">Cuneta prefabricada de concreto </v>
          </cell>
          <cell r="F193" t="str">
            <v>M</v>
          </cell>
          <cell r="G193">
            <v>0</v>
          </cell>
          <cell r="H193">
            <v>0</v>
          </cell>
          <cell r="I193">
            <v>0</v>
          </cell>
          <cell r="K193">
            <v>6</v>
          </cell>
          <cell r="L193" t="str">
            <v>ESTRUCTURAS Y DRENAJES</v>
          </cell>
          <cell r="M193" t="str">
            <v>Cunetas revestidas en concreto</v>
          </cell>
        </row>
        <row r="194">
          <cell r="A194" t="str">
            <v>672.1</v>
          </cell>
          <cell r="B194" t="str">
            <v>672-07</v>
          </cell>
          <cell r="C194" t="str">
            <v>3.6.6.17.21</v>
          </cell>
          <cell r="D194" t="str">
            <v>3.6.6.19.2</v>
          </cell>
          <cell r="E194" t="str">
            <v>Bordillo de concreto</v>
          </cell>
          <cell r="F194" t="str">
            <v>M</v>
          </cell>
          <cell r="G194">
            <v>1</v>
          </cell>
          <cell r="H194">
            <v>56934</v>
          </cell>
          <cell r="I194">
            <v>0</v>
          </cell>
          <cell r="K194">
            <v>6</v>
          </cell>
          <cell r="L194" t="str">
            <v>ESTRUCTURAS Y DRENAJES</v>
          </cell>
          <cell r="M194" t="str">
            <v>Bordillos de concreto</v>
          </cell>
        </row>
        <row r="195">
          <cell r="A195" t="str">
            <v>673.1</v>
          </cell>
          <cell r="B195" t="str">
            <v>673-07</v>
          </cell>
          <cell r="C195">
            <v>0</v>
          </cell>
          <cell r="D195" t="str">
            <v>3.6.6.19.2</v>
          </cell>
          <cell r="E195" t="str">
            <v>Material granular filtrante</v>
          </cell>
          <cell r="F195" t="str">
            <v>M3</v>
          </cell>
          <cell r="G195">
            <v>1</v>
          </cell>
          <cell r="H195">
            <v>109330</v>
          </cell>
          <cell r="I195">
            <v>0</v>
          </cell>
          <cell r="K195">
            <v>6</v>
          </cell>
          <cell r="L195" t="str">
            <v>ESTRUCTURAS Y DRENAJES</v>
          </cell>
          <cell r="M195" t="str">
            <v>Subdrenes con geotextil y material granular</v>
          </cell>
        </row>
        <row r="196">
          <cell r="A196" t="str">
            <v>673.2</v>
          </cell>
          <cell r="B196" t="str">
            <v>673-07</v>
          </cell>
          <cell r="C196">
            <v>0</v>
          </cell>
          <cell r="D196" t="str">
            <v> 3.6.8.2.4 </v>
          </cell>
          <cell r="E196" t="str">
            <v>Geotextil</v>
          </cell>
          <cell r="F196" t="str">
            <v>M2</v>
          </cell>
          <cell r="G196">
            <v>1</v>
          </cell>
          <cell r="H196">
            <v>7062</v>
          </cell>
          <cell r="I196">
            <v>0</v>
          </cell>
          <cell r="K196">
            <v>6</v>
          </cell>
          <cell r="L196" t="str">
            <v>ESTRUCTURAS Y DRENAJES</v>
          </cell>
          <cell r="M196" t="str">
            <v>Subdrenes con geotextil y material granular</v>
          </cell>
        </row>
        <row r="197">
          <cell r="A197" t="str">
            <v>673.3</v>
          </cell>
          <cell r="B197" t="str">
            <v>673-07</v>
          </cell>
          <cell r="C197">
            <v>0</v>
          </cell>
          <cell r="D197" t="str">
            <v>3.6.8.1.2</v>
          </cell>
          <cell r="E197" t="str">
            <v>Material de cobertura</v>
          </cell>
          <cell r="F197" t="str">
            <v>M3</v>
          </cell>
          <cell r="G197">
            <v>1</v>
          </cell>
          <cell r="H197">
            <v>132077</v>
          </cell>
          <cell r="I197">
            <v>0</v>
          </cell>
          <cell r="K197">
            <v>6</v>
          </cell>
          <cell r="L197" t="str">
            <v>ESTRUCTURAS Y DRENAJES</v>
          </cell>
          <cell r="M197" t="str">
            <v>Subdrenes con geotextil y material granular</v>
          </cell>
        </row>
        <row r="198">
          <cell r="A198" t="str">
            <v>674.1</v>
          </cell>
          <cell r="B198" t="str">
            <v>674-07</v>
          </cell>
          <cell r="C198">
            <v>0</v>
          </cell>
          <cell r="D198" t="str">
            <v>3.6.6.20.1</v>
          </cell>
          <cell r="E198" t="str">
            <v>Dren horizontal de longitud menor o igual a diez (10) metros.</v>
          </cell>
          <cell r="F198" t="str">
            <v>Ml</v>
          </cell>
          <cell r="G198">
            <v>0</v>
          </cell>
          <cell r="H198">
            <v>0</v>
          </cell>
          <cell r="K198">
            <v>6</v>
          </cell>
          <cell r="L198" t="str">
            <v>ESTRUCTURAS Y DRENAJES</v>
          </cell>
          <cell r="M198" t="str">
            <v>Drenes horizontales en taludes</v>
          </cell>
        </row>
        <row r="199">
          <cell r="A199" t="str">
            <v>674.2</v>
          </cell>
          <cell r="B199" t="str">
            <v>674-07</v>
          </cell>
          <cell r="C199">
            <v>0</v>
          </cell>
          <cell r="D199" t="str">
            <v>3.6.6.20.2</v>
          </cell>
          <cell r="E199" t="str">
            <v xml:space="preserve">Dren horizontal de longitud mayor a diez (10) metros. </v>
          </cell>
          <cell r="F199" t="str">
            <v>Ml</v>
          </cell>
          <cell r="G199">
            <v>0</v>
          </cell>
          <cell r="H199">
            <v>0</v>
          </cell>
          <cell r="K199">
            <v>6</v>
          </cell>
          <cell r="L199" t="str">
            <v>ESTRUCTURAS Y DRENAJES</v>
          </cell>
          <cell r="M199" t="str">
            <v>Drenes horizontales en taludes</v>
          </cell>
        </row>
        <row r="200">
          <cell r="A200" t="str">
            <v>680.1</v>
          </cell>
          <cell r="B200" t="str">
            <v>680-07</v>
          </cell>
          <cell r="C200">
            <v>0</v>
          </cell>
          <cell r="D200" t="str">
            <v>3.6.6.20.1</v>
          </cell>
          <cell r="E200" t="str">
            <v xml:space="preserve">Escamas en concreto </v>
          </cell>
          <cell r="F200" t="str">
            <v>M2</v>
          </cell>
          <cell r="G200">
            <v>0</v>
          </cell>
          <cell r="H200">
            <v>0</v>
          </cell>
          <cell r="K200">
            <v>6</v>
          </cell>
          <cell r="L200" t="str">
            <v>ESTRUCTURAS Y DRENAJES</v>
          </cell>
          <cell r="M200" t="str">
            <v>Tierra armada</v>
          </cell>
        </row>
        <row r="201">
          <cell r="A201" t="str">
            <v>680.2</v>
          </cell>
          <cell r="B201" t="str">
            <v>680-07</v>
          </cell>
          <cell r="C201">
            <v>0</v>
          </cell>
          <cell r="D201" t="str">
            <v>3.6.6.20.2</v>
          </cell>
          <cell r="E201" t="str">
            <v xml:space="preserve">Armadura galvanizada </v>
          </cell>
          <cell r="F201" t="str">
            <v>M</v>
          </cell>
          <cell r="G201">
            <v>2</v>
          </cell>
          <cell r="H201">
            <v>0</v>
          </cell>
          <cell r="K201">
            <v>6</v>
          </cell>
          <cell r="L201" t="str">
            <v>ESTRUCTURAS Y DRENAJES</v>
          </cell>
          <cell r="M201" t="str">
            <v>Tierra armada</v>
          </cell>
        </row>
        <row r="202">
          <cell r="A202" t="str">
            <v>680.3</v>
          </cell>
          <cell r="B202" t="str">
            <v>680-07</v>
          </cell>
          <cell r="C202">
            <v>0</v>
          </cell>
          <cell r="D202" t="str">
            <v>3.6.6.20.3</v>
          </cell>
          <cell r="E202" t="str">
            <v xml:space="preserve">Relleno granular para tierra armada </v>
          </cell>
          <cell r="F202" t="str">
            <v>M3</v>
          </cell>
          <cell r="G202">
            <v>0</v>
          </cell>
          <cell r="H202">
            <v>0</v>
          </cell>
          <cell r="K202">
            <v>6</v>
          </cell>
          <cell r="L202" t="str">
            <v>ESTRUCTURAS Y DRENAJES</v>
          </cell>
          <cell r="M202" t="str">
            <v>Tierra armada</v>
          </cell>
        </row>
        <row r="203">
          <cell r="A203" t="str">
            <v>681.1</v>
          </cell>
          <cell r="B203" t="str">
            <v>681-07</v>
          </cell>
          <cell r="C203" t="str">
            <v>3.6.6.21.1</v>
          </cell>
          <cell r="D203" t="str">
            <v xml:space="preserve">3.6.6.21.1  </v>
          </cell>
          <cell r="E203" t="str">
            <v xml:space="preserve">Gavión </v>
          </cell>
          <cell r="F203" t="str">
            <v>M3</v>
          </cell>
          <cell r="G203">
            <v>1</v>
          </cell>
          <cell r="H203">
            <v>199262</v>
          </cell>
          <cell r="K203">
            <v>6</v>
          </cell>
          <cell r="L203" t="str">
            <v>ESTRUCTURAS Y DRENAJES</v>
          </cell>
          <cell r="M203" t="str">
            <v>Gaviones</v>
          </cell>
        </row>
        <row r="204">
          <cell r="A204" t="str">
            <v>681.2P</v>
          </cell>
          <cell r="B204" t="str">
            <v>681-P</v>
          </cell>
          <cell r="C204">
            <v>0</v>
          </cell>
          <cell r="D204" t="str">
            <v>3.6.6.21</v>
          </cell>
          <cell r="E204" t="str">
            <v>Remoción de gaviones</v>
          </cell>
          <cell r="F204" t="str">
            <v>M3</v>
          </cell>
          <cell r="G204">
            <v>0</v>
          </cell>
          <cell r="H204">
            <v>30996</v>
          </cell>
          <cell r="K204">
            <v>0</v>
          </cell>
          <cell r="L204">
            <v>0</v>
          </cell>
          <cell r="M204">
            <v>0</v>
          </cell>
        </row>
        <row r="205">
          <cell r="A205" t="str">
            <v>681.1P</v>
          </cell>
          <cell r="B205" t="str">
            <v>681-P</v>
          </cell>
          <cell r="C205">
            <v>0</v>
          </cell>
          <cell r="D205" t="str">
            <v>3.6.6.21</v>
          </cell>
          <cell r="E205" t="str">
            <v>Reconstrucción de gaviones</v>
          </cell>
          <cell r="F205" t="str">
            <v>M3</v>
          </cell>
          <cell r="G205">
            <v>1</v>
          </cell>
          <cell r="H205">
            <v>99091</v>
          </cell>
          <cell r="K205">
            <v>6</v>
          </cell>
          <cell r="L205" t="str">
            <v>ESTRUCTURAS Y DRENAJES</v>
          </cell>
          <cell r="M205" t="str">
            <v>Gaviones</v>
          </cell>
        </row>
        <row r="206">
          <cell r="A206" t="str">
            <v>682.1</v>
          </cell>
          <cell r="B206" t="str">
            <v>682-07</v>
          </cell>
          <cell r="C206">
            <v>0</v>
          </cell>
          <cell r="D206" t="str">
            <v>3.2.7.5.3</v>
          </cell>
          <cell r="E206" t="str">
            <v xml:space="preserve">Colchogavión </v>
          </cell>
          <cell r="F206" t="str">
            <v>M3</v>
          </cell>
          <cell r="G206">
            <v>0</v>
          </cell>
          <cell r="H206">
            <v>0</v>
          </cell>
          <cell r="K206">
            <v>6</v>
          </cell>
          <cell r="L206" t="str">
            <v>ESTRUCTURAS Y DRENAJES</v>
          </cell>
          <cell r="M206" t="str">
            <v>Colchogaviones</v>
          </cell>
        </row>
        <row r="207">
          <cell r="A207" t="str">
            <v>674.1P</v>
          </cell>
          <cell r="B207" t="str">
            <v>674-P</v>
          </cell>
          <cell r="C207">
            <v>0</v>
          </cell>
          <cell r="D207" t="str">
            <v>3.6.6.20.1</v>
          </cell>
          <cell r="E207" t="str">
            <v>Drenes horizontales Tubería perforada de 2" sin clasificar</v>
          </cell>
          <cell r="F207" t="str">
            <v>Ml</v>
          </cell>
          <cell r="G207">
            <v>2</v>
          </cell>
          <cell r="H207">
            <v>152231</v>
          </cell>
          <cell r="K207">
            <v>0</v>
          </cell>
          <cell r="L207">
            <v>0</v>
          </cell>
          <cell r="M207">
            <v>0</v>
          </cell>
        </row>
        <row r="208">
          <cell r="A208" t="str">
            <v>690.1</v>
          </cell>
          <cell r="B208" t="str">
            <v>690-07</v>
          </cell>
          <cell r="C208">
            <v>0</v>
          </cell>
          <cell r="D208" t="str">
            <v>3.6.7.1.1</v>
          </cell>
          <cell r="E208" t="str">
            <v xml:space="preserve">Impermeabilización de estructuras </v>
          </cell>
          <cell r="F208" t="str">
            <v>M</v>
          </cell>
          <cell r="G208">
            <v>2</v>
          </cell>
          <cell r="H208">
            <v>0</v>
          </cell>
          <cell r="K208">
            <v>6</v>
          </cell>
          <cell r="L208" t="str">
            <v>ESTRUCTURAS Y DRENAJES</v>
          </cell>
          <cell r="M208" t="str">
            <v>Impermeabilización de estructuras</v>
          </cell>
        </row>
        <row r="209">
          <cell r="A209" t="str">
            <v>692.1P</v>
          </cell>
          <cell r="B209" t="str">
            <v>692-P</v>
          </cell>
          <cell r="C209">
            <v>0</v>
          </cell>
          <cell r="D209" t="e">
            <v>#N/A</v>
          </cell>
          <cell r="E209" t="str">
            <v>Pintura de acabado en estructuras</v>
          </cell>
          <cell r="F209" t="str">
            <v>M2</v>
          </cell>
          <cell r="G209">
            <v>1</v>
          </cell>
          <cell r="H209">
            <v>13579</v>
          </cell>
          <cell r="K209">
            <v>6</v>
          </cell>
          <cell r="L209" t="str">
            <v>ESTRUCTURAS Y DRENAJES</v>
          </cell>
          <cell r="M209" t="str">
            <v>Pintura de Acabado</v>
          </cell>
        </row>
        <row r="210">
          <cell r="A210" t="str">
            <v>693.1P</v>
          </cell>
          <cell r="B210" t="str">
            <v>693-P</v>
          </cell>
          <cell r="C210">
            <v>0</v>
          </cell>
          <cell r="D210" t="e">
            <v>#N/A</v>
          </cell>
          <cell r="E210" t="str">
            <v>Capa intermedia con epoxiamida</v>
          </cell>
          <cell r="F210" t="str">
            <v>M2</v>
          </cell>
          <cell r="G210">
            <v>2</v>
          </cell>
          <cell r="H210">
            <v>17640</v>
          </cell>
          <cell r="K210">
            <v>6</v>
          </cell>
          <cell r="L210" t="str">
            <v>ESTRUCTURAS Y DRENAJES</v>
          </cell>
          <cell r="M210" t="str">
            <v>Pintura de Acabado</v>
          </cell>
        </row>
        <row r="211">
          <cell r="A211" t="str">
            <v>694.1P</v>
          </cell>
          <cell r="B211" t="str">
            <v>694-P</v>
          </cell>
          <cell r="C211">
            <v>0</v>
          </cell>
          <cell r="D211" t="e">
            <v>#N/A</v>
          </cell>
          <cell r="E211" t="str">
            <v>Imprimación con epoxipoliamida</v>
          </cell>
          <cell r="F211" t="str">
            <v>M2</v>
          </cell>
          <cell r="G211">
            <v>2</v>
          </cell>
          <cell r="H211">
            <v>18377</v>
          </cell>
          <cell r="K211">
            <v>6</v>
          </cell>
          <cell r="L211" t="str">
            <v>ESTRUCTURAS Y DRENAJES</v>
          </cell>
          <cell r="M211" t="str">
            <v>Pintura de Acabado</v>
          </cell>
        </row>
        <row r="212">
          <cell r="A212" t="str">
            <v>695.1P</v>
          </cell>
          <cell r="B212" t="str">
            <v>695-P</v>
          </cell>
          <cell r="C212">
            <v>0</v>
          </cell>
          <cell r="D212" t="e">
            <v>#N/A</v>
          </cell>
          <cell r="E212" t="str">
            <v>Limpieza de metal con chorro de arena</v>
          </cell>
          <cell r="F212" t="str">
            <v>M2</v>
          </cell>
          <cell r="G212">
            <v>1</v>
          </cell>
          <cell r="H212">
            <v>35276</v>
          </cell>
          <cell r="K212">
            <v>6</v>
          </cell>
          <cell r="L212" t="str">
            <v>ESTRUCTURAS Y DRENAJES</v>
          </cell>
          <cell r="M212" t="str">
            <v>Limpieza de metal</v>
          </cell>
        </row>
        <row r="213">
          <cell r="A213" t="str">
            <v>700.1</v>
          </cell>
          <cell r="B213" t="str">
            <v>700-07</v>
          </cell>
          <cell r="C213" t="str">
            <v>3.6.7.1.3</v>
          </cell>
          <cell r="D213" t="str">
            <v>3.6.7.1.1</v>
          </cell>
          <cell r="E213" t="str">
            <v xml:space="preserve">Línea de demarcación con pintura en frío </v>
          </cell>
          <cell r="F213" t="str">
            <v>M</v>
          </cell>
          <cell r="G213">
            <v>1</v>
          </cell>
          <cell r="H213">
            <v>1837</v>
          </cell>
          <cell r="K213">
            <v>7</v>
          </cell>
          <cell r="L213" t="str">
            <v>SEÑALIZACIÓN Y SEGURIDAD</v>
          </cell>
          <cell r="M213" t="str">
            <v>Líneas de demarcación y marcas viales</v>
          </cell>
        </row>
        <row r="214">
          <cell r="A214" t="str">
            <v>700.2</v>
          </cell>
          <cell r="B214" t="str">
            <v>700-07</v>
          </cell>
          <cell r="C214" t="str">
            <v>3.6.7.1.7</v>
          </cell>
          <cell r="D214" t="str">
            <v>3.6.7.1.6</v>
          </cell>
          <cell r="E214" t="str">
            <v xml:space="preserve">Línea de demarcación con resina termoplástica </v>
          </cell>
          <cell r="F214" t="str">
            <v>M</v>
          </cell>
          <cell r="G214">
            <v>1</v>
          </cell>
          <cell r="H214">
            <v>7116</v>
          </cell>
          <cell r="K214">
            <v>7</v>
          </cell>
          <cell r="L214" t="str">
            <v>SEÑALIZACIÓN Y SEGURIDAD</v>
          </cell>
          <cell r="M214" t="str">
            <v>Líneas de demarcación y marcas viales</v>
          </cell>
        </row>
        <row r="215">
          <cell r="A215" t="str">
            <v>700.3</v>
          </cell>
          <cell r="B215" t="str">
            <v>700-07</v>
          </cell>
          <cell r="C215" t="str">
            <v>3.6.7.1.4</v>
          </cell>
          <cell r="D215" t="str">
            <v> 3.6.7.1.2</v>
          </cell>
          <cell r="E215" t="str">
            <v xml:space="preserve">Marca vial con pintura en frío </v>
          </cell>
          <cell r="F215" t="str">
            <v>M2</v>
          </cell>
          <cell r="G215">
            <v>2</v>
          </cell>
          <cell r="H215">
            <v>22712</v>
          </cell>
          <cell r="K215">
            <v>7</v>
          </cell>
          <cell r="L215" t="str">
            <v>SEÑALIZACIÓN Y SEGURIDAD</v>
          </cell>
          <cell r="M215" t="str">
            <v>Líneas de demarcación y marcas viales</v>
          </cell>
        </row>
        <row r="216">
          <cell r="A216" t="str">
            <v>700.4</v>
          </cell>
          <cell r="B216" t="str">
            <v>700-07</v>
          </cell>
          <cell r="C216" t="str">
            <v>3.6.7.1.8</v>
          </cell>
          <cell r="D216" t="str">
            <v>3.6.7.1.6</v>
          </cell>
          <cell r="E216" t="str">
            <v xml:space="preserve">Marca vial con resina termoplástica </v>
          </cell>
          <cell r="F216" t="str">
            <v>M2</v>
          </cell>
          <cell r="G216">
            <v>2</v>
          </cell>
          <cell r="H216">
            <v>59300</v>
          </cell>
          <cell r="K216">
            <v>7</v>
          </cell>
          <cell r="L216" t="str">
            <v>SEÑALIZACIÓN Y SEGURIDAD</v>
          </cell>
          <cell r="M216" t="str">
            <v>Líneas de demarcación y marcas viales</v>
          </cell>
        </row>
        <row r="217">
          <cell r="A217" t="str">
            <v>700.5P</v>
          </cell>
          <cell r="B217" t="str">
            <v>700-07P</v>
          </cell>
          <cell r="C217" t="str">
            <v>3.6.7.1.8</v>
          </cell>
          <cell r="D217" t="str">
            <v>3.6.7.1.6</v>
          </cell>
          <cell r="E217" t="str">
            <v>Marca vial con resina termoplástica (Texto en marca vial)</v>
          </cell>
          <cell r="F217" t="str">
            <v>M2</v>
          </cell>
          <cell r="G217">
            <v>2</v>
          </cell>
          <cell r="H217">
            <v>113317</v>
          </cell>
          <cell r="K217">
            <v>7</v>
          </cell>
          <cell r="L217" t="str">
            <v>SEÑALIZACIÓN Y SEGURIDAD</v>
          </cell>
          <cell r="M217" t="str">
            <v>Líneas de demarcación y marcas viales</v>
          </cell>
        </row>
        <row r="218">
          <cell r="A218" t="str">
            <v>T</v>
          </cell>
          <cell r="B218" t="str">
            <v>702-P</v>
          </cell>
          <cell r="C218">
            <v>0</v>
          </cell>
          <cell r="D218" t="e">
            <v>#N/A</v>
          </cell>
          <cell r="E218" t="str">
            <v>Bandas sonoras reductores de velocidad</v>
          </cell>
          <cell r="F218" t="str">
            <v>M2</v>
          </cell>
          <cell r="G218">
            <v>2</v>
          </cell>
          <cell r="H218">
            <v>361079</v>
          </cell>
          <cell r="K218">
            <v>7</v>
          </cell>
          <cell r="L218" t="str">
            <v>SEÑALIZACIÓN Y SEGURIDAD</v>
          </cell>
          <cell r="M218" t="str">
            <v>Líneas de demarcación y marcas viales</v>
          </cell>
        </row>
        <row r="219">
          <cell r="A219" t="str">
            <v>701.1</v>
          </cell>
          <cell r="B219" t="str">
            <v>701-07</v>
          </cell>
          <cell r="C219" t="str">
            <v>3.6.7.2.1</v>
          </cell>
          <cell r="D219" t="str">
            <v>3.6.7.2.1</v>
          </cell>
          <cell r="E219" t="str">
            <v xml:space="preserve">Tacha reflectiva </v>
          </cell>
          <cell r="F219" t="str">
            <v>U</v>
          </cell>
          <cell r="G219">
            <v>0</v>
          </cell>
          <cell r="H219">
            <v>9216</v>
          </cell>
          <cell r="K219">
            <v>7</v>
          </cell>
          <cell r="L219" t="str">
            <v>SEÑALIZACIÓN Y SEGURIDAD</v>
          </cell>
          <cell r="M219" t="str">
            <v>Tachas reflectivas</v>
          </cell>
        </row>
        <row r="220">
          <cell r="A220" t="str">
            <v>710.1</v>
          </cell>
          <cell r="B220" t="str">
            <v>710-07</v>
          </cell>
          <cell r="C220" t="str">
            <v>3.6.7.3.31</v>
          </cell>
          <cell r="D220" t="str">
            <v>3.6.7.3.13</v>
          </cell>
          <cell r="E220" t="str">
            <v>Señal vertical de tránsito tipo 1</v>
          </cell>
          <cell r="F220" t="str">
            <v>U</v>
          </cell>
          <cell r="G220">
            <v>0</v>
          </cell>
          <cell r="H220">
            <v>323642</v>
          </cell>
          <cell r="K220">
            <v>7</v>
          </cell>
          <cell r="L220" t="str">
            <v>SEÑALIZACIÓN Y SEGURIDAD</v>
          </cell>
          <cell r="M220" t="str">
            <v>Señales verticales de tránsito</v>
          </cell>
        </row>
        <row r="221">
          <cell r="A221" t="str">
            <v>710.2</v>
          </cell>
          <cell r="B221" t="str">
            <v>710-07</v>
          </cell>
          <cell r="C221">
            <v>0</v>
          </cell>
          <cell r="D221" t="str">
            <v>3.6.7.3</v>
          </cell>
          <cell r="E221" t="str">
            <v>Señal vertical de tránsito tipo 1</v>
          </cell>
          <cell r="F221" t="str">
            <v>M2</v>
          </cell>
          <cell r="G221">
            <v>2</v>
          </cell>
          <cell r="H221">
            <v>670426</v>
          </cell>
          <cell r="K221">
            <v>7</v>
          </cell>
          <cell r="L221" t="str">
            <v>SEÑALIZACIÓN Y SEGURIDAD</v>
          </cell>
          <cell r="M221" t="str">
            <v>Señales verticales de tránsito</v>
          </cell>
        </row>
        <row r="222">
          <cell r="A222" t="str">
            <v>720.1</v>
          </cell>
          <cell r="B222" t="str">
            <v>720-07</v>
          </cell>
          <cell r="C222">
            <v>0</v>
          </cell>
          <cell r="D222" t="str">
            <v>3.6.7.4.1</v>
          </cell>
          <cell r="E222" t="str">
            <v xml:space="preserve">Poste de referencia </v>
          </cell>
          <cell r="F222" t="str">
            <v>U</v>
          </cell>
          <cell r="G222">
            <v>0</v>
          </cell>
          <cell r="H222">
            <v>0</v>
          </cell>
          <cell r="K222">
            <v>7</v>
          </cell>
          <cell r="L222" t="str">
            <v>SEÑALIZACIÓN Y SEGURIDAD</v>
          </cell>
          <cell r="M222" t="str">
            <v>Postes de referencia</v>
          </cell>
        </row>
        <row r="223">
          <cell r="A223" t="str">
            <v>730.1</v>
          </cell>
          <cell r="B223" t="str">
            <v>730-07</v>
          </cell>
          <cell r="C223" t="str">
            <v>3.6.7.5.1</v>
          </cell>
          <cell r="D223" t="str">
            <v>3.6.7.5.1</v>
          </cell>
          <cell r="E223" t="str">
            <v xml:space="preserve">Defensa metálica </v>
          </cell>
          <cell r="F223" t="str">
            <v>M</v>
          </cell>
          <cell r="G223">
            <v>1</v>
          </cell>
          <cell r="H223">
            <v>164606</v>
          </cell>
          <cell r="K223">
            <v>7</v>
          </cell>
          <cell r="L223" t="str">
            <v>SEÑALIZACIÓN Y SEGURIDAD</v>
          </cell>
          <cell r="M223" t="str">
            <v>Defensas metálicas</v>
          </cell>
        </row>
        <row r="224">
          <cell r="A224" t="str">
            <v>730.2</v>
          </cell>
          <cell r="B224" t="str">
            <v>730-07</v>
          </cell>
          <cell r="C224">
            <v>0</v>
          </cell>
          <cell r="D224" t="str">
            <v>3.6.7.5.2</v>
          </cell>
          <cell r="E224" t="str">
            <v xml:space="preserve">Sección final </v>
          </cell>
          <cell r="F224" t="str">
            <v>U</v>
          </cell>
          <cell r="G224">
            <v>0</v>
          </cell>
          <cell r="H224">
            <v>84678</v>
          </cell>
          <cell r="K224">
            <v>7</v>
          </cell>
          <cell r="L224" t="str">
            <v>SEÑALIZACIÓN Y SEGURIDAD</v>
          </cell>
          <cell r="M224" t="str">
            <v>Defensas metálicas</v>
          </cell>
        </row>
        <row r="225">
          <cell r="A225" t="str">
            <v>730.3</v>
          </cell>
          <cell r="B225" t="str">
            <v>730-07</v>
          </cell>
          <cell r="C225">
            <v>0</v>
          </cell>
          <cell r="D225" t="str">
            <v>3.6.7.5.3</v>
          </cell>
          <cell r="E225" t="str">
            <v xml:space="preserve">Sección de tope </v>
          </cell>
          <cell r="F225" t="str">
            <v>U</v>
          </cell>
          <cell r="G225">
            <v>0</v>
          </cell>
          <cell r="H225">
            <v>0</v>
          </cell>
          <cell r="K225">
            <v>7</v>
          </cell>
          <cell r="L225" t="str">
            <v>SEÑALIZACIÓN Y SEGURIDAD</v>
          </cell>
          <cell r="M225" t="str">
            <v>Defensas metálicas</v>
          </cell>
        </row>
        <row r="226">
          <cell r="A226" t="str">
            <v>731.1</v>
          </cell>
          <cell r="B226" t="str">
            <v>731-07</v>
          </cell>
          <cell r="C226">
            <v>0</v>
          </cell>
          <cell r="D226" t="str">
            <v>3.6.6.21</v>
          </cell>
          <cell r="E226" t="str">
            <v xml:space="preserve">Defensa de concreto </v>
          </cell>
          <cell r="F226" t="str">
            <v>M</v>
          </cell>
          <cell r="G226">
            <v>0</v>
          </cell>
          <cell r="H226">
            <v>0</v>
          </cell>
          <cell r="K226">
            <v>7</v>
          </cell>
          <cell r="L226" t="str">
            <v>SEÑALIZACIÓN Y SEGURIDAD</v>
          </cell>
          <cell r="M226" t="str">
            <v>Defensas de concreto</v>
          </cell>
        </row>
        <row r="227">
          <cell r="A227" t="str">
            <v>740.1</v>
          </cell>
          <cell r="B227" t="str">
            <v>740-07</v>
          </cell>
          <cell r="C227" t="str">
            <v>3.6.7.6.1</v>
          </cell>
          <cell r="D227" t="str">
            <v>3.6.7.6.1</v>
          </cell>
          <cell r="E227" t="str">
            <v xml:space="preserve">Captafaros </v>
          </cell>
          <cell r="F227" t="str">
            <v>U</v>
          </cell>
          <cell r="G227">
            <v>0</v>
          </cell>
          <cell r="H227">
            <v>12672</v>
          </cell>
          <cell r="K227">
            <v>7</v>
          </cell>
          <cell r="L227" t="str">
            <v>SEÑALIZACIÓN Y SEGURIDAD</v>
          </cell>
          <cell r="M227" t="str">
            <v>Captafaros</v>
          </cell>
        </row>
        <row r="228">
          <cell r="A228" t="str">
            <v>741.1</v>
          </cell>
          <cell r="B228" t="str">
            <v>741-07</v>
          </cell>
          <cell r="C228">
            <v>0</v>
          </cell>
          <cell r="D228" t="str">
            <v>3.6.7</v>
          </cell>
          <cell r="E228" t="str">
            <v xml:space="preserve">Delineador de corona </v>
          </cell>
          <cell r="F228" t="str">
            <v>U</v>
          </cell>
          <cell r="G228">
            <v>0</v>
          </cell>
          <cell r="H228">
            <v>0</v>
          </cell>
          <cell r="K228">
            <v>7</v>
          </cell>
          <cell r="L228" t="str">
            <v>SEÑALIZACIÓN Y SEGURIDAD</v>
          </cell>
          <cell r="M228" t="str">
            <v>Delineadores de corona</v>
          </cell>
        </row>
        <row r="229">
          <cell r="A229" t="str">
            <v>800.1</v>
          </cell>
          <cell r="B229" t="str">
            <v>800-07</v>
          </cell>
          <cell r="C229">
            <v>0</v>
          </cell>
          <cell r="D229" t="str">
            <v>3.6.9.1.4</v>
          </cell>
          <cell r="E229" t="str">
            <v xml:space="preserve">Cerca de alambre de púas con postes de madera </v>
          </cell>
          <cell r="F229" t="str">
            <v>M</v>
          </cell>
          <cell r="G229">
            <v>0</v>
          </cell>
          <cell r="H229">
            <v>9656</v>
          </cell>
          <cell r="K229">
            <v>8</v>
          </cell>
          <cell r="L229" t="str">
            <v>OBRAS VARIAS</v>
          </cell>
          <cell r="M229" t="str">
            <v>Cercas de alambre</v>
          </cell>
        </row>
        <row r="230">
          <cell r="A230" t="str">
            <v>800.2</v>
          </cell>
          <cell r="B230" t="str">
            <v>800-07</v>
          </cell>
          <cell r="C230">
            <v>0</v>
          </cell>
          <cell r="D230" t="str">
            <v>3.6.9.1.10</v>
          </cell>
          <cell r="E230" t="str">
            <v xml:space="preserve">Cerca de alambre de púas con postes de concreto </v>
          </cell>
          <cell r="F230" t="str">
            <v>M</v>
          </cell>
          <cell r="G230">
            <v>0</v>
          </cell>
          <cell r="H230">
            <v>0</v>
          </cell>
          <cell r="K230">
            <v>8</v>
          </cell>
          <cell r="L230" t="str">
            <v>OBRAS VARIAS</v>
          </cell>
          <cell r="M230" t="str">
            <v>Cercas de alambre</v>
          </cell>
        </row>
        <row r="231">
          <cell r="A231" t="str">
            <v>800.3</v>
          </cell>
          <cell r="B231" t="str">
            <v>800-07</v>
          </cell>
          <cell r="C231">
            <v>0</v>
          </cell>
          <cell r="D231" t="str">
            <v>3.6.9.1.6</v>
          </cell>
          <cell r="E231" t="str">
            <v xml:space="preserve">Cerca de malla con postes de madera </v>
          </cell>
          <cell r="F231" t="str">
            <v>M</v>
          </cell>
          <cell r="G231">
            <v>0</v>
          </cell>
          <cell r="H231">
            <v>0</v>
          </cell>
          <cell r="K231">
            <v>8</v>
          </cell>
          <cell r="L231" t="str">
            <v>OBRAS VARIAS</v>
          </cell>
          <cell r="M231" t="str">
            <v>Cercas de alambre</v>
          </cell>
        </row>
        <row r="232">
          <cell r="A232" t="str">
            <v>800.4</v>
          </cell>
          <cell r="B232" t="str">
            <v>800-07</v>
          </cell>
          <cell r="C232">
            <v>0</v>
          </cell>
          <cell r="D232" t="str">
            <v>3.6.9.1.13</v>
          </cell>
          <cell r="E232" t="str">
            <v xml:space="preserve">Cerca de malla con postes de concreto </v>
          </cell>
          <cell r="F232" t="str">
            <v>M</v>
          </cell>
          <cell r="G232">
            <v>0</v>
          </cell>
          <cell r="H232">
            <v>0</v>
          </cell>
          <cell r="K232">
            <v>8</v>
          </cell>
          <cell r="L232" t="str">
            <v>OBRAS VARIAS</v>
          </cell>
          <cell r="M232" t="str">
            <v>Cercas de alambre</v>
          </cell>
        </row>
        <row r="233">
          <cell r="A233" t="str">
            <v>801.1</v>
          </cell>
          <cell r="B233" t="str">
            <v>801-07</v>
          </cell>
          <cell r="C233">
            <v>0</v>
          </cell>
          <cell r="D233" t="str">
            <v>3.6.1.2</v>
          </cell>
          <cell r="E233" t="str">
            <v xml:space="preserve">Rocería </v>
          </cell>
          <cell r="F233" t="str">
            <v>Ha</v>
          </cell>
          <cell r="G233">
            <v>0</v>
          </cell>
          <cell r="H233">
            <v>0</v>
          </cell>
          <cell r="K233">
            <v>8</v>
          </cell>
          <cell r="L233" t="str">
            <v>OBRAS VARIAS</v>
          </cell>
          <cell r="M233" t="str">
            <v>Mantenimiento rutinario de vías</v>
          </cell>
        </row>
        <row r="234">
          <cell r="A234" t="str">
            <v>801.2</v>
          </cell>
          <cell r="B234" t="str">
            <v>801-07</v>
          </cell>
          <cell r="C234">
            <v>0</v>
          </cell>
          <cell r="D234" t="str">
            <v>3.6.9.4.12</v>
          </cell>
          <cell r="E234" t="str">
            <v xml:space="preserve">Limpieza de bermas </v>
          </cell>
          <cell r="F234" t="str">
            <v>M2</v>
          </cell>
          <cell r="G234">
            <v>0</v>
          </cell>
          <cell r="H234">
            <v>0</v>
          </cell>
          <cell r="K234">
            <v>8</v>
          </cell>
          <cell r="L234" t="str">
            <v>OBRAS VARIAS</v>
          </cell>
          <cell r="M234" t="str">
            <v>Mantenimiento rutinario de vías</v>
          </cell>
        </row>
        <row r="235">
          <cell r="A235" t="str">
            <v>801.3</v>
          </cell>
          <cell r="B235" t="str">
            <v>801-07</v>
          </cell>
          <cell r="C235">
            <v>0</v>
          </cell>
          <cell r="D235" t="str">
            <v>3.6.9.4.12</v>
          </cell>
          <cell r="E235" t="str">
            <v xml:space="preserve">Limpieza a mano de cunetas en tierra </v>
          </cell>
          <cell r="F235" t="str">
            <v>Ml</v>
          </cell>
          <cell r="G235">
            <v>0</v>
          </cell>
          <cell r="H235">
            <v>0</v>
          </cell>
          <cell r="K235">
            <v>8</v>
          </cell>
          <cell r="L235" t="str">
            <v>OBRAS VARIAS</v>
          </cell>
          <cell r="M235" t="str">
            <v>Mantenimiento rutinario de vías</v>
          </cell>
        </row>
        <row r="236">
          <cell r="A236" t="str">
            <v>801.4</v>
          </cell>
          <cell r="B236" t="str">
            <v>801-07</v>
          </cell>
          <cell r="C236">
            <v>0</v>
          </cell>
          <cell r="D236" t="str">
            <v>3.6.9.4.12</v>
          </cell>
          <cell r="E236" t="str">
            <v xml:space="preserve">Limpieza a mano de cunetas en concreto </v>
          </cell>
          <cell r="F236" t="str">
            <v>Ml</v>
          </cell>
          <cell r="G236">
            <v>0</v>
          </cell>
          <cell r="H236">
            <v>0</v>
          </cell>
          <cell r="K236">
            <v>8</v>
          </cell>
          <cell r="L236" t="str">
            <v>OBRAS VARIAS</v>
          </cell>
          <cell r="M236" t="str">
            <v>Mantenimiento rutinario de vías</v>
          </cell>
        </row>
        <row r="237">
          <cell r="A237" t="str">
            <v>801.5</v>
          </cell>
          <cell r="B237" t="str">
            <v>801-07</v>
          </cell>
          <cell r="C237">
            <v>0</v>
          </cell>
          <cell r="D237" t="str">
            <v>3.6.9.4.8</v>
          </cell>
          <cell r="E237" t="str">
            <v xml:space="preserve">Limpieza a mano de encoles y descoles </v>
          </cell>
          <cell r="F237" t="str">
            <v>Ml</v>
          </cell>
          <cell r="G237">
            <v>0</v>
          </cell>
          <cell r="H237">
            <v>0</v>
          </cell>
          <cell r="K237">
            <v>8</v>
          </cell>
          <cell r="L237" t="str">
            <v>OBRAS VARIAS</v>
          </cell>
          <cell r="M237" t="str">
            <v>Mantenimiento rutinario de vías</v>
          </cell>
        </row>
        <row r="238">
          <cell r="A238" t="str">
            <v>801.6</v>
          </cell>
          <cell r="B238" t="str">
            <v>801-07</v>
          </cell>
          <cell r="C238">
            <v>0</v>
          </cell>
          <cell r="D238" t="str">
            <v>3.6.9.4.10</v>
          </cell>
          <cell r="E238" t="str">
            <v xml:space="preserve">Limpieza a mano de alcantarillas de tubo de 600 ó 900 mm </v>
          </cell>
          <cell r="F238" t="str">
            <v>U</v>
          </cell>
          <cell r="G238">
            <v>0</v>
          </cell>
          <cell r="H238">
            <v>0</v>
          </cell>
          <cell r="K238">
            <v>8</v>
          </cell>
          <cell r="L238" t="str">
            <v>OBRAS VARIAS</v>
          </cell>
          <cell r="M238" t="str">
            <v>Mantenimiento rutinario de vías</v>
          </cell>
        </row>
        <row r="239">
          <cell r="A239" t="str">
            <v>801.7</v>
          </cell>
          <cell r="B239" t="str">
            <v>801-07</v>
          </cell>
          <cell r="C239">
            <v>0</v>
          </cell>
          <cell r="D239" t="str">
            <v>3.6.9.4</v>
          </cell>
          <cell r="E239" t="str">
            <v>Limpieza a mano de pontones y puentes</v>
          </cell>
          <cell r="F239" t="str">
            <v>Ml</v>
          </cell>
          <cell r="G239">
            <v>0</v>
          </cell>
          <cell r="H239">
            <v>0</v>
          </cell>
          <cell r="K239">
            <v>8</v>
          </cell>
          <cell r="L239" t="str">
            <v>OBRAS VARIAS</v>
          </cell>
          <cell r="M239" t="str">
            <v>Mantenimiento rutinario de vías</v>
          </cell>
        </row>
        <row r="240">
          <cell r="A240" t="str">
            <v>810.1</v>
          </cell>
          <cell r="B240" t="str">
            <v>810-07</v>
          </cell>
          <cell r="C240" t="str">
            <v>3.6.9.2.1</v>
          </cell>
          <cell r="D240" t="str">
            <v>3.6.9.2.1</v>
          </cell>
          <cell r="E240" t="str">
            <v xml:space="preserve">Protección de taludes con bloques de césped </v>
          </cell>
          <cell r="F240" t="str">
            <v>M2</v>
          </cell>
          <cell r="G240">
            <v>0</v>
          </cell>
          <cell r="H240">
            <v>35257</v>
          </cell>
          <cell r="K240">
            <v>8</v>
          </cell>
          <cell r="L240" t="str">
            <v>OBRAS VARIAS</v>
          </cell>
          <cell r="M240" t="str">
            <v>Protección vegetal de taludes</v>
          </cell>
        </row>
        <row r="241">
          <cell r="A241" t="str">
            <v>810.2</v>
          </cell>
          <cell r="B241" t="str">
            <v>810-07</v>
          </cell>
          <cell r="C241" t="str">
            <v>3.6.9.2.2</v>
          </cell>
          <cell r="D241" t="str">
            <v>3.6.9.2.2</v>
          </cell>
          <cell r="E241" t="str">
            <v xml:space="preserve">Protección de taludes con tierra orgánica </v>
          </cell>
          <cell r="F241" t="str">
            <v>M2</v>
          </cell>
          <cell r="G241">
            <v>0</v>
          </cell>
          <cell r="H241">
            <v>18670</v>
          </cell>
          <cell r="K241">
            <v>8</v>
          </cell>
          <cell r="L241" t="str">
            <v>OBRAS VARIAS</v>
          </cell>
          <cell r="M241" t="str">
            <v>Protección vegetal de taludes</v>
          </cell>
        </row>
        <row r="242">
          <cell r="A242" t="str">
            <v>810.3</v>
          </cell>
          <cell r="B242" t="str">
            <v>810-07</v>
          </cell>
          <cell r="C242">
            <v>0</v>
          </cell>
          <cell r="D242" t="str">
            <v>3.2.9.1.1</v>
          </cell>
          <cell r="E242" t="str">
            <v>Protección de taludes con hidrosiembra controlada</v>
          </cell>
          <cell r="F242" t="str">
            <v>M2</v>
          </cell>
          <cell r="G242">
            <v>0</v>
          </cell>
          <cell r="H242">
            <v>36968</v>
          </cell>
          <cell r="K242">
            <v>8</v>
          </cell>
          <cell r="L242" t="str">
            <v>OBRAS VARIAS</v>
          </cell>
          <cell r="M242" t="str">
            <v>Protección vegetal de taludes</v>
          </cell>
        </row>
        <row r="243">
          <cell r="A243" t="str">
            <v>811.1</v>
          </cell>
          <cell r="B243" t="str">
            <v>811-07</v>
          </cell>
          <cell r="C243">
            <v>0</v>
          </cell>
          <cell r="D243" t="str">
            <v>3.2.10.1</v>
          </cell>
          <cell r="E243" t="str">
            <v>Producto enrollado para control de erosión del tipo _________</v>
          </cell>
          <cell r="F243" t="str">
            <v>M2</v>
          </cell>
          <cell r="G243">
            <v>0</v>
          </cell>
          <cell r="H243">
            <v>0</v>
          </cell>
          <cell r="K243">
            <v>8</v>
          </cell>
          <cell r="L243" t="str">
            <v>OBRAS VARIAS</v>
          </cell>
          <cell r="M243" t="str">
            <v>Productos enrollados para control de erosión</v>
          </cell>
        </row>
        <row r="244">
          <cell r="A244" t="str">
            <v>812.1</v>
          </cell>
          <cell r="B244" t="str">
            <v>812-07</v>
          </cell>
          <cell r="C244">
            <v>0</v>
          </cell>
          <cell r="D244" t="str">
            <v> 3.3.6.10.3 </v>
          </cell>
          <cell r="E244" t="str">
            <v>Recubrimiento con malla y mortero 1:4 de e = ____ cm</v>
          </cell>
          <cell r="F244" t="str">
            <v>M2</v>
          </cell>
          <cell r="G244">
            <v>0</v>
          </cell>
          <cell r="H244">
            <v>0</v>
          </cell>
          <cell r="K244">
            <v>8</v>
          </cell>
          <cell r="L244" t="str">
            <v>OBRAS VARIAS</v>
          </cell>
          <cell r="M244" t="str">
            <v>Recubrimiento de taludes con malla y mortero</v>
          </cell>
        </row>
        <row r="245">
          <cell r="A245" t="str">
            <v>900.1</v>
          </cell>
          <cell r="B245" t="str">
            <v>900-07</v>
          </cell>
          <cell r="C245">
            <v>0</v>
          </cell>
          <cell r="D245" t="str">
            <v xml:space="preserve">3.6.9.3.1   </v>
          </cell>
          <cell r="E245" t="str">
            <v xml:space="preserve">Transporte de materiales provenientes de la excavación de la explanación, canales y préstamos, entre cien metros(100 m) y mil metros(1.000 m) de distancia. </v>
          </cell>
          <cell r="F245" t="str">
            <v>M3-E</v>
          </cell>
          <cell r="G245">
            <v>0</v>
          </cell>
          <cell r="H245">
            <v>0</v>
          </cell>
          <cell r="K245">
            <v>9</v>
          </cell>
          <cell r="L245" t="str">
            <v>TRANSPORTE</v>
          </cell>
          <cell r="M245" t="str">
            <v xml:space="preserve">Transporte de materiales provenientes de excavaciones y derrumbes </v>
          </cell>
        </row>
        <row r="246">
          <cell r="A246" t="str">
            <v>900.2</v>
          </cell>
          <cell r="B246" t="str">
            <v>900-07</v>
          </cell>
          <cell r="C246" t="str">
            <v>3.6.9.3.1</v>
          </cell>
          <cell r="D246" t="str">
            <v xml:space="preserve">3.6.9.3.1   </v>
          </cell>
          <cell r="E246" t="str">
            <v xml:space="preserve">Transporte de materiales provenientes de la excavación de la explanación, canales y  préstamos para distancias mayores de mil metros (1.000 m) </v>
          </cell>
          <cell r="F246" t="str">
            <v>M3-km</v>
          </cell>
          <cell r="G246">
            <v>1</v>
          </cell>
          <cell r="H246">
            <v>1014</v>
          </cell>
          <cell r="K246">
            <v>9</v>
          </cell>
          <cell r="L246" t="str">
            <v>TRANSPORTE</v>
          </cell>
          <cell r="M246" t="str">
            <v xml:space="preserve">Transporte de materiales provenientes de excavaciones y derrumbes </v>
          </cell>
        </row>
        <row r="247">
          <cell r="A247" t="str">
            <v>900.3</v>
          </cell>
          <cell r="B247" t="str">
            <v>900-07</v>
          </cell>
          <cell r="C247">
            <v>0</v>
          </cell>
          <cell r="D247" t="str">
            <v xml:space="preserve">3.6.9.3.1   </v>
          </cell>
          <cell r="E247" t="str">
            <v xml:space="preserve">Transporte de materiales provenientes de derrumbes </v>
          </cell>
          <cell r="F247" t="str">
            <v>M3-km</v>
          </cell>
          <cell r="G247">
            <v>0</v>
          </cell>
          <cell r="H247">
            <v>1014</v>
          </cell>
          <cell r="K247">
            <v>9</v>
          </cell>
          <cell r="L247" t="str">
            <v>TRANSPORTE</v>
          </cell>
          <cell r="M247" t="str">
            <v xml:space="preserve">Transporte de materiales provenientes de excavaciones y derrumbes </v>
          </cell>
        </row>
        <row r="248">
          <cell r="A248" t="str">
            <v>225P</v>
          </cell>
          <cell r="B248">
            <v>0</v>
          </cell>
          <cell r="C248">
            <v>0</v>
          </cell>
          <cell r="D248" t="str">
            <v>3.2.8.1.1 </v>
          </cell>
          <cell r="E248" t="str">
            <v>Conformación de botaderos y escombreras</v>
          </cell>
          <cell r="F248" t="str">
            <v>M3</v>
          </cell>
          <cell r="G248">
            <v>0</v>
          </cell>
          <cell r="H248">
            <v>2321</v>
          </cell>
        </row>
        <row r="249">
          <cell r="A249" t="str">
            <v>633-3P</v>
          </cell>
          <cell r="B249" t="str">
            <v>633-P</v>
          </cell>
          <cell r="C249">
            <v>0</v>
          </cell>
          <cell r="D249" t="e">
            <v>#N/A</v>
          </cell>
          <cell r="E249" t="str">
            <v>Mortero para revestimiento de alcantarilla (Mortero 1:4)</v>
          </cell>
          <cell r="F249" t="str">
            <v>M2</v>
          </cell>
          <cell r="G249">
            <v>1</v>
          </cell>
          <cell r="H249">
            <v>61550</v>
          </cell>
        </row>
        <row r="250">
          <cell r="A250" t="str">
            <v>235-1P</v>
          </cell>
          <cell r="B250" t="str">
            <v>235-P</v>
          </cell>
          <cell r="C250">
            <v>0</v>
          </cell>
          <cell r="D250" t="e">
            <v>#N/A</v>
          </cell>
          <cell r="E250" t="str">
            <v>Descoles en sacos de suelo cemento 5:1</v>
          </cell>
          <cell r="F250" t="str">
            <v>ML</v>
          </cell>
          <cell r="G250">
            <v>1</v>
          </cell>
          <cell r="H250">
            <v>190961</v>
          </cell>
        </row>
        <row r="251">
          <cell r="E251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 t="str">
            <v/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 t="str">
            <v/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Ibagué-Espinal"/>
      <sheetName val="CUADRO"/>
      <sheetName val="PRECIOS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450.28</v>
          </cell>
          <cell r="D101">
            <v>450</v>
          </cell>
          <cell r="E101" t="str">
            <v>450P-1</v>
          </cell>
          <cell r="F101" t="str">
            <v>Mezcla densa en caliente tipo MDC-3</v>
          </cell>
          <cell r="G101" t="str">
            <v>m3</v>
          </cell>
          <cell r="H101" t="str">
            <v>Incluye estudios y diseños y suministro y transporte del cemento asfáltico</v>
          </cell>
        </row>
        <row r="102">
          <cell r="C102">
            <v>451.1</v>
          </cell>
          <cell r="D102">
            <v>451</v>
          </cell>
          <cell r="F102" t="str">
            <v>Mezcla abierta en caliente tipo MAC-1</v>
          </cell>
          <cell r="G102" t="str">
            <v>m3</v>
          </cell>
        </row>
        <row r="103">
          <cell r="C103">
            <v>451.2</v>
          </cell>
          <cell r="D103">
            <v>451</v>
          </cell>
          <cell r="F103" t="str">
            <v>Mezcla abierta en caliente tipo MAC-2</v>
          </cell>
          <cell r="G103" t="str">
            <v>m3</v>
          </cell>
        </row>
        <row r="104">
          <cell r="C104">
            <v>451.3</v>
          </cell>
          <cell r="D104">
            <v>451</v>
          </cell>
          <cell r="E104">
            <v>0</v>
          </cell>
          <cell r="F104" t="str">
            <v>Mezcla abierta en caliente tipo MAC-3</v>
          </cell>
          <cell r="G104" t="str">
            <v>m3</v>
          </cell>
          <cell r="H104">
            <v>0</v>
          </cell>
        </row>
        <row r="105">
          <cell r="C105">
            <v>451.4</v>
          </cell>
          <cell r="D105">
            <v>451</v>
          </cell>
          <cell r="E105" t="str">
            <v>451P</v>
          </cell>
          <cell r="F105" t="str">
            <v>Mezcla abierta en caliente tipo MAC-3</v>
          </cell>
          <cell r="G105" t="str">
            <v>m3</v>
          </cell>
          <cell r="H105" t="str">
            <v>Incluye suministro y transporte del cemento asfáltico</v>
          </cell>
        </row>
        <row r="106">
          <cell r="C106">
            <v>460</v>
          </cell>
          <cell r="D106">
            <v>460</v>
          </cell>
          <cell r="E106">
            <v>0</v>
          </cell>
          <cell r="F106" t="str">
            <v>Fresado de pavimento asfáltico</v>
          </cell>
          <cell r="G106" t="str">
            <v>m2</v>
          </cell>
          <cell r="H106">
            <v>0</v>
          </cell>
        </row>
        <row r="107">
          <cell r="C107">
            <v>460.1</v>
          </cell>
          <cell r="D107">
            <v>460</v>
          </cell>
          <cell r="E107" t="str">
            <v>460P</v>
          </cell>
          <cell r="F107" t="str">
            <v>Fresado de pavimento asfáltico</v>
          </cell>
          <cell r="G107" t="str">
            <v>m³</v>
          </cell>
          <cell r="H107" t="str">
            <v>La unidad de medida es el metro cúbico</v>
          </cell>
        </row>
        <row r="108">
          <cell r="C108">
            <v>461</v>
          </cell>
          <cell r="D108">
            <v>461</v>
          </cell>
          <cell r="E108">
            <v>0</v>
          </cell>
          <cell r="F108" t="str">
            <v>Pavimento asfáltico reciclado en frío</v>
          </cell>
          <cell r="G108" t="str">
            <v>m3</v>
          </cell>
          <cell r="H108" t="str">
            <v>No incluye suministro y almacenamiento del cemento asfáltico o la emulsión.</v>
          </cell>
        </row>
        <row r="109">
          <cell r="C109">
            <v>461.1</v>
          </cell>
          <cell r="D109">
            <v>461</v>
          </cell>
          <cell r="E109" t="str">
            <v>461P</v>
          </cell>
          <cell r="F109" t="str">
            <v>Pavimento asfáltico reciclado en frío</v>
          </cell>
          <cell r="G109" t="str">
            <v>m3</v>
          </cell>
          <cell r="H109" t="str">
            <v>Incluye el cemento asfáltico o la emulsión asfáltica</v>
          </cell>
        </row>
        <row r="110">
          <cell r="C110">
            <v>461.2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</v>
          </cell>
        </row>
        <row r="111">
          <cell r="C111">
            <v>461.3</v>
          </cell>
          <cell r="D111">
            <v>461</v>
          </cell>
          <cell r="E111" t="str">
            <v>461P-1</v>
          </cell>
          <cell r="F111" t="str">
            <v>Pavimento asfáltico reciclado en frío</v>
          </cell>
          <cell r="G111" t="str">
            <v>m3</v>
          </cell>
          <cell r="H111" t="str">
            <v>Incluye estudios y diseños y el cemento asfáltico o la emulsión.</v>
          </cell>
        </row>
        <row r="112">
          <cell r="C112">
            <v>462.1</v>
          </cell>
          <cell r="D112">
            <v>462</v>
          </cell>
          <cell r="F112" t="str">
            <v>Pavimento asfáltico reciclado en caliente tipo MDC-1</v>
          </cell>
          <cell r="G112" t="str">
            <v>m3</v>
          </cell>
          <cell r="H112" t="str">
            <v>No incluye suministro y almacenamiento del cemento asfáltico o la emulsión. Tampoco el agente rejuvenecedor</v>
          </cell>
        </row>
        <row r="113">
          <cell r="C113">
            <v>462.2</v>
          </cell>
          <cell r="D113">
            <v>462</v>
          </cell>
          <cell r="F113" t="str">
            <v>Pavimento asfáltico reciclado en caliente tipo MDC-2</v>
          </cell>
          <cell r="G113" t="str">
            <v>m3</v>
          </cell>
        </row>
        <row r="114">
          <cell r="C114">
            <v>462.3</v>
          </cell>
          <cell r="D114">
            <v>462</v>
          </cell>
          <cell r="F114" t="str">
            <v>Pavimento asfáltico reciclado en caliente tipo MDC-3</v>
          </cell>
          <cell r="G114" t="str">
            <v>m3</v>
          </cell>
        </row>
        <row r="115">
          <cell r="C115">
            <v>462.4</v>
          </cell>
          <cell r="D115">
            <v>462</v>
          </cell>
          <cell r="E115">
            <v>0</v>
          </cell>
          <cell r="F115" t="str">
            <v>Pavimento asfáltico reciclado en caliente para bacheo</v>
          </cell>
          <cell r="G115" t="str">
            <v>m3</v>
          </cell>
        </row>
        <row r="116">
          <cell r="C116">
            <v>470</v>
          </cell>
          <cell r="D116">
            <v>0</v>
          </cell>
          <cell r="E116" t="str">
            <v>470P</v>
          </cell>
          <cell r="F116" t="str">
            <v>Asfalto Natural (Asfaltita)</v>
          </cell>
          <cell r="G116" t="str">
            <v>m3</v>
          </cell>
          <cell r="H116">
            <v>0</v>
          </cell>
        </row>
        <row r="117">
          <cell r="C117">
            <v>500</v>
          </cell>
          <cell r="D117">
            <v>500</v>
          </cell>
          <cell r="E117">
            <v>0</v>
          </cell>
          <cell r="F117" t="str">
            <v>Pavimento de concreto hidráulico</v>
          </cell>
          <cell r="G117" t="str">
            <v>m3</v>
          </cell>
          <cell r="H117" t="str">
            <v>No incluye la preparación de la superficie existente</v>
          </cell>
        </row>
        <row r="118">
          <cell r="C118">
            <v>501</v>
          </cell>
          <cell r="D118">
            <v>0</v>
          </cell>
          <cell r="E118" t="str">
            <v>501P</v>
          </cell>
          <cell r="F118" t="str">
            <v>Corte en losas de pavimento rígido</v>
          </cell>
          <cell r="G118" t="str">
            <v>ml</v>
          </cell>
          <cell r="H118">
            <v>0</v>
          </cell>
        </row>
        <row r="119">
          <cell r="C119">
            <v>510</v>
          </cell>
          <cell r="D119">
            <v>510</v>
          </cell>
          <cell r="E119">
            <v>0</v>
          </cell>
          <cell r="F119" t="str">
            <v>Pavimento de adoquines de concreto</v>
          </cell>
          <cell r="G119" t="str">
            <v>m2</v>
          </cell>
          <cell r="H119" t="str">
            <v>No incluye la preparación de la superficie existente. Tampoco las obras de confinamiento del pavimento.</v>
          </cell>
        </row>
        <row r="120">
          <cell r="C120">
            <v>510.1</v>
          </cell>
          <cell r="D120">
            <v>510</v>
          </cell>
          <cell r="E120" t="str">
            <v>510P</v>
          </cell>
          <cell r="F120" t="str">
            <v>Andenes en adoquín peatonal</v>
          </cell>
          <cell r="G120" t="str">
            <v>m2</v>
          </cell>
        </row>
        <row r="121">
          <cell r="C121">
            <v>510.2</v>
          </cell>
          <cell r="D121">
            <v>510</v>
          </cell>
          <cell r="E121" t="str">
            <v>510P</v>
          </cell>
          <cell r="F121" t="str">
            <v>Andenes en adoquín estructural vehicular Tipo 1</v>
          </cell>
          <cell r="G121" t="str">
            <v>m2</v>
          </cell>
        </row>
        <row r="122">
          <cell r="C122">
            <v>510.3</v>
          </cell>
          <cell r="D122">
            <v>510</v>
          </cell>
          <cell r="E122" t="str">
            <v>510P</v>
          </cell>
          <cell r="F122" t="str">
            <v>Andenes en adoquín estructural vehicular Tipo 2</v>
          </cell>
          <cell r="G122" t="str">
            <v>m2</v>
          </cell>
        </row>
        <row r="123">
          <cell r="C123">
            <v>600.1</v>
          </cell>
          <cell r="D123">
            <v>600</v>
          </cell>
          <cell r="F123" t="str">
            <v>Excavaciones varias sin clasificar</v>
          </cell>
          <cell r="G123" t="str">
            <v>m3</v>
          </cell>
        </row>
        <row r="124">
          <cell r="C124">
            <v>600.20000000000005</v>
          </cell>
          <cell r="D124">
            <v>600</v>
          </cell>
          <cell r="F124" t="str">
            <v>Excavaciones varias en roca en seco</v>
          </cell>
          <cell r="G124" t="str">
            <v>m3</v>
          </cell>
        </row>
        <row r="125">
          <cell r="C125">
            <v>600.29999999999995</v>
          </cell>
          <cell r="D125">
            <v>600</v>
          </cell>
          <cell r="F125" t="str">
            <v>Excavaciones varias en roca bajo agua</v>
          </cell>
          <cell r="G125" t="str">
            <v>m3</v>
          </cell>
        </row>
        <row r="126">
          <cell r="C126">
            <v>600.4</v>
          </cell>
          <cell r="D126">
            <v>600</v>
          </cell>
          <cell r="F126" t="str">
            <v>Excavaciones varias en material común en seco</v>
          </cell>
          <cell r="G126" t="str">
            <v>m3</v>
          </cell>
        </row>
        <row r="127">
          <cell r="C127">
            <v>600.5</v>
          </cell>
          <cell r="D127">
            <v>600</v>
          </cell>
          <cell r="E127">
            <v>0</v>
          </cell>
          <cell r="F127" t="str">
            <v>Excavaciones varias en material común bajo agua</v>
          </cell>
          <cell r="G127" t="str">
            <v>m3</v>
          </cell>
          <cell r="H127">
            <v>0</v>
          </cell>
        </row>
        <row r="128">
          <cell r="C128">
            <v>600.6</v>
          </cell>
          <cell r="D128">
            <v>600</v>
          </cell>
          <cell r="E128" t="str">
            <v>600P</v>
          </cell>
          <cell r="F128" t="str">
            <v>Excavaciones varias sin clasificar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600.70000000000005</v>
          </cell>
          <cell r="D129">
            <v>600</v>
          </cell>
          <cell r="E129" t="str">
            <v>600P</v>
          </cell>
          <cell r="F129" t="str">
            <v>Excavaciones varias en material común en seco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600.79999999999995</v>
          </cell>
          <cell r="D130">
            <v>600</v>
          </cell>
          <cell r="E130" t="str">
            <v>600P</v>
          </cell>
          <cell r="F130" t="str">
            <v>Excavaciones varias en material común bajo agua</v>
          </cell>
          <cell r="G130" t="str">
            <v>m3</v>
          </cell>
          <cell r="H130" t="str">
            <v>Tiene en cuenta el programa PICO y PALA</v>
          </cell>
        </row>
        <row r="131">
          <cell r="C131">
            <v>600.9</v>
          </cell>
          <cell r="D131">
            <v>600</v>
          </cell>
          <cell r="E131" t="str">
            <v>600P</v>
          </cell>
          <cell r="F131" t="str">
            <v>Excavaciones varias en roca bajo agua</v>
          </cell>
          <cell r="G131" t="str">
            <v>m³</v>
          </cell>
          <cell r="H131" t="str">
            <v>Tiene en cuenta el programa PICO y PALA</v>
          </cell>
        </row>
        <row r="132">
          <cell r="C132">
            <v>601.1</v>
          </cell>
          <cell r="D132">
            <v>601</v>
          </cell>
          <cell r="F132" t="str">
            <v>Excavaciones varias en roca en seco</v>
          </cell>
          <cell r="G132" t="str">
            <v>m3</v>
          </cell>
        </row>
        <row r="133">
          <cell r="C133">
            <v>601.20000000000005</v>
          </cell>
          <cell r="D133">
            <v>601</v>
          </cell>
          <cell r="F133" t="str">
            <v>Excavaciones varias en roca bajo agua</v>
          </cell>
          <cell r="G133" t="str">
            <v>m3</v>
          </cell>
        </row>
        <row r="134">
          <cell r="C134">
            <v>601.29999999999995</v>
          </cell>
          <cell r="D134">
            <v>601</v>
          </cell>
          <cell r="F134" t="str">
            <v>Excavaciones varias en material común en seco</v>
          </cell>
          <cell r="G134" t="str">
            <v>m3</v>
          </cell>
        </row>
        <row r="135">
          <cell r="C135">
            <v>601.4</v>
          </cell>
          <cell r="D135">
            <v>601</v>
          </cell>
          <cell r="F135" t="str">
            <v>Excavaciones varias en material común bajo agua</v>
          </cell>
          <cell r="G135" t="str">
            <v>m3</v>
          </cell>
          <cell r="H135">
            <v>0</v>
          </cell>
        </row>
        <row r="136">
          <cell r="C136">
            <v>610.1</v>
          </cell>
          <cell r="D136">
            <v>610</v>
          </cell>
          <cell r="F136" t="str">
            <v>Rellenos para estructuras</v>
          </cell>
          <cell r="G136" t="str">
            <v>m3</v>
          </cell>
          <cell r="H136" t="str">
            <v>No incluye la preparación de la superficie sobre la que irá el relleno.</v>
          </cell>
        </row>
        <row r="137">
          <cell r="C137">
            <v>610.20000000000005</v>
          </cell>
          <cell r="D137">
            <v>610</v>
          </cell>
          <cell r="E137">
            <v>0</v>
          </cell>
          <cell r="F137" t="str">
            <v>Material filtrante</v>
          </cell>
          <cell r="G137" t="str">
            <v>m3</v>
          </cell>
        </row>
        <row r="138">
          <cell r="C138">
            <v>612</v>
          </cell>
          <cell r="D138">
            <v>0</v>
          </cell>
          <cell r="E138" t="str">
            <v>612P</v>
          </cell>
          <cell r="F138" t="str">
            <v>Geobloques</v>
          </cell>
          <cell r="G138" t="str">
            <v>m3</v>
          </cell>
        </row>
        <row r="139">
          <cell r="C139">
            <v>620.1</v>
          </cell>
          <cell r="D139">
            <v>620</v>
          </cell>
          <cell r="F139" t="str">
            <v>Pilotes prefabricados de concreto</v>
          </cell>
          <cell r="G139" t="str">
            <v>ml</v>
          </cell>
        </row>
        <row r="140">
          <cell r="C140">
            <v>620.20000000000005</v>
          </cell>
          <cell r="D140">
            <v>620</v>
          </cell>
          <cell r="F140" t="str">
            <v>Extensión de pilotes</v>
          </cell>
          <cell r="G140" t="str">
            <v>ml</v>
          </cell>
        </row>
        <row r="141">
          <cell r="C141">
            <v>620.29999999999995</v>
          </cell>
          <cell r="D141">
            <v>620</v>
          </cell>
          <cell r="F141" t="str">
            <v>Prueba de carga</v>
          </cell>
          <cell r="G141" t="str">
            <v>Un</v>
          </cell>
        </row>
        <row r="142">
          <cell r="C142">
            <v>621.1</v>
          </cell>
          <cell r="D142">
            <v>621</v>
          </cell>
          <cell r="F142" t="str">
            <v>Pilote de concreto fundido in-situ de diámetro____</v>
          </cell>
          <cell r="G142" t="str">
            <v>ml</v>
          </cell>
        </row>
        <row r="143">
          <cell r="C143">
            <v>621.20000000000005</v>
          </cell>
          <cell r="D143">
            <v>621</v>
          </cell>
          <cell r="F143" t="str">
            <v>Base acampanada</v>
          </cell>
          <cell r="G143" t="str">
            <v>m3</v>
          </cell>
        </row>
        <row r="144">
          <cell r="C144">
            <v>621.29999999999995</v>
          </cell>
          <cell r="D144">
            <v>621</v>
          </cell>
          <cell r="F144" t="str">
            <v>Pilote de prueba de diámetro ____</v>
          </cell>
          <cell r="G144" t="str">
            <v>ml</v>
          </cell>
        </row>
        <row r="145">
          <cell r="C145">
            <v>621.4</v>
          </cell>
          <cell r="D145">
            <v>621</v>
          </cell>
          <cell r="F145" t="str">
            <v>Base acampanada de prueba</v>
          </cell>
          <cell r="G145" t="str">
            <v>m3</v>
          </cell>
        </row>
        <row r="146">
          <cell r="C146">
            <v>621.5</v>
          </cell>
          <cell r="D146">
            <v>621</v>
          </cell>
          <cell r="F146" t="str">
            <v>Camisa permanente de diámetro exterior ____</v>
          </cell>
          <cell r="G146" t="str">
            <v>ml</v>
          </cell>
        </row>
        <row r="147">
          <cell r="C147">
            <v>621.6</v>
          </cell>
          <cell r="D147">
            <v>621</v>
          </cell>
          <cell r="F147" t="str">
            <v>Prueba de carga</v>
          </cell>
          <cell r="G147" t="str">
            <v>Un</v>
          </cell>
        </row>
        <row r="148">
          <cell r="C148">
            <v>622.1</v>
          </cell>
          <cell r="D148">
            <v>622</v>
          </cell>
          <cell r="F148" t="str">
            <v>Tablestacado de madera</v>
          </cell>
          <cell r="G148" t="str">
            <v>m2</v>
          </cell>
        </row>
        <row r="149">
          <cell r="C149">
            <v>622.20000000000005</v>
          </cell>
          <cell r="D149">
            <v>622</v>
          </cell>
          <cell r="F149" t="str">
            <v>Tablestacado metálico</v>
          </cell>
          <cell r="G149" t="str">
            <v>m2</v>
          </cell>
        </row>
        <row r="150">
          <cell r="C150">
            <v>622.29999999999995</v>
          </cell>
          <cell r="D150">
            <v>622</v>
          </cell>
          <cell r="F150" t="str">
            <v>Tablestacado de concreto reforzado</v>
          </cell>
          <cell r="G150" t="str">
            <v>m2</v>
          </cell>
        </row>
        <row r="151">
          <cell r="C151">
            <v>622.4</v>
          </cell>
          <cell r="D151">
            <v>622</v>
          </cell>
          <cell r="F151" t="str">
            <v>Tablestacado de concreto preesforzado</v>
          </cell>
          <cell r="G151" t="str">
            <v>m2</v>
          </cell>
        </row>
        <row r="152">
          <cell r="C152">
            <v>622.5</v>
          </cell>
          <cell r="D152">
            <v>622</v>
          </cell>
          <cell r="E152">
            <v>0</v>
          </cell>
          <cell r="F152" t="str">
            <v>Corte del extremo superior del elemento</v>
          </cell>
          <cell r="G152" t="str">
            <v>ml</v>
          </cell>
          <cell r="H152">
            <v>0</v>
          </cell>
        </row>
        <row r="153">
          <cell r="C153">
            <v>622.6</v>
          </cell>
          <cell r="D153">
            <v>622</v>
          </cell>
          <cell r="E153" t="str">
            <v>622P</v>
          </cell>
          <cell r="F153" t="str">
            <v>Tablestacado metálico</v>
          </cell>
          <cell r="G153" t="str">
            <v>ml</v>
          </cell>
          <cell r="H153" t="str">
            <v>La unidad de medida es el metro lineal</v>
          </cell>
        </row>
        <row r="154">
          <cell r="C154">
            <v>623.1</v>
          </cell>
          <cell r="E154" t="str">
            <v>623P</v>
          </cell>
          <cell r="F154" t="str">
            <v>Suministro e hincamiento de rieles</v>
          </cell>
          <cell r="G154" t="str">
            <v>ml</v>
          </cell>
        </row>
        <row r="155">
          <cell r="C155">
            <v>623.20000000000005</v>
          </cell>
          <cell r="D155">
            <v>0</v>
          </cell>
          <cell r="E155" t="str">
            <v>623P</v>
          </cell>
          <cell r="F155" t="str">
            <v>Suministro e instalación de rieles</v>
          </cell>
          <cell r="G155" t="str">
            <v>ml</v>
          </cell>
        </row>
        <row r="156">
          <cell r="C156">
            <v>630.1</v>
          </cell>
          <cell r="D156">
            <v>630</v>
          </cell>
          <cell r="F156" t="str">
            <v>Concreto Clase A</v>
          </cell>
          <cell r="G156" t="str">
            <v>m3</v>
          </cell>
        </row>
        <row r="157">
          <cell r="C157">
            <v>630.20000000000005</v>
          </cell>
          <cell r="D157">
            <v>630</v>
          </cell>
          <cell r="F157" t="str">
            <v>Concreto Clase B</v>
          </cell>
          <cell r="G157" t="str">
            <v>m3</v>
          </cell>
        </row>
        <row r="158">
          <cell r="C158">
            <v>630.29999999999995</v>
          </cell>
          <cell r="D158">
            <v>630</v>
          </cell>
          <cell r="F158" t="str">
            <v>Concreto Clase C</v>
          </cell>
          <cell r="G158" t="str">
            <v>m3</v>
          </cell>
        </row>
        <row r="159">
          <cell r="C159">
            <v>630.4</v>
          </cell>
          <cell r="D159">
            <v>630</v>
          </cell>
          <cell r="F159" t="str">
            <v>Concreto Clase D</v>
          </cell>
          <cell r="G159" t="str">
            <v>m3</v>
          </cell>
        </row>
        <row r="160">
          <cell r="C160">
            <v>630.5</v>
          </cell>
          <cell r="D160">
            <v>630</v>
          </cell>
          <cell r="F160" t="str">
            <v>Concreto Clase E</v>
          </cell>
          <cell r="G160" t="str">
            <v>m3</v>
          </cell>
        </row>
        <row r="161">
          <cell r="C161">
            <v>630.6</v>
          </cell>
          <cell r="D161">
            <v>630</v>
          </cell>
          <cell r="F161" t="str">
            <v>Concreto Clase F</v>
          </cell>
          <cell r="G161" t="str">
            <v>m3</v>
          </cell>
        </row>
        <row r="162">
          <cell r="C162">
            <v>630.70000000000005</v>
          </cell>
          <cell r="D162">
            <v>630</v>
          </cell>
          <cell r="E162">
            <v>0</v>
          </cell>
          <cell r="F162" t="str">
            <v>Concreto Clase G</v>
          </cell>
          <cell r="G162" t="str">
            <v>m3</v>
          </cell>
        </row>
        <row r="163">
          <cell r="C163">
            <v>630.79999999999995</v>
          </cell>
          <cell r="D163">
            <v>630</v>
          </cell>
          <cell r="E163" t="str">
            <v>630P</v>
          </cell>
          <cell r="F163" t="str">
            <v>Concreto Clase A con aditivo</v>
          </cell>
          <cell r="G163" t="str">
            <v>m3</v>
          </cell>
        </row>
        <row r="164">
          <cell r="C164">
            <v>630.9</v>
          </cell>
          <cell r="D164">
            <v>630</v>
          </cell>
          <cell r="E164" t="str">
            <v>630P</v>
          </cell>
          <cell r="F164" t="str">
            <v>Concreto Clase D con aditivo</v>
          </cell>
          <cell r="G164" t="str">
            <v>m3</v>
          </cell>
        </row>
        <row r="165">
          <cell r="C165">
            <v>630.1</v>
          </cell>
          <cell r="D165">
            <v>630</v>
          </cell>
          <cell r="E165" t="str">
            <v>630P-1</v>
          </cell>
          <cell r="F165" t="str">
            <v>Realce de cabezotes de alcantarillas</v>
          </cell>
          <cell r="G165" t="str">
            <v>m3</v>
          </cell>
        </row>
        <row r="166">
          <cell r="C166">
            <v>630.11</v>
          </cell>
          <cell r="D166">
            <v>630</v>
          </cell>
          <cell r="E166" t="str">
            <v>630P-2</v>
          </cell>
          <cell r="F166" t="str">
            <v>Realce de bordillo de cunetas</v>
          </cell>
          <cell r="G166" t="str">
            <v>m3</v>
          </cell>
        </row>
        <row r="167">
          <cell r="C167">
            <v>630.12</v>
          </cell>
          <cell r="D167">
            <v>630</v>
          </cell>
          <cell r="E167" t="str">
            <v>630P-3</v>
          </cell>
          <cell r="F167" t="str">
            <v>Concreto Clase G para cimientos</v>
          </cell>
          <cell r="G167" t="str">
            <v>m3</v>
          </cell>
        </row>
        <row r="168">
          <cell r="C168">
            <v>630.13</v>
          </cell>
          <cell r="D168">
            <v>630</v>
          </cell>
          <cell r="E168" t="str">
            <v>630P-3</v>
          </cell>
          <cell r="F168" t="str">
            <v>Concreto Clase G para elevaciones</v>
          </cell>
          <cell r="G168" t="str">
            <v>m3</v>
          </cell>
        </row>
        <row r="169">
          <cell r="C169">
            <v>630.14</v>
          </cell>
          <cell r="D169">
            <v>630</v>
          </cell>
          <cell r="E169" t="str">
            <v>630P-4</v>
          </cell>
          <cell r="F169" t="str">
            <v>Recubrimiento con malla y mortero 1:4, e=5cm</v>
          </cell>
          <cell r="G169" t="str">
            <v>m2</v>
          </cell>
          <cell r="H169">
            <v>0</v>
          </cell>
        </row>
        <row r="170">
          <cell r="C170">
            <v>632</v>
          </cell>
          <cell r="D170">
            <v>632</v>
          </cell>
          <cell r="E170">
            <v>0</v>
          </cell>
          <cell r="F170" t="str">
            <v>Baranda de concreto</v>
          </cell>
          <cell r="G170" t="str">
            <v>ml</v>
          </cell>
          <cell r="H170" t="str">
            <v>No incluye el acero de refuerzo</v>
          </cell>
        </row>
        <row r="171">
          <cell r="C171">
            <v>632.1</v>
          </cell>
          <cell r="D171">
            <v>0</v>
          </cell>
          <cell r="E171" t="str">
            <v>632P</v>
          </cell>
          <cell r="F171" t="str">
            <v>Baranda metálica tubular</v>
          </cell>
          <cell r="G171" t="str">
            <v>ml</v>
          </cell>
        </row>
        <row r="172">
          <cell r="C172">
            <v>640.1</v>
          </cell>
          <cell r="D172">
            <v>640</v>
          </cell>
          <cell r="F172" t="str">
            <v>Acero de refuerzo Grado 37</v>
          </cell>
          <cell r="G172" t="str">
            <v>Kg</v>
          </cell>
        </row>
        <row r="173">
          <cell r="C173">
            <v>640.20000000000005</v>
          </cell>
          <cell r="D173">
            <v>640</v>
          </cell>
          <cell r="F173" t="str">
            <v>Acero de refuerzo Grado 40</v>
          </cell>
          <cell r="G173" t="str">
            <v>Kg</v>
          </cell>
        </row>
        <row r="174">
          <cell r="C174">
            <v>640.29999999999995</v>
          </cell>
          <cell r="D174">
            <v>640</v>
          </cell>
          <cell r="F174" t="str">
            <v>Acero de refuerzo Grado 60</v>
          </cell>
          <cell r="G174" t="str">
            <v>Kg</v>
          </cell>
        </row>
        <row r="175">
          <cell r="C175">
            <v>641</v>
          </cell>
          <cell r="D175">
            <v>641</v>
          </cell>
          <cell r="F175" t="str">
            <v>Acero de preesfuerzo</v>
          </cell>
          <cell r="G175" t="str">
            <v>t-m</v>
          </cell>
        </row>
        <row r="176">
          <cell r="C176">
            <v>642.1</v>
          </cell>
          <cell r="D176">
            <v>642</v>
          </cell>
          <cell r="F176" t="str">
            <v>Apoyo elastomérico</v>
          </cell>
          <cell r="G176" t="str">
            <v>Un</v>
          </cell>
        </row>
        <row r="177">
          <cell r="C177">
            <v>642.20000000000005</v>
          </cell>
          <cell r="D177">
            <v>642</v>
          </cell>
          <cell r="E177">
            <v>0</v>
          </cell>
          <cell r="F177" t="str">
            <v>Sello para juntas de puentes</v>
          </cell>
          <cell r="G177" t="str">
            <v>ml</v>
          </cell>
        </row>
        <row r="178">
          <cell r="C178">
            <v>643</v>
          </cell>
          <cell r="E178" t="str">
            <v>643P</v>
          </cell>
          <cell r="F178" t="str">
            <v>Suministro e instalación de juntas de dilatación</v>
          </cell>
          <cell r="G178" t="str">
            <v>ml</v>
          </cell>
        </row>
        <row r="179">
          <cell r="C179">
            <v>644</v>
          </cell>
          <cell r="E179" t="str">
            <v>644P</v>
          </cell>
          <cell r="F179" t="str">
            <v>Suministro e instalación de sellos para juntas de puentes</v>
          </cell>
          <cell r="G179" t="str">
            <v>ml</v>
          </cell>
        </row>
        <row r="180">
          <cell r="C180">
            <v>645</v>
          </cell>
          <cell r="E180" t="str">
            <v>645P</v>
          </cell>
          <cell r="F180" t="str">
            <v>Rejilla en varilla (2.0m x 2.52 m), D=1".</v>
          </cell>
          <cell r="G180" t="str">
            <v>Un</v>
          </cell>
        </row>
        <row r="181">
          <cell r="C181">
            <v>646</v>
          </cell>
          <cell r="D181">
            <v>0</v>
          </cell>
          <cell r="E181" t="str">
            <v>646P</v>
          </cell>
          <cell r="F181" t="str">
            <v>Anclajes o Tiebacks</v>
          </cell>
          <cell r="G181" t="str">
            <v>ml</v>
          </cell>
        </row>
        <row r="182">
          <cell r="C182">
            <v>650.1</v>
          </cell>
          <cell r="D182">
            <v>650</v>
          </cell>
          <cell r="F182" t="str">
            <v>Diseño y fabricación de estructura metálica</v>
          </cell>
          <cell r="G182" t="str">
            <v>Kg</v>
          </cell>
        </row>
        <row r="183">
          <cell r="C183">
            <v>650.20000000000005</v>
          </cell>
          <cell r="D183">
            <v>650</v>
          </cell>
          <cell r="F183" t="str">
            <v>Fabricación de la estructura metálica</v>
          </cell>
          <cell r="G183" t="str">
            <v>Kg</v>
          </cell>
        </row>
        <row r="184">
          <cell r="C184">
            <v>650.29999999999995</v>
          </cell>
          <cell r="D184">
            <v>650</v>
          </cell>
          <cell r="F184" t="str">
            <v>Transporte de estructura metálica</v>
          </cell>
          <cell r="G184" t="str">
            <v>Kg</v>
          </cell>
        </row>
        <row r="185">
          <cell r="C185">
            <v>650.4</v>
          </cell>
          <cell r="D185">
            <v>650</v>
          </cell>
          <cell r="F185" t="str">
            <v>Montaje y pintura de estructura metálica</v>
          </cell>
          <cell r="G185" t="str">
            <v>Kg</v>
          </cell>
        </row>
        <row r="186">
          <cell r="C186">
            <v>660.1</v>
          </cell>
          <cell r="D186">
            <v>660</v>
          </cell>
          <cell r="F186" t="str">
            <v>Tubería de concreto simple de diámetro 450 mm</v>
          </cell>
          <cell r="G186" t="str">
            <v>ml</v>
          </cell>
        </row>
        <row r="187">
          <cell r="C187">
            <v>660.2</v>
          </cell>
          <cell r="D187">
            <v>660</v>
          </cell>
          <cell r="F187" t="str">
            <v>Tubería de concreto simple de diámetro 600 mm</v>
          </cell>
          <cell r="G187" t="str">
            <v>ml</v>
          </cell>
        </row>
        <row r="188">
          <cell r="C188">
            <v>660.3</v>
          </cell>
          <cell r="D188">
            <v>660</v>
          </cell>
          <cell r="E188">
            <v>0</v>
          </cell>
          <cell r="F188" t="str">
            <v>Tubería de concreto simple de diámetro 750 mm</v>
          </cell>
          <cell r="G188" t="str">
            <v>ml</v>
          </cell>
        </row>
        <row r="189">
          <cell r="C189">
            <v>660.4</v>
          </cell>
          <cell r="D189">
            <v>0</v>
          </cell>
          <cell r="E189" t="str">
            <v>660P</v>
          </cell>
          <cell r="F189" t="str">
            <v>Tubería perforada de gres de 6 pulgadas de diámetro</v>
          </cell>
          <cell r="G189" t="str">
            <v>ml</v>
          </cell>
        </row>
        <row r="190">
          <cell r="C190">
            <v>661</v>
          </cell>
          <cell r="D190">
            <v>661</v>
          </cell>
          <cell r="F190" t="str">
            <v>Tubería de concreto reforzado de 900 mm diámetro interior</v>
          </cell>
          <cell r="G190" t="str">
            <v>ml</v>
          </cell>
        </row>
        <row r="191">
          <cell r="C191">
            <v>662.1</v>
          </cell>
          <cell r="D191">
            <v>662</v>
          </cell>
          <cell r="F191" t="str">
            <v>Tubería corrugada de acero galvanizado de lámina calibre __ y diámetro __ mm</v>
          </cell>
          <cell r="G191" t="str">
            <v>ml</v>
          </cell>
        </row>
        <row r="192">
          <cell r="C192">
            <v>662.2</v>
          </cell>
          <cell r="D192">
            <v>662</v>
          </cell>
          <cell r="E192">
            <v>0</v>
          </cell>
          <cell r="F192" t="str">
            <v>Tubería corrugada de acero con recubrimiento bituminoso de lámina calibre __ y diámetro __ mm</v>
          </cell>
          <cell r="G192" t="str">
            <v>ml</v>
          </cell>
        </row>
        <row r="193">
          <cell r="C193">
            <v>669.1</v>
          </cell>
          <cell r="D193">
            <v>0</v>
          </cell>
          <cell r="E193" t="str">
            <v>669P</v>
          </cell>
          <cell r="F193" t="str">
            <v>Andenes de sección 2m de ancho x 0.12 m de espesor</v>
          </cell>
          <cell r="G193" t="str">
            <v>m2</v>
          </cell>
        </row>
        <row r="194">
          <cell r="C194">
            <v>670.1</v>
          </cell>
          <cell r="D194">
            <v>670</v>
          </cell>
          <cell r="F194" t="str">
            <v>Disipadores de energía y sedimentadores en gaviones</v>
          </cell>
          <cell r="G194" t="str">
            <v>m3</v>
          </cell>
        </row>
        <row r="195">
          <cell r="C195">
            <v>670.2</v>
          </cell>
          <cell r="D195">
            <v>670</v>
          </cell>
          <cell r="F195" t="str">
            <v>Disipadores de energía y sedimentadores en concreto ciclópeo</v>
          </cell>
          <cell r="G195" t="str">
            <v>m3</v>
          </cell>
        </row>
        <row r="196">
          <cell r="C196">
            <v>671</v>
          </cell>
          <cell r="D196">
            <v>671</v>
          </cell>
          <cell r="E196">
            <v>0</v>
          </cell>
          <cell r="F196" t="str">
            <v>Cunetas revestidas en concreto</v>
          </cell>
          <cell r="G196" t="str">
            <v>m3</v>
          </cell>
        </row>
        <row r="197">
          <cell r="C197">
            <v>671.1</v>
          </cell>
          <cell r="D197">
            <v>671</v>
          </cell>
          <cell r="E197" t="str">
            <v>671P</v>
          </cell>
          <cell r="F197" t="str">
            <v>Cunetas revestidas en concreto clase D, Sección # 1 y Sección No. 2</v>
          </cell>
          <cell r="G197" t="str">
            <v>m3</v>
          </cell>
        </row>
        <row r="198">
          <cell r="C198">
            <v>672</v>
          </cell>
          <cell r="D198">
            <v>672</v>
          </cell>
          <cell r="E198">
            <v>0</v>
          </cell>
          <cell r="F198" t="str">
            <v>Bordillo</v>
          </cell>
          <cell r="G198" t="str">
            <v>ml</v>
          </cell>
        </row>
        <row r="199">
          <cell r="C199">
            <v>672.1</v>
          </cell>
          <cell r="D199">
            <v>672</v>
          </cell>
          <cell r="E199" t="str">
            <v>672P</v>
          </cell>
          <cell r="F199" t="str">
            <v>Realce de bordillo</v>
          </cell>
          <cell r="G199" t="str">
            <v>ml</v>
          </cell>
        </row>
        <row r="200">
          <cell r="C200">
            <v>673</v>
          </cell>
          <cell r="D200">
            <v>673</v>
          </cell>
          <cell r="E200">
            <v>0</v>
          </cell>
          <cell r="F200" t="str">
            <v>Material filtrante</v>
          </cell>
          <cell r="G200" t="str">
            <v>m3</v>
          </cell>
        </row>
        <row r="201">
          <cell r="C201">
            <v>673.1</v>
          </cell>
          <cell r="D201">
            <v>673</v>
          </cell>
          <cell r="E201" t="str">
            <v>673P</v>
          </cell>
          <cell r="F201" t="str">
            <v>Dren horizontal 0-10 m</v>
          </cell>
          <cell r="G201" t="str">
            <v>ml</v>
          </cell>
        </row>
        <row r="202">
          <cell r="C202">
            <v>673.2</v>
          </cell>
          <cell r="D202">
            <v>673</v>
          </cell>
          <cell r="E202" t="str">
            <v>673P</v>
          </cell>
          <cell r="F202" t="str">
            <v>Dren horizontal 0-30 m</v>
          </cell>
          <cell r="G202" t="str">
            <v>ml</v>
          </cell>
        </row>
        <row r="203">
          <cell r="C203">
            <v>673.3</v>
          </cell>
          <cell r="D203">
            <v>673</v>
          </cell>
          <cell r="E203" t="str">
            <v>673P-1</v>
          </cell>
          <cell r="F203" t="str">
            <v>Filtros geocompuestos Tipo Geodren o Pack drain</v>
          </cell>
          <cell r="G203" t="str">
            <v>ml</v>
          </cell>
        </row>
        <row r="204">
          <cell r="C204">
            <v>673.4</v>
          </cell>
          <cell r="D204">
            <v>673</v>
          </cell>
          <cell r="E204" t="str">
            <v>673P-2</v>
          </cell>
          <cell r="F204" t="str">
            <v>Material filtrante, entre 3" y 6", para dren profundo</v>
          </cell>
          <cell r="G204" t="str">
            <v>ml</v>
          </cell>
        </row>
        <row r="205">
          <cell r="C205">
            <v>674.1</v>
          </cell>
          <cell r="E205" t="str">
            <v>674P</v>
          </cell>
          <cell r="F205" t="str">
            <v>Nivelación y reconstrucción de pozos de inspección</v>
          </cell>
          <cell r="G205" t="str">
            <v>Un</v>
          </cell>
        </row>
        <row r="206">
          <cell r="C206">
            <v>674.2</v>
          </cell>
          <cell r="E206" t="str">
            <v>674P</v>
          </cell>
          <cell r="F206" t="str">
            <v>Nivelación y reconstrucción de sumideros</v>
          </cell>
          <cell r="G206" t="str">
            <v>Un</v>
          </cell>
        </row>
        <row r="207">
          <cell r="C207">
            <v>674.3</v>
          </cell>
          <cell r="E207" t="str">
            <v>674P</v>
          </cell>
          <cell r="F207" t="str">
            <v>Nivelación y reconstrucción de cajas de válvulas de la EAAB</v>
          </cell>
          <cell r="G207" t="str">
            <v>Un</v>
          </cell>
        </row>
        <row r="208">
          <cell r="C208">
            <v>674.4</v>
          </cell>
          <cell r="E208" t="str">
            <v>674P</v>
          </cell>
          <cell r="F208" t="str">
            <v>Nivelación y reconstrucción de cajas de energía de CODENSA</v>
          </cell>
          <cell r="G208" t="str">
            <v>Un</v>
          </cell>
        </row>
        <row r="209">
          <cell r="C209">
            <v>674.5</v>
          </cell>
          <cell r="E209" t="str">
            <v>674P</v>
          </cell>
          <cell r="F209" t="str">
            <v>Nivelación y reconstrucción de cajas de la ETB</v>
          </cell>
          <cell r="G209" t="str">
            <v>Un</v>
          </cell>
        </row>
        <row r="210">
          <cell r="C210">
            <v>675</v>
          </cell>
          <cell r="E210" t="str">
            <v>675P</v>
          </cell>
          <cell r="F210" t="str">
            <v>Caja de inspección para alumbrado público</v>
          </cell>
          <cell r="G210" t="str">
            <v>Un</v>
          </cell>
        </row>
        <row r="211">
          <cell r="C211">
            <v>678.1</v>
          </cell>
          <cell r="D211">
            <v>0</v>
          </cell>
          <cell r="E211" t="str">
            <v>678P</v>
          </cell>
          <cell r="F211" t="str">
            <v>Suministro y colocación de ductos de PVC o similar</v>
          </cell>
          <cell r="G211" t="str">
            <v>ml</v>
          </cell>
        </row>
        <row r="212">
          <cell r="C212">
            <v>680.1</v>
          </cell>
          <cell r="D212">
            <v>680</v>
          </cell>
          <cell r="F212" t="str">
            <v>Escamas en concreto</v>
          </cell>
          <cell r="G212" t="str">
            <v>m2</v>
          </cell>
        </row>
        <row r="213">
          <cell r="C213">
            <v>680.2</v>
          </cell>
          <cell r="D213">
            <v>680</v>
          </cell>
          <cell r="F213" t="str">
            <v>Armadura galvanizada</v>
          </cell>
          <cell r="G213" t="str">
            <v>ml</v>
          </cell>
        </row>
        <row r="214">
          <cell r="C214">
            <v>680.3</v>
          </cell>
          <cell r="D214">
            <v>680</v>
          </cell>
          <cell r="F214" t="str">
            <v>Relleno granular para tierra armada</v>
          </cell>
          <cell r="G214" t="str">
            <v>m3</v>
          </cell>
        </row>
        <row r="215">
          <cell r="C215">
            <v>681.1</v>
          </cell>
          <cell r="D215">
            <v>681</v>
          </cell>
          <cell r="F215" t="str">
            <v>Gaviones</v>
          </cell>
          <cell r="G215" t="str">
            <v>m3</v>
          </cell>
          <cell r="H215">
            <v>0</v>
          </cell>
        </row>
        <row r="216">
          <cell r="C216">
            <v>682</v>
          </cell>
          <cell r="D216">
            <v>682</v>
          </cell>
          <cell r="E216">
            <v>0</v>
          </cell>
          <cell r="F216" t="str">
            <v>Muro de contención de suelo reforzado con geotextil</v>
          </cell>
          <cell r="G216" t="str">
            <v>m3</v>
          </cell>
          <cell r="H216" t="str">
            <v>No incluye geotextil ni recubrimiento del muro</v>
          </cell>
        </row>
        <row r="217">
          <cell r="C217">
            <v>682.1</v>
          </cell>
          <cell r="E217" t="str">
            <v>682P</v>
          </cell>
          <cell r="F217" t="str">
            <v>Geotextil para refuerzo</v>
          </cell>
          <cell r="G217" t="str">
            <v>m²</v>
          </cell>
        </row>
        <row r="218">
          <cell r="C218">
            <v>682.2</v>
          </cell>
          <cell r="E218" t="str">
            <v>682P</v>
          </cell>
          <cell r="F218" t="str">
            <v>Suministro y colocación de malla de gallinero recubierta con mortero</v>
          </cell>
          <cell r="G218" t="str">
            <v>m²</v>
          </cell>
        </row>
        <row r="219">
          <cell r="C219">
            <v>682.3</v>
          </cell>
          <cell r="E219" t="str">
            <v>682P</v>
          </cell>
          <cell r="F219" t="str">
            <v>Relleno para muro de tierra</v>
          </cell>
          <cell r="G219" t="str">
            <v>m³</v>
          </cell>
        </row>
        <row r="220">
          <cell r="C220">
            <v>683</v>
          </cell>
          <cell r="E220" t="str">
            <v>683P</v>
          </cell>
          <cell r="F220" t="str">
            <v>Bolsacretos en concreto Clase F</v>
          </cell>
          <cell r="G220" t="str">
            <v>m3</v>
          </cell>
        </row>
        <row r="221">
          <cell r="C221">
            <v>683.1</v>
          </cell>
          <cell r="D221">
            <v>0</v>
          </cell>
          <cell r="E221" t="str">
            <v>683P-1</v>
          </cell>
          <cell r="F221" t="str">
            <v>Bolsacretos en concreto Clase D</v>
          </cell>
          <cell r="G221" t="str">
            <v>m³</v>
          </cell>
        </row>
        <row r="222">
          <cell r="C222">
            <v>700.1</v>
          </cell>
          <cell r="D222">
            <v>700</v>
          </cell>
          <cell r="F222" t="str">
            <v>Línea de demarcación</v>
          </cell>
          <cell r="G222" t="str">
            <v>ml</v>
          </cell>
        </row>
        <row r="223">
          <cell r="C223">
            <v>700.2</v>
          </cell>
          <cell r="D223">
            <v>700</v>
          </cell>
          <cell r="E223">
            <v>0</v>
          </cell>
          <cell r="F223" t="str">
            <v>Marca vial</v>
          </cell>
          <cell r="G223" t="str">
            <v>m2</v>
          </cell>
        </row>
        <row r="224">
          <cell r="C224">
            <v>700.3</v>
          </cell>
          <cell r="D224">
            <v>700</v>
          </cell>
          <cell r="E224" t="str">
            <v>700P</v>
          </cell>
          <cell r="F224" t="str">
            <v>Línea de demarcación sobre concreto rígido</v>
          </cell>
          <cell r="G224" t="str">
            <v>ml</v>
          </cell>
        </row>
        <row r="225">
          <cell r="C225">
            <v>701</v>
          </cell>
          <cell r="D225">
            <v>701</v>
          </cell>
          <cell r="F225" t="str">
            <v>Tacha reflectiva</v>
          </cell>
          <cell r="G225" t="str">
            <v>Un</v>
          </cell>
        </row>
        <row r="226">
          <cell r="C226">
            <v>710.1</v>
          </cell>
          <cell r="D226">
            <v>710</v>
          </cell>
          <cell r="F226" t="str">
            <v>Señal de tránsito grupo I</v>
          </cell>
          <cell r="G226" t="str">
            <v>Un</v>
          </cell>
        </row>
        <row r="227">
          <cell r="C227">
            <v>710.2</v>
          </cell>
          <cell r="D227">
            <v>710</v>
          </cell>
          <cell r="F227" t="str">
            <v>Señal de tránsito grupo II</v>
          </cell>
          <cell r="G227" t="str">
            <v>Un</v>
          </cell>
        </row>
        <row r="228">
          <cell r="C228">
            <v>710.3</v>
          </cell>
          <cell r="D228">
            <v>710</v>
          </cell>
          <cell r="F228" t="str">
            <v>Señal de tránsito grupo III</v>
          </cell>
          <cell r="G228" t="str">
            <v>Un</v>
          </cell>
        </row>
        <row r="229">
          <cell r="C229">
            <v>710.4</v>
          </cell>
          <cell r="D229">
            <v>710</v>
          </cell>
          <cell r="F229" t="str">
            <v>Señal de tránsito grupo IV</v>
          </cell>
          <cell r="G229" t="str">
            <v>Un</v>
          </cell>
        </row>
        <row r="230">
          <cell r="C230">
            <v>710.5</v>
          </cell>
          <cell r="D230">
            <v>710</v>
          </cell>
          <cell r="E230">
            <v>0</v>
          </cell>
          <cell r="F230" t="str">
            <v>Señal de tránsito grupo V</v>
          </cell>
          <cell r="G230" t="str">
            <v>m2</v>
          </cell>
        </row>
        <row r="231">
          <cell r="C231">
            <v>710.6</v>
          </cell>
          <cell r="D231">
            <v>710</v>
          </cell>
          <cell r="E231" t="str">
            <v>710P</v>
          </cell>
          <cell r="F231" t="str">
            <v>Suministro e intalación de pasavías</v>
          </cell>
          <cell r="G231" t="str">
            <v>Un</v>
          </cell>
        </row>
        <row r="232">
          <cell r="C232">
            <v>720</v>
          </cell>
          <cell r="D232">
            <v>720</v>
          </cell>
          <cell r="F232" t="str">
            <v>Poste de kilometraje</v>
          </cell>
          <cell r="G232" t="str">
            <v>Un</v>
          </cell>
        </row>
        <row r="233">
          <cell r="C233">
            <v>730.1</v>
          </cell>
          <cell r="D233">
            <v>730</v>
          </cell>
          <cell r="F233" t="str">
            <v>Defensa metálica</v>
          </cell>
          <cell r="G233" t="str">
            <v>ml</v>
          </cell>
        </row>
        <row r="234">
          <cell r="C234">
            <v>730.2</v>
          </cell>
          <cell r="D234">
            <v>730</v>
          </cell>
          <cell r="F234" t="str">
            <v>Sección final</v>
          </cell>
          <cell r="G234" t="str">
            <v>Un</v>
          </cell>
        </row>
        <row r="235">
          <cell r="C235">
            <v>730.3</v>
          </cell>
          <cell r="D235">
            <v>730</v>
          </cell>
          <cell r="E235">
            <v>0</v>
          </cell>
          <cell r="F235" t="str">
            <v>Sección de tope</v>
          </cell>
          <cell r="G235" t="str">
            <v>Un</v>
          </cell>
        </row>
        <row r="236">
          <cell r="C236">
            <v>731</v>
          </cell>
          <cell r="D236">
            <v>0</v>
          </cell>
          <cell r="E236" t="str">
            <v>731P</v>
          </cell>
          <cell r="F236" t="str">
            <v>Amortiguadores para defensa metálica</v>
          </cell>
          <cell r="G236" t="str">
            <v>Un</v>
          </cell>
        </row>
        <row r="237">
          <cell r="C237">
            <v>740</v>
          </cell>
          <cell r="D237">
            <v>740</v>
          </cell>
          <cell r="E237">
            <v>0</v>
          </cell>
          <cell r="F237" t="str">
            <v>Captafaros</v>
          </cell>
          <cell r="G237" t="str">
            <v>Un</v>
          </cell>
        </row>
        <row r="238">
          <cell r="C238">
            <v>741</v>
          </cell>
          <cell r="E238" t="str">
            <v>741P</v>
          </cell>
          <cell r="F238" t="str">
            <v>Pintura de muros</v>
          </cell>
          <cell r="G238" t="str">
            <v>m2</v>
          </cell>
        </row>
        <row r="239">
          <cell r="C239">
            <v>741.1</v>
          </cell>
          <cell r="E239" t="str">
            <v>741P-1</v>
          </cell>
          <cell r="F239" t="str">
            <v>Pintura de muros</v>
          </cell>
          <cell r="G239" t="str">
            <v>m2</v>
          </cell>
        </row>
        <row r="240">
          <cell r="C240">
            <v>750</v>
          </cell>
          <cell r="D240">
            <v>0</v>
          </cell>
          <cell r="E240" t="str">
            <v>750P</v>
          </cell>
          <cell r="F240" t="str">
            <v>Bandas sonoras reductoras de velocidad</v>
          </cell>
          <cell r="G240" t="str">
            <v>m2</v>
          </cell>
        </row>
        <row r="241">
          <cell r="C241">
            <v>800.1</v>
          </cell>
          <cell r="D241">
            <v>800</v>
          </cell>
          <cell r="F241" t="str">
            <v>Cerca de alambre de púas con postes de madera</v>
          </cell>
          <cell r="G241" t="str">
            <v>ml</v>
          </cell>
        </row>
        <row r="242">
          <cell r="C242">
            <v>800.2</v>
          </cell>
          <cell r="D242">
            <v>800</v>
          </cell>
          <cell r="F242" t="str">
            <v>Cerca de alambre de púas con postes de concreto</v>
          </cell>
          <cell r="G242" t="str">
            <v>ml</v>
          </cell>
        </row>
        <row r="243">
          <cell r="C243">
            <v>800.3</v>
          </cell>
          <cell r="D243">
            <v>800</v>
          </cell>
          <cell r="F243" t="str">
            <v>Cerca de malla con postes de madera</v>
          </cell>
          <cell r="G243" t="str">
            <v>ml</v>
          </cell>
        </row>
        <row r="244">
          <cell r="C244">
            <v>800.4</v>
          </cell>
          <cell r="D244">
            <v>800</v>
          </cell>
          <cell r="F244" t="str">
            <v>Cerca de malla con postes de concreto</v>
          </cell>
          <cell r="G244" t="str">
            <v>ml</v>
          </cell>
          <cell r="H244">
            <v>0</v>
          </cell>
        </row>
        <row r="245">
          <cell r="C245">
            <v>810.1</v>
          </cell>
          <cell r="D245">
            <v>810</v>
          </cell>
          <cell r="F245" t="str">
            <v>Empradización de taludes con bloques de césped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810.2</v>
          </cell>
          <cell r="D246">
            <v>810</v>
          </cell>
          <cell r="E246">
            <v>0</v>
          </cell>
          <cell r="F246" t="str">
            <v>Empradización de taludes con tierra orgánica y semillas</v>
          </cell>
          <cell r="G246" t="str">
            <v>m2</v>
          </cell>
          <cell r="H246" t="str">
            <v>No incluye transporte de materiales</v>
          </cell>
        </row>
        <row r="247">
          <cell r="C247">
            <v>810.3</v>
          </cell>
          <cell r="D247">
            <v>810</v>
          </cell>
          <cell r="E247" t="str">
            <v>810P</v>
          </cell>
          <cell r="F247" t="str">
            <v>Empradización de taludes con bloques de césped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810.4</v>
          </cell>
          <cell r="D248">
            <v>810</v>
          </cell>
          <cell r="E248" t="str">
            <v>810P</v>
          </cell>
          <cell r="F248" t="str">
            <v>Empradización de taludes con tierra orgánica y semillas</v>
          </cell>
          <cell r="G248" t="str">
            <v>m2</v>
          </cell>
          <cell r="H248" t="str">
            <v>Incluye transporte de materiales</v>
          </cell>
        </row>
        <row r="249">
          <cell r="C249">
            <v>820.1</v>
          </cell>
          <cell r="D249">
            <v>820</v>
          </cell>
          <cell r="F249" t="str">
            <v>Geotextil</v>
          </cell>
          <cell r="G249" t="str">
            <v>m2</v>
          </cell>
        </row>
        <row r="250">
          <cell r="C250">
            <v>820.2</v>
          </cell>
          <cell r="D250">
            <v>820</v>
          </cell>
          <cell r="E250">
            <v>0</v>
          </cell>
          <cell r="F250" t="str">
            <v>Geotextil para refuerzo del pavimento</v>
          </cell>
          <cell r="G250" t="str">
            <v>m2</v>
          </cell>
        </row>
        <row r="251">
          <cell r="C251">
            <v>830</v>
          </cell>
          <cell r="D251">
            <v>0</v>
          </cell>
          <cell r="E251" t="str">
            <v>830P</v>
          </cell>
          <cell r="F251" t="str">
            <v>Limpieza de bermas, incluye cargue y retiro del material sobrante</v>
          </cell>
          <cell r="G251" t="str">
            <v>m2</v>
          </cell>
        </row>
        <row r="252">
          <cell r="C252">
            <v>900.1</v>
          </cell>
          <cell r="D252">
            <v>900</v>
          </cell>
          <cell r="F252" t="str">
            <v>Transporte de materiales provenientes de excavación de la explanación, canales y préstamos, entre 100m y 1000m</v>
          </cell>
          <cell r="G252" t="str">
            <v>m³-E</v>
          </cell>
        </row>
        <row r="253">
          <cell r="C253">
            <v>900.2</v>
          </cell>
          <cell r="D253">
            <v>900</v>
          </cell>
          <cell r="F253" t="str">
            <v>Transporte de materiales provenientes de la excavación de la explanación, canales y préstamos para distancias mayores de 1000m</v>
          </cell>
          <cell r="G253" t="str">
            <v>m³-km</v>
          </cell>
        </row>
        <row r="254">
          <cell r="C254">
            <v>900.3</v>
          </cell>
          <cell r="D254">
            <v>900</v>
          </cell>
          <cell r="E254">
            <v>0</v>
          </cell>
          <cell r="F254" t="str">
            <v>Transporte de materiales provenientes de derrumbes</v>
          </cell>
          <cell r="G254" t="str">
            <v>m³-km</v>
          </cell>
        </row>
        <row r="255">
          <cell r="C255">
            <v>1000.1</v>
          </cell>
          <cell r="E255" t="str">
            <v>1000P</v>
          </cell>
          <cell r="F255" t="str">
            <v>Retroexcavadora sobre orugas de capacidad mínima 1.5 yardas cúbicas</v>
          </cell>
          <cell r="G255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H&amp;H"/>
      <sheetName val="PPTO REVISIÓN"/>
      <sheetName val="1.1"/>
      <sheetName val="1.2"/>
      <sheetName val="1.3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3.5"/>
      <sheetName val="9,3"/>
      <sheetName val="9.4"/>
      <sheetName val="9.5"/>
      <sheetName val="9.6"/>
      <sheetName val="9.7"/>
      <sheetName val="9.8"/>
      <sheetName val="9.9"/>
      <sheetName val="9.10"/>
      <sheetName val="9.11"/>
      <sheetName val="3.6"/>
      <sheetName val="3.7"/>
      <sheetName val="3.8"/>
      <sheetName val="3.9"/>
      <sheetName val="4.1"/>
      <sheetName val="4.2"/>
      <sheetName val="4.3"/>
      <sheetName val="4.4"/>
      <sheetName val="4.5"/>
      <sheetName val="4.6"/>
      <sheetName val="4.7"/>
      <sheetName val="4.8"/>
      <sheetName val="4.9"/>
      <sheetName val="4.10"/>
      <sheetName val="5.1"/>
      <sheetName val="5.2"/>
      <sheetName val="5.3"/>
      <sheetName val="6.1"/>
      <sheetName val="6.2"/>
      <sheetName val="6.3"/>
      <sheetName val="6.4"/>
      <sheetName val="6.5"/>
      <sheetName val="7.1"/>
      <sheetName val="7.2"/>
      <sheetName val="7.3"/>
      <sheetName val="7.4"/>
      <sheetName val="7.5"/>
      <sheetName val="7.6"/>
      <sheetName val="7.7"/>
      <sheetName val="7.8"/>
      <sheetName val="8.1"/>
      <sheetName val="8.2"/>
      <sheetName val="8.3"/>
      <sheetName val="8.4"/>
      <sheetName val="8.5"/>
      <sheetName val="8.6"/>
      <sheetName val="8.7"/>
      <sheetName val="PRESUPUESTO OCAD"/>
      <sheetName val="EXCAVACION  MECANICA"/>
      <sheetName val="SUBBASE"/>
      <sheetName val="BASE"/>
      <sheetName val="ADOQUIN"/>
      <sheetName val="ANDEN EN CONCRETO"/>
      <sheetName val="LÁMPARAS CARABOBO"/>
      <sheetName val="CONTENEDOR RAICES"/>
      <sheetName val="ARBOLES"/>
      <sheetName val="JARDINERA"/>
      <sheetName val="BORDILLOS"/>
      <sheetName val="C 3000psi Manual"/>
      <sheetName val="C 4000psi"/>
      <sheetName val="C 1500PSI"/>
      <sheetName val="Mortero 1;3"/>
      <sheetName val="Mortero 1;4"/>
      <sheetName val="Mortero 1;5"/>
      <sheetName val="C 3000psi Mezcladora"/>
      <sheetName val="Mortero 1;3 Mezcladora"/>
    </sheetNames>
    <sheetDataSet>
      <sheetData sheetId="0">
        <row r="4">
          <cell r="B4" t="str">
            <v>Accesorios tuberia hidraulica</v>
          </cell>
        </row>
        <row r="5">
          <cell r="B5" t="str">
            <v>Acero 1/2 ó #4</v>
          </cell>
        </row>
        <row r="6">
          <cell r="B6" t="str">
            <v>Acero 1/4 ó #2</v>
          </cell>
        </row>
        <row r="7">
          <cell r="B7" t="str">
            <v>Acero 3/8 ó #3</v>
          </cell>
        </row>
        <row r="8">
          <cell r="B8" t="str">
            <v>Acero 5/8 ó #5</v>
          </cell>
        </row>
        <row r="9">
          <cell r="B9" t="str">
            <v>Acero 5mm</v>
          </cell>
        </row>
        <row r="10">
          <cell r="B10" t="str">
            <v>Acero Estructural ASTM A-36</v>
          </cell>
        </row>
        <row r="11">
          <cell r="B11" t="str">
            <v>Agua</v>
          </cell>
        </row>
        <row r="12">
          <cell r="B12" t="str">
            <v>Alambre negro</v>
          </cell>
        </row>
        <row r="13">
          <cell r="B13" t="str">
            <v>Anticorrosivo</v>
          </cell>
        </row>
        <row r="14">
          <cell r="B14" t="str">
            <v>Arena</v>
          </cell>
        </row>
        <row r="15">
          <cell r="B15" t="str">
            <v>Binda boquilla</v>
          </cell>
        </row>
        <row r="16">
          <cell r="B16" t="str">
            <v>Base Granular</v>
          </cell>
        </row>
        <row r="17">
          <cell r="B17" t="str">
            <v>Bicomponente para pega de Estoperol</v>
          </cell>
        </row>
        <row r="18">
          <cell r="B18" t="str">
            <v>Cable cobre aislado cal. No.12</v>
          </cell>
        </row>
        <row r="19">
          <cell r="B19" t="str">
            <v>Canaleta para cableado</v>
          </cell>
        </row>
        <row r="20">
          <cell r="B20" t="str">
            <v>Candados de seguridad Yale Serie 850 Tipo Aleman</v>
          </cell>
        </row>
        <row r="21">
          <cell r="B21" t="str">
            <v>Cemento.</v>
          </cell>
        </row>
        <row r="22">
          <cell r="B22" t="str">
            <v>Ceramica Exterior</v>
          </cell>
        </row>
        <row r="23">
          <cell r="B23" t="str">
            <v>Ceramica Interior</v>
          </cell>
        </row>
        <row r="24">
          <cell r="B24" t="str">
            <v>Cerradura DOBLE CILINDRO Y ROSETA INTERIOR YALE 396</v>
          </cell>
        </row>
        <row r="25">
          <cell r="B25" t="str">
            <v>Cinta PVC V-15</v>
          </cell>
        </row>
        <row r="26">
          <cell r="B26" t="str">
            <v>Cinta Amarilla Señalización (Peligro)</v>
          </cell>
        </row>
        <row r="27">
          <cell r="B27" t="str">
            <v>Codo 3" PVC</v>
          </cell>
        </row>
        <row r="28">
          <cell r="B28" t="str">
            <v>Concreto 1500psi</v>
          </cell>
        </row>
        <row r="29">
          <cell r="B29" t="str">
            <v>Concreto 3000psi</v>
          </cell>
        </row>
        <row r="30">
          <cell r="B30" t="str">
            <v>Concreto 4000psi</v>
          </cell>
        </row>
        <row r="31">
          <cell r="B31" t="str">
            <v>Crudo de Río</v>
          </cell>
        </row>
        <row r="32">
          <cell r="B32" t="str">
            <v>Disolvente</v>
          </cell>
        </row>
        <row r="33">
          <cell r="B33" t="str">
            <v>Emulsión Asfaltica</v>
          </cell>
        </row>
        <row r="34">
          <cell r="B34" t="str">
            <v>Estacas para Demarcación Topografica</v>
          </cell>
        </row>
        <row r="35">
          <cell r="B35" t="str">
            <v>Estuco</v>
          </cell>
        </row>
        <row r="36">
          <cell r="B36" t="str">
            <v>Estoperol Plastico</v>
          </cell>
        </row>
        <row r="37">
          <cell r="B37" t="str">
            <v>Fachaleta gres</v>
          </cell>
        </row>
        <row r="38">
          <cell r="B38" t="str">
            <v>Galon de Boxer</v>
          </cell>
        </row>
        <row r="39">
          <cell r="B39" t="str">
            <v>Gato de amortiguación de cierre</v>
          </cell>
        </row>
        <row r="40">
          <cell r="B40" t="str">
            <v>Grama para pega de revegetalización</v>
          </cell>
        </row>
        <row r="41">
          <cell r="B41" t="str">
            <v>Grouting (m3)</v>
          </cell>
        </row>
        <row r="42">
          <cell r="B42" t="str">
            <v>Interruptor Sencillo</v>
          </cell>
        </row>
        <row r="43">
          <cell r="B43" t="str">
            <v>Ladrillo arrobero</v>
          </cell>
        </row>
        <row r="44">
          <cell r="B44" t="str">
            <v>Ladrillo Concreto</v>
          </cell>
        </row>
        <row r="45">
          <cell r="B45" t="str">
            <v>Ladrillo de arcilla a la vista</v>
          </cell>
        </row>
        <row r="46">
          <cell r="B46" t="str">
            <v>Ladrillo H10</v>
          </cell>
        </row>
        <row r="47">
          <cell r="B47" t="str">
            <v>Lamina Alfajor 1/4"</v>
          </cell>
        </row>
        <row r="48">
          <cell r="B48" t="str">
            <v>Lamina de Zinc</v>
          </cell>
        </row>
        <row r="49">
          <cell r="B49" t="str">
            <v>Lamina Dry Wall</v>
          </cell>
        </row>
        <row r="50">
          <cell r="B50" t="str">
            <v>Lamina Eternit para cieloraso (tamaño medio)</v>
          </cell>
        </row>
        <row r="51">
          <cell r="B51" t="str">
            <v>Lamina Galvanizada Cal 20</v>
          </cell>
        </row>
        <row r="52">
          <cell r="B52" t="str">
            <v>Lamina Steel Deck 6 x0.9</v>
          </cell>
        </row>
        <row r="53">
          <cell r="B53" t="str">
            <v>Lavamanos Infantil</v>
          </cell>
        </row>
        <row r="54">
          <cell r="B54" t="str">
            <v xml:space="preserve">Accesorios - Lavamanos </v>
          </cell>
        </row>
        <row r="55">
          <cell r="B55" t="str">
            <v>Machimbre</v>
          </cell>
        </row>
        <row r="56">
          <cell r="B56" t="str">
            <v>Minerales de color para pigmentación de estructuras de concreto</v>
          </cell>
        </row>
        <row r="57">
          <cell r="B57" t="str">
            <v>Malla Electrosoldada</v>
          </cell>
        </row>
        <row r="58">
          <cell r="B58" t="str">
            <v>MDC-2</v>
          </cell>
        </row>
        <row r="59">
          <cell r="B59" t="str">
            <v>Material Organico</v>
          </cell>
        </row>
        <row r="60">
          <cell r="B60" t="str">
            <v>Mortero 1:3</v>
          </cell>
        </row>
        <row r="61">
          <cell r="B61" t="str">
            <v>Mortero 1:4</v>
          </cell>
        </row>
        <row r="62">
          <cell r="B62" t="str">
            <v>Mortero 1:5</v>
          </cell>
        </row>
        <row r="63">
          <cell r="B63" t="str">
            <v>Orinal infantil</v>
          </cell>
        </row>
        <row r="64">
          <cell r="B64" t="str">
            <v>Pega Perfecto</v>
          </cell>
        </row>
        <row r="65">
          <cell r="B65" t="str">
            <v>Pegante PVC</v>
          </cell>
        </row>
        <row r="66">
          <cell r="B66" t="str">
            <v>Perfileria Cieloraso</v>
          </cell>
        </row>
        <row r="67">
          <cell r="B67" t="str">
            <v>PERNOS DE ANCLAJE f=7/8"</v>
          </cell>
        </row>
        <row r="68">
          <cell r="B68" t="str">
            <v>Piedra para Granito exteriores</v>
          </cell>
        </row>
        <row r="69">
          <cell r="B69" t="str">
            <v xml:space="preserve">Piedra rajon </v>
          </cell>
        </row>
        <row r="70">
          <cell r="B70" t="str">
            <v>Pintura Coraza</v>
          </cell>
        </row>
        <row r="71">
          <cell r="B71" t="str">
            <v>Pintura de aceite</v>
          </cell>
        </row>
        <row r="72">
          <cell r="B72" t="str">
            <v>Pintura de Trafico reflectiva</v>
          </cell>
        </row>
        <row r="73">
          <cell r="B73" t="str">
            <v>Pintura Viniltex Tipo 1</v>
          </cell>
        </row>
        <row r="74">
          <cell r="B74" t="str">
            <v>Piso ceramica</v>
          </cell>
        </row>
        <row r="75">
          <cell r="B75" t="str">
            <v>Piso plastico con formas de monedas marcadas</v>
          </cell>
        </row>
        <row r="76">
          <cell r="B76" t="str">
            <v>Porton dos hojas</v>
          </cell>
        </row>
        <row r="77">
          <cell r="B77" t="str">
            <v>Postes y accesorios para luminaria</v>
          </cell>
        </row>
        <row r="78">
          <cell r="B78" t="str">
            <v>Recebo Yondo</v>
          </cell>
        </row>
        <row r="79">
          <cell r="B79" t="str">
            <v xml:space="preserve">Reflectores Metalhalide 1000 W con balasto incluido </v>
          </cell>
        </row>
        <row r="80">
          <cell r="B80" t="str">
            <v>Reflector para iluminacion exterior 20W</v>
          </cell>
        </row>
        <row r="81">
          <cell r="B81" t="str">
            <v>Rejilla para seguridad de reflectores</v>
          </cell>
        </row>
        <row r="82">
          <cell r="B82" t="str">
            <v>Sanitario Infantil</v>
          </cell>
        </row>
        <row r="83">
          <cell r="B83" t="str">
            <v>Sika 1 (liquido)</v>
          </cell>
        </row>
        <row r="84">
          <cell r="B84" t="str">
            <v xml:space="preserve">Sika Color f </v>
          </cell>
        </row>
        <row r="85">
          <cell r="B85" t="str">
            <v>Sika Cuarzo</v>
          </cell>
        </row>
        <row r="86">
          <cell r="B86" t="str">
            <v>Sika fill</v>
          </cell>
        </row>
        <row r="87">
          <cell r="B87" t="str">
            <v>Sika Mortero 101</v>
          </cell>
        </row>
        <row r="88">
          <cell r="B88" t="str">
            <v>Soporteria en lamina para cieloraso</v>
          </cell>
        </row>
        <row r="89">
          <cell r="B89" t="str">
            <v>Subbase Granular</v>
          </cell>
        </row>
        <row r="90">
          <cell r="B90" t="str">
            <v>Tableta de Gress</v>
          </cell>
        </row>
        <row r="91">
          <cell r="B91" t="str">
            <v>Teja Duracustic</v>
          </cell>
        </row>
        <row r="92">
          <cell r="B92" t="str">
            <v>Teja Eternit Ondulada No.10</v>
          </cell>
        </row>
        <row r="93">
          <cell r="B93" t="str">
            <v>Teja Eternit ondulada No.6</v>
          </cell>
        </row>
        <row r="94">
          <cell r="B94" t="str">
            <v>Teja Eternit Ondulada No.8</v>
          </cell>
        </row>
        <row r="95">
          <cell r="B95" t="str">
            <v>Teja Eternit Plana 10mm</v>
          </cell>
        </row>
        <row r="96">
          <cell r="B96" t="str">
            <v>Teja Eternit Plana 6mm</v>
          </cell>
        </row>
        <row r="97">
          <cell r="B97" t="str">
            <v>Teja Eternit Plana 8mm</v>
          </cell>
        </row>
        <row r="98">
          <cell r="B98" t="str">
            <v>Teja Termoacustica</v>
          </cell>
        </row>
        <row r="99">
          <cell r="B99" t="str">
            <v>Toma doble 110v</v>
          </cell>
        </row>
        <row r="100">
          <cell r="B100" t="str">
            <v>Triturado 3/4"</v>
          </cell>
        </row>
        <row r="101">
          <cell r="B101" t="str">
            <v>Tuberia 1/2" PVC</v>
          </cell>
        </row>
        <row r="102">
          <cell r="B102" t="str">
            <v>Tuberia Acero al Carbon 6"</v>
          </cell>
        </row>
        <row r="103">
          <cell r="B103" t="str">
            <v>Tuberia PVC Conduit 2" x 3m</v>
          </cell>
        </row>
        <row r="104">
          <cell r="B104" t="str">
            <v>Tuberia PVC Conduit 3" x 3m</v>
          </cell>
        </row>
        <row r="105">
          <cell r="B105" t="str">
            <v>Tuberia Galvanizada</v>
          </cell>
        </row>
        <row r="106">
          <cell r="B106" t="str">
            <v>Tuberia PVC Sanitaria 2" SP</v>
          </cell>
        </row>
        <row r="107">
          <cell r="B107" t="str">
            <v>Tuberia PVC Sanitaria 3" SP</v>
          </cell>
        </row>
        <row r="108">
          <cell r="B108" t="str">
            <v>Tuberia PVC Sanitaria 4" SP</v>
          </cell>
        </row>
        <row r="109">
          <cell r="B109" t="str">
            <v>Tuberia PVC Sanitaria 4" TL</v>
          </cell>
        </row>
        <row r="110">
          <cell r="B110" t="str">
            <v>Tuberia PVC Sanitaria 4" TP</v>
          </cell>
        </row>
        <row r="111">
          <cell r="B111" t="str">
            <v>Tuberia PVC Sanitaria 6" SP</v>
          </cell>
        </row>
        <row r="112">
          <cell r="B112" t="str">
            <v>Tuberia PVC Sanitaria 6" TL</v>
          </cell>
        </row>
        <row r="113">
          <cell r="B113" t="str">
            <v>Tuberia PVC Sanitaria 6" TP</v>
          </cell>
        </row>
        <row r="114">
          <cell r="B114" t="str">
            <v>Tuberia PVC 12"</v>
          </cell>
        </row>
        <row r="115">
          <cell r="B115" t="str">
            <v>Tuberia PVC 200mm</v>
          </cell>
        </row>
        <row r="116">
          <cell r="B116" t="str">
            <v>Tuberia PVC 160mm</v>
          </cell>
        </row>
        <row r="117">
          <cell r="B117" t="str">
            <v>Accesorios Silla Yee de 8" x 6"</v>
          </cell>
        </row>
        <row r="118">
          <cell r="B118" t="str">
            <v>Yee 3" PVC</v>
          </cell>
        </row>
        <row r="119">
          <cell r="B119" t="str">
            <v>Lavaplatos Aluminio</v>
          </cell>
        </row>
        <row r="120">
          <cell r="B120" t="str">
            <v>Mezclador para lavaplatos</v>
          </cell>
        </row>
        <row r="121">
          <cell r="B121" t="str">
            <v>Conductor de cobre Aislado</v>
          </cell>
        </row>
        <row r="122">
          <cell r="B122" t="str">
            <v>Pigmento e imprimante de color para pigmentación de estructuras de concreto.</v>
          </cell>
        </row>
        <row r="123">
          <cell r="B123" t="str">
            <v>Tuberia Estructutal 2" e= 3mm</v>
          </cell>
        </row>
        <row r="124">
          <cell r="B124" t="str">
            <v>Soldadura 7018-6018</v>
          </cell>
        </row>
        <row r="125">
          <cell r="B125" t="str">
            <v>Valvula de flotación</v>
          </cell>
        </row>
        <row r="126">
          <cell r="B126" t="str">
            <v>Granada Cheque</v>
          </cell>
        </row>
        <row r="127">
          <cell r="B127" t="str">
            <v>Valvula de control</v>
          </cell>
        </row>
        <row r="128">
          <cell r="B128" t="str">
            <v>Boquilla Jet Dirigible</v>
          </cell>
        </row>
        <row r="129">
          <cell r="B129" t="str">
            <v>Trampa de solidos</v>
          </cell>
        </row>
        <row r="130">
          <cell r="B130" t="str">
            <v>Luz led para chorro de agua</v>
          </cell>
        </row>
        <row r="131">
          <cell r="B131" t="str">
            <v xml:space="preserve">Cable electrico para sistema de control </v>
          </cell>
        </row>
        <row r="132">
          <cell r="B132" t="str">
            <v>Hidrosolta</v>
          </cell>
        </row>
        <row r="133">
          <cell r="B133" t="str">
            <v>Dispositivo Tierra Hidrosolta 60Kg Vertical Incluye Varilla Cooper Well</v>
          </cell>
        </row>
        <row r="134">
          <cell r="B134" t="str">
            <v>Conectores de cobre</v>
          </cell>
        </row>
        <row r="135">
          <cell r="B135">
            <v>0</v>
          </cell>
        </row>
        <row r="136">
          <cell r="B136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eriales"/>
      <sheetName val="GASTOS"/>
      <sheetName val="PLANEACION"/>
      <sheetName val="MO MAESTRO"/>
      <sheetName val="Presupuesto"/>
      <sheetName val="MEMORIAS DE CALCULO MM2"/>
      <sheetName val="PPTO MM No.2"/>
      <sheetName val="Mat c. EscMM2"/>
      <sheetName val="APU No Previstos"/>
      <sheetName val="PPTO MM No.1"/>
      <sheetName val="PLANEACION MM1"/>
      <sheetName val="MEMORIAS DE CALCULO MM1"/>
      <sheetName val="Mat c. Esc"/>
      <sheetName val="ACTA No.1"/>
      <sheetName val="EVAL INICIAL"/>
      <sheetName val="Cant Total Mat"/>
      <sheetName val="Equipos"/>
      <sheetName val="1"/>
      <sheetName val="3"/>
      <sheetName val="4"/>
      <sheetName val="5"/>
      <sheetName val="6"/>
      <sheetName val="10"/>
      <sheetName val="11"/>
      <sheetName val="12"/>
      <sheetName val="13"/>
      <sheetName val="14"/>
      <sheetName val="16"/>
      <sheetName val="17"/>
      <sheetName val="18"/>
      <sheetName val="19"/>
      <sheetName val="23"/>
      <sheetName val="27"/>
      <sheetName val="28"/>
      <sheetName val="29"/>
      <sheetName val="AUX"/>
      <sheetName val="EVALUACION AU"/>
    </sheetNames>
    <sheetDataSet>
      <sheetData sheetId="0">
        <row r="6">
          <cell r="C6" t="str">
            <v>Accesorios de 3/4" y 1/2"</v>
          </cell>
        </row>
        <row r="7">
          <cell r="C7" t="str">
            <v>Accesorios para Sanitario</v>
          </cell>
        </row>
        <row r="8">
          <cell r="C8" t="str">
            <v>Accesorio para ducha</v>
          </cell>
        </row>
        <row r="9">
          <cell r="C9" t="str">
            <v>Accesorio para Orinal</v>
          </cell>
        </row>
        <row r="10">
          <cell r="C10" t="str">
            <v>Accesorio para Lavamanos Empotrar</v>
          </cell>
        </row>
        <row r="11">
          <cell r="C11" t="str">
            <v>Accesorio para Lavamanos Pared</v>
          </cell>
        </row>
        <row r="12">
          <cell r="C12" t="str">
            <v>Accesorios para lavaplatos</v>
          </cell>
        </row>
        <row r="13">
          <cell r="C13" t="str">
            <v>Acero 1/4 ó #2</v>
          </cell>
        </row>
        <row r="14">
          <cell r="C14" t="str">
            <v>Acero 3/8" ó #3</v>
          </cell>
        </row>
        <row r="15">
          <cell r="C15" t="str">
            <v>Acero 1/2" ó #4</v>
          </cell>
        </row>
        <row r="16">
          <cell r="C16" t="str">
            <v>Acero de Refuerzo (figurado)</v>
          </cell>
        </row>
        <row r="17">
          <cell r="C17" t="str">
            <v>Acero estructural ASTM A-36</v>
          </cell>
        </row>
        <row r="18">
          <cell r="C18" t="str">
            <v>Acido Muriatico</v>
          </cell>
        </row>
        <row r="19">
          <cell r="C19" t="str">
            <v>acondicionador  x250ml</v>
          </cell>
        </row>
        <row r="20">
          <cell r="C20" t="str">
            <v>adaptador union canaleta - bajante PVC cuadrado aguas lluvias</v>
          </cell>
        </row>
        <row r="21">
          <cell r="C21" t="str">
            <v>adaptador union bajante - alcantarillado PVC cuadrado aguas lluvias</v>
          </cell>
        </row>
        <row r="22">
          <cell r="C22" t="str">
            <v>Agua</v>
          </cell>
        </row>
        <row r="23">
          <cell r="C23" t="str">
            <v>alambre acero cub cobre #4 desrlx200</v>
          </cell>
        </row>
        <row r="24">
          <cell r="C24" t="str">
            <v>alambre acero cub cobre #4 desrlx200</v>
          </cell>
        </row>
        <row r="25">
          <cell r="C25" t="str">
            <v>alambre cobre # 6 desnudo awgrl x 100</v>
          </cell>
        </row>
        <row r="26">
          <cell r="C26" t="str">
            <v>alambre galvanizado # 18 u</v>
          </cell>
        </row>
        <row r="27">
          <cell r="C27" t="str">
            <v>Alambre Negro</v>
          </cell>
        </row>
        <row r="28">
          <cell r="C28" t="str">
            <v>angulo 1 x 3/ 4 alu tira de 6 metros</v>
          </cell>
        </row>
        <row r="29">
          <cell r="C29" t="str">
            <v>anillo de acero galvanizado a=200 mm (7"-8")</v>
          </cell>
        </row>
        <row r="30">
          <cell r="C30" t="str">
            <v>Arena gruesa</v>
          </cell>
        </row>
        <row r="31">
          <cell r="C31" t="str">
            <v>Arena de Pega de bloque</v>
          </cell>
        </row>
        <row r="32">
          <cell r="C32" t="str">
            <v>Arena para Friso o Pañete</v>
          </cell>
        </row>
        <row r="33">
          <cell r="C33" t="str">
            <v>Bajante Pavco PVC cuadrado blanco</v>
          </cell>
        </row>
        <row r="34">
          <cell r="C34" t="str">
            <v>Base Granular en cumplimiento de las especificaciones del INVIAS</v>
          </cell>
        </row>
        <row r="35">
          <cell r="C35" t="str">
            <v>Binda Boquilla</v>
          </cell>
        </row>
        <row r="36">
          <cell r="C36" t="str">
            <v xml:space="preserve">Brazo para fijacion de iluminarias tipo tauro </v>
          </cell>
        </row>
        <row r="37">
          <cell r="C37" t="str">
            <v>Brocha 4"</v>
          </cell>
        </row>
        <row r="38">
          <cell r="C38" t="str">
            <v>Caballete Teja termoacustica trapezoidal</v>
          </cell>
        </row>
        <row r="39">
          <cell r="C39" t="str">
            <v>cable alum #2 acsr desnudosparrow carx3000</v>
          </cell>
        </row>
        <row r="40">
          <cell r="C40" t="str">
            <v xml:space="preserve">cable cubierto cobre #6 flexibelastom 15kv barrajes </v>
          </cell>
        </row>
        <row r="41">
          <cell r="C41" t="str">
            <v>cable de cobre  # 2</v>
          </cell>
        </row>
        <row r="42">
          <cell r="C42" t="str">
            <v>cable de cobre  # 4</v>
          </cell>
        </row>
        <row r="43">
          <cell r="C43" t="str">
            <v>cable encauchetado 3x12a 600 v</v>
          </cell>
        </row>
        <row r="44">
          <cell r="C44" t="str">
            <v>cable sintox negro # 8</v>
          </cell>
        </row>
        <row r="45">
          <cell r="C45" t="str">
            <v>Canal PVC pavco blanca</v>
          </cell>
        </row>
        <row r="46">
          <cell r="C46" t="str">
            <v>Candado yale 7 cm de ancho de acedo endurecido (seguridad dell malacate de poste)</v>
          </cell>
        </row>
        <row r="47">
          <cell r="C47" t="str">
            <v>capacete 2"</v>
          </cell>
        </row>
        <row r="48">
          <cell r="C48" t="str">
            <v xml:space="preserve">capuchon de empalme electrico </v>
          </cell>
        </row>
        <row r="49">
          <cell r="C49" t="str">
            <v>Cemento Blanco</v>
          </cell>
        </row>
        <row r="50">
          <cell r="C50" t="str">
            <v>Cemento gris</v>
          </cell>
        </row>
        <row r="51">
          <cell r="C51" t="str">
            <v>Chapa economica Puerta</v>
          </cell>
        </row>
        <row r="52">
          <cell r="C52" t="str">
            <v>cielo f.  acrilico pvc</v>
          </cell>
        </row>
        <row r="53">
          <cell r="C53" t="str">
            <v>cierre acero inoxidable 1/2 pgpara cinta metalica de 1/2 pg</v>
          </cell>
        </row>
        <row r="54">
          <cell r="C54" t="str">
            <v>cinta aislante caucho autofund600 voltios 19 mm x 6.7 metros</v>
          </cell>
        </row>
        <row r="55">
          <cell r="C55" t="str">
            <v>cinta aislante plastica vinilo600 voltios, 19 mm x 20 metros</v>
          </cell>
        </row>
        <row r="56">
          <cell r="C56" t="str">
            <v>cinta vandit</v>
          </cell>
        </row>
        <row r="57">
          <cell r="C57" t="str">
            <v>Codo PVC cuadrado blanco 90</v>
          </cell>
        </row>
        <row r="58">
          <cell r="C58" t="str">
            <v>Codo PVC cuadrado blanco 45</v>
          </cell>
        </row>
        <row r="59">
          <cell r="C59" t="str">
            <v>Concreto de 2500 psi</v>
          </cell>
        </row>
        <row r="60">
          <cell r="C60" t="str">
            <v>Concreto de 3000 psi</v>
          </cell>
        </row>
        <row r="61">
          <cell r="C61" t="str">
            <v>Concreto de 3500 psi</v>
          </cell>
        </row>
        <row r="62">
          <cell r="C62" t="str">
            <v>conector compr deriv c cobreprincipal: cu4 derivacion: cu4</v>
          </cell>
        </row>
        <row r="63">
          <cell r="C63" t="str">
            <v>conector derivación compr  4  a  4 acsr-awg (yho100)</v>
          </cell>
        </row>
        <row r="64">
          <cell r="C64" t="str">
            <v>conector derivación compr. 1/0 a 1/0 wag-acsr</v>
          </cell>
        </row>
        <row r="65">
          <cell r="C65" t="str">
            <v>conector derivación en cobre  tipo    c</v>
          </cell>
        </row>
        <row r="66">
          <cell r="C66" t="str">
            <v>conector transversal universal 6-1/0 awg</v>
          </cell>
        </row>
        <row r="67">
          <cell r="C67" t="str">
            <v>conector transversal universal 6-1/0 awg</v>
          </cell>
        </row>
        <row r="68">
          <cell r="C68" t="str">
            <v>cortacircuitos 100 a. 15 kv. 12ka  asimet</v>
          </cell>
        </row>
        <row r="69">
          <cell r="C69" t="str">
            <v>cortacircuitos 100 a. 15 kv. 12ka  asimet</v>
          </cell>
        </row>
        <row r="70">
          <cell r="C70" t="str">
            <v xml:space="preserve">cruzeta 240 mm </v>
          </cell>
        </row>
        <row r="71">
          <cell r="C71" t="str">
            <v>cruzeta metalica 240 mm</v>
          </cell>
        </row>
        <row r="72">
          <cell r="C72" t="str">
            <v>Cubierta en Acero Inoxidable (incluye poseta)</v>
          </cell>
        </row>
        <row r="73">
          <cell r="C73" t="str">
            <v>Enchape Piso Comercial</v>
          </cell>
        </row>
        <row r="74">
          <cell r="C74" t="str">
            <v>Enchape Muro Comercial</v>
          </cell>
        </row>
        <row r="75">
          <cell r="C75" t="str">
            <v>Enchape Piso Economico</v>
          </cell>
        </row>
        <row r="76">
          <cell r="C76" t="str">
            <v>Enchape Muro Economico</v>
          </cell>
        </row>
        <row r="77">
          <cell r="C77" t="str">
            <v>Enchape Piso Baños Comercial</v>
          </cell>
        </row>
        <row r="78">
          <cell r="C78" t="str">
            <v>Enchape Muro Baños Comercial</v>
          </cell>
        </row>
        <row r="79">
          <cell r="C79" t="str">
            <v>Enchape Piso Baños Economico</v>
          </cell>
        </row>
        <row r="80">
          <cell r="C80" t="str">
            <v>Enchape Muro Baños Economico</v>
          </cell>
        </row>
        <row r="81">
          <cell r="C81" t="str">
            <v>Enchape de Gres</v>
          </cell>
        </row>
        <row r="82">
          <cell r="C82" t="str">
            <v>eslabon 5/8</v>
          </cell>
        </row>
        <row r="83">
          <cell r="C83" t="str">
            <v>Estacas de madera</v>
          </cell>
        </row>
        <row r="84">
          <cell r="C84" t="str">
            <v>Estuco Plastico</v>
          </cell>
        </row>
        <row r="85">
          <cell r="C85" t="str">
            <v>fusible dual para transformador  30 kva,  0,7 a</v>
          </cell>
        </row>
        <row r="86">
          <cell r="C86" t="str">
            <v>fusible tipo t p/caja primaria</v>
          </cell>
        </row>
        <row r="87">
          <cell r="C87" t="str">
            <v>Gabetero en Laminas RH madera prensada</v>
          </cell>
        </row>
        <row r="88">
          <cell r="C88" t="str">
            <v>gabinete tipo esterior, trifasico para alojar medidor</v>
          </cell>
        </row>
        <row r="89">
          <cell r="C89" t="str">
            <v xml:space="preserve">Guarda escoba Gres </v>
          </cell>
        </row>
        <row r="90">
          <cell r="C90" t="str">
            <v>Guardacamilla 20cm PVC</v>
          </cell>
        </row>
        <row r="91">
          <cell r="C91" t="str">
            <v>grapa o conector de tornillo p/varilla de puesta a tierra 5/8"</v>
          </cell>
        </row>
        <row r="92">
          <cell r="C92" t="str">
            <v>grapa o conector de tornillo p/varilla de puesta a tierra 5/8"</v>
          </cell>
        </row>
        <row r="93">
          <cell r="C93" t="str">
            <v>hevilla para cinta bandit 1/2</v>
          </cell>
        </row>
        <row r="94">
          <cell r="C94" t="str">
            <v>hidrosellos de caucho de 10" (250 mm)</v>
          </cell>
        </row>
        <row r="95">
          <cell r="C95" t="str">
            <v>hidrosellos de caucho de 12" (315 mm)</v>
          </cell>
        </row>
        <row r="96">
          <cell r="C96" t="str">
            <v>hidrosellos de caucho de 6" (160 mm)</v>
          </cell>
        </row>
        <row r="97">
          <cell r="C97" t="str">
            <v>hidrosellos de caucho de 8" (200 mm)</v>
          </cell>
        </row>
        <row r="98">
          <cell r="C98" t="str">
            <v>Impermeabilizante con sika 1 o similar</v>
          </cell>
        </row>
        <row r="99">
          <cell r="C99" t="str">
            <v>Lavamanos Institucional de Empotrar</v>
          </cell>
        </row>
        <row r="100">
          <cell r="C100" t="str">
            <v>Lavamanos Pared</v>
          </cell>
        </row>
        <row r="101">
          <cell r="C101" t="str">
            <v>Lavaplatos de Acero Inoxidable</v>
          </cell>
        </row>
        <row r="102">
          <cell r="C102" t="str">
            <v>Lavatraperos o lavaescobas</v>
          </cell>
        </row>
        <row r="103">
          <cell r="C103" t="str">
            <v>Ladrillo de arcilla a la vista tipo Hollman</v>
          </cell>
        </row>
        <row r="104">
          <cell r="C104" t="str">
            <v>Ladrillo H- 10</v>
          </cell>
        </row>
        <row r="105">
          <cell r="C105" t="str">
            <v>Ladrillo H- 12</v>
          </cell>
        </row>
        <row r="106">
          <cell r="C106" t="str">
            <v>Ladrillo o Bloque de 15 x 20 x 40 para Cerramiento</v>
          </cell>
        </row>
        <row r="107">
          <cell r="C107" t="str">
            <v>Lamina de Eternit No. 07</v>
          </cell>
        </row>
        <row r="108">
          <cell r="C108" t="str">
            <v>Llave terminal bocamanguera</v>
          </cell>
        </row>
        <row r="109">
          <cell r="C109" t="str">
            <v>Llave teleducha</v>
          </cell>
        </row>
        <row r="110">
          <cell r="C110" t="str">
            <v>Listones de madera de 2" x 2"</v>
          </cell>
        </row>
        <row r="111">
          <cell r="C111" t="str">
            <v>Lona Verde</v>
          </cell>
        </row>
        <row r="112">
          <cell r="C112" t="str">
            <v>lubricante (500 g) novafort</v>
          </cell>
        </row>
        <row r="113">
          <cell r="C113" t="str">
            <v>Madera</v>
          </cell>
        </row>
        <row r="114">
          <cell r="C114" t="str">
            <v>Madera redonda</v>
          </cell>
        </row>
        <row r="115">
          <cell r="C115" t="str">
            <v>Malla electrosoldada</v>
          </cell>
        </row>
        <row r="116">
          <cell r="C116" t="str">
            <v>Malla eslabonada Galvanizada (pintada y con anticorrosivo) cal 10.5</v>
          </cell>
        </row>
        <row r="117">
          <cell r="C117" t="str">
            <v>Material gravo arcilloso Tipo 2</v>
          </cell>
        </row>
        <row r="118">
          <cell r="C118" t="str">
            <v>Medidor electronico trifasico 3x120x208V de 5 a 100 A, calibrado.</v>
          </cell>
        </row>
        <row r="119">
          <cell r="C119" t="str">
            <v>MORTERO 1:3</v>
          </cell>
        </row>
        <row r="120">
          <cell r="C120" t="str">
            <v>Orinal mediano</v>
          </cell>
        </row>
        <row r="121">
          <cell r="C121" t="str">
            <v>Pararrayos óxido de zinc,  360v mcov,480 v, 5 ka</v>
          </cell>
        </row>
        <row r="122">
          <cell r="C122" t="str">
            <v>Pega Perfecto</v>
          </cell>
        </row>
        <row r="123">
          <cell r="C123" t="str">
            <v>Pegante PVC</v>
          </cell>
        </row>
        <row r="124">
          <cell r="C124" t="str">
            <v>pie amigo 240 mm</v>
          </cell>
        </row>
        <row r="125">
          <cell r="C125" t="str">
            <v>Piedra Rajon</v>
          </cell>
        </row>
        <row r="126">
          <cell r="C126" t="str">
            <v>Pintura (anticorrosivo)</v>
          </cell>
        </row>
        <row r="127">
          <cell r="C127" t="str">
            <v>Pintura en esmalte (acabado)</v>
          </cell>
        </row>
        <row r="128">
          <cell r="C128" t="str">
            <v>Pintura Epoxica y Catalizador</v>
          </cell>
        </row>
        <row r="129">
          <cell r="C129" t="str">
            <v>Pintura Tipo 1</v>
          </cell>
        </row>
        <row r="130">
          <cell r="C130" t="str">
            <v>Pintura Tipo Koraza</v>
          </cell>
        </row>
        <row r="131">
          <cell r="C131" t="str">
            <v>Plataforma en concreto para zona de meson</v>
          </cell>
        </row>
        <row r="132">
          <cell r="C132" t="str">
            <v>Platiestuco</v>
          </cell>
        </row>
        <row r="133">
          <cell r="C133" t="str">
            <v>Platina 1/2" x 1/8"</v>
          </cell>
        </row>
        <row r="134">
          <cell r="C134" t="str">
            <v>Poste metalico galvanizado de 14 mts,Acero ASTM A-572 Gr-500, tipo abatible para iluminacion</v>
          </cell>
        </row>
        <row r="135">
          <cell r="C135" t="str">
            <v>Poste redonde de concreto de 12 mts, 750 kg/f</v>
          </cell>
        </row>
        <row r="136">
          <cell r="C136" t="str">
            <v>Puerta metalica de 0,9 x 2,0 m Calibre 20</v>
          </cell>
        </row>
        <row r="137">
          <cell r="C137" t="str">
            <v>Puntilla con cabeza o clavos de 1" a 3.1/2"</v>
          </cell>
        </row>
        <row r="138">
          <cell r="C138" t="str">
            <v>Puntillas</v>
          </cell>
        </row>
        <row r="139">
          <cell r="C139" t="str">
            <v>Puntillas</v>
          </cell>
        </row>
        <row r="140">
          <cell r="C140" t="str">
            <v>Reja de seguridad (instalada)</v>
          </cell>
        </row>
        <row r="141">
          <cell r="C141" t="str">
            <v>REJILLA METÁLICA DE PISO Aluminio/bronce 3x2" desagüe 2"</v>
          </cell>
        </row>
        <row r="142">
          <cell r="C142" t="str">
            <v>remache pop 4-2 1/4"x1/8"</v>
          </cell>
        </row>
        <row r="143">
          <cell r="C143" t="str">
            <v>Rodillo para Pintura de agua</v>
          </cell>
        </row>
        <row r="144">
          <cell r="C144" t="str">
            <v>Sifon 2"</v>
          </cell>
        </row>
        <row r="145">
          <cell r="C145" t="str">
            <v>Sifon 3"</v>
          </cell>
        </row>
        <row r="146">
          <cell r="C146" t="str">
            <v>Silicona Blanca Antihongo</v>
          </cell>
        </row>
        <row r="147">
          <cell r="C147" t="str">
            <v>Silicona Transparente Antihongo</v>
          </cell>
        </row>
        <row r="148">
          <cell r="C148" t="str">
            <v>Sanitario de 6Lt</v>
          </cell>
        </row>
        <row r="149">
          <cell r="C149" t="str">
            <v>Soldadura 60/11 de 1/8"</v>
          </cell>
        </row>
        <row r="150">
          <cell r="C150" t="str">
            <v>Soporte bajante aguas lluvias PVC pavco blanco cuadrado</v>
          </cell>
        </row>
        <row r="151">
          <cell r="C151" t="str">
            <v>Soporte canaleta aguas lluvias PVC pavco blanco cuadrado</v>
          </cell>
        </row>
        <row r="152">
          <cell r="C152" t="str">
            <v>Tapa Gotera</v>
          </cell>
        </row>
        <row r="153">
          <cell r="C153" t="str">
            <v>Tapa interna canal cuadrado PVC pavco blanco</v>
          </cell>
        </row>
        <row r="154">
          <cell r="C154" t="str">
            <v>tee alum.anodizado 1"x3/4"</v>
          </cell>
        </row>
        <row r="155">
          <cell r="C155" t="str">
            <v xml:space="preserve">Teja en lamina termoacustica trapezoidal </v>
          </cell>
        </row>
        <row r="156">
          <cell r="C156" t="str">
            <v>Teja en fibrocemento Eternit</v>
          </cell>
        </row>
        <row r="157">
          <cell r="C157" t="str">
            <v>tiranta de 48 ´</v>
          </cell>
        </row>
        <row r="158">
          <cell r="C158" t="str">
            <v>tornillo 3/16 por 1 x 1/2 pulgada</v>
          </cell>
        </row>
        <row r="159">
          <cell r="C159" t="str">
            <v>tornillo 3/16 por 1 x 2 1/2 pulgada</v>
          </cell>
        </row>
        <row r="160">
          <cell r="C160" t="str">
            <v>tornillo 5/8  x 1x 1/2</v>
          </cell>
        </row>
        <row r="161">
          <cell r="C161" t="str">
            <v>tornillo de 5/8 x 1 1/2</v>
          </cell>
        </row>
        <row r="162">
          <cell r="C162" t="str">
            <v>tornillo espaciador 15.9 x 250 mm (5/8" x 10")</v>
          </cell>
        </row>
        <row r="163">
          <cell r="C163" t="str">
            <v>tornillo espaciador 15.9 x 300 mm (5/8" x 12")</v>
          </cell>
        </row>
        <row r="164">
          <cell r="C164" t="str">
            <v xml:space="preserve">Tornillos autoperforantes para asegurar teja </v>
          </cell>
        </row>
        <row r="165">
          <cell r="C165" t="str">
            <v>totalizador trifasico 100 a</v>
          </cell>
        </row>
        <row r="166">
          <cell r="C166" t="str">
            <v>transformador convencional distribución trifasico  de 30 kva.</v>
          </cell>
        </row>
        <row r="167">
          <cell r="C167" t="str">
            <v>Triturado de 3/4"</v>
          </cell>
        </row>
        <row r="168">
          <cell r="C168" t="str">
            <v>Tuberia de 1 1/2"</v>
          </cell>
        </row>
        <row r="169">
          <cell r="C169" t="str">
            <v>Tuberia de 2"</v>
          </cell>
        </row>
        <row r="170">
          <cell r="C170" t="str">
            <v>Tuberia de 3/4" y 1/2"</v>
          </cell>
        </row>
        <row r="171">
          <cell r="C171" t="str">
            <v>Tuberia de 6"</v>
          </cell>
        </row>
        <row r="172">
          <cell r="C172" t="str">
            <v>Tuberia Galvanizada 2", cal 14</v>
          </cell>
        </row>
        <row r="173">
          <cell r="C173" t="str">
            <v>tuberia pvc ø 4" perforada para filtro</v>
          </cell>
        </row>
        <row r="174">
          <cell r="C174" t="str">
            <v>Tubería metalica redonda de 1.1/2" Calibre 16 (incluye soldaduras)</v>
          </cell>
        </row>
        <row r="175">
          <cell r="C175" t="str">
            <v>Tubería metalica redonda de 2" Calibre 16 (incluye soldaduras)</v>
          </cell>
        </row>
        <row r="176">
          <cell r="C176" t="str">
            <v>Tubería metalica redonda de 3/4" Calibre 16 (incluye soldaduras)</v>
          </cell>
        </row>
        <row r="177">
          <cell r="C177" t="str">
            <v>tubo metalico galvanizado 2"</v>
          </cell>
        </row>
        <row r="178">
          <cell r="C178" t="str">
            <v>tuberia pvc ø 4" desague</v>
          </cell>
        </row>
        <row r="179">
          <cell r="C179" t="str">
            <v>tubo pvc novafort de 10" (250 mm) x 6 mts</v>
          </cell>
        </row>
        <row r="180">
          <cell r="C180" t="str">
            <v>tubo pvc novafort de 12" (315 mm) x 6 mts</v>
          </cell>
        </row>
        <row r="181">
          <cell r="C181" t="str">
            <v>tubo pvc novafort de 6" (160 mm) x 6 mts</v>
          </cell>
        </row>
        <row r="182">
          <cell r="C182" t="str">
            <v>tubo pvc novafort de 8" (200 mm) x 6 mts</v>
          </cell>
        </row>
        <row r="183">
          <cell r="C183" t="str">
            <v>union canaleta-bajante aguas lluvias PVC cuadrada</v>
          </cell>
        </row>
        <row r="184">
          <cell r="C184" t="str">
            <v xml:space="preserve">union galvanizada </v>
          </cell>
        </row>
        <row r="185">
          <cell r="C185" t="str">
            <v>Valvula de paso 1/2"</v>
          </cell>
        </row>
        <row r="186">
          <cell r="C186" t="str">
            <v>varilla para puesta a tierra 5/8" x 2400 mm</v>
          </cell>
        </row>
        <row r="187">
          <cell r="C187" t="str">
            <v xml:space="preserve">varilla para puesta a tierra 5/8" x 2400 mm </v>
          </cell>
        </row>
        <row r="188">
          <cell r="C188" t="str">
            <v>ventana metalica  de 1.50 x 1.10 m</v>
          </cell>
        </row>
        <row r="189">
          <cell r="C189" t="str">
            <v>ventana metalica  de 1.00 x 1.00 m</v>
          </cell>
        </row>
        <row r="190">
          <cell r="C190" t="str">
            <v>ventana metalica  de .40 x 1.00 m</v>
          </cell>
        </row>
        <row r="191">
          <cell r="C191" t="str">
            <v>ventana metalica  de .82 x 0.78 m</v>
          </cell>
        </row>
        <row r="192">
          <cell r="C192" t="str">
            <v>Ventana en aluminio 50/20  incluye vidrio de 6 mm</v>
          </cell>
        </row>
        <row r="193">
          <cell r="C193" t="str">
            <v>Zocalo de PVC para pared - cieloraso 9cm</v>
          </cell>
        </row>
      </sheetData>
      <sheetData sheetId="1" refreshError="1"/>
      <sheetData sheetId="2" refreshError="1"/>
      <sheetData sheetId="3" refreshError="1"/>
      <sheetData sheetId="4">
        <row r="29">
          <cell r="A29" t="str">
            <v>3.3</v>
          </cell>
        </row>
      </sheetData>
      <sheetData sheetId="5" refreshError="1"/>
      <sheetData sheetId="6" refreshError="1"/>
      <sheetData sheetId="7" refreshError="1"/>
      <sheetData sheetId="8" refreshError="1"/>
      <sheetData sheetId="9">
        <row r="4">
          <cell r="Z4">
            <v>74928</v>
          </cell>
        </row>
      </sheetData>
      <sheetData sheetId="10">
        <row r="307">
          <cell r="L307" t="str">
            <v>Maestro de Obra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items"/>
      <sheetName val="aCCIDENTES%20DE%201995%20-%2019"/>
      <sheetName val="#¡REF"/>
      <sheetName val="aCCIDENTES DE 1995 - 1996.xls"/>
      <sheetName val="ACTA DE MODIFICACION  (2)"/>
      <sheetName val="CONT_ADI"/>
      <sheetName val="Informe"/>
      <sheetName val="otros"/>
      <sheetName val="PRESUPUESTO"/>
      <sheetName val="Seguim-16"/>
      <sheetName val="Informacion"/>
      <sheetName val="INDICMICROEMP"/>
      <sheetName val="\a  aaInformación GRUPO 4\A MIn"/>
      <sheetName val="Datos"/>
      <sheetName val="MATERIALES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item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#¡REF"/>
      <sheetName val="\a  aaInformación GRUPO 4\A MIn"/>
      <sheetName val="aCCIDENTES DE 1995 - 1996.xls"/>
      <sheetName val="ACTA DE MODIFICACION  (2)"/>
      <sheetName val="CONT_ADI"/>
      <sheetName val="INDICMICROEMP"/>
      <sheetName val="Datos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Formulario N° 4"/>
      <sheetName val="EQUIPO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TOALC"/>
      <sheetName val="PRESUPTOACU"/>
      <sheetName val="PRESUPTOGAS"/>
      <sheetName val="APU TIPO"/>
      <sheetName val="PRESTACIONES"/>
      <sheetName val="MANO DE OBRA"/>
      <sheetName val="EQUIPO "/>
      <sheetName val="MATERIALES"/>
      <sheetName val="MANO "/>
    </sheetNames>
    <sheetDataSet>
      <sheetData sheetId="0"/>
      <sheetData sheetId="1"/>
      <sheetData sheetId="2">
        <row r="36">
          <cell r="F36">
            <v>207.36</v>
          </cell>
        </row>
      </sheetData>
      <sheetData sheetId="3"/>
      <sheetData sheetId="4"/>
      <sheetData sheetId="5"/>
      <sheetData sheetId="6">
        <row r="1">
          <cell r="A1" t="str">
            <v>CÓDIGO</v>
          </cell>
        </row>
      </sheetData>
      <sheetData sheetId="7">
        <row r="1">
          <cell r="A1" t="str">
            <v>CÓDIGO</v>
          </cell>
        </row>
      </sheetData>
      <sheetData sheetId="8">
        <row r="1">
          <cell r="B1" t="str">
            <v>Topografia</v>
          </cell>
          <cell r="C1" t="str">
            <v>Jornal</v>
          </cell>
        </row>
        <row r="2">
          <cell r="A2">
            <v>1</v>
          </cell>
          <cell r="B2" t="str">
            <v>TOPOGRAFO</v>
          </cell>
          <cell r="C2">
            <v>51000</v>
          </cell>
        </row>
        <row r="3">
          <cell r="A3">
            <v>2</v>
          </cell>
          <cell r="B3" t="str">
            <v>CADENERO I</v>
          </cell>
          <cell r="C3">
            <v>39290</v>
          </cell>
        </row>
        <row r="4">
          <cell r="A4">
            <v>3</v>
          </cell>
          <cell r="B4" t="str">
            <v>CADENERO II</v>
          </cell>
          <cell r="C4">
            <v>19830</v>
          </cell>
        </row>
        <row r="5">
          <cell r="A5">
            <v>4</v>
          </cell>
          <cell r="B5" t="str">
            <v>CADENERO III</v>
          </cell>
          <cell r="C5">
            <v>18890</v>
          </cell>
        </row>
        <row r="6">
          <cell r="A6">
            <v>5</v>
          </cell>
          <cell r="B6" t="str">
            <v>OFICIAL</v>
          </cell>
          <cell r="C6">
            <v>33660</v>
          </cell>
        </row>
        <row r="7">
          <cell r="A7">
            <v>6</v>
          </cell>
          <cell r="B7" t="str">
            <v>OBRERO</v>
          </cell>
          <cell r="C7">
            <v>24040</v>
          </cell>
        </row>
        <row r="8">
          <cell r="A8">
            <v>7</v>
          </cell>
          <cell r="B8" t="str">
            <v>OBREROS (2)</v>
          </cell>
          <cell r="C8">
            <v>48080</v>
          </cell>
        </row>
        <row r="9">
          <cell r="A9">
            <v>8</v>
          </cell>
          <cell r="B9" t="str">
            <v>OBREROS (3)</v>
          </cell>
          <cell r="C9">
            <v>72120</v>
          </cell>
        </row>
        <row r="10">
          <cell r="A10">
            <v>9</v>
          </cell>
          <cell r="B10" t="str">
            <v>OBREROS (4)</v>
          </cell>
          <cell r="C10">
            <v>96160</v>
          </cell>
        </row>
        <row r="11">
          <cell r="A11">
            <v>10</v>
          </cell>
          <cell r="B11" t="str">
            <v>OBREROS (5)</v>
          </cell>
          <cell r="C11">
            <v>120200</v>
          </cell>
        </row>
        <row r="12">
          <cell r="A12">
            <v>11</v>
          </cell>
          <cell r="B12" t="str">
            <v>OBREROS (6)</v>
          </cell>
          <cell r="C12">
            <v>144240</v>
          </cell>
        </row>
        <row r="13">
          <cell r="A13">
            <v>12</v>
          </cell>
          <cell r="B13" t="str">
            <v>OBREROS (7)</v>
          </cell>
          <cell r="C13">
            <v>168280</v>
          </cell>
        </row>
        <row r="14">
          <cell r="A14">
            <v>13</v>
          </cell>
          <cell r="B14" t="str">
            <v>OBRERO(8)</v>
          </cell>
          <cell r="C14">
            <v>192320</v>
          </cell>
        </row>
        <row r="15">
          <cell r="A15">
            <v>14</v>
          </cell>
          <cell r="B15" t="str">
            <v>PALETERO</v>
          </cell>
          <cell r="C15">
            <v>24040</v>
          </cell>
        </row>
        <row r="16">
          <cell r="A16">
            <v>15</v>
          </cell>
          <cell r="B16" t="str">
            <v>PALETEROS (2)</v>
          </cell>
          <cell r="C16">
            <v>48080</v>
          </cell>
        </row>
        <row r="17">
          <cell r="A17">
            <v>16</v>
          </cell>
          <cell r="B17" t="str">
            <v>PERFORADOR</v>
          </cell>
          <cell r="C17">
            <v>40870</v>
          </cell>
        </row>
        <row r="18">
          <cell r="A18">
            <v>17</v>
          </cell>
          <cell r="B18" t="str">
            <v>MAESTRO</v>
          </cell>
          <cell r="C18">
            <v>43270</v>
          </cell>
        </row>
        <row r="19">
          <cell r="A19">
            <v>18</v>
          </cell>
          <cell r="B19" t="str">
            <v>CAPATAZ</v>
          </cell>
          <cell r="C19">
            <v>64910</v>
          </cell>
        </row>
        <row r="20">
          <cell r="A20">
            <v>19</v>
          </cell>
          <cell r="B20" t="str">
            <v>SOLDADOR</v>
          </cell>
          <cell r="C20">
            <v>40870</v>
          </cell>
        </row>
        <row r="21">
          <cell r="A21">
            <v>20</v>
          </cell>
          <cell r="B21" t="str">
            <v>PLOMERO</v>
          </cell>
          <cell r="C21">
            <v>79330</v>
          </cell>
        </row>
      </sheetData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ASTOS"/>
      <sheetName val="PPTO INICIAL"/>
      <sheetName val="PPTO MM1"/>
      <sheetName val="PLANEACION MM1"/>
      <sheetName val="Mat c. EscMM2"/>
      <sheetName val="Mat c. Esc"/>
      <sheetName val="Materiales"/>
      <sheetName val="Equipos"/>
      <sheetName val="EVALUACION AU"/>
    </sheetNames>
    <sheetDataSet>
      <sheetData sheetId="0"/>
      <sheetData sheetId="1"/>
      <sheetData sheetId="2"/>
      <sheetData sheetId="3">
        <row r="191">
          <cell r="O191">
            <v>1</v>
          </cell>
        </row>
        <row r="192">
          <cell r="O192">
            <v>2</v>
          </cell>
        </row>
      </sheetData>
      <sheetData sheetId="4"/>
      <sheetData sheetId="5"/>
      <sheetData sheetId="6">
        <row r="6">
          <cell r="C6" t="str">
            <v>Accesorios de 3/4" y 1/2"</v>
          </cell>
          <cell r="D6" t="str">
            <v>Und</v>
          </cell>
          <cell r="E6">
            <v>2000</v>
          </cell>
        </row>
        <row r="7">
          <cell r="C7" t="str">
            <v>Accesorios para Sanitario</v>
          </cell>
          <cell r="D7" t="str">
            <v>Und</v>
          </cell>
          <cell r="E7">
            <v>15000</v>
          </cell>
        </row>
        <row r="8">
          <cell r="C8" t="str">
            <v>Accesorio para Orinal</v>
          </cell>
          <cell r="D8" t="str">
            <v>Und</v>
          </cell>
          <cell r="E8">
            <v>15000</v>
          </cell>
        </row>
        <row r="9">
          <cell r="C9" t="str">
            <v>Accesorio para Lavamanos Empotrar</v>
          </cell>
          <cell r="D9" t="str">
            <v>Und</v>
          </cell>
          <cell r="E9">
            <v>15000</v>
          </cell>
        </row>
        <row r="10">
          <cell r="C10" t="str">
            <v>Accesorio para Lavamanos Pared</v>
          </cell>
          <cell r="D10" t="str">
            <v>Und</v>
          </cell>
          <cell r="E10">
            <v>15000</v>
          </cell>
        </row>
        <row r="11">
          <cell r="C11" t="str">
            <v>Accesorios para lavaplatos</v>
          </cell>
          <cell r="D11" t="str">
            <v>und</v>
          </cell>
          <cell r="E11">
            <v>50000</v>
          </cell>
        </row>
        <row r="12">
          <cell r="C12" t="str">
            <v>Acero 1/4 ó #2</v>
          </cell>
          <cell r="D12" t="str">
            <v>m</v>
          </cell>
          <cell r="E12">
            <v>1500</v>
          </cell>
        </row>
        <row r="13">
          <cell r="C13" t="str">
            <v>Acero 3/8" ó #3</v>
          </cell>
          <cell r="D13" t="str">
            <v>m</v>
          </cell>
          <cell r="E13">
            <v>1750</v>
          </cell>
        </row>
        <row r="14">
          <cell r="C14" t="str">
            <v>Acero 1/2" ó #4</v>
          </cell>
          <cell r="D14" t="str">
            <v>m</v>
          </cell>
          <cell r="E14">
            <v>2966.6666666666665</v>
          </cell>
        </row>
        <row r="15">
          <cell r="C15" t="str">
            <v>Acero de Refuerzo (figurado)</v>
          </cell>
          <cell r="D15" t="str">
            <v>Kg</v>
          </cell>
          <cell r="E15">
            <v>4691</v>
          </cell>
        </row>
        <row r="16">
          <cell r="C16" t="str">
            <v>Acero estructural ASTM A-36</v>
          </cell>
          <cell r="D16" t="str">
            <v>Kg</v>
          </cell>
          <cell r="E16">
            <v>3500</v>
          </cell>
        </row>
        <row r="17">
          <cell r="C17" t="str">
            <v>acondicionador  x250ml</v>
          </cell>
          <cell r="D17" t="str">
            <v>Und</v>
          </cell>
          <cell r="E17">
            <v>109559</v>
          </cell>
        </row>
        <row r="18">
          <cell r="C18" t="str">
            <v>Agua</v>
          </cell>
          <cell r="D18" t="str">
            <v>Lts</v>
          </cell>
          <cell r="E18">
            <v>80</v>
          </cell>
        </row>
        <row r="19">
          <cell r="C19" t="str">
            <v>alambre acero cub cobre #4 desrlx200</v>
          </cell>
          <cell r="D19" t="str">
            <v>m</v>
          </cell>
          <cell r="E19">
            <v>10141</v>
          </cell>
        </row>
        <row r="20">
          <cell r="C20" t="str">
            <v>alambre acero cub cobre #4 desrlx200</v>
          </cell>
          <cell r="D20" t="str">
            <v>m</v>
          </cell>
          <cell r="E20">
            <v>8342</v>
          </cell>
        </row>
        <row r="21">
          <cell r="C21" t="str">
            <v>alambre cobre # 6 desnudo awgrl x 100</v>
          </cell>
          <cell r="D21" t="str">
            <v>m</v>
          </cell>
          <cell r="E21">
            <v>8014</v>
          </cell>
        </row>
        <row r="22">
          <cell r="C22" t="str">
            <v>alambre galvanizado # 18 u</v>
          </cell>
          <cell r="D22" t="str">
            <v>KG</v>
          </cell>
          <cell r="E22">
            <v>5647</v>
          </cell>
        </row>
        <row r="23">
          <cell r="C23" t="str">
            <v>Alambre Negro</v>
          </cell>
          <cell r="D23" t="str">
            <v>Kg</v>
          </cell>
          <cell r="E23">
            <v>2800</v>
          </cell>
        </row>
        <row r="24">
          <cell r="C24" t="str">
            <v>angulo 1 x 3/ 4 alu tira de 6 metros</v>
          </cell>
          <cell r="D24" t="str">
            <v>m</v>
          </cell>
          <cell r="E24">
            <v>5800</v>
          </cell>
        </row>
        <row r="25">
          <cell r="C25" t="str">
            <v>anillo de acero galvanizado a=200 mm (7"-8")</v>
          </cell>
          <cell r="D25" t="str">
            <v>Und</v>
          </cell>
          <cell r="E25">
            <v>19627</v>
          </cell>
        </row>
        <row r="26">
          <cell r="C26" t="str">
            <v>Arena gruesa</v>
          </cell>
          <cell r="D26" t="str">
            <v>M3</v>
          </cell>
          <cell r="E26">
            <v>80000</v>
          </cell>
        </row>
        <row r="27">
          <cell r="C27" t="str">
            <v>Base Granular en cumplimiento de las especificaciones del INVIAS</v>
          </cell>
          <cell r="D27" t="str">
            <v>M3</v>
          </cell>
          <cell r="E27">
            <v>115000</v>
          </cell>
        </row>
        <row r="28">
          <cell r="C28" t="str">
            <v>Binda Boquilla</v>
          </cell>
          <cell r="D28" t="str">
            <v>kg</v>
          </cell>
          <cell r="E28">
            <v>2000</v>
          </cell>
        </row>
        <row r="29">
          <cell r="C29" t="str">
            <v xml:space="preserve">Brazo para fijacion de iluminarias tipo tauro </v>
          </cell>
          <cell r="D29" t="str">
            <v>Und</v>
          </cell>
          <cell r="E29">
            <v>172345</v>
          </cell>
        </row>
        <row r="30">
          <cell r="C30" t="str">
            <v>Brocha 4"</v>
          </cell>
          <cell r="D30" t="str">
            <v>Und</v>
          </cell>
          <cell r="E30">
            <v>8000</v>
          </cell>
        </row>
        <row r="31">
          <cell r="C31" t="str">
            <v>cable alum #2 acsr desnudosparrow carx3000</v>
          </cell>
          <cell r="D31" t="str">
            <v>Und</v>
          </cell>
          <cell r="E31">
            <v>2453</v>
          </cell>
        </row>
        <row r="32">
          <cell r="C32" t="str">
            <v xml:space="preserve">cable cubierto cobre #6 flexibelastom 15kv barrajes </v>
          </cell>
          <cell r="D32" t="str">
            <v>Und</v>
          </cell>
          <cell r="E32">
            <v>11760</v>
          </cell>
        </row>
        <row r="33">
          <cell r="C33" t="str">
            <v>cable de cobre  # 2</v>
          </cell>
          <cell r="D33" t="str">
            <v>m</v>
          </cell>
          <cell r="E33">
            <v>12650</v>
          </cell>
        </row>
        <row r="34">
          <cell r="C34" t="str">
            <v>cable de cobre  # 4</v>
          </cell>
          <cell r="D34" t="str">
            <v>m</v>
          </cell>
          <cell r="E34">
            <v>8342</v>
          </cell>
        </row>
        <row r="35">
          <cell r="C35" t="str">
            <v>cable de cobre  # 10</v>
          </cell>
          <cell r="D35" t="str">
            <v>m</v>
          </cell>
          <cell r="E35">
            <v>1600</v>
          </cell>
        </row>
        <row r="36">
          <cell r="C36" t="str">
            <v>cable de cobre  # 12</v>
          </cell>
          <cell r="D36" t="str">
            <v>m</v>
          </cell>
          <cell r="E36">
            <v>1400</v>
          </cell>
        </row>
        <row r="37">
          <cell r="C37" t="str">
            <v>cable de cobre  # 14</v>
          </cell>
          <cell r="D37" t="str">
            <v>m</v>
          </cell>
          <cell r="E37">
            <v>1200</v>
          </cell>
        </row>
        <row r="38">
          <cell r="C38" t="str">
            <v>cable encauchetado 3x12a 600 v</v>
          </cell>
          <cell r="D38" t="str">
            <v>m</v>
          </cell>
          <cell r="E38">
            <v>8178</v>
          </cell>
        </row>
        <row r="39">
          <cell r="C39" t="str">
            <v>cable sintox negro # 8</v>
          </cell>
          <cell r="D39" t="str">
            <v>m</v>
          </cell>
          <cell r="E39">
            <v>4544</v>
          </cell>
        </row>
        <row r="40">
          <cell r="C40" t="str">
            <v>Candado yale 7 cm de ancho de acedo endurecido (seguridad dell malacate de poste)</v>
          </cell>
          <cell r="D40" t="str">
            <v>Und</v>
          </cell>
          <cell r="E40">
            <v>63450</v>
          </cell>
        </row>
        <row r="41">
          <cell r="C41" t="str">
            <v>capacete 2"</v>
          </cell>
          <cell r="D41" t="str">
            <v>Und</v>
          </cell>
          <cell r="E41">
            <v>19627</v>
          </cell>
        </row>
        <row r="42">
          <cell r="C42" t="str">
            <v xml:space="preserve">capuchon de empalme electrico </v>
          </cell>
          <cell r="D42" t="str">
            <v>Und</v>
          </cell>
          <cell r="E42">
            <v>1636</v>
          </cell>
        </row>
        <row r="43">
          <cell r="C43" t="str">
            <v>Cemento Blanco</v>
          </cell>
          <cell r="D43" t="str">
            <v>Kg</v>
          </cell>
          <cell r="E43">
            <v>1500</v>
          </cell>
        </row>
        <row r="44">
          <cell r="C44" t="str">
            <v>Cemento gris</v>
          </cell>
          <cell r="D44" t="str">
            <v>Bulto</v>
          </cell>
          <cell r="E44">
            <v>23800</v>
          </cell>
        </row>
        <row r="45">
          <cell r="C45" t="str">
            <v>Chapa economica Puerta</v>
          </cell>
          <cell r="D45" t="str">
            <v>Und</v>
          </cell>
          <cell r="E45">
            <v>25000</v>
          </cell>
        </row>
        <row r="46">
          <cell r="C46" t="str">
            <v>cielo f.  acrilico pvc</v>
          </cell>
          <cell r="D46" t="str">
            <v>M2</v>
          </cell>
          <cell r="E46">
            <v>75000</v>
          </cell>
        </row>
        <row r="47">
          <cell r="C47" t="str">
            <v>cierre acero inoxidable 1/2 pgpara cinta metalica de 1/2 pg</v>
          </cell>
          <cell r="D47" t="str">
            <v>Und</v>
          </cell>
          <cell r="E47">
            <v>515</v>
          </cell>
        </row>
        <row r="48">
          <cell r="C48" t="str">
            <v>cinta aislante caucho autofund600 voltios 19 mm x 6.7 metros</v>
          </cell>
          <cell r="D48" t="str">
            <v>Und</v>
          </cell>
          <cell r="E48">
            <v>31076</v>
          </cell>
        </row>
        <row r="49">
          <cell r="C49" t="str">
            <v>cinta aislante plastica vinilo600 voltios, 19 mm x 20 metros</v>
          </cell>
          <cell r="D49" t="str">
            <v>Und</v>
          </cell>
          <cell r="E49">
            <v>8178</v>
          </cell>
        </row>
        <row r="50">
          <cell r="C50" t="str">
            <v>cinta vandit</v>
          </cell>
          <cell r="D50" t="str">
            <v>m</v>
          </cell>
          <cell r="E50">
            <v>2318</v>
          </cell>
        </row>
        <row r="51">
          <cell r="C51" t="str">
            <v>Concreto de 2500 psi</v>
          </cell>
          <cell r="D51" t="str">
            <v>M3</v>
          </cell>
          <cell r="E51">
            <v>383715</v>
          </cell>
        </row>
        <row r="52">
          <cell r="C52" t="str">
            <v>Concreto de 3000 psi</v>
          </cell>
          <cell r="D52" t="str">
            <v>M3</v>
          </cell>
          <cell r="E52">
            <v>410017</v>
          </cell>
        </row>
        <row r="53">
          <cell r="C53" t="str">
            <v>Concreto de 3500 psi</v>
          </cell>
          <cell r="D53" t="str">
            <v>M3</v>
          </cell>
          <cell r="E53">
            <v>449980</v>
          </cell>
        </row>
        <row r="54">
          <cell r="C54" t="str">
            <v>conector compr deriv c cobreprincipal: cu4 derivacion: cu4</v>
          </cell>
          <cell r="D54" t="str">
            <v>Und</v>
          </cell>
          <cell r="E54">
            <v>7197</v>
          </cell>
        </row>
        <row r="55">
          <cell r="C55" t="str">
            <v>conector derivación compr  4  a  4 acsr-awg (yho100)</v>
          </cell>
          <cell r="D55" t="str">
            <v>Und</v>
          </cell>
          <cell r="E55">
            <v>2944</v>
          </cell>
        </row>
        <row r="56">
          <cell r="C56" t="str">
            <v>conector derivación compr. 1/0 a 1/0 wag-acsr</v>
          </cell>
          <cell r="D56" t="str">
            <v>Und</v>
          </cell>
          <cell r="E56">
            <v>5880</v>
          </cell>
        </row>
        <row r="57">
          <cell r="C57" t="str">
            <v>conector derivación en cobre  tipo    c</v>
          </cell>
          <cell r="D57" t="str">
            <v>Und</v>
          </cell>
          <cell r="E57">
            <v>7197</v>
          </cell>
        </row>
        <row r="58">
          <cell r="C58" t="str">
            <v>conector transversal universal 6-1/0 awg</v>
          </cell>
          <cell r="D58" t="str">
            <v>Und</v>
          </cell>
          <cell r="E58">
            <v>52920</v>
          </cell>
        </row>
        <row r="59">
          <cell r="C59" t="str">
            <v>conector transversal universal 6-1/0 awg</v>
          </cell>
          <cell r="D59" t="str">
            <v>Und</v>
          </cell>
          <cell r="E59">
            <v>35983</v>
          </cell>
        </row>
        <row r="60">
          <cell r="C60" t="str">
            <v>cortacircuitos 100 a. 15 kv. 12ka  asimet</v>
          </cell>
          <cell r="D60" t="str">
            <v>Und</v>
          </cell>
          <cell r="E60">
            <v>421400</v>
          </cell>
        </row>
        <row r="61">
          <cell r="C61" t="str">
            <v>cortacircuitos 100 a. 15 kv. 12ka  asimet</v>
          </cell>
          <cell r="D61" t="str">
            <v>Und</v>
          </cell>
          <cell r="E61">
            <v>359832</v>
          </cell>
        </row>
        <row r="62">
          <cell r="C62" t="str">
            <v xml:space="preserve">cruzeta 240 mm </v>
          </cell>
          <cell r="D62" t="str">
            <v>Und</v>
          </cell>
          <cell r="E62">
            <v>142410</v>
          </cell>
        </row>
        <row r="63">
          <cell r="C63" t="str">
            <v>cruzeta metalica 240 mm</v>
          </cell>
          <cell r="D63" t="str">
            <v>Und</v>
          </cell>
          <cell r="E63">
            <v>141000</v>
          </cell>
        </row>
        <row r="64">
          <cell r="C64" t="str">
            <v>Cubierta en Acero Inoxidable (incluye poseta)</v>
          </cell>
          <cell r="D64" t="str">
            <v>m</v>
          </cell>
          <cell r="E64">
            <v>350000</v>
          </cell>
        </row>
        <row r="65">
          <cell r="C65" t="str">
            <v>Enchape Piso Comercial</v>
          </cell>
          <cell r="D65" t="str">
            <v>m2</v>
          </cell>
          <cell r="E65">
            <v>30000</v>
          </cell>
        </row>
        <row r="66">
          <cell r="C66" t="str">
            <v>Enchape Muro Comercial</v>
          </cell>
          <cell r="D66" t="str">
            <v>m2</v>
          </cell>
          <cell r="E66">
            <v>32000</v>
          </cell>
        </row>
        <row r="67">
          <cell r="C67" t="str">
            <v>Enchape Piso Economico</v>
          </cell>
          <cell r="D67" t="str">
            <v>m2</v>
          </cell>
          <cell r="E67">
            <v>24000</v>
          </cell>
        </row>
        <row r="68">
          <cell r="C68" t="str">
            <v>Enchape Muro Economico</v>
          </cell>
          <cell r="D68" t="str">
            <v>m2</v>
          </cell>
          <cell r="E68">
            <v>26000</v>
          </cell>
        </row>
        <row r="69">
          <cell r="C69" t="str">
            <v>Enchape Piso Baños Comercial</v>
          </cell>
          <cell r="D69" t="str">
            <v>m2</v>
          </cell>
          <cell r="E69">
            <v>28000</v>
          </cell>
        </row>
        <row r="70">
          <cell r="C70" t="str">
            <v>Enchape Muro Baños Comercial</v>
          </cell>
          <cell r="D70" t="str">
            <v>m2</v>
          </cell>
          <cell r="E70">
            <v>30000</v>
          </cell>
        </row>
        <row r="71">
          <cell r="C71" t="str">
            <v>Enchape Piso Baños Economico</v>
          </cell>
          <cell r="D71" t="str">
            <v>m2</v>
          </cell>
          <cell r="E71">
            <v>21000</v>
          </cell>
        </row>
        <row r="72">
          <cell r="C72" t="str">
            <v>Enchape Muro Baños Economico</v>
          </cell>
          <cell r="D72" t="str">
            <v>m2</v>
          </cell>
          <cell r="E72">
            <v>22000</v>
          </cell>
        </row>
        <row r="73">
          <cell r="C73" t="str">
            <v>Enchape de Gres</v>
          </cell>
          <cell r="D73" t="str">
            <v>m2</v>
          </cell>
          <cell r="E73">
            <v>28000</v>
          </cell>
        </row>
        <row r="74">
          <cell r="C74" t="str">
            <v>eslabon 5/8</v>
          </cell>
          <cell r="D74" t="str">
            <v>Und</v>
          </cell>
          <cell r="E74">
            <v>11844</v>
          </cell>
        </row>
        <row r="75">
          <cell r="C75" t="str">
            <v>Estacas de madera</v>
          </cell>
          <cell r="D75" t="str">
            <v>Und</v>
          </cell>
          <cell r="E75">
            <v>870</v>
          </cell>
        </row>
        <row r="76">
          <cell r="C76" t="str">
            <v>Estuco Plastico</v>
          </cell>
          <cell r="D76" t="str">
            <v>kg</v>
          </cell>
          <cell r="E76">
            <v>1500</v>
          </cell>
        </row>
        <row r="77">
          <cell r="C77" t="str">
            <v>fusible dual para transformador  30 kva,  0,7 a</v>
          </cell>
          <cell r="D77" t="str">
            <v>Und</v>
          </cell>
          <cell r="E77">
            <v>6542</v>
          </cell>
        </row>
        <row r="78">
          <cell r="C78" t="str">
            <v>fusible tipo t p/caja primaria</v>
          </cell>
          <cell r="D78" t="str">
            <v>Und</v>
          </cell>
          <cell r="E78">
            <v>7840</v>
          </cell>
        </row>
        <row r="79">
          <cell r="C79" t="str">
            <v>Gabetero en Laminas RH madera prensada</v>
          </cell>
          <cell r="D79" t="str">
            <v>m</v>
          </cell>
          <cell r="E79">
            <v>450000</v>
          </cell>
        </row>
        <row r="80">
          <cell r="C80" t="str">
            <v>gabinete tipo esterior, trifasico para alojar medidor</v>
          </cell>
          <cell r="D80" t="str">
            <v>Und</v>
          </cell>
          <cell r="E80">
            <v>467782</v>
          </cell>
        </row>
        <row r="81">
          <cell r="C81" t="str">
            <v xml:space="preserve">Guarda escoba Gres </v>
          </cell>
          <cell r="D81" t="str">
            <v>Und</v>
          </cell>
          <cell r="E81">
            <v>1500</v>
          </cell>
        </row>
        <row r="82">
          <cell r="C82" t="str">
            <v>grapa o conector de tornillo p/varilla de puesta a tierra 5/8"</v>
          </cell>
          <cell r="D82" t="str">
            <v>Und</v>
          </cell>
          <cell r="E82">
            <v>8342</v>
          </cell>
        </row>
        <row r="83">
          <cell r="C83" t="str">
            <v>grapa o conector de tornillo p/varilla de puesta a tierra 5/8"</v>
          </cell>
          <cell r="D83" t="str">
            <v>Und</v>
          </cell>
          <cell r="E83">
            <v>6215</v>
          </cell>
        </row>
        <row r="84">
          <cell r="C84" t="str">
            <v>hevilla para cinta bandit 1/2</v>
          </cell>
          <cell r="D84" t="str">
            <v>Und</v>
          </cell>
          <cell r="E84">
            <v>687</v>
          </cell>
        </row>
        <row r="85">
          <cell r="C85" t="str">
            <v>hidrosellos de caucho de 10" (250 mm)</v>
          </cell>
          <cell r="D85" t="str">
            <v>Und</v>
          </cell>
          <cell r="E85">
            <v>18178</v>
          </cell>
        </row>
        <row r="86">
          <cell r="C86" t="str">
            <v>hidrosellos de caucho de 12" (315 mm)</v>
          </cell>
          <cell r="D86" t="str">
            <v>Und</v>
          </cell>
          <cell r="E86">
            <v>23531</v>
          </cell>
        </row>
        <row r="87">
          <cell r="C87" t="str">
            <v>hidrosellos de caucho de 6" (160 mm)</v>
          </cell>
          <cell r="D87" t="str">
            <v>Und</v>
          </cell>
          <cell r="E87">
            <v>12178</v>
          </cell>
        </row>
        <row r="88">
          <cell r="C88" t="str">
            <v>hidrosellos de caucho de 8" (200 mm)</v>
          </cell>
          <cell r="D88" t="str">
            <v>Und</v>
          </cell>
          <cell r="E88">
            <v>6424</v>
          </cell>
        </row>
        <row r="89">
          <cell r="C89" t="str">
            <v>Impermeabilizante con sika 1 o similar</v>
          </cell>
          <cell r="D89" t="str">
            <v>Kg</v>
          </cell>
          <cell r="E89">
            <v>15000</v>
          </cell>
        </row>
        <row r="90">
          <cell r="C90" t="str">
            <v>Lavamanos Institucional de Empotrar</v>
          </cell>
          <cell r="D90" t="str">
            <v>Und</v>
          </cell>
          <cell r="E90">
            <v>150000</v>
          </cell>
        </row>
        <row r="91">
          <cell r="C91" t="str">
            <v>Lavamanos Pared</v>
          </cell>
          <cell r="D91" t="str">
            <v>Und</v>
          </cell>
          <cell r="E91">
            <v>120000</v>
          </cell>
        </row>
        <row r="92">
          <cell r="C92" t="str">
            <v>Lavaplatos de Acero Inoxidable</v>
          </cell>
          <cell r="D92" t="str">
            <v>und</v>
          </cell>
          <cell r="E92">
            <v>250000</v>
          </cell>
        </row>
        <row r="93">
          <cell r="C93" t="str">
            <v>Lavatraperos o lavaescobas</v>
          </cell>
          <cell r="D93" t="str">
            <v>Und</v>
          </cell>
          <cell r="E93">
            <v>80000</v>
          </cell>
        </row>
        <row r="94">
          <cell r="C94" t="str">
            <v>Ladrillo de arcilla a la vista tipo Hollman</v>
          </cell>
          <cell r="D94" t="str">
            <v>Und</v>
          </cell>
          <cell r="E94">
            <v>1250</v>
          </cell>
        </row>
        <row r="95">
          <cell r="C95" t="str">
            <v>Ladrillo H- 10</v>
          </cell>
          <cell r="D95" t="str">
            <v>Und</v>
          </cell>
          <cell r="E95">
            <v>1150</v>
          </cell>
        </row>
        <row r="96">
          <cell r="C96" t="str">
            <v>Ladrillo H- 12</v>
          </cell>
          <cell r="D96" t="str">
            <v>Und</v>
          </cell>
          <cell r="E96">
            <v>1350</v>
          </cell>
        </row>
        <row r="97">
          <cell r="C97" t="str">
            <v>Ladrillo o Bloque de 15 x 20 x 40 para Cerramiento</v>
          </cell>
          <cell r="D97" t="str">
            <v>und</v>
          </cell>
          <cell r="E97">
            <v>1500</v>
          </cell>
        </row>
        <row r="98">
          <cell r="C98" t="str">
            <v>Lamina de Eternit No. 07</v>
          </cell>
          <cell r="D98" t="str">
            <v>Und</v>
          </cell>
          <cell r="E98">
            <v>23000</v>
          </cell>
        </row>
        <row r="99">
          <cell r="C99" t="str">
            <v>Llave terminal bocamanguera</v>
          </cell>
          <cell r="D99" t="str">
            <v>Und</v>
          </cell>
          <cell r="E99">
            <v>24000</v>
          </cell>
        </row>
        <row r="100">
          <cell r="C100" t="str">
            <v>Listones de madera de 2" x 2"</v>
          </cell>
          <cell r="D100" t="str">
            <v>Und</v>
          </cell>
          <cell r="E100">
            <v>12000</v>
          </cell>
        </row>
        <row r="101">
          <cell r="C101" t="str">
            <v>Lona Verde</v>
          </cell>
          <cell r="D101" t="str">
            <v>m</v>
          </cell>
          <cell r="E101">
            <v>3500</v>
          </cell>
        </row>
        <row r="102">
          <cell r="C102" t="str">
            <v>lubricante (500 g) novafort</v>
          </cell>
          <cell r="D102" t="str">
            <v>Und</v>
          </cell>
          <cell r="E102">
            <v>22028</v>
          </cell>
        </row>
        <row r="103">
          <cell r="C103" t="str">
            <v>Madera</v>
          </cell>
          <cell r="D103" t="str">
            <v>m</v>
          </cell>
          <cell r="E103">
            <v>4500</v>
          </cell>
        </row>
        <row r="104">
          <cell r="C104" t="str">
            <v>Madera redonda</v>
          </cell>
          <cell r="D104" t="str">
            <v>Und</v>
          </cell>
          <cell r="E104">
            <v>4500</v>
          </cell>
        </row>
        <row r="105">
          <cell r="C105" t="str">
            <v>Malla electrosoldada</v>
          </cell>
          <cell r="D105" t="str">
            <v>M2</v>
          </cell>
          <cell r="E105">
            <v>4600</v>
          </cell>
        </row>
        <row r="106">
          <cell r="C106" t="str">
            <v>Malla eslabonada Galvanizada (pintada y con anticorrosivo) cal 10.5</v>
          </cell>
          <cell r="D106" t="str">
            <v>M2</v>
          </cell>
          <cell r="E106">
            <v>30454</v>
          </cell>
        </row>
        <row r="107">
          <cell r="C107" t="str">
            <v>Material gravo arcilloso Tipo 2</v>
          </cell>
          <cell r="D107" t="str">
            <v>M3</v>
          </cell>
          <cell r="E107">
            <v>20000</v>
          </cell>
        </row>
        <row r="108">
          <cell r="C108" t="str">
            <v>Medidor electronico trifasico 3x120x208V de 5 a 100 A, calibrado.</v>
          </cell>
          <cell r="D108" t="str">
            <v>Und</v>
          </cell>
          <cell r="E108">
            <v>419041</v>
          </cell>
        </row>
        <row r="109">
          <cell r="C109" t="str">
            <v>MORTERO 1:3</v>
          </cell>
          <cell r="D109" t="str">
            <v>M3</v>
          </cell>
          <cell r="E109">
            <v>416235</v>
          </cell>
        </row>
        <row r="110">
          <cell r="C110" t="str">
            <v>Orinal mediano</v>
          </cell>
          <cell r="D110" t="str">
            <v>Und</v>
          </cell>
          <cell r="E110">
            <v>250000</v>
          </cell>
        </row>
        <row r="111">
          <cell r="C111" t="str">
            <v>Pararrayos óxido de zinc,  360v mcov,480 v, 5 ka</v>
          </cell>
          <cell r="D111" t="str">
            <v>Und</v>
          </cell>
          <cell r="E111">
            <v>212628</v>
          </cell>
        </row>
        <row r="112">
          <cell r="C112" t="str">
            <v>Pega Perfecto</v>
          </cell>
          <cell r="D112" t="str">
            <v>kg</v>
          </cell>
          <cell r="E112">
            <v>480</v>
          </cell>
        </row>
        <row r="113">
          <cell r="C113" t="str">
            <v>Pegante PVC</v>
          </cell>
          <cell r="D113" t="str">
            <v>frasco</v>
          </cell>
          <cell r="E113">
            <v>5000</v>
          </cell>
        </row>
        <row r="114">
          <cell r="C114" t="str">
            <v>pie amigo 240 mm</v>
          </cell>
          <cell r="D114" t="str">
            <v>Und</v>
          </cell>
          <cell r="E114">
            <v>98229</v>
          </cell>
        </row>
        <row r="115">
          <cell r="C115" t="str">
            <v>Piedra Rajon</v>
          </cell>
          <cell r="D115" t="str">
            <v>M3</v>
          </cell>
          <cell r="E115">
            <v>140000</v>
          </cell>
        </row>
        <row r="116">
          <cell r="C116" t="str">
            <v>Pintura (anticorrosivo)</v>
          </cell>
          <cell r="D116" t="str">
            <v>Gl</v>
          </cell>
          <cell r="E116">
            <v>37000</v>
          </cell>
        </row>
        <row r="117">
          <cell r="C117" t="str">
            <v>Pintura en esmalte (acabado)</v>
          </cell>
          <cell r="D117" t="str">
            <v>Gl</v>
          </cell>
          <cell r="E117">
            <v>105000</v>
          </cell>
        </row>
        <row r="118">
          <cell r="C118" t="str">
            <v>Pintura Tipo 1</v>
          </cell>
          <cell r="D118" t="str">
            <v>Gl</v>
          </cell>
          <cell r="E118">
            <v>55000</v>
          </cell>
        </row>
        <row r="119">
          <cell r="C119" t="str">
            <v>Pintura Tipo Koraza</v>
          </cell>
          <cell r="D119" t="str">
            <v>Gl</v>
          </cell>
          <cell r="E119">
            <v>75000</v>
          </cell>
        </row>
        <row r="120">
          <cell r="C120" t="str">
            <v>Plataforma en concreto para zona de meson</v>
          </cell>
          <cell r="D120" t="str">
            <v>m</v>
          </cell>
          <cell r="E120">
            <v>410017</v>
          </cell>
        </row>
        <row r="121">
          <cell r="C121" t="str">
            <v>Platiestuco</v>
          </cell>
          <cell r="D121" t="str">
            <v>Kg</v>
          </cell>
          <cell r="E121">
            <v>1500</v>
          </cell>
        </row>
        <row r="122">
          <cell r="C122" t="str">
            <v>Platina 1/2" x 1/8"</v>
          </cell>
          <cell r="D122" t="str">
            <v>m</v>
          </cell>
          <cell r="E122">
            <v>800</v>
          </cell>
        </row>
        <row r="123">
          <cell r="C123" t="str">
            <v>Poste metalico galvanizado de 14 mts,Acero ASTM A-572 Gr-500, tipo abatible para iluminacion</v>
          </cell>
          <cell r="D123" t="str">
            <v>Und</v>
          </cell>
          <cell r="E123">
            <v>6937200</v>
          </cell>
        </row>
        <row r="124">
          <cell r="C124" t="str">
            <v>Poste redonde de concreto de 12 mts, 750 kg/f</v>
          </cell>
          <cell r="D124" t="str">
            <v>Und</v>
          </cell>
          <cell r="E124">
            <v>1161276</v>
          </cell>
        </row>
        <row r="125">
          <cell r="C125" t="str">
            <v>Puerta metalica de 0,9 x 2,0 m Calibre 20</v>
          </cell>
          <cell r="D125" t="str">
            <v>Und</v>
          </cell>
          <cell r="E125">
            <v>180000</v>
          </cell>
        </row>
        <row r="126">
          <cell r="C126" t="str">
            <v>Puntilla con cabeza o clavos de 1" a 3.1/2"</v>
          </cell>
          <cell r="D126" t="str">
            <v>Lb</v>
          </cell>
          <cell r="E126">
            <v>2800</v>
          </cell>
        </row>
        <row r="127">
          <cell r="C127" t="str">
            <v>Puntillas</v>
          </cell>
          <cell r="D127" t="str">
            <v>Lb</v>
          </cell>
          <cell r="E127">
            <v>3000</v>
          </cell>
        </row>
        <row r="128">
          <cell r="C128" t="str">
            <v>Puntillas</v>
          </cell>
          <cell r="D128" t="str">
            <v>Lb</v>
          </cell>
          <cell r="E128">
            <v>3600</v>
          </cell>
        </row>
        <row r="129">
          <cell r="C129" t="str">
            <v>Reja de seguridad (instalada)</v>
          </cell>
          <cell r="D129" t="str">
            <v>M2</v>
          </cell>
          <cell r="E129">
            <v>135000</v>
          </cell>
        </row>
        <row r="130">
          <cell r="C130" t="str">
            <v>REJILLA METÁLICA DE PISO Aluminio/bronce 3x2" desagüe 2"</v>
          </cell>
          <cell r="D130" t="str">
            <v>Und</v>
          </cell>
          <cell r="E130">
            <v>15000</v>
          </cell>
        </row>
        <row r="131">
          <cell r="C131" t="str">
            <v>remache pop 4-2 1/4"x1/8"</v>
          </cell>
          <cell r="D131" t="str">
            <v>Und</v>
          </cell>
          <cell r="E131">
            <v>160</v>
          </cell>
        </row>
        <row r="132">
          <cell r="C132" t="str">
            <v>Rodillo para Pintura de agua</v>
          </cell>
          <cell r="D132" t="str">
            <v>Und</v>
          </cell>
          <cell r="E132">
            <v>9000</v>
          </cell>
        </row>
        <row r="133">
          <cell r="C133" t="str">
            <v>Sifon 2"</v>
          </cell>
          <cell r="D133" t="str">
            <v>Und</v>
          </cell>
          <cell r="E133">
            <v>12000</v>
          </cell>
        </row>
        <row r="134">
          <cell r="C134" t="str">
            <v>Sifon 3"</v>
          </cell>
          <cell r="D134" t="str">
            <v>Und</v>
          </cell>
          <cell r="E134">
            <v>15000</v>
          </cell>
        </row>
        <row r="135">
          <cell r="C135" t="str">
            <v>Silicona Blanca Antihongo</v>
          </cell>
          <cell r="D135" t="str">
            <v>tubo</v>
          </cell>
          <cell r="E135">
            <v>25000</v>
          </cell>
        </row>
        <row r="136">
          <cell r="C136" t="str">
            <v>Silicona Transparente Antihongo</v>
          </cell>
          <cell r="D136" t="str">
            <v>tubo</v>
          </cell>
          <cell r="E136">
            <v>25000</v>
          </cell>
        </row>
        <row r="137">
          <cell r="C137" t="str">
            <v>Sanitario de 6Lt</v>
          </cell>
          <cell r="D137" t="str">
            <v>Und</v>
          </cell>
          <cell r="E137">
            <v>210000</v>
          </cell>
        </row>
        <row r="138">
          <cell r="C138" t="str">
            <v>Soldadura 60/11 de 1/8"</v>
          </cell>
          <cell r="D138" t="str">
            <v>Kg</v>
          </cell>
          <cell r="E138">
            <v>8100</v>
          </cell>
        </row>
        <row r="139">
          <cell r="C139" t="str">
            <v>Tapa Gotera</v>
          </cell>
          <cell r="D139" t="str">
            <v>kg</v>
          </cell>
          <cell r="E139">
            <v>5000</v>
          </cell>
        </row>
        <row r="140">
          <cell r="C140" t="str">
            <v>tee alum.anodizado 1"x3/4"</v>
          </cell>
          <cell r="D140" t="str">
            <v>m</v>
          </cell>
          <cell r="E140">
            <v>2850</v>
          </cell>
        </row>
        <row r="141">
          <cell r="C141" t="str">
            <v>Teja en lamina Termoacustica</v>
          </cell>
          <cell r="D141" t="str">
            <v>M2</v>
          </cell>
          <cell r="E141">
            <v>55000</v>
          </cell>
        </row>
        <row r="142">
          <cell r="C142" t="str">
            <v>Teja en fibrocemento Eternit</v>
          </cell>
          <cell r="D142" t="str">
            <v>m2</v>
          </cell>
          <cell r="E142">
            <v>15000</v>
          </cell>
        </row>
        <row r="143">
          <cell r="C143" t="str">
            <v>tiranta de 48 ´</v>
          </cell>
          <cell r="D143" t="str">
            <v>Und</v>
          </cell>
          <cell r="E143">
            <v>40890</v>
          </cell>
        </row>
        <row r="144">
          <cell r="C144" t="str">
            <v>tornillo 3/16 por 1 x 1/2 pulgada</v>
          </cell>
          <cell r="D144" t="str">
            <v>Und</v>
          </cell>
          <cell r="E144">
            <v>818</v>
          </cell>
        </row>
        <row r="145">
          <cell r="C145" t="str">
            <v>tornillo 3/16 por 1 x 2 1/2 pulgada</v>
          </cell>
          <cell r="D145" t="str">
            <v>Und</v>
          </cell>
          <cell r="E145">
            <v>1308</v>
          </cell>
        </row>
        <row r="146">
          <cell r="C146" t="str">
            <v>tornillo 5/8  x 1x 1/2</v>
          </cell>
          <cell r="D146" t="str">
            <v>Und</v>
          </cell>
          <cell r="E146">
            <v>7403</v>
          </cell>
        </row>
        <row r="147">
          <cell r="C147" t="str">
            <v>tornillo de 5/8 x 1 1/2</v>
          </cell>
          <cell r="D147" t="str">
            <v>Und</v>
          </cell>
          <cell r="E147">
            <v>6909</v>
          </cell>
        </row>
        <row r="148">
          <cell r="C148" t="str">
            <v>tornillo espaciador 15.9 x 250 mm (5/8" x 10")</v>
          </cell>
          <cell r="D148" t="str">
            <v>Und</v>
          </cell>
          <cell r="E148">
            <v>9800</v>
          </cell>
        </row>
        <row r="149">
          <cell r="C149" t="str">
            <v>tornillo espaciador 15.9 x 300 mm (5/8" x 12")</v>
          </cell>
          <cell r="D149" t="str">
            <v>Und</v>
          </cell>
          <cell r="E149">
            <v>9977</v>
          </cell>
        </row>
        <row r="150">
          <cell r="C150" t="str">
            <v>totalizador trifasico 100 a</v>
          </cell>
          <cell r="D150" t="str">
            <v>Und</v>
          </cell>
          <cell r="E150">
            <v>245340</v>
          </cell>
        </row>
        <row r="151">
          <cell r="C151" t="str">
            <v>transformador convencional distribución trifasico  de 30 kva.</v>
          </cell>
          <cell r="D151" t="str">
            <v>Und</v>
          </cell>
          <cell r="E151">
            <v>5083050</v>
          </cell>
        </row>
        <row r="152">
          <cell r="C152" t="str">
            <v>Toma doble electrico</v>
          </cell>
          <cell r="D152" t="str">
            <v>Und</v>
          </cell>
          <cell r="E152">
            <v>14000</v>
          </cell>
        </row>
        <row r="153">
          <cell r="C153" t="str">
            <v>Triturado de 3/4"</v>
          </cell>
          <cell r="D153" t="str">
            <v>M3</v>
          </cell>
          <cell r="E153">
            <v>80000</v>
          </cell>
        </row>
        <row r="154">
          <cell r="C154" t="str">
            <v>Tuberia de 1 1/2"</v>
          </cell>
          <cell r="D154" t="str">
            <v>m</v>
          </cell>
          <cell r="E154">
            <v>10000</v>
          </cell>
        </row>
        <row r="155">
          <cell r="C155" t="str">
            <v>Tuberia de 2"</v>
          </cell>
          <cell r="D155" t="str">
            <v>m</v>
          </cell>
          <cell r="E155">
            <v>25833</v>
          </cell>
        </row>
        <row r="156">
          <cell r="C156" t="str">
            <v>Tuberia de 3/4" y 1/2"</v>
          </cell>
          <cell r="D156" t="str">
            <v>m</v>
          </cell>
          <cell r="E156">
            <v>1000</v>
          </cell>
        </row>
        <row r="157">
          <cell r="C157" t="str">
            <v>Tuberia de 6"</v>
          </cell>
          <cell r="D157" t="str">
            <v>m</v>
          </cell>
          <cell r="E157">
            <v>49167</v>
          </cell>
        </row>
        <row r="158">
          <cell r="C158" t="str">
            <v>Tuberia Galvanizada 2", cal 14</v>
          </cell>
          <cell r="D158" t="str">
            <v>m</v>
          </cell>
          <cell r="E158">
            <v>11000</v>
          </cell>
        </row>
        <row r="159">
          <cell r="C159" t="str">
            <v>tuberia pvc ø 1/2" electrica</v>
          </cell>
          <cell r="D159" t="str">
            <v>m</v>
          </cell>
          <cell r="E159">
            <v>1500</v>
          </cell>
        </row>
        <row r="160">
          <cell r="C160" t="str">
            <v>tuberia pvc ø 4" perforada para filtro</v>
          </cell>
          <cell r="D160" t="str">
            <v>m</v>
          </cell>
          <cell r="E160">
            <v>31450</v>
          </cell>
        </row>
        <row r="161">
          <cell r="C161" t="str">
            <v>Tubería metalica redonda de 1.1/2" Calibre 16 (incluye soldaduras)</v>
          </cell>
          <cell r="D161" t="str">
            <v>m</v>
          </cell>
          <cell r="E161">
            <v>55000</v>
          </cell>
        </row>
        <row r="162">
          <cell r="C162" t="str">
            <v>Tubería metalica redonda de 2" Calibre 16 (incluye soldaduras)</v>
          </cell>
          <cell r="D162" t="str">
            <v>m</v>
          </cell>
          <cell r="E162">
            <v>71500</v>
          </cell>
        </row>
        <row r="163">
          <cell r="C163" t="str">
            <v>Tubería metalica redonda de 3/4" Calibre 16 (incluye soldaduras)</v>
          </cell>
          <cell r="D163" t="str">
            <v>m</v>
          </cell>
          <cell r="E163">
            <v>30800</v>
          </cell>
        </row>
        <row r="164">
          <cell r="C164" t="str">
            <v>tubo metalico galvanizado 2"</v>
          </cell>
          <cell r="D164" t="str">
            <v>Und</v>
          </cell>
          <cell r="E164">
            <v>130848</v>
          </cell>
        </row>
        <row r="165">
          <cell r="C165" t="str">
            <v>tuberia pvc ø 4" desague</v>
          </cell>
          <cell r="D165" t="str">
            <v>m</v>
          </cell>
          <cell r="E165">
            <v>7500</v>
          </cell>
        </row>
        <row r="166">
          <cell r="C166" t="str">
            <v>tubo pvc novafort de 10" (250 mm) x 6 mts</v>
          </cell>
          <cell r="D166" t="str">
            <v>m</v>
          </cell>
          <cell r="E166">
            <v>51780</v>
          </cell>
        </row>
        <row r="167">
          <cell r="C167" t="str">
            <v>tubo pvc novafort de 12" (315 mm) x 6 mts</v>
          </cell>
          <cell r="D167" t="str">
            <v>m</v>
          </cell>
          <cell r="E167">
            <v>76115</v>
          </cell>
        </row>
        <row r="168">
          <cell r="C168" t="str">
            <v>tubo pvc novafort de 6" (160 mm) x 6 mts</v>
          </cell>
          <cell r="D168" t="str">
            <v>m</v>
          </cell>
          <cell r="E168">
            <v>25423</v>
          </cell>
        </row>
        <row r="169">
          <cell r="C169" t="str">
            <v>tubo pvc novafort de 8" (200 mm) x 6 mts</v>
          </cell>
          <cell r="D169" t="str">
            <v>m</v>
          </cell>
          <cell r="E169">
            <v>35979</v>
          </cell>
        </row>
        <row r="170">
          <cell r="C170" t="str">
            <v xml:space="preserve">union galvanizada </v>
          </cell>
          <cell r="D170" t="str">
            <v>Und</v>
          </cell>
          <cell r="E170">
            <v>8996</v>
          </cell>
        </row>
        <row r="171">
          <cell r="C171" t="str">
            <v>Valvula de paso 1/2"</v>
          </cell>
          <cell r="D171" t="str">
            <v>Und</v>
          </cell>
          <cell r="E171">
            <v>10000</v>
          </cell>
        </row>
        <row r="172">
          <cell r="C172" t="str">
            <v>varilla para puesta a tierra 5/8" x 2400 mm</v>
          </cell>
          <cell r="D172" t="str">
            <v>Und</v>
          </cell>
          <cell r="E172">
            <v>40890</v>
          </cell>
        </row>
        <row r="173">
          <cell r="C173" t="str">
            <v xml:space="preserve">varilla para puesta a tierra 5/8" x 2400 mm </v>
          </cell>
          <cell r="D173" t="str">
            <v>Und</v>
          </cell>
          <cell r="E173">
            <v>35165</v>
          </cell>
        </row>
        <row r="174">
          <cell r="C174" t="str">
            <v>ventana metalica  de 1.50 x 1.10 m</v>
          </cell>
          <cell r="D174" t="str">
            <v>Und</v>
          </cell>
          <cell r="E174">
            <v>290000</v>
          </cell>
        </row>
        <row r="175">
          <cell r="C175" t="str">
            <v>ventana metalica  de 1.00 x 1.00 m</v>
          </cell>
          <cell r="D175" t="str">
            <v>Und</v>
          </cell>
          <cell r="E175">
            <v>180000</v>
          </cell>
        </row>
        <row r="176">
          <cell r="C176" t="str">
            <v>ventana metalica  de .40 x 1.00 m</v>
          </cell>
          <cell r="D176" t="str">
            <v>Und</v>
          </cell>
          <cell r="E176">
            <v>90000</v>
          </cell>
        </row>
        <row r="177">
          <cell r="C177" t="str">
            <v>ventana metalica  de .82 x 0.78 m</v>
          </cell>
          <cell r="D177" t="str">
            <v>Und</v>
          </cell>
          <cell r="E177">
            <v>126980</v>
          </cell>
        </row>
        <row r="178">
          <cell r="C178" t="str">
            <v>Ventana en aluminio 50/20  incluye vidrio de 6 mm</v>
          </cell>
          <cell r="D178" t="str">
            <v>M2</v>
          </cell>
          <cell r="E178">
            <v>200000</v>
          </cell>
        </row>
      </sheetData>
      <sheetData sheetId="7"/>
      <sheetData sheetId="8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CUADRO"/>
      <sheetName val="PRECIOS"/>
    </sheetNames>
    <sheetDataSet>
      <sheetData sheetId="0"/>
      <sheetData sheetId="1"/>
      <sheetData sheetId="2"/>
      <sheetData sheetId="3">
        <row r="5">
          <cell r="A5">
            <v>201.2</v>
          </cell>
          <cell r="B5" t="str">
            <v>DEMOLICION DE ESTRUCTURAS</v>
          </cell>
          <cell r="C5" t="str">
            <v>GBL</v>
          </cell>
          <cell r="D5">
            <v>30134</v>
          </cell>
          <cell r="E5">
            <v>26377</v>
          </cell>
          <cell r="F5">
            <v>23889</v>
          </cell>
          <cell r="G5">
            <v>28465</v>
          </cell>
          <cell r="H5">
            <v>31045</v>
          </cell>
          <cell r="I5">
            <v>24870</v>
          </cell>
          <cell r="J5">
            <v>29228</v>
          </cell>
          <cell r="K5">
            <v>28574</v>
          </cell>
        </row>
        <row r="6">
          <cell r="A6">
            <v>201.7</v>
          </cell>
          <cell r="B6" t="str">
            <v>DEMOLICION DE PAVIMENTOS, PISOS, ANDENES</v>
          </cell>
          <cell r="C6" t="str">
            <v>M2</v>
          </cell>
          <cell r="D6">
            <v>30134</v>
          </cell>
          <cell r="E6">
            <v>26377</v>
          </cell>
          <cell r="F6">
            <v>23889</v>
          </cell>
          <cell r="G6">
            <v>28465</v>
          </cell>
          <cell r="H6">
            <v>31045</v>
          </cell>
          <cell r="I6">
            <v>24870</v>
          </cell>
          <cell r="J6">
            <v>29228</v>
          </cell>
          <cell r="K6">
            <v>28574</v>
          </cell>
        </row>
        <row r="7">
          <cell r="A7">
            <v>201.16</v>
          </cell>
          <cell r="B7" t="str">
            <v>DEMOLICONES CONCRETO REFORZADO</v>
          </cell>
          <cell r="C7" t="str">
            <v>M3</v>
          </cell>
          <cell r="D7">
            <v>30134</v>
          </cell>
          <cell r="E7">
            <v>26377</v>
          </cell>
          <cell r="F7">
            <v>23889</v>
          </cell>
          <cell r="G7">
            <v>28465</v>
          </cell>
          <cell r="H7">
            <v>31045</v>
          </cell>
          <cell r="I7">
            <v>24870</v>
          </cell>
          <cell r="J7">
            <v>29228</v>
          </cell>
          <cell r="K7">
            <v>28574</v>
          </cell>
          <cell r="L7">
            <v>25708</v>
          </cell>
        </row>
        <row r="8">
          <cell r="A8">
            <v>210.1</v>
          </cell>
          <cell r="B8" t="str">
            <v>EXCAV. EN ROCA EXPLAN,CANALES,PRESTAMOS</v>
          </cell>
          <cell r="C8" t="str">
            <v>M3</v>
          </cell>
          <cell r="D8">
            <v>5018</v>
          </cell>
          <cell r="E8">
            <v>4432</v>
          </cell>
          <cell r="F8">
            <v>3998</v>
          </cell>
          <cell r="G8">
            <v>4746</v>
          </cell>
          <cell r="H8">
            <v>4713</v>
          </cell>
          <cell r="I8">
            <v>5181</v>
          </cell>
          <cell r="J8">
            <v>5525</v>
          </cell>
          <cell r="K8">
            <v>4141</v>
          </cell>
        </row>
        <row r="9">
          <cell r="A9">
            <v>210.2</v>
          </cell>
          <cell r="B9" t="str">
            <v>EXCAV. EN ROCA EXPLAN,CANALES,PRESTAMOS</v>
          </cell>
          <cell r="C9" t="str">
            <v>M3</v>
          </cell>
          <cell r="D9">
            <v>5018</v>
          </cell>
          <cell r="E9">
            <v>4432</v>
          </cell>
          <cell r="F9">
            <v>3998</v>
          </cell>
          <cell r="G9">
            <v>4746</v>
          </cell>
          <cell r="H9">
            <v>4713</v>
          </cell>
          <cell r="I9">
            <v>5181</v>
          </cell>
          <cell r="J9">
            <v>5525</v>
          </cell>
          <cell r="K9">
            <v>4141</v>
          </cell>
          <cell r="L9">
            <v>19801</v>
          </cell>
        </row>
        <row r="10">
          <cell r="A10">
            <v>210.3</v>
          </cell>
          <cell r="B10" t="str">
            <v>EXCAV.MAT COMUN EXPLAN,CANALES,PRESTAMOS</v>
          </cell>
          <cell r="C10" t="str">
            <v>M3</v>
          </cell>
          <cell r="D10">
            <v>2058</v>
          </cell>
          <cell r="E10">
            <v>2383</v>
          </cell>
          <cell r="F10">
            <v>1950</v>
          </cell>
          <cell r="G10">
            <v>2275</v>
          </cell>
          <cell r="H10">
            <v>2275</v>
          </cell>
          <cell r="I10">
            <v>1977</v>
          </cell>
          <cell r="J10">
            <v>2058</v>
          </cell>
          <cell r="K10">
            <v>2167</v>
          </cell>
        </row>
        <row r="11">
          <cell r="A11">
            <v>210.4</v>
          </cell>
          <cell r="B11" t="str">
            <v>LIMPIEZA DE CANALES</v>
          </cell>
          <cell r="C11" t="str">
            <v>M3</v>
          </cell>
          <cell r="D11">
            <v>2058</v>
          </cell>
          <cell r="E11">
            <v>2383</v>
          </cell>
          <cell r="F11">
            <v>1950</v>
          </cell>
          <cell r="G11">
            <v>2275</v>
          </cell>
          <cell r="H11">
            <v>2275</v>
          </cell>
          <cell r="I11">
            <v>1977</v>
          </cell>
          <cell r="J11">
            <v>2058</v>
          </cell>
          <cell r="K11">
            <v>2167</v>
          </cell>
        </row>
        <row r="12">
          <cell r="A12">
            <v>211</v>
          </cell>
          <cell r="B12" t="str">
            <v>REMOCION DE DERRUMBES</v>
          </cell>
          <cell r="C12" t="str">
            <v>M3</v>
          </cell>
          <cell r="D12">
            <v>2805</v>
          </cell>
          <cell r="E12">
            <v>2980</v>
          </cell>
          <cell r="F12">
            <v>2609</v>
          </cell>
          <cell r="G12">
            <v>2880</v>
          </cell>
          <cell r="H12">
            <v>2964</v>
          </cell>
          <cell r="I12">
            <v>2314</v>
          </cell>
          <cell r="J12">
            <v>2661</v>
          </cell>
          <cell r="K12">
            <v>2427</v>
          </cell>
          <cell r="L12">
            <v>3626</v>
          </cell>
        </row>
        <row r="13">
          <cell r="A13">
            <v>220</v>
          </cell>
          <cell r="B13" t="str">
            <v>TERRAPLEN</v>
          </cell>
          <cell r="C13" t="str">
            <v>M3</v>
          </cell>
          <cell r="D13">
            <v>2405</v>
          </cell>
          <cell r="E13">
            <v>2718</v>
          </cell>
          <cell r="F13">
            <v>2102</v>
          </cell>
          <cell r="G13">
            <v>2275</v>
          </cell>
          <cell r="H13">
            <v>2383</v>
          </cell>
          <cell r="I13">
            <v>2280</v>
          </cell>
          <cell r="J13">
            <v>2600</v>
          </cell>
          <cell r="K13">
            <v>2492</v>
          </cell>
        </row>
        <row r="14">
          <cell r="A14">
            <v>310</v>
          </cell>
          <cell r="B14" t="str">
            <v>CONFORM. CALZ EXIST.(Compactada sin mat)</v>
          </cell>
          <cell r="C14" t="str">
            <v>M2</v>
          </cell>
          <cell r="D14">
            <v>187</v>
          </cell>
          <cell r="E14">
            <v>205</v>
          </cell>
          <cell r="F14">
            <v>178</v>
          </cell>
          <cell r="G14">
            <v>178</v>
          </cell>
          <cell r="H14">
            <v>185</v>
          </cell>
          <cell r="I14">
            <v>160</v>
          </cell>
          <cell r="J14">
            <v>200</v>
          </cell>
          <cell r="K14">
            <v>185</v>
          </cell>
        </row>
        <row r="15">
          <cell r="A15">
            <v>311</v>
          </cell>
          <cell r="B15" t="str">
            <v>AFIRMADO</v>
          </cell>
          <cell r="C15" t="str">
            <v>M3</v>
          </cell>
          <cell r="D15">
            <v>20004</v>
          </cell>
          <cell r="E15">
            <v>40694</v>
          </cell>
          <cell r="F15">
            <v>30385</v>
          </cell>
          <cell r="G15">
            <v>40151</v>
          </cell>
          <cell r="H15">
            <v>44339</v>
          </cell>
          <cell r="I15">
            <v>38432</v>
          </cell>
          <cell r="J15">
            <v>24337</v>
          </cell>
          <cell r="K15">
            <v>24847</v>
          </cell>
        </row>
        <row r="16">
          <cell r="A16">
            <v>311.10000000000002</v>
          </cell>
          <cell r="B16" t="str">
            <v>BACHEO CON MATERIAL DE AFIRMADO</v>
          </cell>
          <cell r="C16" t="str">
            <v>M3</v>
          </cell>
          <cell r="D16">
            <v>20004</v>
          </cell>
          <cell r="E16">
            <v>40694</v>
          </cell>
          <cell r="F16">
            <v>30385</v>
          </cell>
          <cell r="G16">
            <v>40151</v>
          </cell>
          <cell r="H16">
            <v>44339</v>
          </cell>
          <cell r="I16">
            <v>38432</v>
          </cell>
          <cell r="J16">
            <v>24337</v>
          </cell>
          <cell r="K16">
            <v>24847</v>
          </cell>
        </row>
        <row r="17">
          <cell r="A17">
            <v>311.2</v>
          </cell>
          <cell r="B17" t="str">
            <v>RELLENO CON MATERIAL DE AFIRMADO</v>
          </cell>
          <cell r="C17" t="str">
            <v>M3</v>
          </cell>
          <cell r="D17">
            <v>20004</v>
          </cell>
          <cell r="E17">
            <v>40694</v>
          </cell>
          <cell r="F17">
            <v>30385</v>
          </cell>
          <cell r="G17">
            <v>40151</v>
          </cell>
          <cell r="H17">
            <v>44339</v>
          </cell>
          <cell r="I17">
            <v>38432</v>
          </cell>
          <cell r="J17">
            <v>24337</v>
          </cell>
          <cell r="K17">
            <v>24847</v>
          </cell>
          <cell r="L17">
            <v>24838</v>
          </cell>
        </row>
        <row r="18">
          <cell r="A18">
            <v>320.2</v>
          </cell>
          <cell r="B18" t="str">
            <v>SUBBASE GRANULAR</v>
          </cell>
          <cell r="C18" t="str">
            <v>M3</v>
          </cell>
          <cell r="D18">
            <v>32435</v>
          </cell>
          <cell r="E18">
            <v>27157</v>
          </cell>
          <cell r="F18">
            <v>27278</v>
          </cell>
          <cell r="G18">
            <v>40300</v>
          </cell>
          <cell r="H18">
            <v>53517</v>
          </cell>
          <cell r="I18">
            <v>47596</v>
          </cell>
          <cell r="J18">
            <v>35263</v>
          </cell>
          <cell r="K18">
            <v>29142</v>
          </cell>
        </row>
        <row r="19">
          <cell r="A19">
            <v>320.3</v>
          </cell>
          <cell r="B19" t="str">
            <v>SUBBASE GRANULAR</v>
          </cell>
          <cell r="C19" t="str">
            <v>M3</v>
          </cell>
          <cell r="D19">
            <v>23500</v>
          </cell>
          <cell r="E19">
            <v>23500</v>
          </cell>
          <cell r="F19">
            <v>23500</v>
          </cell>
          <cell r="G19">
            <v>23500</v>
          </cell>
          <cell r="H19">
            <v>23500</v>
          </cell>
          <cell r="I19">
            <v>23500</v>
          </cell>
          <cell r="J19">
            <v>23500</v>
          </cell>
          <cell r="K19">
            <v>23500</v>
          </cell>
        </row>
        <row r="20">
          <cell r="A20">
            <v>320.39999999999998</v>
          </cell>
          <cell r="B20" t="str">
            <v>SUBBASE GRANULAR PARA BACHEO</v>
          </cell>
          <cell r="C20" t="str">
            <v>M3</v>
          </cell>
          <cell r="D20">
            <v>46183</v>
          </cell>
          <cell r="E20">
            <v>45899</v>
          </cell>
          <cell r="F20">
            <v>41119</v>
          </cell>
          <cell r="G20">
            <v>55257</v>
          </cell>
          <cell r="H20">
            <v>65039</v>
          </cell>
          <cell r="I20">
            <v>58780</v>
          </cell>
          <cell r="J20">
            <v>46690</v>
          </cell>
          <cell r="K20">
            <v>42933</v>
          </cell>
        </row>
        <row r="21">
          <cell r="A21">
            <v>330.1</v>
          </cell>
          <cell r="B21" t="str">
            <v>BASE GRANULAR</v>
          </cell>
          <cell r="C21" t="str">
            <v>M3</v>
          </cell>
          <cell r="D21">
            <v>42754</v>
          </cell>
          <cell r="E21">
            <v>40694</v>
          </cell>
          <cell r="F21">
            <v>34813</v>
          </cell>
          <cell r="G21">
            <v>52338</v>
          </cell>
          <cell r="H21">
            <v>60589</v>
          </cell>
          <cell r="I21">
            <v>38974</v>
          </cell>
          <cell r="J21">
            <v>51150</v>
          </cell>
          <cell r="K21">
            <v>32972</v>
          </cell>
          <cell r="L21">
            <v>46435</v>
          </cell>
        </row>
        <row r="22">
          <cell r="A22">
            <v>330.2</v>
          </cell>
          <cell r="B22" t="str">
            <v>BASE GRANULAR PARA BACHEO</v>
          </cell>
          <cell r="C22" t="str">
            <v>M3</v>
          </cell>
          <cell r="D22">
            <v>57558</v>
          </cell>
          <cell r="E22">
            <v>60524</v>
          </cell>
          <cell r="F22">
            <v>49609</v>
          </cell>
          <cell r="G22">
            <v>68257</v>
          </cell>
          <cell r="H22">
            <v>73164</v>
          </cell>
          <cell r="I22">
            <v>51061</v>
          </cell>
          <cell r="J22">
            <v>63752</v>
          </cell>
          <cell r="K22">
            <v>47808</v>
          </cell>
        </row>
        <row r="23">
          <cell r="A23">
            <v>330.3</v>
          </cell>
          <cell r="B23" t="str">
            <v>BASE TRITURADA</v>
          </cell>
          <cell r="C23" t="str">
            <v>M3</v>
          </cell>
          <cell r="E23">
            <v>72975</v>
          </cell>
        </row>
        <row r="24">
          <cell r="A24">
            <v>411.2</v>
          </cell>
          <cell r="B24" t="str">
            <v>EMULSION ASFALTICA DE ROTURA LENTA CRL-1</v>
          </cell>
          <cell r="C24" t="str">
            <v>LT</v>
          </cell>
          <cell r="J24">
            <v>420</v>
          </cell>
        </row>
        <row r="25">
          <cell r="A25">
            <v>413.1</v>
          </cell>
          <cell r="B25" t="str">
            <v>EXCAVACION PARA REPARACION PAV. EXISTEN.</v>
          </cell>
          <cell r="C25" t="str">
            <v>M3</v>
          </cell>
          <cell r="D25">
            <v>19965</v>
          </cell>
          <cell r="E25">
            <v>20613</v>
          </cell>
          <cell r="F25">
            <v>18253</v>
          </cell>
          <cell r="G25">
            <v>20992</v>
          </cell>
          <cell r="H25">
            <v>20657</v>
          </cell>
          <cell r="I25">
            <v>16873</v>
          </cell>
          <cell r="J25">
            <v>19954</v>
          </cell>
          <cell r="K25">
            <v>19906</v>
          </cell>
        </row>
        <row r="26">
          <cell r="A26">
            <v>420</v>
          </cell>
          <cell r="B26" t="str">
            <v>IMPRIMACION (EMULSION)</v>
          </cell>
          <cell r="C26" t="str">
            <v>M2</v>
          </cell>
          <cell r="D26">
            <v>646</v>
          </cell>
          <cell r="E26">
            <v>1222</v>
          </cell>
          <cell r="F26">
            <v>807</v>
          </cell>
          <cell r="G26">
            <v>707</v>
          </cell>
          <cell r="H26">
            <v>580</v>
          </cell>
          <cell r="I26">
            <v>473</v>
          </cell>
          <cell r="J26">
            <v>560</v>
          </cell>
          <cell r="K26">
            <v>477</v>
          </cell>
        </row>
        <row r="27">
          <cell r="A27">
            <v>421</v>
          </cell>
          <cell r="B27" t="str">
            <v>RIEGO DE LIGA</v>
          </cell>
          <cell r="C27" t="str">
            <v>M2</v>
          </cell>
          <cell r="D27">
            <v>332</v>
          </cell>
          <cell r="E27">
            <v>426</v>
          </cell>
          <cell r="F27">
            <v>286</v>
          </cell>
          <cell r="G27">
            <v>459</v>
          </cell>
          <cell r="H27">
            <v>377</v>
          </cell>
          <cell r="I27">
            <v>475</v>
          </cell>
          <cell r="J27">
            <v>381</v>
          </cell>
          <cell r="K27">
            <v>242</v>
          </cell>
          <cell r="L27">
            <v>690</v>
          </cell>
          <cell r="M27">
            <v>570</v>
          </cell>
        </row>
        <row r="28">
          <cell r="A28">
            <v>421.1</v>
          </cell>
          <cell r="B28" t="str">
            <v>RIEGO DE LIGA (CEMENTO ASFALTICO)</v>
          </cell>
          <cell r="C28" t="str">
            <v>M2</v>
          </cell>
          <cell r="D28">
            <v>332</v>
          </cell>
          <cell r="E28">
            <v>426</v>
          </cell>
          <cell r="F28">
            <v>286</v>
          </cell>
          <cell r="G28">
            <v>459</v>
          </cell>
          <cell r="H28">
            <v>377</v>
          </cell>
          <cell r="I28">
            <v>475</v>
          </cell>
          <cell r="J28">
            <v>381</v>
          </cell>
          <cell r="K28">
            <v>242</v>
          </cell>
        </row>
        <row r="29">
          <cell r="A29">
            <v>421.2</v>
          </cell>
          <cell r="B29" t="str">
            <v>RIEGO DE LIGA (EMULSION)</v>
          </cell>
          <cell r="C29" t="str">
            <v>M2</v>
          </cell>
          <cell r="D29">
            <v>430</v>
          </cell>
          <cell r="E29">
            <v>758</v>
          </cell>
          <cell r="F29">
            <v>514</v>
          </cell>
          <cell r="G29">
            <v>494</v>
          </cell>
          <cell r="H29">
            <v>397</v>
          </cell>
          <cell r="I29">
            <v>341</v>
          </cell>
          <cell r="J29">
            <v>400</v>
          </cell>
          <cell r="K29">
            <v>346</v>
          </cell>
        </row>
        <row r="30">
          <cell r="A30">
            <v>430</v>
          </cell>
          <cell r="B30" t="str">
            <v>TRATAMIENTO SUPERFICIAL SIMPLE</v>
          </cell>
          <cell r="C30" t="str">
            <v>M2</v>
          </cell>
          <cell r="D30">
            <v>2947</v>
          </cell>
          <cell r="E30">
            <v>3903</v>
          </cell>
          <cell r="F30">
            <v>3036</v>
          </cell>
          <cell r="G30">
            <v>2748</v>
          </cell>
          <cell r="H30">
            <v>2661</v>
          </cell>
          <cell r="I30">
            <v>2467</v>
          </cell>
          <cell r="J30">
            <v>2626</v>
          </cell>
          <cell r="K30">
            <v>2262</v>
          </cell>
        </row>
        <row r="31">
          <cell r="A31">
            <v>431</v>
          </cell>
          <cell r="B31" t="str">
            <v>TRATAMIENTO SUPERFICIAL DOBLE</v>
          </cell>
          <cell r="C31" t="str">
            <v>M2</v>
          </cell>
          <cell r="D31">
            <v>4729</v>
          </cell>
          <cell r="E31">
            <v>6887</v>
          </cell>
          <cell r="F31">
            <v>5057</v>
          </cell>
          <cell r="G31">
            <v>4324</v>
          </cell>
          <cell r="H31">
            <v>4141</v>
          </cell>
          <cell r="I31">
            <v>3778</v>
          </cell>
          <cell r="J31">
            <v>4047</v>
          </cell>
          <cell r="K31">
            <v>3345</v>
          </cell>
        </row>
        <row r="32">
          <cell r="A32">
            <v>432</v>
          </cell>
          <cell r="B32" t="str">
            <v>SELLO ARENA - EMULSION</v>
          </cell>
          <cell r="C32" t="str">
            <v>M2</v>
          </cell>
          <cell r="D32">
            <v>1834</v>
          </cell>
          <cell r="E32">
            <v>2133</v>
          </cell>
          <cell r="F32">
            <v>1746</v>
          </cell>
          <cell r="G32">
            <v>1668</v>
          </cell>
          <cell r="H32">
            <v>1507</v>
          </cell>
          <cell r="I32">
            <v>1360</v>
          </cell>
          <cell r="J32">
            <v>1620</v>
          </cell>
          <cell r="K32">
            <v>1364</v>
          </cell>
        </row>
        <row r="33">
          <cell r="A33">
            <v>433</v>
          </cell>
          <cell r="B33" t="str">
            <v>LECHADA ASFALTICA</v>
          </cell>
          <cell r="C33" t="str">
            <v>M2</v>
          </cell>
          <cell r="D33">
            <v>6299</v>
          </cell>
          <cell r="E33">
            <v>6634</v>
          </cell>
          <cell r="F33">
            <v>6339</v>
          </cell>
          <cell r="G33">
            <v>6119</v>
          </cell>
          <cell r="H33">
            <v>5708</v>
          </cell>
          <cell r="I33">
            <v>5428</v>
          </cell>
          <cell r="J33">
            <v>5517</v>
          </cell>
          <cell r="K33">
            <v>4134</v>
          </cell>
        </row>
        <row r="34">
          <cell r="A34">
            <v>440.1</v>
          </cell>
          <cell r="B34" t="str">
            <v>MEZCLA DENSA EN FRIO</v>
          </cell>
          <cell r="C34" t="str">
            <v>M3</v>
          </cell>
          <cell r="D34">
            <v>176355</v>
          </cell>
          <cell r="E34">
            <v>200444</v>
          </cell>
          <cell r="F34">
            <v>183838</v>
          </cell>
          <cell r="G34">
            <v>200252</v>
          </cell>
          <cell r="H34">
            <v>199896</v>
          </cell>
          <cell r="I34">
            <v>199779</v>
          </cell>
          <cell r="J34">
            <v>208671</v>
          </cell>
          <cell r="K34">
            <v>143585</v>
          </cell>
        </row>
        <row r="35">
          <cell r="A35">
            <v>440.2</v>
          </cell>
          <cell r="B35" t="str">
            <v>MEZCLA DENSA EN FRIO</v>
          </cell>
          <cell r="C35" t="str">
            <v>M3</v>
          </cell>
          <cell r="D35">
            <v>176355</v>
          </cell>
          <cell r="E35">
            <v>200444</v>
          </cell>
          <cell r="F35">
            <v>183838</v>
          </cell>
          <cell r="G35">
            <v>200252</v>
          </cell>
          <cell r="H35">
            <v>199896</v>
          </cell>
          <cell r="I35">
            <v>199779</v>
          </cell>
          <cell r="J35">
            <v>208671</v>
          </cell>
          <cell r="K35">
            <v>143585</v>
          </cell>
        </row>
        <row r="36">
          <cell r="A36">
            <v>440.3</v>
          </cell>
          <cell r="B36" t="str">
            <v>MEZCLA DENSA EN FRIO</v>
          </cell>
          <cell r="C36" t="str">
            <v>M3</v>
          </cell>
          <cell r="D36">
            <v>176355</v>
          </cell>
          <cell r="E36">
            <v>200444</v>
          </cell>
          <cell r="F36">
            <v>183838</v>
          </cell>
          <cell r="G36">
            <v>200252</v>
          </cell>
          <cell r="H36">
            <v>199896</v>
          </cell>
          <cell r="I36">
            <v>199779</v>
          </cell>
          <cell r="J36">
            <v>208671</v>
          </cell>
          <cell r="K36">
            <v>143585</v>
          </cell>
        </row>
        <row r="37">
          <cell r="A37">
            <v>440.5</v>
          </cell>
          <cell r="B37" t="str">
            <v>MEZCLA DENSA EN FRIO PARA BACHEO</v>
          </cell>
          <cell r="C37" t="str">
            <v>M3</v>
          </cell>
          <cell r="D37">
            <v>180881</v>
          </cell>
          <cell r="E37">
            <v>204166</v>
          </cell>
          <cell r="F37">
            <v>187928</v>
          </cell>
          <cell r="G37">
            <v>203155</v>
          </cell>
          <cell r="H37">
            <v>203841</v>
          </cell>
          <cell r="I37">
            <v>202683</v>
          </cell>
          <cell r="J37">
            <v>213759</v>
          </cell>
          <cell r="K37">
            <v>147358</v>
          </cell>
        </row>
        <row r="38">
          <cell r="A38">
            <v>450.5</v>
          </cell>
          <cell r="B38" t="str">
            <v>PARCHEO CON MEZCLA DENSA EN CALIENTE</v>
          </cell>
          <cell r="C38" t="str">
            <v>M3</v>
          </cell>
          <cell r="D38">
            <v>192930</v>
          </cell>
          <cell r="E38">
            <v>200444</v>
          </cell>
          <cell r="F38">
            <v>192288</v>
          </cell>
          <cell r="G38">
            <v>239252</v>
          </cell>
          <cell r="H38">
            <v>207696</v>
          </cell>
          <cell r="I38">
            <v>242679</v>
          </cell>
          <cell r="J38">
            <v>231746</v>
          </cell>
          <cell r="K38">
            <v>145860</v>
          </cell>
        </row>
        <row r="39">
          <cell r="A39">
            <v>450.6</v>
          </cell>
          <cell r="B39" t="str">
            <v>MEZCLA DENSA EN CALIENTE</v>
          </cell>
          <cell r="C39" t="str">
            <v>M3</v>
          </cell>
          <cell r="D39">
            <v>192930</v>
          </cell>
          <cell r="E39">
            <v>200444</v>
          </cell>
          <cell r="F39">
            <v>192288</v>
          </cell>
          <cell r="G39">
            <v>239252</v>
          </cell>
          <cell r="H39">
            <v>207696</v>
          </cell>
          <cell r="I39">
            <v>242679</v>
          </cell>
          <cell r="J39">
            <v>231746</v>
          </cell>
          <cell r="K39">
            <v>145860</v>
          </cell>
          <cell r="L39">
            <v>190271</v>
          </cell>
          <cell r="M39">
            <v>209300</v>
          </cell>
        </row>
        <row r="40">
          <cell r="A40">
            <v>450.7</v>
          </cell>
          <cell r="B40" t="str">
            <v>MEZCLA DENSA EN CALIENTE</v>
          </cell>
          <cell r="C40" t="str">
            <v>M3</v>
          </cell>
          <cell r="D40">
            <v>192930</v>
          </cell>
          <cell r="E40">
            <v>200444</v>
          </cell>
          <cell r="F40">
            <v>192288</v>
          </cell>
          <cell r="G40">
            <v>239252</v>
          </cell>
          <cell r="H40">
            <v>207696</v>
          </cell>
          <cell r="I40">
            <v>242679</v>
          </cell>
          <cell r="J40">
            <v>231746</v>
          </cell>
          <cell r="K40">
            <v>145860</v>
          </cell>
          <cell r="L40">
            <v>186875</v>
          </cell>
          <cell r="M40">
            <v>205600</v>
          </cell>
        </row>
        <row r="41">
          <cell r="A41">
            <v>450.8</v>
          </cell>
          <cell r="B41" t="str">
            <v>MEZCLA DENSA EN CALIENTE</v>
          </cell>
          <cell r="C41" t="str">
            <v>M3</v>
          </cell>
          <cell r="D41">
            <v>192930</v>
          </cell>
          <cell r="E41">
            <v>200444</v>
          </cell>
          <cell r="F41">
            <v>192288</v>
          </cell>
          <cell r="G41">
            <v>239252</v>
          </cell>
          <cell r="H41">
            <v>207696</v>
          </cell>
          <cell r="I41">
            <v>242679</v>
          </cell>
          <cell r="J41">
            <v>231746</v>
          </cell>
          <cell r="K41">
            <v>145860</v>
          </cell>
        </row>
        <row r="42">
          <cell r="A42">
            <v>450.11</v>
          </cell>
          <cell r="B42" t="str">
            <v>MEZCLA DENSA EN CALIENTE PARA BACHEO</v>
          </cell>
          <cell r="C42" t="str">
            <v>M3</v>
          </cell>
          <cell r="D42">
            <v>198283</v>
          </cell>
          <cell r="E42">
            <v>206058</v>
          </cell>
          <cell r="F42">
            <v>197937</v>
          </cell>
          <cell r="G42">
            <v>246359</v>
          </cell>
          <cell r="H42">
            <v>214079</v>
          </cell>
          <cell r="I42">
            <v>250271</v>
          </cell>
          <cell r="J42">
            <v>239028</v>
          </cell>
          <cell r="K42">
            <v>149205</v>
          </cell>
        </row>
        <row r="43">
          <cell r="A43">
            <v>450.12</v>
          </cell>
          <cell r="B43" t="str">
            <v>MEZCLA DENSA EN CALIENTE PARA BACHEO</v>
          </cell>
          <cell r="C43" t="str">
            <v>M3</v>
          </cell>
          <cell r="D43">
            <v>198283</v>
          </cell>
          <cell r="E43">
            <v>206058</v>
          </cell>
          <cell r="F43">
            <v>197937</v>
          </cell>
          <cell r="G43">
            <v>246359</v>
          </cell>
          <cell r="H43">
            <v>214079</v>
          </cell>
          <cell r="I43">
            <v>250271</v>
          </cell>
          <cell r="J43">
            <v>239028</v>
          </cell>
          <cell r="K43">
            <v>149205</v>
          </cell>
        </row>
        <row r="44">
          <cell r="A44">
            <v>450.13</v>
          </cell>
          <cell r="B44" t="str">
            <v>MEZCLA DENSA EN CALIENTE</v>
          </cell>
          <cell r="C44" t="str">
            <v>M3</v>
          </cell>
          <cell r="D44">
            <v>192930</v>
          </cell>
          <cell r="E44">
            <v>200444</v>
          </cell>
          <cell r="F44">
            <v>192288</v>
          </cell>
          <cell r="G44">
            <v>239252</v>
          </cell>
          <cell r="H44">
            <v>207696</v>
          </cell>
          <cell r="I44">
            <v>242679</v>
          </cell>
          <cell r="J44">
            <v>231746</v>
          </cell>
          <cell r="K44">
            <v>145860</v>
          </cell>
        </row>
        <row r="45">
          <cell r="A45">
            <v>450.14</v>
          </cell>
          <cell r="B45" t="str">
            <v>MEZCLA DENSA EN CALIENTE</v>
          </cell>
          <cell r="C45" t="str">
            <v>M3</v>
          </cell>
          <cell r="D45">
            <v>192930</v>
          </cell>
          <cell r="E45">
            <v>200444</v>
          </cell>
          <cell r="F45">
            <v>192288</v>
          </cell>
          <cell r="G45">
            <v>239252</v>
          </cell>
          <cell r="H45">
            <v>207696</v>
          </cell>
          <cell r="I45">
            <v>242679</v>
          </cell>
          <cell r="J45">
            <v>231746</v>
          </cell>
          <cell r="K45">
            <v>145860</v>
          </cell>
        </row>
        <row r="46">
          <cell r="A46">
            <v>450.15</v>
          </cell>
          <cell r="B46" t="str">
            <v>MEZCLA DENSA EN CALIENTE</v>
          </cell>
          <cell r="C46" t="str">
            <v>M3</v>
          </cell>
          <cell r="D46">
            <v>192930</v>
          </cell>
          <cell r="E46">
            <v>200444</v>
          </cell>
          <cell r="F46">
            <v>192288</v>
          </cell>
          <cell r="G46">
            <v>239252</v>
          </cell>
          <cell r="H46">
            <v>207696</v>
          </cell>
          <cell r="I46">
            <v>242679</v>
          </cell>
          <cell r="J46">
            <v>231746</v>
          </cell>
          <cell r="K46">
            <v>145860</v>
          </cell>
        </row>
        <row r="47">
          <cell r="A47">
            <v>450.16</v>
          </cell>
          <cell r="B47" t="str">
            <v>PARCHEO CON MEZCLA DENSA EN CALIENTE</v>
          </cell>
          <cell r="C47" t="str">
            <v>M3</v>
          </cell>
          <cell r="D47">
            <v>192930</v>
          </cell>
          <cell r="E47">
            <v>200444</v>
          </cell>
          <cell r="F47">
            <v>192288</v>
          </cell>
          <cell r="G47">
            <v>239252</v>
          </cell>
          <cell r="H47">
            <v>207696</v>
          </cell>
          <cell r="I47">
            <v>242679</v>
          </cell>
          <cell r="J47">
            <v>231746</v>
          </cell>
          <cell r="K47">
            <v>145860</v>
          </cell>
        </row>
        <row r="48">
          <cell r="A48">
            <v>450.17</v>
          </cell>
          <cell r="B48" t="str">
            <v>MEZCLA DENSA EN CALIENTE MDC-2</v>
          </cell>
          <cell r="C48" t="str">
            <v>M3</v>
          </cell>
          <cell r="D48">
            <v>192930</v>
          </cell>
          <cell r="E48">
            <v>200444</v>
          </cell>
          <cell r="F48">
            <v>192288</v>
          </cell>
          <cell r="G48">
            <v>239252</v>
          </cell>
          <cell r="H48">
            <v>207696</v>
          </cell>
          <cell r="I48">
            <v>242679</v>
          </cell>
          <cell r="J48">
            <v>231746</v>
          </cell>
          <cell r="K48">
            <v>145860</v>
          </cell>
          <cell r="L48">
            <v>242930</v>
          </cell>
        </row>
        <row r="49">
          <cell r="A49">
            <v>450.18</v>
          </cell>
          <cell r="B49" t="str">
            <v>MEZCLA DENSA EN CALIENTE MDC-2</v>
          </cell>
          <cell r="C49" t="str">
            <v>M3</v>
          </cell>
          <cell r="D49">
            <v>192930</v>
          </cell>
          <cell r="E49">
            <v>200444</v>
          </cell>
          <cell r="F49">
            <v>192288</v>
          </cell>
          <cell r="G49">
            <v>239252</v>
          </cell>
          <cell r="H49">
            <v>207696</v>
          </cell>
          <cell r="I49">
            <v>242679</v>
          </cell>
          <cell r="J49">
            <v>231746</v>
          </cell>
          <cell r="K49">
            <v>145860</v>
          </cell>
        </row>
        <row r="50">
          <cell r="A50">
            <v>450.19</v>
          </cell>
          <cell r="B50" t="str">
            <v>MEZCLA DENSA EN CALIENTE MDC-2</v>
          </cell>
          <cell r="C50" t="str">
            <v>M3</v>
          </cell>
          <cell r="D50">
            <v>192930</v>
          </cell>
          <cell r="E50">
            <v>200444</v>
          </cell>
          <cell r="F50">
            <v>192288</v>
          </cell>
          <cell r="G50">
            <v>239252</v>
          </cell>
          <cell r="H50">
            <v>207696</v>
          </cell>
          <cell r="I50">
            <v>242679</v>
          </cell>
          <cell r="J50">
            <v>231746</v>
          </cell>
          <cell r="K50">
            <v>145860</v>
          </cell>
        </row>
        <row r="51">
          <cell r="A51">
            <v>450.21</v>
          </cell>
          <cell r="B51" t="str">
            <v>MEZCLA DENSA EN CALIENTE</v>
          </cell>
          <cell r="C51" t="str">
            <v>M3</v>
          </cell>
          <cell r="D51">
            <v>192930</v>
          </cell>
          <cell r="E51">
            <v>200444</v>
          </cell>
          <cell r="F51">
            <v>192288</v>
          </cell>
          <cell r="G51">
            <v>239252</v>
          </cell>
          <cell r="H51">
            <v>207696</v>
          </cell>
          <cell r="I51">
            <v>242679</v>
          </cell>
          <cell r="J51">
            <v>231746</v>
          </cell>
          <cell r="K51">
            <v>145860</v>
          </cell>
          <cell r="L51">
            <v>240920</v>
          </cell>
        </row>
        <row r="52">
          <cell r="A52">
            <v>450.22</v>
          </cell>
          <cell r="B52" t="str">
            <v>PARCHEO CON MEZCLA DENSA EN CALIENTE</v>
          </cell>
          <cell r="C52" t="str">
            <v>M3</v>
          </cell>
          <cell r="D52">
            <v>192930</v>
          </cell>
          <cell r="E52">
            <v>200444</v>
          </cell>
          <cell r="F52">
            <v>192288</v>
          </cell>
          <cell r="G52">
            <v>239252</v>
          </cell>
          <cell r="H52">
            <v>207696</v>
          </cell>
          <cell r="I52">
            <v>242679</v>
          </cell>
          <cell r="J52">
            <v>231746</v>
          </cell>
          <cell r="K52">
            <v>145860</v>
          </cell>
        </row>
        <row r="53">
          <cell r="A53">
            <v>450.24</v>
          </cell>
          <cell r="B53" t="str">
            <v>MEZCLA DENSA EN CALIENTE MDC-2</v>
          </cell>
          <cell r="C53" t="str">
            <v>M3</v>
          </cell>
          <cell r="D53">
            <v>192930</v>
          </cell>
          <cell r="E53">
            <v>200444</v>
          </cell>
          <cell r="F53">
            <v>192288</v>
          </cell>
          <cell r="G53">
            <v>239252</v>
          </cell>
          <cell r="H53">
            <v>207696</v>
          </cell>
          <cell r="I53">
            <v>242679</v>
          </cell>
          <cell r="J53">
            <v>231746</v>
          </cell>
          <cell r="K53">
            <v>145860</v>
          </cell>
        </row>
        <row r="54">
          <cell r="A54">
            <v>450.26</v>
          </cell>
          <cell r="B54" t="str">
            <v>MEZCLA DENSA EN CALIENTE MDC-2 PARA BACHEO</v>
          </cell>
          <cell r="C54" t="str">
            <v>M3</v>
          </cell>
          <cell r="D54">
            <v>192930</v>
          </cell>
          <cell r="E54">
            <v>200444</v>
          </cell>
          <cell r="F54">
            <v>192288</v>
          </cell>
          <cell r="G54">
            <v>239252</v>
          </cell>
          <cell r="H54">
            <v>207696</v>
          </cell>
          <cell r="I54">
            <v>242679</v>
          </cell>
          <cell r="J54">
            <v>231746</v>
          </cell>
          <cell r="K54">
            <v>145860</v>
          </cell>
        </row>
        <row r="55">
          <cell r="A55">
            <v>450.27</v>
          </cell>
          <cell r="B55" t="str">
            <v>MEZCLA DENSA EN CALIENTE MDC-1</v>
          </cell>
          <cell r="C55" t="str">
            <v>M3</v>
          </cell>
          <cell r="L55">
            <v>243980</v>
          </cell>
        </row>
        <row r="56">
          <cell r="A56">
            <v>460</v>
          </cell>
          <cell r="B56" t="str">
            <v>FRESADO DE PAVIMENTO ASFALTICO (H= 0.20)</v>
          </cell>
          <cell r="C56" t="str">
            <v>M2</v>
          </cell>
          <cell r="D56">
            <v>6760</v>
          </cell>
          <cell r="E56">
            <v>8250</v>
          </cell>
          <cell r="F56">
            <v>8182</v>
          </cell>
          <cell r="G56">
            <v>8145</v>
          </cell>
          <cell r="H56">
            <v>8139</v>
          </cell>
          <cell r="I56">
            <v>7774</v>
          </cell>
          <cell r="J56">
            <v>8152</v>
          </cell>
          <cell r="K56">
            <v>7892</v>
          </cell>
          <cell r="L56">
            <v>7271</v>
          </cell>
          <cell r="M56">
            <v>2950</v>
          </cell>
        </row>
        <row r="57">
          <cell r="A57">
            <v>460.1</v>
          </cell>
          <cell r="B57" t="str">
            <v>FRESADO DE PAVIMENTO ASFALTICO (H= 0.20)</v>
          </cell>
          <cell r="C57" t="str">
            <v>M2</v>
          </cell>
          <cell r="D57">
            <v>33800</v>
          </cell>
          <cell r="E57">
            <v>41250</v>
          </cell>
          <cell r="F57">
            <v>40910</v>
          </cell>
          <cell r="G57">
            <v>40725</v>
          </cell>
          <cell r="H57">
            <v>40695</v>
          </cell>
          <cell r="I57">
            <v>38870</v>
          </cell>
          <cell r="J57">
            <v>40760</v>
          </cell>
          <cell r="K57">
            <v>39460</v>
          </cell>
        </row>
        <row r="58">
          <cell r="A58">
            <v>461.1</v>
          </cell>
          <cell r="B58" t="str">
            <v>PAVIMENTO ASFALTICO RECICLADO EN FRIO</v>
          </cell>
          <cell r="C58" t="str">
            <v>M3</v>
          </cell>
          <cell r="D58">
            <v>41246</v>
          </cell>
          <cell r="E58">
            <v>42740</v>
          </cell>
          <cell r="F58">
            <v>39192</v>
          </cell>
          <cell r="G58">
            <v>39241</v>
          </cell>
          <cell r="H58">
            <v>38775</v>
          </cell>
          <cell r="I58">
            <v>40002</v>
          </cell>
          <cell r="J58">
            <v>42089</v>
          </cell>
          <cell r="K58">
            <v>37835</v>
          </cell>
        </row>
        <row r="59">
          <cell r="A59">
            <v>461.2</v>
          </cell>
          <cell r="B59" t="str">
            <v>PAVIMENTO ASFALTICO RECICLADO EN FRIO</v>
          </cell>
          <cell r="C59" t="str">
            <v>M3</v>
          </cell>
          <cell r="D59">
            <v>41246</v>
          </cell>
          <cell r="E59">
            <v>42740</v>
          </cell>
          <cell r="F59">
            <v>39192</v>
          </cell>
          <cell r="G59">
            <v>39241</v>
          </cell>
          <cell r="H59">
            <v>38775</v>
          </cell>
          <cell r="I59">
            <v>40002</v>
          </cell>
          <cell r="J59">
            <v>42089</v>
          </cell>
          <cell r="K59">
            <v>37835</v>
          </cell>
        </row>
        <row r="60">
          <cell r="A60">
            <v>461.3</v>
          </cell>
          <cell r="B60" t="str">
            <v>PAVIMENTO ASFALTICO RECICLADO EN FRIO</v>
          </cell>
          <cell r="C60" t="str">
            <v>M3</v>
          </cell>
          <cell r="D60">
            <v>41246</v>
          </cell>
          <cell r="E60">
            <v>42740</v>
          </cell>
          <cell r="F60">
            <v>39192</v>
          </cell>
          <cell r="G60">
            <v>39241</v>
          </cell>
          <cell r="H60">
            <v>38775</v>
          </cell>
          <cell r="I60">
            <v>40002</v>
          </cell>
          <cell r="J60">
            <v>42089</v>
          </cell>
          <cell r="K60">
            <v>37835</v>
          </cell>
        </row>
        <row r="61">
          <cell r="A61">
            <v>462.1</v>
          </cell>
          <cell r="B61" t="str">
            <v>PAVIM ASF RECICLADO EN CALIENT</v>
          </cell>
          <cell r="C61" t="str">
            <v>M3</v>
          </cell>
          <cell r="D61">
            <v>51974</v>
          </cell>
          <cell r="E61">
            <v>54317</v>
          </cell>
          <cell r="F61">
            <v>52027</v>
          </cell>
          <cell r="G61">
            <v>60334</v>
          </cell>
          <cell r="H61">
            <v>54688</v>
          </cell>
          <cell r="I61">
            <v>59810</v>
          </cell>
          <cell r="J61">
            <v>59686</v>
          </cell>
          <cell r="K61">
            <v>44898</v>
          </cell>
        </row>
        <row r="62">
          <cell r="A62">
            <v>462.2</v>
          </cell>
          <cell r="B62" t="str">
            <v>PAVIM ASF RECICLADO EN CALIENT</v>
          </cell>
          <cell r="C62" t="str">
            <v>M3</v>
          </cell>
          <cell r="D62">
            <v>51974</v>
          </cell>
          <cell r="E62">
            <v>54317</v>
          </cell>
          <cell r="F62">
            <v>52027</v>
          </cell>
          <cell r="G62">
            <v>60334</v>
          </cell>
          <cell r="H62">
            <v>54688</v>
          </cell>
          <cell r="I62">
            <v>59810</v>
          </cell>
          <cell r="J62">
            <v>59686</v>
          </cell>
          <cell r="K62">
            <v>44898</v>
          </cell>
        </row>
        <row r="63">
          <cell r="A63">
            <v>462.3</v>
          </cell>
          <cell r="B63" t="str">
            <v>PAVIM ASF RECICLADO EN CALIENT</v>
          </cell>
          <cell r="C63" t="str">
            <v>M3</v>
          </cell>
          <cell r="D63">
            <v>51974</v>
          </cell>
          <cell r="E63">
            <v>54317</v>
          </cell>
          <cell r="F63">
            <v>52027</v>
          </cell>
          <cell r="G63">
            <v>60334</v>
          </cell>
          <cell r="H63">
            <v>54688</v>
          </cell>
          <cell r="I63">
            <v>59810</v>
          </cell>
          <cell r="J63">
            <v>59686</v>
          </cell>
          <cell r="K63">
            <v>44898</v>
          </cell>
        </row>
        <row r="64">
          <cell r="A64">
            <v>462.4</v>
          </cell>
          <cell r="B64" t="str">
            <v>PAVIM ASFALT RECICL. EN CALIENTE/BACHEO</v>
          </cell>
          <cell r="C64" t="str">
            <v>M3</v>
          </cell>
          <cell r="D64">
            <v>59712</v>
          </cell>
          <cell r="E64">
            <v>63531</v>
          </cell>
          <cell r="F64">
            <v>61305</v>
          </cell>
          <cell r="G64">
            <v>68470</v>
          </cell>
          <cell r="H64">
            <v>64121</v>
          </cell>
          <cell r="I64">
            <v>67941</v>
          </cell>
          <cell r="J64">
            <v>69250</v>
          </cell>
          <cell r="K64">
            <v>53307</v>
          </cell>
        </row>
        <row r="65">
          <cell r="A65">
            <v>600.20000000000005</v>
          </cell>
          <cell r="B65" t="str">
            <v>EXCAVACION VARIAS EN ROCA EN SECO</v>
          </cell>
          <cell r="C65" t="str">
            <v>M3</v>
          </cell>
          <cell r="D65">
            <v>26299</v>
          </cell>
          <cell r="E65">
            <v>24249</v>
          </cell>
          <cell r="F65">
            <v>21957</v>
          </cell>
          <cell r="G65">
            <v>26139</v>
          </cell>
          <cell r="H65">
            <v>26614</v>
          </cell>
          <cell r="I65">
            <v>23163</v>
          </cell>
          <cell r="J65">
            <v>27920</v>
          </cell>
          <cell r="K65">
            <v>23839</v>
          </cell>
        </row>
        <row r="66">
          <cell r="A66">
            <v>600.29999999999995</v>
          </cell>
          <cell r="B66" t="str">
            <v>EXCAVACION VARIAS EN ROCA BAJO AGUA</v>
          </cell>
          <cell r="C66" t="str">
            <v>M3</v>
          </cell>
          <cell r="D66">
            <v>32559</v>
          </cell>
          <cell r="E66">
            <v>31815</v>
          </cell>
          <cell r="F66">
            <v>29289</v>
          </cell>
          <cell r="G66">
            <v>34424</v>
          </cell>
          <cell r="H66">
            <v>34535</v>
          </cell>
          <cell r="I66">
            <v>27959</v>
          </cell>
          <cell r="J66">
            <v>34077</v>
          </cell>
          <cell r="K66">
            <v>32598</v>
          </cell>
        </row>
        <row r="67">
          <cell r="A67">
            <v>600.6</v>
          </cell>
          <cell r="B67" t="str">
            <v>EXCAVACION VARIAS SIN CLASIFICAR</v>
          </cell>
          <cell r="C67" t="str">
            <v>M3</v>
          </cell>
          <cell r="D67">
            <v>24079</v>
          </cell>
          <cell r="E67">
            <v>32998</v>
          </cell>
          <cell r="F67">
            <v>27105</v>
          </cell>
          <cell r="G67">
            <v>29245</v>
          </cell>
          <cell r="H67">
            <v>25041</v>
          </cell>
          <cell r="I67">
            <v>21146</v>
          </cell>
          <cell r="J67">
            <v>24588</v>
          </cell>
          <cell r="K67">
            <v>22877</v>
          </cell>
          <cell r="L67">
            <v>15963</v>
          </cell>
        </row>
        <row r="68">
          <cell r="A68">
            <v>600.70000000000005</v>
          </cell>
          <cell r="B68" t="str">
            <v>EXCAVACION VARIAS MATERIAL COMUN EN SECO</v>
          </cell>
          <cell r="C68" t="str">
            <v>M3</v>
          </cell>
          <cell r="D68">
            <v>20506</v>
          </cell>
          <cell r="E68">
            <v>27959</v>
          </cell>
          <cell r="F68">
            <v>22968</v>
          </cell>
          <cell r="G68">
            <v>24795</v>
          </cell>
          <cell r="H68">
            <v>21311</v>
          </cell>
          <cell r="I68">
            <v>17988</v>
          </cell>
          <cell r="J68">
            <v>20890</v>
          </cell>
          <cell r="K68">
            <v>19430</v>
          </cell>
        </row>
        <row r="69">
          <cell r="A69">
            <v>600.79999999999995</v>
          </cell>
          <cell r="B69" t="str">
            <v>EXCAVACION VARIAS MAT. COMUN BAJO AGUA</v>
          </cell>
          <cell r="C69" t="str">
            <v>M3</v>
          </cell>
          <cell r="D69">
            <v>26161</v>
          </cell>
          <cell r="E69">
            <v>35331</v>
          </cell>
          <cell r="F69">
            <v>30079</v>
          </cell>
          <cell r="G69">
            <v>31906</v>
          </cell>
          <cell r="H69">
            <v>27617</v>
          </cell>
          <cell r="I69">
            <v>24050</v>
          </cell>
          <cell r="J69">
            <v>26875</v>
          </cell>
          <cell r="K69">
            <v>23622</v>
          </cell>
        </row>
        <row r="70">
          <cell r="A70">
            <v>600.9</v>
          </cell>
          <cell r="B70" t="str">
            <v>EXCAVACIONES VARIAS EN ROCA BAJO AGUA</v>
          </cell>
          <cell r="C70" t="str">
            <v>M3</v>
          </cell>
          <cell r="D70">
            <v>32559</v>
          </cell>
          <cell r="E70">
            <v>31815</v>
          </cell>
          <cell r="F70">
            <v>29289</v>
          </cell>
          <cell r="G70">
            <v>34424</v>
          </cell>
          <cell r="H70">
            <v>34535</v>
          </cell>
          <cell r="I70">
            <v>27959</v>
          </cell>
          <cell r="J70">
            <v>34077</v>
          </cell>
          <cell r="K70">
            <v>32598</v>
          </cell>
        </row>
        <row r="71">
          <cell r="A71">
            <v>610.1</v>
          </cell>
          <cell r="B71" t="str">
            <v>RELLENO PARA ESTRUCTURAS</v>
          </cell>
          <cell r="C71" t="str">
            <v>M3</v>
          </cell>
          <cell r="D71">
            <v>19312</v>
          </cell>
          <cell r="E71">
            <v>17272</v>
          </cell>
          <cell r="F71">
            <v>19274</v>
          </cell>
          <cell r="G71">
            <v>21451</v>
          </cell>
          <cell r="H71">
            <v>24786</v>
          </cell>
          <cell r="I71">
            <v>31143</v>
          </cell>
          <cell r="J71">
            <v>17365</v>
          </cell>
          <cell r="K71">
            <v>19312</v>
          </cell>
          <cell r="L71">
            <v>22656</v>
          </cell>
        </row>
        <row r="72">
          <cell r="A72">
            <v>623.1</v>
          </cell>
          <cell r="B72" t="str">
            <v>SUMINISTRO E HINCAMIENTO DE RIELES</v>
          </cell>
          <cell r="C72" t="str">
            <v>M3</v>
          </cell>
          <cell r="D72">
            <v>59266</v>
          </cell>
          <cell r="E72">
            <v>59266</v>
          </cell>
          <cell r="F72">
            <v>59266</v>
          </cell>
          <cell r="G72">
            <v>59266</v>
          </cell>
          <cell r="H72">
            <v>59266</v>
          </cell>
          <cell r="I72">
            <v>59266</v>
          </cell>
          <cell r="J72">
            <v>59266</v>
          </cell>
          <cell r="K72">
            <v>59266</v>
          </cell>
        </row>
        <row r="73">
          <cell r="A73">
            <v>623.20000000000005</v>
          </cell>
          <cell r="B73" t="str">
            <v>SUMINISTRO E INSTALACION DE RIELES</v>
          </cell>
          <cell r="C73" t="str">
            <v>M3</v>
          </cell>
          <cell r="D73">
            <v>49871</v>
          </cell>
          <cell r="E73">
            <v>49871</v>
          </cell>
          <cell r="F73">
            <v>49871</v>
          </cell>
          <cell r="G73">
            <v>49871</v>
          </cell>
          <cell r="H73">
            <v>49871</v>
          </cell>
          <cell r="I73">
            <v>49871</v>
          </cell>
          <cell r="J73">
            <v>49871</v>
          </cell>
          <cell r="K73">
            <v>49871</v>
          </cell>
        </row>
        <row r="74">
          <cell r="A74">
            <v>630.29999999999995</v>
          </cell>
          <cell r="B74" t="str">
            <v>CONCRETO CLASE C</v>
          </cell>
          <cell r="C74" t="str">
            <v>M3</v>
          </cell>
          <cell r="D74">
            <v>279236</v>
          </cell>
          <cell r="E74">
            <v>294531</v>
          </cell>
          <cell r="F74">
            <v>263588</v>
          </cell>
          <cell r="G74">
            <v>335369</v>
          </cell>
          <cell r="H74">
            <v>285754</v>
          </cell>
          <cell r="I74">
            <v>267211</v>
          </cell>
          <cell r="J74">
            <v>270488</v>
          </cell>
          <cell r="K74">
            <v>213438</v>
          </cell>
        </row>
        <row r="75">
          <cell r="A75">
            <v>630.4</v>
          </cell>
          <cell r="B75" t="str">
            <v>CONCRETO CLASE D</v>
          </cell>
          <cell r="C75" t="str">
            <v>M3</v>
          </cell>
          <cell r="D75">
            <v>261647</v>
          </cell>
          <cell r="E75">
            <v>281102</v>
          </cell>
          <cell r="F75">
            <v>244478</v>
          </cell>
          <cell r="G75">
            <v>307213</v>
          </cell>
          <cell r="H75">
            <v>265299</v>
          </cell>
          <cell r="I75">
            <v>250493</v>
          </cell>
          <cell r="J75">
            <v>252334</v>
          </cell>
          <cell r="K75">
            <v>197162</v>
          </cell>
        </row>
        <row r="76">
          <cell r="A76">
            <v>630.5</v>
          </cell>
          <cell r="B76" t="str">
            <v>CONCRETO CLASE E</v>
          </cell>
          <cell r="C76" t="str">
            <v>M3</v>
          </cell>
          <cell r="D76">
            <v>239651</v>
          </cell>
          <cell r="E76">
            <v>260692</v>
          </cell>
          <cell r="F76">
            <v>220688</v>
          </cell>
          <cell r="G76">
            <v>274323</v>
          </cell>
          <cell r="H76">
            <v>237037</v>
          </cell>
          <cell r="I76">
            <v>229927</v>
          </cell>
          <cell r="J76">
            <v>227491</v>
          </cell>
          <cell r="K76">
            <v>175738</v>
          </cell>
        </row>
        <row r="77">
          <cell r="A77">
            <v>630.6</v>
          </cell>
          <cell r="B77" t="str">
            <v>CONCRETO CLASE F</v>
          </cell>
          <cell r="C77" t="str">
            <v>M3</v>
          </cell>
          <cell r="D77">
            <v>214526</v>
          </cell>
          <cell r="E77">
            <v>219476</v>
          </cell>
          <cell r="F77">
            <v>198254</v>
          </cell>
          <cell r="G77">
            <v>240261</v>
          </cell>
          <cell r="H77">
            <v>213901</v>
          </cell>
          <cell r="I77">
            <v>200318</v>
          </cell>
          <cell r="J77">
            <v>202628</v>
          </cell>
          <cell r="K77">
            <v>155789</v>
          </cell>
          <cell r="L77">
            <v>236825</v>
          </cell>
        </row>
        <row r="78">
          <cell r="A78">
            <v>630.70000000000005</v>
          </cell>
          <cell r="B78" t="str">
            <v xml:space="preserve">CONCRETO CLASE G </v>
          </cell>
          <cell r="C78" t="str">
            <v>M3</v>
          </cell>
          <cell r="D78">
            <v>203415</v>
          </cell>
          <cell r="E78">
            <v>232154</v>
          </cell>
          <cell r="F78">
            <v>188702</v>
          </cell>
          <cell r="G78">
            <v>234666</v>
          </cell>
          <cell r="H78">
            <v>191391</v>
          </cell>
          <cell r="I78">
            <v>202790</v>
          </cell>
          <cell r="J78">
            <v>186902</v>
          </cell>
          <cell r="K78">
            <v>137452</v>
          </cell>
          <cell r="L78">
            <v>224070</v>
          </cell>
        </row>
        <row r="79">
          <cell r="A79">
            <v>630.12</v>
          </cell>
          <cell r="B79" t="str">
            <v>CONCRETO CLASE G (BASES)</v>
          </cell>
          <cell r="C79" t="str">
            <v>M3</v>
          </cell>
          <cell r="D79">
            <v>190278</v>
          </cell>
          <cell r="E79">
            <v>213015</v>
          </cell>
          <cell r="F79">
            <v>176875</v>
          </cell>
          <cell r="G79">
            <v>218366</v>
          </cell>
          <cell r="H79">
            <v>180440</v>
          </cell>
          <cell r="I79">
            <v>188474</v>
          </cell>
          <cell r="J79">
            <v>175647</v>
          </cell>
          <cell r="K79">
            <v>130090</v>
          </cell>
        </row>
        <row r="80">
          <cell r="A80">
            <v>630.13</v>
          </cell>
          <cell r="B80" t="str">
            <v>CONCRETO CLASE G (ELEVACIONES)</v>
          </cell>
          <cell r="C80" t="str">
            <v>M3</v>
          </cell>
          <cell r="D80">
            <v>203415</v>
          </cell>
          <cell r="E80">
            <v>232154</v>
          </cell>
          <cell r="F80">
            <v>188702</v>
          </cell>
          <cell r="G80">
            <v>234666</v>
          </cell>
          <cell r="H80">
            <v>191391</v>
          </cell>
          <cell r="I80">
            <v>202790</v>
          </cell>
          <cell r="J80">
            <v>186902</v>
          </cell>
          <cell r="K80">
            <v>137452</v>
          </cell>
        </row>
        <row r="81">
          <cell r="A81">
            <v>632</v>
          </cell>
          <cell r="B81" t="str">
            <v>BARANDA EN CONCRETO</v>
          </cell>
          <cell r="C81" t="str">
            <v>ML</v>
          </cell>
          <cell r="D81">
            <v>149763</v>
          </cell>
        </row>
        <row r="82">
          <cell r="A82">
            <v>640.1</v>
          </cell>
          <cell r="B82" t="str">
            <v>ACERO DE REFUERZO GRADO 37</v>
          </cell>
          <cell r="C82" t="str">
            <v>KG</v>
          </cell>
          <cell r="D82">
            <v>2449</v>
          </cell>
          <cell r="E82">
            <v>1517</v>
          </cell>
          <cell r="F82">
            <v>1798</v>
          </cell>
          <cell r="G82">
            <v>1859</v>
          </cell>
          <cell r="H82">
            <v>1717</v>
          </cell>
          <cell r="I82">
            <v>2006</v>
          </cell>
          <cell r="J82">
            <v>2261</v>
          </cell>
          <cell r="K82">
            <v>1461</v>
          </cell>
        </row>
        <row r="83">
          <cell r="A83">
            <v>640.29999999999995</v>
          </cell>
          <cell r="B83" t="str">
            <v>ACERO DE REFUERZO GRADO 60</v>
          </cell>
          <cell r="C83" t="str">
            <v>KG</v>
          </cell>
          <cell r="D83">
            <v>2586</v>
          </cell>
          <cell r="E83">
            <v>1517</v>
          </cell>
          <cell r="F83">
            <v>2207</v>
          </cell>
          <cell r="G83">
            <v>2187</v>
          </cell>
          <cell r="H83">
            <v>1957</v>
          </cell>
          <cell r="I83">
            <v>2142</v>
          </cell>
          <cell r="J83">
            <v>2534</v>
          </cell>
          <cell r="K83">
            <v>1461</v>
          </cell>
        </row>
        <row r="84">
          <cell r="A84">
            <v>646</v>
          </cell>
          <cell r="B84" t="str">
            <v>ANCLAJES O TIEBACKS</v>
          </cell>
          <cell r="C84" t="str">
            <v>ML</v>
          </cell>
          <cell r="D84">
            <v>170000</v>
          </cell>
          <cell r="E84">
            <v>170000</v>
          </cell>
          <cell r="F84">
            <v>170000</v>
          </cell>
          <cell r="G84">
            <v>170000</v>
          </cell>
          <cell r="H84">
            <v>170000</v>
          </cell>
          <cell r="I84">
            <v>170000</v>
          </cell>
          <cell r="J84">
            <v>170000</v>
          </cell>
          <cell r="K84">
            <v>170000</v>
          </cell>
        </row>
        <row r="85">
          <cell r="A85">
            <v>660.2</v>
          </cell>
          <cell r="B85" t="str">
            <v>TUBERIA DE CONCRETO SIMPLE DIAM = 600 mm</v>
          </cell>
          <cell r="C85" t="str">
            <v>M</v>
          </cell>
          <cell r="D85">
            <v>128505</v>
          </cell>
          <cell r="E85">
            <v>167497</v>
          </cell>
          <cell r="F85">
            <v>166161</v>
          </cell>
          <cell r="G85">
            <v>146770</v>
          </cell>
          <cell r="H85">
            <v>176424</v>
          </cell>
          <cell r="I85">
            <v>171799</v>
          </cell>
          <cell r="J85">
            <v>153108</v>
          </cell>
          <cell r="K85">
            <v>112584</v>
          </cell>
        </row>
        <row r="86">
          <cell r="A86">
            <v>661</v>
          </cell>
          <cell r="B86" t="str">
            <v>TUBERIA CONCRETO REFORZADO DIAM = 900 mm</v>
          </cell>
          <cell r="C86" t="str">
            <v>M</v>
          </cell>
          <cell r="D86">
            <v>146874</v>
          </cell>
          <cell r="E86">
            <v>172251</v>
          </cell>
          <cell r="F86">
            <v>173455</v>
          </cell>
          <cell r="G86">
            <v>204035</v>
          </cell>
          <cell r="H86">
            <v>190497</v>
          </cell>
          <cell r="I86">
            <v>219374</v>
          </cell>
          <cell r="J86">
            <v>233284</v>
          </cell>
          <cell r="K86">
            <v>150657</v>
          </cell>
          <cell r="L86">
            <v>179725</v>
          </cell>
        </row>
        <row r="87">
          <cell r="A87">
            <v>670.2</v>
          </cell>
          <cell r="B87" t="str">
            <v>DISIPADORES DE ENERGIA EN CONCRETO CICLP</v>
          </cell>
          <cell r="C87" t="str">
            <v>M3</v>
          </cell>
          <cell r="D87">
            <v>214496</v>
          </cell>
          <cell r="E87">
            <v>245929</v>
          </cell>
          <cell r="F87">
            <v>203457</v>
          </cell>
          <cell r="G87">
            <v>246769</v>
          </cell>
          <cell r="H87">
            <v>201408</v>
          </cell>
          <cell r="I87">
            <v>206788</v>
          </cell>
          <cell r="J87">
            <v>189996</v>
          </cell>
          <cell r="K87">
            <v>154080</v>
          </cell>
        </row>
        <row r="88">
          <cell r="A88">
            <v>671</v>
          </cell>
          <cell r="B88" t="str">
            <v>CUNETAS REVESTIDAS EN EN CONCRETO</v>
          </cell>
          <cell r="C88" t="str">
            <v>M3</v>
          </cell>
          <cell r="D88">
            <v>237792</v>
          </cell>
          <cell r="E88">
            <v>251430</v>
          </cell>
          <cell r="F88">
            <v>230109</v>
          </cell>
          <cell r="G88">
            <v>267914</v>
          </cell>
          <cell r="H88">
            <v>239418</v>
          </cell>
          <cell r="I88">
            <v>218622</v>
          </cell>
          <cell r="J88">
            <v>229263</v>
          </cell>
          <cell r="K88">
            <v>183771</v>
          </cell>
          <cell r="L88">
            <v>269566</v>
          </cell>
        </row>
        <row r="89">
          <cell r="A89">
            <v>672</v>
          </cell>
          <cell r="B89" t="str">
            <v>BORDILLOS (H=0.40 m)</v>
          </cell>
          <cell r="C89" t="str">
            <v>M</v>
          </cell>
          <cell r="D89">
            <v>19432</v>
          </cell>
          <cell r="E89">
            <v>20543</v>
          </cell>
          <cell r="F89">
            <v>17541</v>
          </cell>
          <cell r="G89">
            <v>21869</v>
          </cell>
          <cell r="H89">
            <v>18902</v>
          </cell>
          <cell r="I89">
            <v>18426</v>
          </cell>
          <cell r="J89">
            <v>17502</v>
          </cell>
          <cell r="K89">
            <v>13841</v>
          </cell>
        </row>
        <row r="90">
          <cell r="A90">
            <v>673</v>
          </cell>
          <cell r="B90" t="str">
            <v>MATERIAL FILTRANTE</v>
          </cell>
          <cell r="C90" t="str">
            <v>M3</v>
          </cell>
          <cell r="D90">
            <v>53643</v>
          </cell>
          <cell r="E90">
            <v>28752</v>
          </cell>
          <cell r="F90">
            <v>40920</v>
          </cell>
          <cell r="G90">
            <v>41435</v>
          </cell>
          <cell r="H90">
            <v>47076</v>
          </cell>
          <cell r="I90">
            <v>42042</v>
          </cell>
          <cell r="J90">
            <v>44295</v>
          </cell>
          <cell r="K90">
            <v>26138</v>
          </cell>
        </row>
        <row r="91">
          <cell r="A91">
            <v>673.1</v>
          </cell>
          <cell r="B91" t="str">
            <v>DREN HORIZONTAL DE 1 A 10 M</v>
          </cell>
          <cell r="C91" t="str">
            <v>ML</v>
          </cell>
          <cell r="D91">
            <v>10100</v>
          </cell>
          <cell r="E91">
            <v>10100</v>
          </cell>
          <cell r="F91">
            <v>10100</v>
          </cell>
          <cell r="G91">
            <v>10100</v>
          </cell>
          <cell r="H91">
            <v>10100</v>
          </cell>
          <cell r="I91">
            <v>10100</v>
          </cell>
          <cell r="J91">
            <v>10100</v>
          </cell>
          <cell r="K91">
            <v>10100</v>
          </cell>
        </row>
        <row r="92">
          <cell r="A92">
            <v>681.1</v>
          </cell>
          <cell r="B92" t="str">
            <v>GAVIONES</v>
          </cell>
          <cell r="C92" t="str">
            <v>M3</v>
          </cell>
          <cell r="D92">
            <v>64592</v>
          </cell>
          <cell r="E92">
            <v>62409</v>
          </cell>
          <cell r="F92">
            <v>58198</v>
          </cell>
          <cell r="G92">
            <v>67779</v>
          </cell>
          <cell r="H92">
            <v>59158</v>
          </cell>
          <cell r="I92">
            <v>59474</v>
          </cell>
          <cell r="J92">
            <v>61987</v>
          </cell>
          <cell r="K92">
            <v>56797</v>
          </cell>
        </row>
        <row r="93">
          <cell r="A93">
            <v>700.1</v>
          </cell>
          <cell r="B93" t="str">
            <v>LINEA DE DEMARCACION</v>
          </cell>
          <cell r="C93" t="str">
            <v>M</v>
          </cell>
          <cell r="D93">
            <v>620</v>
          </cell>
          <cell r="E93">
            <v>758</v>
          </cell>
          <cell r="F93">
            <v>572</v>
          </cell>
          <cell r="G93">
            <v>680</v>
          </cell>
          <cell r="H93">
            <v>688</v>
          </cell>
          <cell r="I93">
            <v>650</v>
          </cell>
          <cell r="J93">
            <v>706</v>
          </cell>
          <cell r="K93">
            <v>797</v>
          </cell>
        </row>
        <row r="94">
          <cell r="A94">
            <v>700.2</v>
          </cell>
          <cell r="B94" t="str">
            <v>MARCA VIAL</v>
          </cell>
          <cell r="C94" t="str">
            <v>M2</v>
          </cell>
          <cell r="D94">
            <v>10602</v>
          </cell>
          <cell r="E94">
            <v>13055</v>
          </cell>
          <cell r="F94">
            <v>10490</v>
          </cell>
          <cell r="G94">
            <v>12160</v>
          </cell>
          <cell r="H94">
            <v>10656</v>
          </cell>
          <cell r="I94">
            <v>9929</v>
          </cell>
          <cell r="J94">
            <v>11011</v>
          </cell>
          <cell r="K94">
            <v>11092</v>
          </cell>
        </row>
        <row r="95">
          <cell r="A95">
            <v>701</v>
          </cell>
          <cell r="B95" t="str">
            <v>TACHA REFLECTIVA</v>
          </cell>
          <cell r="C95" t="str">
            <v>U</v>
          </cell>
          <cell r="D95">
            <v>10871</v>
          </cell>
          <cell r="E95">
            <v>10214</v>
          </cell>
          <cell r="F95">
            <v>8815</v>
          </cell>
          <cell r="G95">
            <v>8763</v>
          </cell>
          <cell r="H95">
            <v>8087</v>
          </cell>
          <cell r="I95">
            <v>8758</v>
          </cell>
          <cell r="J95">
            <v>9450</v>
          </cell>
          <cell r="K95">
            <v>10274</v>
          </cell>
        </row>
        <row r="96">
          <cell r="A96">
            <v>710.1</v>
          </cell>
          <cell r="B96" t="str">
            <v>SEÑAL DE TRANSITO</v>
          </cell>
          <cell r="C96" t="str">
            <v>U</v>
          </cell>
          <cell r="D96">
            <v>136206</v>
          </cell>
          <cell r="E96">
            <v>108973</v>
          </cell>
          <cell r="F96">
            <v>82191</v>
          </cell>
          <cell r="G96">
            <v>110599</v>
          </cell>
          <cell r="H96">
            <v>115436</v>
          </cell>
          <cell r="I96">
            <v>135715</v>
          </cell>
          <cell r="J96">
            <v>116936</v>
          </cell>
          <cell r="K96">
            <v>121453</v>
          </cell>
        </row>
        <row r="97">
          <cell r="A97">
            <v>720</v>
          </cell>
          <cell r="B97" t="str">
            <v>POSTE DE KILOMETRAJE (MOJON)</v>
          </cell>
          <cell r="C97" t="str">
            <v>U</v>
          </cell>
          <cell r="D97">
            <v>67523</v>
          </cell>
          <cell r="E97">
            <v>71059</v>
          </cell>
          <cell r="F97">
            <v>53486</v>
          </cell>
          <cell r="G97">
            <v>50379</v>
          </cell>
          <cell r="H97">
            <v>55920</v>
          </cell>
          <cell r="I97">
            <v>56476</v>
          </cell>
          <cell r="J97">
            <v>55156</v>
          </cell>
          <cell r="K97">
            <v>53075</v>
          </cell>
        </row>
        <row r="98">
          <cell r="A98">
            <v>730.1</v>
          </cell>
          <cell r="B98" t="str">
            <v>DEFENSA METALICA - CORREA SIMPLE</v>
          </cell>
          <cell r="C98" t="str">
            <v>M</v>
          </cell>
          <cell r="D98">
            <v>115865</v>
          </cell>
          <cell r="E98">
            <v>89369</v>
          </cell>
          <cell r="F98">
            <v>74325</v>
          </cell>
          <cell r="G98">
            <v>86428</v>
          </cell>
          <cell r="H98">
            <v>104683</v>
          </cell>
          <cell r="I98">
            <v>101349</v>
          </cell>
          <cell r="J98">
            <v>81770</v>
          </cell>
          <cell r="K98">
            <v>102996</v>
          </cell>
        </row>
        <row r="99">
          <cell r="A99">
            <v>730.2</v>
          </cell>
          <cell r="B99" t="str">
            <v>SECCION FINAL - DEFENSA METALICA</v>
          </cell>
          <cell r="C99" t="str">
            <v>U</v>
          </cell>
          <cell r="D99">
            <v>54925</v>
          </cell>
          <cell r="E99">
            <v>37375</v>
          </cell>
          <cell r="F99">
            <v>47938</v>
          </cell>
          <cell r="G99">
            <v>35832</v>
          </cell>
          <cell r="H99">
            <v>36238</v>
          </cell>
          <cell r="I99">
            <v>37375</v>
          </cell>
          <cell r="J99">
            <v>36400</v>
          </cell>
          <cell r="K99">
            <v>30550</v>
          </cell>
        </row>
        <row r="100">
          <cell r="A100">
            <v>740</v>
          </cell>
          <cell r="B100" t="str">
            <v>CAPTAFAROS</v>
          </cell>
          <cell r="C100" t="str">
            <v>U</v>
          </cell>
          <cell r="D100">
            <v>9672</v>
          </cell>
          <cell r="E100">
            <v>9491</v>
          </cell>
          <cell r="F100">
            <v>6367</v>
          </cell>
          <cell r="G100">
            <v>9624</v>
          </cell>
          <cell r="H100">
            <v>6062</v>
          </cell>
          <cell r="I100">
            <v>7374</v>
          </cell>
          <cell r="J100">
            <v>8657</v>
          </cell>
          <cell r="K100">
            <v>7202</v>
          </cell>
        </row>
        <row r="101">
          <cell r="A101">
            <v>741</v>
          </cell>
          <cell r="B101" t="str">
            <v>PINTURA DE MUROS</v>
          </cell>
          <cell r="C101" t="str">
            <v>M2</v>
          </cell>
        </row>
        <row r="102">
          <cell r="A102">
            <v>810.3</v>
          </cell>
          <cell r="B102" t="str">
            <v>EMPRADIZACION CON BLOQUES DE CESPED</v>
          </cell>
          <cell r="C102" t="str">
            <v>M2</v>
          </cell>
          <cell r="D102">
            <v>4758</v>
          </cell>
          <cell r="E102">
            <v>6691</v>
          </cell>
          <cell r="F102">
            <v>5538</v>
          </cell>
          <cell r="G102">
            <v>6543</v>
          </cell>
          <cell r="H102">
            <v>6703</v>
          </cell>
          <cell r="I102">
            <v>7365</v>
          </cell>
          <cell r="J102">
            <v>6507</v>
          </cell>
          <cell r="K102">
            <v>5300</v>
          </cell>
        </row>
        <row r="103">
          <cell r="A103">
            <v>810.4</v>
          </cell>
          <cell r="B103" t="str">
            <v>EMPRADIZACION CON TIERRA ORG Y SEMILLAS</v>
          </cell>
          <cell r="C103" t="str">
            <v>M2</v>
          </cell>
          <cell r="D103">
            <v>6176</v>
          </cell>
          <cell r="E103">
            <v>6592</v>
          </cell>
          <cell r="F103">
            <v>6344</v>
          </cell>
          <cell r="G103">
            <v>6642</v>
          </cell>
          <cell r="H103">
            <v>6553</v>
          </cell>
          <cell r="I103">
            <v>4957</v>
          </cell>
          <cell r="J103">
            <v>7748</v>
          </cell>
          <cell r="K103">
            <v>11570</v>
          </cell>
        </row>
        <row r="104">
          <cell r="A104">
            <v>820.1</v>
          </cell>
          <cell r="B104" t="str">
            <v>GEOTEXTIL PARA FILTROS</v>
          </cell>
          <cell r="C104" t="str">
            <v>M2</v>
          </cell>
          <cell r="D104">
            <v>3799</v>
          </cell>
          <cell r="E104">
            <v>1863</v>
          </cell>
          <cell r="F104">
            <v>3578</v>
          </cell>
          <cell r="G104">
            <v>3097</v>
          </cell>
          <cell r="H104">
            <v>2656</v>
          </cell>
          <cell r="I104">
            <v>2596</v>
          </cell>
          <cell r="J104">
            <v>3578</v>
          </cell>
          <cell r="K104">
            <v>1963</v>
          </cell>
        </row>
        <row r="105">
          <cell r="A105">
            <v>900.1</v>
          </cell>
          <cell r="B105" t="str">
            <v>TRANS MAT - EXPLAN (100 - 1000M)</v>
          </cell>
          <cell r="C105" t="str">
            <v>M3xES</v>
          </cell>
          <cell r="D105">
            <v>650</v>
          </cell>
          <cell r="E105">
            <v>628</v>
          </cell>
          <cell r="F105">
            <v>520</v>
          </cell>
          <cell r="G105">
            <v>585</v>
          </cell>
          <cell r="H105">
            <v>650</v>
          </cell>
          <cell r="I105">
            <v>533</v>
          </cell>
          <cell r="J105">
            <v>572</v>
          </cell>
          <cell r="K105">
            <v>520</v>
          </cell>
        </row>
        <row r="106">
          <cell r="A106">
            <v>900.2</v>
          </cell>
          <cell r="B106" t="str">
            <v>TRANS MAT - EXPLAN (MAS DE - 1000M)</v>
          </cell>
          <cell r="C106" t="str">
            <v>M3xKM</v>
          </cell>
          <cell r="D106">
            <v>723</v>
          </cell>
          <cell r="E106">
            <v>698</v>
          </cell>
          <cell r="F106">
            <v>577</v>
          </cell>
          <cell r="G106">
            <v>650</v>
          </cell>
          <cell r="H106">
            <v>723</v>
          </cell>
          <cell r="I106">
            <v>593</v>
          </cell>
          <cell r="J106">
            <v>636</v>
          </cell>
          <cell r="K106">
            <v>577</v>
          </cell>
        </row>
        <row r="107">
          <cell r="A107">
            <v>900.3</v>
          </cell>
          <cell r="B107" t="str">
            <v>TRANS MATERIALES PROV. DE DERRUMBES</v>
          </cell>
          <cell r="C107" t="str">
            <v>M3xKM</v>
          </cell>
          <cell r="D107">
            <v>723</v>
          </cell>
          <cell r="E107">
            <v>698</v>
          </cell>
          <cell r="F107">
            <v>577</v>
          </cell>
          <cell r="G107">
            <v>650</v>
          </cell>
          <cell r="H107">
            <v>723</v>
          </cell>
          <cell r="I107">
            <v>593</v>
          </cell>
          <cell r="J107">
            <v>636</v>
          </cell>
          <cell r="K107">
            <v>577</v>
          </cell>
        </row>
        <row r="109">
          <cell r="A109">
            <v>2000</v>
          </cell>
          <cell r="B109" t="str">
            <v>LIMPIEZA CALZADA EXISTENTE</v>
          </cell>
          <cell r="C109" t="str">
            <v>HA</v>
          </cell>
          <cell r="D109">
            <v>32468</v>
          </cell>
          <cell r="E109">
            <v>37271</v>
          </cell>
          <cell r="F109">
            <v>34736</v>
          </cell>
          <cell r="G109">
            <v>36361</v>
          </cell>
          <cell r="H109">
            <v>35556</v>
          </cell>
          <cell r="I109">
            <v>28812</v>
          </cell>
          <cell r="J109">
            <v>31985</v>
          </cell>
          <cell r="K109">
            <v>35718</v>
          </cell>
        </row>
        <row r="110">
          <cell r="A110">
            <v>2021</v>
          </cell>
          <cell r="B110" t="str">
            <v>DEMOLICIONES CONCRETO CICLOPEO</v>
          </cell>
          <cell r="C110" t="str">
            <v>M3</v>
          </cell>
          <cell r="D110">
            <v>18834</v>
          </cell>
          <cell r="E110">
            <v>16485</v>
          </cell>
          <cell r="F110">
            <v>14931</v>
          </cell>
          <cell r="G110">
            <v>17791</v>
          </cell>
          <cell r="H110">
            <v>19404</v>
          </cell>
          <cell r="I110">
            <v>15544</v>
          </cell>
          <cell r="J110">
            <v>18268</v>
          </cell>
          <cell r="K110">
            <v>17859</v>
          </cell>
        </row>
        <row r="111">
          <cell r="A111">
            <v>2022</v>
          </cell>
          <cell r="B111" t="str">
            <v>DEMOLICIONES DE MAMPOSTERIA</v>
          </cell>
          <cell r="C111" t="str">
            <v>M3</v>
          </cell>
          <cell r="D111">
            <v>18287</v>
          </cell>
          <cell r="E111">
            <v>24322</v>
          </cell>
          <cell r="F111">
            <v>19777</v>
          </cell>
          <cell r="G111">
            <v>20319</v>
          </cell>
          <cell r="H111">
            <v>17644</v>
          </cell>
          <cell r="I111">
            <v>15690</v>
          </cell>
          <cell r="J111">
            <v>15707</v>
          </cell>
          <cell r="K111">
            <v>17203</v>
          </cell>
        </row>
        <row r="112">
          <cell r="A112">
            <v>2490</v>
          </cell>
          <cell r="B112" t="str">
            <v>EXT. COMP. CAPA ROD. - ASFALTO NATURAL</v>
          </cell>
          <cell r="C112" t="str">
            <v>M3</v>
          </cell>
          <cell r="D112">
            <v>128184</v>
          </cell>
          <cell r="F112">
            <v>112412</v>
          </cell>
          <cell r="I112">
            <v>186061</v>
          </cell>
          <cell r="J112">
            <v>97000</v>
          </cell>
        </row>
        <row r="113">
          <cell r="A113">
            <v>2600</v>
          </cell>
          <cell r="B113" t="str">
            <v>RIEGO DE SELLO - ASFALTO LIQUIDO</v>
          </cell>
          <cell r="C113" t="str">
            <v>M2</v>
          </cell>
          <cell r="D113">
            <v>954</v>
          </cell>
          <cell r="E113">
            <v>878</v>
          </cell>
          <cell r="F113">
            <v>675</v>
          </cell>
          <cell r="G113">
            <v>997</v>
          </cell>
          <cell r="H113">
            <v>758</v>
          </cell>
          <cell r="I113">
            <v>698</v>
          </cell>
          <cell r="J113">
            <v>883</v>
          </cell>
          <cell r="K113">
            <v>655</v>
          </cell>
        </row>
        <row r="114">
          <cell r="A114">
            <v>2610</v>
          </cell>
          <cell r="B114" t="str">
            <v>RIEGO SELLO - EMULSION</v>
          </cell>
          <cell r="C114" t="str">
            <v>M2</v>
          </cell>
          <cell r="D114">
            <v>1119</v>
          </cell>
          <cell r="E114">
            <v>1573</v>
          </cell>
          <cell r="F114">
            <v>1193</v>
          </cell>
          <cell r="G114">
            <v>1074</v>
          </cell>
          <cell r="H114">
            <v>907</v>
          </cell>
          <cell r="I114">
            <v>776</v>
          </cell>
          <cell r="J114">
            <v>844</v>
          </cell>
          <cell r="K114">
            <v>680</v>
          </cell>
        </row>
        <row r="115">
          <cell r="A115">
            <v>2630</v>
          </cell>
          <cell r="B115" t="str">
            <v>SELLO FISURAS &gt; 3MM - EMULSION Y ARENA</v>
          </cell>
          <cell r="C115" t="str">
            <v>M</v>
          </cell>
          <cell r="D115">
            <v>153</v>
          </cell>
          <cell r="E115">
            <v>120</v>
          </cell>
          <cell r="F115">
            <v>130</v>
          </cell>
          <cell r="G115">
            <v>126</v>
          </cell>
          <cell r="H115">
            <v>113</v>
          </cell>
          <cell r="I115">
            <v>104</v>
          </cell>
          <cell r="J115">
            <v>96</v>
          </cell>
          <cell r="K115">
            <v>81</v>
          </cell>
        </row>
        <row r="116">
          <cell r="A116">
            <v>2640</v>
          </cell>
          <cell r="B116" t="str">
            <v>SELLO FISURAS &gt;3MM - EMULSION ASFALTIC</v>
          </cell>
          <cell r="C116" t="str">
            <v>M</v>
          </cell>
          <cell r="D116">
            <v>117</v>
          </cell>
          <cell r="E116">
            <v>181</v>
          </cell>
          <cell r="F116">
            <v>140</v>
          </cell>
          <cell r="G116">
            <v>135</v>
          </cell>
          <cell r="H116">
            <v>111</v>
          </cell>
          <cell r="I116">
            <v>98</v>
          </cell>
          <cell r="J116">
            <v>99</v>
          </cell>
          <cell r="K116">
            <v>111</v>
          </cell>
        </row>
        <row r="117">
          <cell r="A117">
            <v>3111</v>
          </cell>
          <cell r="B117" t="str">
            <v>BACHEO - CARRETERAS EN AFIRMADO</v>
          </cell>
          <cell r="C117" t="str">
            <v>M3</v>
          </cell>
          <cell r="D117">
            <v>28373</v>
          </cell>
          <cell r="E117">
            <v>50981</v>
          </cell>
          <cell r="F117">
            <v>37460</v>
          </cell>
          <cell r="G117">
            <v>48347</v>
          </cell>
          <cell r="H117">
            <v>50801</v>
          </cell>
          <cell r="I117">
            <v>44896</v>
          </cell>
          <cell r="J117">
            <v>31470</v>
          </cell>
          <cell r="K117">
            <v>33248</v>
          </cell>
        </row>
        <row r="118">
          <cell r="A118">
            <v>3340</v>
          </cell>
          <cell r="B118" t="str">
            <v>SELLO FISURAS &lt; 3MM - EMULSION ASFALTIC</v>
          </cell>
          <cell r="C118" t="str">
            <v>M</v>
          </cell>
          <cell r="D118">
            <v>75</v>
          </cell>
          <cell r="E118">
            <v>94</v>
          </cell>
          <cell r="F118">
            <v>75</v>
          </cell>
          <cell r="G118">
            <v>78</v>
          </cell>
          <cell r="H118">
            <v>74</v>
          </cell>
          <cell r="I118">
            <v>60</v>
          </cell>
          <cell r="J118">
            <v>72</v>
          </cell>
          <cell r="K118">
            <v>72</v>
          </cell>
        </row>
        <row r="119">
          <cell r="A119">
            <v>4180</v>
          </cell>
          <cell r="B119" t="str">
            <v>CONFORMACION MANUAL CUNETAS</v>
          </cell>
          <cell r="C119" t="str">
            <v>M</v>
          </cell>
          <cell r="D119">
            <v>515</v>
          </cell>
          <cell r="E119">
            <v>763</v>
          </cell>
          <cell r="F119">
            <v>618</v>
          </cell>
          <cell r="G119">
            <v>618</v>
          </cell>
          <cell r="H119">
            <v>489</v>
          </cell>
          <cell r="I119">
            <v>450</v>
          </cell>
          <cell r="J119">
            <v>438</v>
          </cell>
          <cell r="K119">
            <v>515</v>
          </cell>
        </row>
        <row r="120">
          <cell r="A120">
            <v>4260</v>
          </cell>
          <cell r="B120" t="str">
            <v>LIMPIEZA CUNETA CON MOTONIVELADORA</v>
          </cell>
          <cell r="C120" t="str">
            <v>M</v>
          </cell>
          <cell r="D120">
            <v>98</v>
          </cell>
          <cell r="E120">
            <v>108</v>
          </cell>
          <cell r="F120">
            <v>103</v>
          </cell>
          <cell r="G120">
            <v>108</v>
          </cell>
          <cell r="H120">
            <v>108</v>
          </cell>
          <cell r="I120">
            <v>87</v>
          </cell>
          <cell r="J120">
            <v>98</v>
          </cell>
          <cell r="K120">
            <v>108</v>
          </cell>
        </row>
        <row r="121">
          <cell r="A121">
            <v>4300</v>
          </cell>
          <cell r="B121" t="str">
            <v>ZANJAS CORONACION EN CONCRETO</v>
          </cell>
          <cell r="C121" t="str">
            <v>M3</v>
          </cell>
          <cell r="D121">
            <v>209346</v>
          </cell>
          <cell r="E121">
            <v>212238</v>
          </cell>
          <cell r="F121">
            <v>201665</v>
          </cell>
          <cell r="G121">
            <v>232671</v>
          </cell>
          <cell r="H121">
            <v>213935</v>
          </cell>
          <cell r="I121">
            <v>187175</v>
          </cell>
          <cell r="J121">
            <v>196443</v>
          </cell>
          <cell r="K121">
            <v>169120</v>
          </cell>
        </row>
        <row r="122">
          <cell r="A122">
            <v>4310</v>
          </cell>
          <cell r="B122" t="str">
            <v>ZANJAS DE CORONACION EN MAMPOSTERIA</v>
          </cell>
          <cell r="C122" t="str">
            <v>M3</v>
          </cell>
          <cell r="D122">
            <v>123666</v>
          </cell>
          <cell r="E122">
            <v>121546</v>
          </cell>
          <cell r="F122">
            <v>130952</v>
          </cell>
          <cell r="G122">
            <v>145894</v>
          </cell>
          <cell r="H122">
            <v>125529</v>
          </cell>
          <cell r="I122">
            <v>111691</v>
          </cell>
          <cell r="J122">
            <v>117728</v>
          </cell>
          <cell r="K122">
            <v>102892</v>
          </cell>
        </row>
        <row r="123">
          <cell r="A123">
            <v>4360</v>
          </cell>
          <cell r="B123" t="str">
            <v>LIMPIEZA CANALES EN TIERRA</v>
          </cell>
          <cell r="C123" t="str">
            <v>M</v>
          </cell>
          <cell r="D123">
            <v>1030</v>
          </cell>
          <cell r="E123">
            <v>1528</v>
          </cell>
          <cell r="F123">
            <v>1235</v>
          </cell>
          <cell r="G123">
            <v>1235</v>
          </cell>
          <cell r="H123">
            <v>978</v>
          </cell>
          <cell r="I123">
            <v>900</v>
          </cell>
          <cell r="J123">
            <v>875</v>
          </cell>
          <cell r="K123">
            <v>1030</v>
          </cell>
        </row>
        <row r="124">
          <cell r="A124">
            <v>4560</v>
          </cell>
          <cell r="B124" t="str">
            <v>DRENES HORIZONTALES TUBERIA 2"</v>
          </cell>
          <cell r="C124" t="str">
            <v>M</v>
          </cell>
          <cell r="D124">
            <v>63144</v>
          </cell>
          <cell r="E124">
            <v>66400</v>
          </cell>
          <cell r="F124">
            <v>66426</v>
          </cell>
          <cell r="G124">
            <v>66979</v>
          </cell>
          <cell r="H124">
            <v>67144</v>
          </cell>
          <cell r="I124">
            <v>64475</v>
          </cell>
          <cell r="J124">
            <v>63826</v>
          </cell>
          <cell r="K124">
            <v>62975</v>
          </cell>
        </row>
        <row r="125">
          <cell r="A125">
            <v>4860</v>
          </cell>
          <cell r="B125" t="str">
            <v>SUPERESTRUCTURAS PONTONES</v>
          </cell>
          <cell r="C125" t="str">
            <v>M3</v>
          </cell>
          <cell r="D125">
            <v>538616</v>
          </cell>
          <cell r="E125">
            <v>608491</v>
          </cell>
          <cell r="F125">
            <v>527985</v>
          </cell>
          <cell r="G125">
            <v>779791</v>
          </cell>
          <cell r="H125">
            <v>503646</v>
          </cell>
          <cell r="I125">
            <v>685118</v>
          </cell>
          <cell r="J125">
            <v>511905</v>
          </cell>
          <cell r="K125">
            <v>335221</v>
          </cell>
        </row>
        <row r="126">
          <cell r="A126">
            <v>4880</v>
          </cell>
          <cell r="B126" t="str">
            <v>ALCANTARILLA DE CAJON</v>
          </cell>
          <cell r="C126" t="str">
            <v>M3</v>
          </cell>
          <cell r="D126">
            <v>318682</v>
          </cell>
          <cell r="E126">
            <v>364536</v>
          </cell>
          <cell r="F126">
            <v>292496</v>
          </cell>
          <cell r="G126">
            <v>378288</v>
          </cell>
          <cell r="H126">
            <v>310804</v>
          </cell>
          <cell r="I126">
            <v>314379</v>
          </cell>
          <cell r="J126">
            <v>298178</v>
          </cell>
          <cell r="K126">
            <v>227071</v>
          </cell>
        </row>
        <row r="127">
          <cell r="A127">
            <v>4960</v>
          </cell>
          <cell r="B127" t="str">
            <v>LIMPIEZA OBRAS AREA &lt; = 0.62 M2</v>
          </cell>
          <cell r="C127" t="str">
            <v>M</v>
          </cell>
          <cell r="D127">
            <v>3432</v>
          </cell>
          <cell r="E127">
            <v>5090</v>
          </cell>
          <cell r="F127">
            <v>4118</v>
          </cell>
          <cell r="G127">
            <v>4118</v>
          </cell>
          <cell r="H127">
            <v>3260</v>
          </cell>
          <cell r="I127">
            <v>2999</v>
          </cell>
          <cell r="J127">
            <v>2917</v>
          </cell>
          <cell r="K127">
            <v>3432</v>
          </cell>
        </row>
        <row r="128">
          <cell r="A128">
            <v>4970</v>
          </cell>
          <cell r="B128" t="str">
            <v>LIMPIEZA OBRAS AREA &gt; 0.60 M2</v>
          </cell>
          <cell r="C128" t="str">
            <v>M3</v>
          </cell>
          <cell r="D128">
            <v>5148</v>
          </cell>
          <cell r="E128">
            <v>7635</v>
          </cell>
          <cell r="F128">
            <v>6178</v>
          </cell>
          <cell r="G128">
            <v>6178</v>
          </cell>
          <cell r="H128">
            <v>4891</v>
          </cell>
          <cell r="I128">
            <v>4499</v>
          </cell>
          <cell r="J128">
            <v>4376</v>
          </cell>
          <cell r="K128">
            <v>5148</v>
          </cell>
        </row>
        <row r="129">
          <cell r="A129">
            <v>6006</v>
          </cell>
          <cell r="B129" t="str">
            <v>EXCAVACION MECANICA DESCOLES</v>
          </cell>
          <cell r="C129" t="str">
            <v>M3</v>
          </cell>
          <cell r="D129">
            <v>2470</v>
          </cell>
          <cell r="E129">
            <v>2275</v>
          </cell>
          <cell r="F129">
            <v>2275</v>
          </cell>
          <cell r="G129">
            <v>2275</v>
          </cell>
          <cell r="H129">
            <v>2275</v>
          </cell>
          <cell r="I129">
            <v>2275</v>
          </cell>
          <cell r="J129">
            <v>2275</v>
          </cell>
          <cell r="K129">
            <v>2925</v>
          </cell>
        </row>
        <row r="130">
          <cell r="A130">
            <v>7108</v>
          </cell>
          <cell r="B130" t="str">
            <v>SEÑALIZACION TEMPORAL</v>
          </cell>
          <cell r="C130" t="str">
            <v>SEÑAL</v>
          </cell>
          <cell r="D130">
            <v>108388</v>
          </cell>
          <cell r="E130">
            <v>98043</v>
          </cell>
          <cell r="F130">
            <v>82193</v>
          </cell>
          <cell r="G130">
            <v>141912</v>
          </cell>
          <cell r="H130">
            <v>102627</v>
          </cell>
          <cell r="I130">
            <v>105278</v>
          </cell>
          <cell r="J130">
            <v>148143</v>
          </cell>
          <cell r="K130">
            <v>128213</v>
          </cell>
        </row>
        <row r="131">
          <cell r="A131">
            <v>7150</v>
          </cell>
          <cell r="B131" t="str">
            <v>CORTE TALUDES PARA AMPLIACION</v>
          </cell>
          <cell r="C131" t="str">
            <v>M3</v>
          </cell>
          <cell r="D131">
            <v>1268</v>
          </cell>
          <cell r="E131">
            <v>1754</v>
          </cell>
          <cell r="F131">
            <v>1677</v>
          </cell>
          <cell r="G131">
            <v>1547</v>
          </cell>
          <cell r="H131">
            <v>1522</v>
          </cell>
          <cell r="I131">
            <v>1451</v>
          </cell>
          <cell r="J131">
            <v>1643</v>
          </cell>
          <cell r="K131">
            <v>1658</v>
          </cell>
        </row>
        <row r="132">
          <cell r="A132">
            <v>7210</v>
          </cell>
          <cell r="B132" t="str">
            <v>RELLENO DE SOCAVACIONES EN TERRAPLENES</v>
          </cell>
          <cell r="C132" t="str">
            <v>M3</v>
          </cell>
          <cell r="D132">
            <v>20549</v>
          </cell>
          <cell r="E132">
            <v>18870</v>
          </cell>
          <cell r="F132">
            <v>20498</v>
          </cell>
          <cell r="G132">
            <v>22751</v>
          </cell>
          <cell r="H132">
            <v>25871</v>
          </cell>
          <cell r="I132">
            <v>32163</v>
          </cell>
          <cell r="J132">
            <v>18474</v>
          </cell>
          <cell r="K132">
            <v>20549</v>
          </cell>
        </row>
        <row r="133">
          <cell r="A133">
            <v>7304</v>
          </cell>
          <cell r="B133" t="str">
            <v>DEFENSA METALICA - CORREA DOBLE</v>
          </cell>
          <cell r="C133" t="str">
            <v>M</v>
          </cell>
          <cell r="D133">
            <v>203941</v>
          </cell>
          <cell r="E133">
            <v>153282</v>
          </cell>
          <cell r="F133">
            <v>120842</v>
          </cell>
          <cell r="G133">
            <v>149409</v>
          </cell>
          <cell r="H133">
            <v>186820</v>
          </cell>
          <cell r="I133">
            <v>179382</v>
          </cell>
          <cell r="J133">
            <v>144516</v>
          </cell>
          <cell r="K133">
            <v>184660</v>
          </cell>
        </row>
        <row r="134">
          <cell r="A134">
            <v>7360</v>
          </cell>
          <cell r="B134" t="str">
            <v>ROCERIA Y DESMONTE MANUAL</v>
          </cell>
          <cell r="C134" t="str">
            <v>Ha</v>
          </cell>
          <cell r="D134">
            <v>233188</v>
          </cell>
          <cell r="E134">
            <v>305418</v>
          </cell>
          <cell r="F134">
            <v>260553</v>
          </cell>
          <cell r="G134">
            <v>260325</v>
          </cell>
          <cell r="H134">
            <v>229151</v>
          </cell>
          <cell r="I134">
            <v>203055</v>
          </cell>
          <cell r="J134">
            <v>225388</v>
          </cell>
          <cell r="K134">
            <v>213460</v>
          </cell>
        </row>
        <row r="135">
          <cell r="A135">
            <v>7370</v>
          </cell>
          <cell r="B135" t="str">
            <v>ROCERIA Y DESMONTE MECANICO</v>
          </cell>
          <cell r="C135" t="str">
            <v>Ha</v>
          </cell>
          <cell r="D135">
            <v>175500</v>
          </cell>
          <cell r="E135">
            <v>170658</v>
          </cell>
          <cell r="F135">
            <v>148850</v>
          </cell>
          <cell r="G135">
            <v>173225</v>
          </cell>
          <cell r="H135">
            <v>174038</v>
          </cell>
          <cell r="I135">
            <v>139315</v>
          </cell>
          <cell r="J135">
            <v>151613</v>
          </cell>
          <cell r="K135">
            <v>143000</v>
          </cell>
        </row>
        <row r="136">
          <cell r="A136">
            <v>7390</v>
          </cell>
          <cell r="B136" t="str">
            <v>PODA,CORTE,RETIRO DE ARBOLES</v>
          </cell>
          <cell r="C136" t="str">
            <v>U</v>
          </cell>
          <cell r="D136">
            <v>17537</v>
          </cell>
          <cell r="E136">
            <v>17615</v>
          </cell>
          <cell r="F136">
            <v>14544</v>
          </cell>
          <cell r="G136">
            <v>16169</v>
          </cell>
          <cell r="H136">
            <v>17473</v>
          </cell>
          <cell r="I136">
            <v>14450</v>
          </cell>
          <cell r="J136">
            <v>15395</v>
          </cell>
          <cell r="K136">
            <v>14287</v>
          </cell>
        </row>
        <row r="137">
          <cell r="A137">
            <v>7700</v>
          </cell>
          <cell r="B137" t="str">
            <v>INDICADORES ALINEAMINETO</v>
          </cell>
          <cell r="C137" t="str">
            <v>U</v>
          </cell>
          <cell r="D137">
            <v>85053</v>
          </cell>
          <cell r="E137">
            <v>110063</v>
          </cell>
          <cell r="F137">
            <v>91256</v>
          </cell>
          <cell r="G137">
            <v>105563</v>
          </cell>
          <cell r="H137">
            <v>119113</v>
          </cell>
          <cell r="I137">
            <v>125761</v>
          </cell>
          <cell r="J137">
            <v>118613</v>
          </cell>
          <cell r="K137">
            <v>117410</v>
          </cell>
        </row>
        <row r="138">
          <cell r="A138">
            <v>7750</v>
          </cell>
          <cell r="B138" t="str">
            <v>PINTURA - RENOVACION INDICACIONES MOJON</v>
          </cell>
          <cell r="C138" t="str">
            <v>U</v>
          </cell>
          <cell r="D138">
            <v>7076</v>
          </cell>
          <cell r="E138">
            <v>9991</v>
          </cell>
          <cell r="F138">
            <v>6159</v>
          </cell>
          <cell r="G138">
            <v>8518</v>
          </cell>
          <cell r="H138">
            <v>8524</v>
          </cell>
          <cell r="I138">
            <v>9902</v>
          </cell>
          <cell r="J138">
            <v>9442</v>
          </cell>
          <cell r="K138">
            <v>7398</v>
          </cell>
        </row>
        <row r="139">
          <cell r="A139">
            <v>7780</v>
          </cell>
          <cell r="B139" t="str">
            <v>LIMPIEZA DE SEÑALES Y MOJONES</v>
          </cell>
          <cell r="C139" t="str">
            <v>U</v>
          </cell>
          <cell r="D139">
            <v>4585</v>
          </cell>
          <cell r="E139">
            <v>6665</v>
          </cell>
          <cell r="F139">
            <v>4583</v>
          </cell>
          <cell r="G139">
            <v>5170</v>
          </cell>
          <cell r="H139">
            <v>4913</v>
          </cell>
          <cell r="I139">
            <v>5273</v>
          </cell>
          <cell r="J139">
            <v>3825</v>
          </cell>
          <cell r="K139">
            <v>4623</v>
          </cell>
        </row>
        <row r="140">
          <cell r="A140">
            <v>7860</v>
          </cell>
          <cell r="B140" t="str">
            <v>LIMPIEZA DEFENSA METALICA</v>
          </cell>
          <cell r="C140" t="str">
            <v>M</v>
          </cell>
          <cell r="D140">
            <v>2188</v>
          </cell>
          <cell r="E140">
            <v>1875</v>
          </cell>
          <cell r="F140">
            <v>1411</v>
          </cell>
          <cell r="G140">
            <v>2669</v>
          </cell>
          <cell r="H140">
            <v>1538</v>
          </cell>
          <cell r="I140">
            <v>1663</v>
          </cell>
          <cell r="J140">
            <v>1183</v>
          </cell>
          <cell r="K140">
            <v>1752</v>
          </cell>
        </row>
        <row r="141">
          <cell r="A141">
            <v>7900</v>
          </cell>
          <cell r="B141" t="str">
            <v>RETIRO CERCAS - ZONAS LATERALES</v>
          </cell>
          <cell r="C141" t="str">
            <v>M</v>
          </cell>
          <cell r="D141">
            <v>772</v>
          </cell>
          <cell r="E141">
            <v>1145</v>
          </cell>
          <cell r="F141">
            <v>927</v>
          </cell>
          <cell r="G141">
            <v>927</v>
          </cell>
          <cell r="H141">
            <v>733</v>
          </cell>
          <cell r="I141">
            <v>675</v>
          </cell>
          <cell r="J141">
            <v>657</v>
          </cell>
          <cell r="K141">
            <v>772</v>
          </cell>
        </row>
        <row r="142">
          <cell r="A142">
            <v>8150</v>
          </cell>
          <cell r="B142" t="str">
            <v>ARBORIZACION</v>
          </cell>
          <cell r="C142" t="str">
            <v>U</v>
          </cell>
          <cell r="D142">
            <v>10644</v>
          </cell>
          <cell r="E142">
            <v>12715</v>
          </cell>
          <cell r="F142">
            <v>12246</v>
          </cell>
          <cell r="G142">
            <v>11864</v>
          </cell>
          <cell r="H142">
            <v>10158</v>
          </cell>
          <cell r="I142">
            <v>8702</v>
          </cell>
          <cell r="J142">
            <v>10568</v>
          </cell>
          <cell r="K142">
            <v>8288</v>
          </cell>
        </row>
        <row r="143">
          <cell r="A143">
            <v>9400</v>
          </cell>
          <cell r="B143" t="str">
            <v>INSPECCION VISUAL CARRETERAS</v>
          </cell>
          <cell r="C143" t="str">
            <v>KM</v>
          </cell>
          <cell r="D143">
            <v>33735</v>
          </cell>
          <cell r="E143">
            <v>29205</v>
          </cell>
          <cell r="F143">
            <v>20865</v>
          </cell>
          <cell r="G143">
            <v>24861</v>
          </cell>
          <cell r="H143">
            <v>21970</v>
          </cell>
          <cell r="I143">
            <v>24912</v>
          </cell>
          <cell r="J143">
            <v>32825</v>
          </cell>
          <cell r="K143">
            <v>19825</v>
          </cell>
        </row>
      </sheetData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L. MAT."/>
      <sheetName val="A.BAS."/>
      <sheetName val="CUAD."/>
      <sheetName val="APU"/>
      <sheetName val="AUI"/>
      <sheetName val="C.FIN."/>
      <sheetName val="P.INV"/>
      <sheetName val="P.S."/>
      <sheetName val="P.INV.ANTIC.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3">
          <cell r="C33">
            <v>0.77967625899280601</v>
          </cell>
        </row>
      </sheetData>
      <sheetData sheetId="9"/>
      <sheetData sheetId="10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"/>
      <sheetName val="A.No.1 DIC19"/>
      <sheetName val="A.No.2 ENE20"/>
      <sheetName val="M&amp;M No.1"/>
      <sheetName val="A.No.3 FEB20"/>
      <sheetName val="MA3-1.1"/>
      <sheetName val="MA3-2.2"/>
      <sheetName val="MA3-2.3"/>
      <sheetName val="MA3-2.4"/>
      <sheetName val="A.No.4 MAR20"/>
      <sheetName val="MA4-2.4"/>
      <sheetName val="MA4-3.1"/>
      <sheetName val="A.No.5 ABR20"/>
      <sheetName val="A.No.6 MAY20"/>
      <sheetName val="A.No.7 JUN20"/>
      <sheetName val="MA7-3.1"/>
      <sheetName val="A.No.8 JUL20"/>
      <sheetName val="MA8-2.1"/>
      <sheetName val="MA8-2.2"/>
      <sheetName val="MA8-2.3"/>
      <sheetName val="MA8-4.3"/>
      <sheetName val="MA8-4.4"/>
      <sheetName val="TOT.4.5"/>
      <sheetName val="MA8-4.5(P)"/>
      <sheetName val="MA8-4.5(C)"/>
      <sheetName val="MA8-4.5(CB)"/>
      <sheetName val="MA8-4.6"/>
      <sheetName val="MC8-4.6"/>
      <sheetName val="MA8-6.1"/>
      <sheetName val="A.No.9 AGO20"/>
      <sheetName val="MA9-4.4"/>
      <sheetName val="MA9-4.6"/>
      <sheetName val="MC9-4.6"/>
      <sheetName val="A.No.10 SEP20"/>
      <sheetName val="MA10-4.4"/>
      <sheetName val="MA10-4.6"/>
      <sheetName val="LISTADO PLACAS"/>
      <sheetName val="MC10-4.6"/>
      <sheetName val="MA10-NP1"/>
      <sheetName val="MA10-NP2"/>
      <sheetName val="A.No.11 OCT20"/>
      <sheetName val="MA11-4.1"/>
      <sheetName val="MA11-4.2"/>
      <sheetName val="MA11-4.4"/>
      <sheetName val="MA11-4.6"/>
      <sheetName val="LISTADO PLACAS11"/>
      <sheetName val="MC11-4.6"/>
      <sheetName val="MA11-NP1"/>
      <sheetName val="MA11-NP2"/>
      <sheetName val="A.No.12 NOV20"/>
      <sheetName val="MA12-4.4"/>
      <sheetName val="MA12-4.6"/>
      <sheetName val="MC12-4.6"/>
      <sheetName val="LISTADO PLACAS12"/>
      <sheetName val="MA12-NP2"/>
      <sheetName val="A.No.13 DIC20"/>
      <sheetName val="MA13-4.1"/>
      <sheetName val="MA13-4.2"/>
      <sheetName val="MA13-4.7"/>
      <sheetName val="MA13-5.1"/>
      <sheetName val="MA13-5.2"/>
      <sheetName val="MA13-5.3"/>
      <sheetName val="MA13-5.4"/>
      <sheetName val="MA13-5.5"/>
      <sheetName val="MA13-NP2"/>
      <sheetName val="PPTO CO"/>
      <sheetName val="CRONOGRAMA"/>
      <sheetName val="FLUJO"/>
      <sheetName val="M&amp;M No.2"/>
      <sheetName val="PAGA INICIAL"/>
      <sheetName val="PAGA V2"/>
      <sheetName val="PMT"/>
      <sheetName val="ESTADO"/>
      <sheetName val="S24"/>
      <sheetName val="1.1"/>
      <sheetName val="2.1"/>
      <sheetName val="2.2"/>
      <sheetName val="2.3"/>
      <sheetName val="2.4"/>
      <sheetName val="3.1"/>
      <sheetName val="4.1"/>
      <sheetName val="4.2"/>
      <sheetName val="4.3"/>
      <sheetName val="4.4"/>
      <sheetName val="4.5"/>
      <sheetName val="4.6"/>
      <sheetName val="4.7"/>
      <sheetName val="5.1"/>
      <sheetName val="5.2"/>
      <sheetName val="5.3"/>
      <sheetName val="5.4"/>
      <sheetName val="5.5"/>
      <sheetName val="6.1"/>
      <sheetName val="CONC 3000 PSI"/>
      <sheetName val="CONC 4000 PSI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75">
          <cell r="C75" t="str">
            <v>.</v>
          </cell>
        </row>
      </sheetData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APU"/>
      <sheetName val="SUB APU"/>
      <sheetName val="INSUMOS"/>
      <sheetName val="RESUMEN PRESUPU."/>
      <sheetName val="AMAPOLITA"/>
      <sheetName val="amapolitaoficial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</sheetNames>
    <sheetDataSet>
      <sheetData sheetId="0"/>
      <sheetData sheetId="1"/>
      <sheetData sheetId="2">
        <row r="1">
          <cell r="A1" t="str">
            <v>CODIGO</v>
          </cell>
          <cell r="B1" t="str">
            <v>ITEM</v>
          </cell>
          <cell r="C1" t="str">
            <v>UNIDAD</v>
          </cell>
        </row>
        <row r="2">
          <cell r="A2" t="str">
            <v>Z100</v>
          </cell>
          <cell r="B2" t="str">
            <v>MORTERO 1:4</v>
          </cell>
          <cell r="C2" t="str">
            <v>M3</v>
          </cell>
          <cell r="D2">
            <v>181373</v>
          </cell>
        </row>
        <row r="3">
          <cell r="B3" t="str">
            <v>CODIGO</v>
          </cell>
          <cell r="C3" t="str">
            <v>Z100</v>
          </cell>
        </row>
        <row r="4">
          <cell r="A4" t="str">
            <v>CODIGO</v>
          </cell>
          <cell r="B4" t="str">
            <v>RECURSOS</v>
          </cell>
          <cell r="C4" t="str">
            <v>UNIDAD</v>
          </cell>
          <cell r="D4" t="str">
            <v>CANT.</v>
          </cell>
        </row>
        <row r="5">
          <cell r="B5" t="str">
            <v>MATERIALES</v>
          </cell>
        </row>
        <row r="6">
          <cell r="A6" t="str">
            <v>M010</v>
          </cell>
          <cell r="B6" t="str">
            <v>CEMENTO</v>
          </cell>
          <cell r="C6" t="str">
            <v>SACO</v>
          </cell>
          <cell r="D6">
            <v>7.3</v>
          </cell>
        </row>
        <row r="7">
          <cell r="A7" t="str">
            <v>M020</v>
          </cell>
          <cell r="B7" t="str">
            <v>AGUA</v>
          </cell>
          <cell r="C7" t="str">
            <v>LT</v>
          </cell>
          <cell r="D7">
            <v>212</v>
          </cell>
        </row>
        <row r="8">
          <cell r="A8" t="str">
            <v>M070</v>
          </cell>
          <cell r="B8" t="str">
            <v>ARENA DE PEGA</v>
          </cell>
          <cell r="C8" t="str">
            <v>M3</v>
          </cell>
          <cell r="D8">
            <v>1.4</v>
          </cell>
        </row>
        <row r="9">
          <cell r="B9">
            <v>0</v>
          </cell>
          <cell r="C9">
            <v>0</v>
          </cell>
        </row>
        <row r="11">
          <cell r="B11" t="str">
            <v>EQUIPO</v>
          </cell>
        </row>
        <row r="12">
          <cell r="B12" t="str">
            <v>HTA MENOR (5% de M. de O.)</v>
          </cell>
        </row>
        <row r="17">
          <cell r="B17" t="str">
            <v>MANO DE OBRA</v>
          </cell>
        </row>
        <row r="18">
          <cell r="A18" t="str">
            <v>O110</v>
          </cell>
          <cell r="B18" t="str">
            <v>1 OFIC. Y 1 AYUD.</v>
          </cell>
          <cell r="C18" t="str">
            <v>DIA</v>
          </cell>
          <cell r="D18">
            <v>0.4</v>
          </cell>
        </row>
        <row r="21">
          <cell r="A21">
            <v>0</v>
          </cell>
          <cell r="B21">
            <v>0</v>
          </cell>
          <cell r="C21">
            <v>0</v>
          </cell>
        </row>
        <row r="23">
          <cell r="B23" t="str">
            <v>TRANSPORTE</v>
          </cell>
        </row>
        <row r="27">
          <cell r="A27">
            <v>0</v>
          </cell>
          <cell r="B27">
            <v>0</v>
          </cell>
          <cell r="C27">
            <v>0</v>
          </cell>
        </row>
        <row r="31">
          <cell r="A31" t="str">
            <v>CODIGO</v>
          </cell>
          <cell r="B31" t="str">
            <v>ITEM</v>
          </cell>
          <cell r="C31" t="str">
            <v>UNIDAD</v>
          </cell>
        </row>
        <row r="32">
          <cell r="A32" t="str">
            <v>Z110</v>
          </cell>
          <cell r="B32" t="str">
            <v>MORTERO 1:5</v>
          </cell>
          <cell r="C32" t="str">
            <v>M3</v>
          </cell>
          <cell r="D32">
            <v>151123.875</v>
          </cell>
        </row>
        <row r="33">
          <cell r="B33" t="str">
            <v>CODIGO</v>
          </cell>
          <cell r="C33" t="str">
            <v>Z110</v>
          </cell>
        </row>
        <row r="34">
          <cell r="A34" t="str">
            <v>CODIGO</v>
          </cell>
          <cell r="B34" t="str">
            <v>RECURSOS</v>
          </cell>
          <cell r="C34" t="str">
            <v>UNIDAD</v>
          </cell>
          <cell r="D34" t="str">
            <v>CANT.</v>
          </cell>
        </row>
        <row r="35">
          <cell r="B35" t="str">
            <v>MATERIALES</v>
          </cell>
        </row>
        <row r="36">
          <cell r="A36" t="str">
            <v>M010</v>
          </cell>
          <cell r="B36" t="str">
            <v>CEMENTO</v>
          </cell>
          <cell r="C36" t="str">
            <v>SACO</v>
          </cell>
          <cell r="D36">
            <v>6</v>
          </cell>
        </row>
        <row r="37">
          <cell r="A37" t="str">
            <v>M020</v>
          </cell>
          <cell r="B37" t="str">
            <v>AGUA</v>
          </cell>
          <cell r="C37" t="str">
            <v>LT</v>
          </cell>
          <cell r="D37">
            <v>48</v>
          </cell>
        </row>
        <row r="38">
          <cell r="A38" t="str">
            <v>M070</v>
          </cell>
          <cell r="B38" t="str">
            <v>ARENA DE PEGA</v>
          </cell>
          <cell r="C38" t="str">
            <v>M3</v>
          </cell>
          <cell r="D38">
            <v>1.2</v>
          </cell>
        </row>
        <row r="39">
          <cell r="B39">
            <v>0</v>
          </cell>
          <cell r="C39">
            <v>0</v>
          </cell>
        </row>
        <row r="41">
          <cell r="B41" t="str">
            <v>EQUIPO</v>
          </cell>
        </row>
        <row r="42">
          <cell r="B42" t="str">
            <v>HTA MENOR (5% de M. de O.)</v>
          </cell>
        </row>
        <row r="44">
          <cell r="A44">
            <v>0</v>
          </cell>
          <cell r="B44">
            <v>0</v>
          </cell>
          <cell r="C44">
            <v>0</v>
          </cell>
        </row>
        <row r="46">
          <cell r="B46" t="str">
            <v>MANO DE OBRA</v>
          </cell>
        </row>
        <row r="47">
          <cell r="A47" t="str">
            <v>O110</v>
          </cell>
          <cell r="B47" t="str">
            <v>1 OFIC. Y 1 AYUD.</v>
          </cell>
          <cell r="C47" t="str">
            <v>DIA</v>
          </cell>
          <cell r="D47">
            <v>0.35</v>
          </cell>
        </row>
        <row r="49">
          <cell r="A49">
            <v>0</v>
          </cell>
          <cell r="B49">
            <v>0</v>
          </cell>
          <cell r="C49">
            <v>0</v>
          </cell>
        </row>
        <row r="51">
          <cell r="B51" t="str">
            <v>TRANSPORTE</v>
          </cell>
        </row>
        <row r="55">
          <cell r="A55">
            <v>0</v>
          </cell>
          <cell r="B55">
            <v>0</v>
          </cell>
          <cell r="C55">
            <v>0</v>
          </cell>
        </row>
        <row r="58">
          <cell r="A58" t="str">
            <v>CODIGO</v>
          </cell>
          <cell r="B58" t="str">
            <v>ITEM</v>
          </cell>
          <cell r="C58" t="str">
            <v>UNIDAD</v>
          </cell>
        </row>
        <row r="59">
          <cell r="A59" t="str">
            <v>Z120</v>
          </cell>
          <cell r="B59" t="str">
            <v>MORTERO 1:6</v>
          </cell>
          <cell r="C59" t="str">
            <v>M3</v>
          </cell>
          <cell r="D59">
            <v>145003.125</v>
          </cell>
        </row>
        <row r="60">
          <cell r="B60" t="str">
            <v>CODIGO</v>
          </cell>
          <cell r="C60" t="str">
            <v>Z120</v>
          </cell>
        </row>
        <row r="61">
          <cell r="A61" t="str">
            <v>CODIGO</v>
          </cell>
          <cell r="B61" t="str">
            <v>RECURSOS</v>
          </cell>
          <cell r="C61" t="str">
            <v>UNIDAD</v>
          </cell>
          <cell r="D61" t="str">
            <v>CANT.</v>
          </cell>
        </row>
        <row r="62">
          <cell r="B62" t="str">
            <v>MATERIALES</v>
          </cell>
        </row>
        <row r="63">
          <cell r="A63" t="str">
            <v>M010</v>
          </cell>
          <cell r="B63" t="str">
            <v>CEMENTO</v>
          </cell>
          <cell r="C63" t="str">
            <v>SACO</v>
          </cell>
          <cell r="D63">
            <v>5.25</v>
          </cell>
        </row>
        <row r="64">
          <cell r="A64" t="str">
            <v>M020</v>
          </cell>
          <cell r="B64" t="str">
            <v>AGUA</v>
          </cell>
          <cell r="C64" t="str">
            <v>LT</v>
          </cell>
          <cell r="D64">
            <v>233</v>
          </cell>
        </row>
        <row r="65">
          <cell r="A65" t="str">
            <v>M070</v>
          </cell>
          <cell r="B65" t="str">
            <v>ARENA DE PEGA</v>
          </cell>
          <cell r="C65" t="str">
            <v>M3</v>
          </cell>
          <cell r="D65">
            <v>1.2</v>
          </cell>
        </row>
        <row r="66">
          <cell r="B66">
            <v>0</v>
          </cell>
          <cell r="C66">
            <v>0</v>
          </cell>
        </row>
        <row r="68">
          <cell r="B68" t="str">
            <v>EQUIPO</v>
          </cell>
        </row>
        <row r="69">
          <cell r="B69" t="str">
            <v>HTA MENOR (5% de M. de O.)</v>
          </cell>
        </row>
        <row r="70">
          <cell r="A70">
            <v>0</v>
          </cell>
          <cell r="B70">
            <v>0</v>
          </cell>
          <cell r="C70">
            <v>0</v>
          </cell>
        </row>
        <row r="72">
          <cell r="B72" t="str">
            <v>MANO DE OBRA</v>
          </cell>
        </row>
        <row r="73">
          <cell r="A73" t="str">
            <v>O110</v>
          </cell>
          <cell r="B73" t="str">
            <v>1 OFIC. Y 1 AYUD.</v>
          </cell>
          <cell r="C73" t="str">
            <v>DIA</v>
          </cell>
          <cell r="D73">
            <v>0.45</v>
          </cell>
        </row>
        <row r="74">
          <cell r="A74">
            <v>0</v>
          </cell>
          <cell r="B74">
            <v>0</v>
          </cell>
          <cell r="C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</row>
        <row r="77">
          <cell r="B77" t="str">
            <v>TRANSPORTE</v>
          </cell>
        </row>
        <row r="79">
          <cell r="A79">
            <v>0</v>
          </cell>
          <cell r="B79">
            <v>0</v>
          </cell>
          <cell r="C79">
            <v>0</v>
          </cell>
        </row>
        <row r="80">
          <cell r="A80">
            <v>0</v>
          </cell>
          <cell r="B80">
            <v>0</v>
          </cell>
          <cell r="C80">
            <v>0</v>
          </cell>
        </row>
        <row r="81">
          <cell r="A81">
            <v>0</v>
          </cell>
          <cell r="B81">
            <v>0</v>
          </cell>
          <cell r="C81">
            <v>0</v>
          </cell>
        </row>
        <row r="86">
          <cell r="A86" t="str">
            <v>CODIGO</v>
          </cell>
          <cell r="B86" t="str">
            <v>ITEM</v>
          </cell>
          <cell r="C86" t="str">
            <v>UNIDAD</v>
          </cell>
        </row>
        <row r="87">
          <cell r="A87" t="str">
            <v>Z130</v>
          </cell>
          <cell r="B87" t="str">
            <v>MORTERO 1:7</v>
          </cell>
          <cell r="C87" t="str">
            <v>M3</v>
          </cell>
          <cell r="D87">
            <v>121172.625</v>
          </cell>
        </row>
        <row r="88">
          <cell r="B88" t="str">
            <v>CODIGO</v>
          </cell>
          <cell r="C88" t="str">
            <v>Z130</v>
          </cell>
        </row>
        <row r="89">
          <cell r="A89" t="str">
            <v>CODIGO</v>
          </cell>
          <cell r="B89" t="str">
            <v>RECURSOS</v>
          </cell>
          <cell r="C89" t="str">
            <v>UNIDAD</v>
          </cell>
          <cell r="D89" t="str">
            <v>CANT.</v>
          </cell>
        </row>
        <row r="90">
          <cell r="B90" t="str">
            <v>MATERIALES</v>
          </cell>
        </row>
        <row r="91">
          <cell r="A91" t="str">
            <v>M010</v>
          </cell>
          <cell r="B91" t="str">
            <v>CEMENTO</v>
          </cell>
          <cell r="C91" t="str">
            <v>SACO</v>
          </cell>
          <cell r="D91">
            <v>4.5</v>
          </cell>
        </row>
        <row r="92">
          <cell r="A92" t="str">
            <v>M020</v>
          </cell>
          <cell r="B92" t="str">
            <v>AGUA</v>
          </cell>
          <cell r="C92" t="str">
            <v>LT</v>
          </cell>
          <cell r="D92">
            <v>204</v>
          </cell>
        </row>
        <row r="93">
          <cell r="A93" t="str">
            <v>M070</v>
          </cell>
          <cell r="B93" t="str">
            <v>ARENA DE PEGA</v>
          </cell>
          <cell r="C93" t="str">
            <v>M3</v>
          </cell>
          <cell r="D93">
            <v>1.25</v>
          </cell>
        </row>
        <row r="94">
          <cell r="B94">
            <v>0</v>
          </cell>
          <cell r="C94">
            <v>0</v>
          </cell>
        </row>
        <row r="96">
          <cell r="B96" t="str">
            <v>EQUIPO</v>
          </cell>
        </row>
        <row r="97">
          <cell r="B97" t="str">
            <v>HTA MENOR (5% de M. de O.)</v>
          </cell>
        </row>
        <row r="98">
          <cell r="A98">
            <v>0</v>
          </cell>
          <cell r="B98">
            <v>0</v>
          </cell>
          <cell r="C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</row>
        <row r="100">
          <cell r="A100">
            <v>0</v>
          </cell>
          <cell r="B100">
            <v>0</v>
          </cell>
          <cell r="C100">
            <v>0</v>
          </cell>
        </row>
        <row r="102">
          <cell r="B102" t="str">
            <v>MANO DE OBRA</v>
          </cell>
        </row>
        <row r="103">
          <cell r="A103" t="str">
            <v>O110</v>
          </cell>
          <cell r="B103" t="str">
            <v>1 OFIC. Y 1 AYUD.</v>
          </cell>
          <cell r="C103" t="str">
            <v>DIA</v>
          </cell>
          <cell r="D103">
            <v>0.25</v>
          </cell>
        </row>
        <row r="104">
          <cell r="A104">
            <v>0</v>
          </cell>
          <cell r="B104">
            <v>0</v>
          </cell>
          <cell r="C104">
            <v>0</v>
          </cell>
        </row>
        <row r="105">
          <cell r="A105">
            <v>0</v>
          </cell>
          <cell r="B105">
            <v>0</v>
          </cell>
          <cell r="C105">
            <v>0</v>
          </cell>
        </row>
        <row r="106">
          <cell r="A106">
            <v>0</v>
          </cell>
          <cell r="B106">
            <v>0</v>
          </cell>
          <cell r="C106">
            <v>0</v>
          </cell>
        </row>
        <row r="108">
          <cell r="B108" t="str">
            <v>TRANSPORTE</v>
          </cell>
        </row>
        <row r="110">
          <cell r="A110">
            <v>0</v>
          </cell>
          <cell r="B110">
            <v>0</v>
          </cell>
          <cell r="C110">
            <v>0</v>
          </cell>
        </row>
        <row r="111">
          <cell r="A111">
            <v>0</v>
          </cell>
          <cell r="B111">
            <v>0</v>
          </cell>
          <cell r="C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</row>
        <row r="115">
          <cell r="A115" t="str">
            <v>CODIGO</v>
          </cell>
          <cell r="B115" t="str">
            <v>ITEM</v>
          </cell>
          <cell r="C115" t="str">
            <v>UNIDAD</v>
          </cell>
        </row>
        <row r="116">
          <cell r="A116" t="str">
            <v>Z140</v>
          </cell>
          <cell r="B116" t="str">
            <v>MORTERO REV.  1:3</v>
          </cell>
          <cell r="C116" t="str">
            <v>M3</v>
          </cell>
          <cell r="D116">
            <v>192469.5</v>
          </cell>
        </row>
        <row r="117">
          <cell r="B117" t="str">
            <v>CODIGO</v>
          </cell>
          <cell r="C117" t="str">
            <v>Z140</v>
          </cell>
        </row>
        <row r="118">
          <cell r="A118" t="str">
            <v>CODIGO</v>
          </cell>
          <cell r="B118" t="str">
            <v>RECURSOS</v>
          </cell>
          <cell r="C118" t="str">
            <v>UNIDAD</v>
          </cell>
          <cell r="D118" t="str">
            <v>CANT.</v>
          </cell>
        </row>
        <row r="119">
          <cell r="B119" t="str">
            <v>MATERIALES</v>
          </cell>
        </row>
        <row r="120">
          <cell r="A120" t="str">
            <v>M010</v>
          </cell>
          <cell r="B120" t="str">
            <v>CEMENTO</v>
          </cell>
          <cell r="C120" t="str">
            <v>SACO</v>
          </cell>
          <cell r="D120">
            <v>9</v>
          </cell>
        </row>
        <row r="121">
          <cell r="A121" t="str">
            <v>M020</v>
          </cell>
          <cell r="B121" t="str">
            <v>AGUA</v>
          </cell>
          <cell r="C121" t="str">
            <v>LT</v>
          </cell>
          <cell r="D121">
            <v>252</v>
          </cell>
        </row>
        <row r="122">
          <cell r="A122" t="str">
            <v>M050</v>
          </cell>
          <cell r="B122" t="str">
            <v xml:space="preserve">ARENA DE REVOQUE. </v>
          </cell>
          <cell r="C122" t="str">
            <v>M3</v>
          </cell>
          <cell r="D122">
            <v>1.1000000000000001</v>
          </cell>
        </row>
        <row r="123">
          <cell r="B123">
            <v>0</v>
          </cell>
          <cell r="C123">
            <v>0</v>
          </cell>
        </row>
        <row r="125">
          <cell r="B125" t="str">
            <v>EQUIPO</v>
          </cell>
        </row>
        <row r="126">
          <cell r="B126" t="str">
            <v>HTA MENOR (5% de M. de O.)</v>
          </cell>
        </row>
        <row r="127">
          <cell r="A127">
            <v>0</v>
          </cell>
          <cell r="B127">
            <v>0</v>
          </cell>
          <cell r="C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</row>
        <row r="129">
          <cell r="A129">
            <v>0</v>
          </cell>
          <cell r="B129">
            <v>0</v>
          </cell>
          <cell r="C129">
            <v>0</v>
          </cell>
        </row>
        <row r="131">
          <cell r="B131" t="str">
            <v>MANO DE OBRA</v>
          </cell>
        </row>
        <row r="132">
          <cell r="A132" t="str">
            <v>O110</v>
          </cell>
          <cell r="B132" t="str">
            <v>1 OFIC. Y 1 AYUD.</v>
          </cell>
          <cell r="C132" t="str">
            <v>DIA</v>
          </cell>
          <cell r="D132">
            <v>0.2</v>
          </cell>
        </row>
        <row r="133">
          <cell r="A133">
            <v>0</v>
          </cell>
          <cell r="B133">
            <v>0</v>
          </cell>
          <cell r="C133">
            <v>0</v>
          </cell>
        </row>
        <row r="134">
          <cell r="A134">
            <v>0</v>
          </cell>
          <cell r="B134">
            <v>0</v>
          </cell>
          <cell r="C134">
            <v>0</v>
          </cell>
        </row>
        <row r="135">
          <cell r="A135">
            <v>0</v>
          </cell>
          <cell r="B135">
            <v>0</v>
          </cell>
          <cell r="C135">
            <v>0</v>
          </cell>
        </row>
        <row r="137">
          <cell r="B137" t="str">
            <v>TRANSPORTE</v>
          </cell>
        </row>
        <row r="139">
          <cell r="A139">
            <v>0</v>
          </cell>
          <cell r="B139">
            <v>0</v>
          </cell>
          <cell r="C139">
            <v>0</v>
          </cell>
        </row>
        <row r="140">
          <cell r="A140">
            <v>0</v>
          </cell>
          <cell r="B140">
            <v>0</v>
          </cell>
          <cell r="C140">
            <v>0</v>
          </cell>
        </row>
        <row r="141">
          <cell r="A141">
            <v>0</v>
          </cell>
          <cell r="B141">
            <v>0</v>
          </cell>
          <cell r="C141">
            <v>0</v>
          </cell>
        </row>
        <row r="145">
          <cell r="A145" t="str">
            <v>CODIGO</v>
          </cell>
          <cell r="B145" t="str">
            <v>ITEM</v>
          </cell>
          <cell r="C145" t="str">
            <v>UNIDAD</v>
          </cell>
        </row>
        <row r="146">
          <cell r="A146" t="str">
            <v>Z150</v>
          </cell>
          <cell r="B146" t="str">
            <v>MORTERO REV.  1:4</v>
          </cell>
          <cell r="C146" t="str">
            <v>M3</v>
          </cell>
          <cell r="D146">
            <v>160884.5</v>
          </cell>
        </row>
        <row r="147">
          <cell r="B147" t="str">
            <v>CODIGO</v>
          </cell>
          <cell r="C147" t="str">
            <v>Z150</v>
          </cell>
        </row>
        <row r="148">
          <cell r="A148" t="str">
            <v>CODIGO</v>
          </cell>
          <cell r="B148" t="str">
            <v>RECURSOS</v>
          </cell>
          <cell r="C148" t="str">
            <v>UNIDAD</v>
          </cell>
          <cell r="D148" t="str">
            <v>CANT.</v>
          </cell>
        </row>
        <row r="149">
          <cell r="B149" t="str">
            <v>MATERIALES</v>
          </cell>
        </row>
        <row r="150">
          <cell r="A150" t="str">
            <v>M010</v>
          </cell>
          <cell r="B150" t="str">
            <v>CEMENTO</v>
          </cell>
          <cell r="C150" t="str">
            <v>SACO</v>
          </cell>
          <cell r="D150">
            <v>7</v>
          </cell>
        </row>
        <row r="151">
          <cell r="A151" t="str">
            <v>M020</v>
          </cell>
          <cell r="B151" t="str">
            <v>AGUA</v>
          </cell>
          <cell r="C151" t="str">
            <v>LT</v>
          </cell>
          <cell r="D151">
            <v>252</v>
          </cell>
        </row>
        <row r="152">
          <cell r="A152" t="str">
            <v>M050</v>
          </cell>
          <cell r="B152" t="str">
            <v xml:space="preserve">ARENA DE REVOQUE. </v>
          </cell>
          <cell r="C152" t="str">
            <v>M3</v>
          </cell>
          <cell r="D152">
            <v>1.2</v>
          </cell>
        </row>
        <row r="153">
          <cell r="B153">
            <v>0</v>
          </cell>
          <cell r="C153">
            <v>0</v>
          </cell>
        </row>
        <row r="155">
          <cell r="B155" t="str">
            <v>EQUIPO</v>
          </cell>
        </row>
        <row r="156">
          <cell r="B156" t="str">
            <v>HTA MENOR (5% de M. de O.)</v>
          </cell>
        </row>
        <row r="157">
          <cell r="A157">
            <v>0</v>
          </cell>
          <cell r="B157">
            <v>0</v>
          </cell>
          <cell r="C157">
            <v>0</v>
          </cell>
        </row>
        <row r="158">
          <cell r="A158">
            <v>0</v>
          </cell>
          <cell r="B158">
            <v>0</v>
          </cell>
          <cell r="C158">
            <v>0</v>
          </cell>
        </row>
        <row r="159">
          <cell r="A159">
            <v>0</v>
          </cell>
          <cell r="B159">
            <v>0</v>
          </cell>
          <cell r="C159">
            <v>0</v>
          </cell>
        </row>
        <row r="161">
          <cell r="B161" t="str">
            <v>MANO DE OBRA</v>
          </cell>
        </row>
        <row r="162">
          <cell r="A162" t="str">
            <v>O110</v>
          </cell>
          <cell r="B162" t="str">
            <v>1 OFIC. Y 1 AYUD.</v>
          </cell>
          <cell r="C162" t="str">
            <v>DIA</v>
          </cell>
          <cell r="D162">
            <v>0.2</v>
          </cell>
        </row>
        <row r="163">
          <cell r="A163">
            <v>0</v>
          </cell>
          <cell r="B163">
            <v>0</v>
          </cell>
          <cell r="C163">
            <v>0</v>
          </cell>
        </row>
        <row r="164">
          <cell r="A164">
            <v>0</v>
          </cell>
          <cell r="B164">
            <v>0</v>
          </cell>
          <cell r="C164">
            <v>0</v>
          </cell>
        </row>
        <row r="166">
          <cell r="B166" t="str">
            <v>TRANSPORTE</v>
          </cell>
        </row>
        <row r="168">
          <cell r="A168">
            <v>0</v>
          </cell>
          <cell r="B168">
            <v>0</v>
          </cell>
          <cell r="C168">
            <v>0</v>
          </cell>
        </row>
        <row r="169">
          <cell r="A169">
            <v>0</v>
          </cell>
          <cell r="B169">
            <v>0</v>
          </cell>
          <cell r="C169">
            <v>0</v>
          </cell>
        </row>
        <row r="173">
          <cell r="A173" t="str">
            <v>CODIGO</v>
          </cell>
          <cell r="B173" t="str">
            <v>ITEM</v>
          </cell>
          <cell r="C173" t="str">
            <v>UNIDAD</v>
          </cell>
        </row>
        <row r="174">
          <cell r="A174" t="str">
            <v>Z160</v>
          </cell>
          <cell r="B174" t="str">
            <v>MORTERO REV.  1:5</v>
          </cell>
          <cell r="C174" t="str">
            <v>M3</v>
          </cell>
          <cell r="D174">
            <v>139009.5</v>
          </cell>
        </row>
        <row r="175">
          <cell r="B175" t="str">
            <v>CODIGO</v>
          </cell>
          <cell r="C175" t="str">
            <v>Z160</v>
          </cell>
        </row>
        <row r="176">
          <cell r="A176" t="str">
            <v>CODIGO</v>
          </cell>
          <cell r="B176" t="str">
            <v>RECURSOS</v>
          </cell>
          <cell r="C176" t="str">
            <v>UNIDAD</v>
          </cell>
          <cell r="D176" t="str">
            <v>CANT.</v>
          </cell>
        </row>
        <row r="177">
          <cell r="B177" t="str">
            <v>MATERIALES</v>
          </cell>
        </row>
        <row r="178">
          <cell r="A178" t="str">
            <v>M010</v>
          </cell>
          <cell r="B178" t="str">
            <v>CEMENTO</v>
          </cell>
          <cell r="C178" t="str">
            <v>SACO</v>
          </cell>
          <cell r="D178">
            <v>6</v>
          </cell>
        </row>
        <row r="179">
          <cell r="A179" t="str">
            <v>M020</v>
          </cell>
          <cell r="B179" t="str">
            <v>AGUA</v>
          </cell>
          <cell r="C179" t="str">
            <v>LT</v>
          </cell>
          <cell r="D179">
            <v>237</v>
          </cell>
        </row>
        <row r="180">
          <cell r="A180" t="str">
            <v>M050</v>
          </cell>
          <cell r="B180" t="str">
            <v xml:space="preserve">ARENA DE REVOQUE. </v>
          </cell>
          <cell r="C180" t="str">
            <v>M3</v>
          </cell>
          <cell r="D180">
            <v>1</v>
          </cell>
        </row>
        <row r="181">
          <cell r="B181">
            <v>0</v>
          </cell>
          <cell r="C181">
            <v>0</v>
          </cell>
        </row>
        <row r="183">
          <cell r="B183" t="str">
            <v>EQUIPO</v>
          </cell>
        </row>
        <row r="184">
          <cell r="B184" t="str">
            <v>HTA MENOR (5% de M. de O.)</v>
          </cell>
        </row>
        <row r="185">
          <cell r="A185">
            <v>0</v>
          </cell>
          <cell r="B185">
            <v>0</v>
          </cell>
          <cell r="C185">
            <v>0</v>
          </cell>
        </row>
        <row r="186">
          <cell r="A186">
            <v>0</v>
          </cell>
          <cell r="B186">
            <v>0</v>
          </cell>
          <cell r="C186">
            <v>0</v>
          </cell>
        </row>
        <row r="187">
          <cell r="A187">
            <v>0</v>
          </cell>
          <cell r="B187">
            <v>0</v>
          </cell>
          <cell r="C187">
            <v>0</v>
          </cell>
        </row>
        <row r="189">
          <cell r="B189" t="str">
            <v>MANO DE OBRA</v>
          </cell>
        </row>
        <row r="190">
          <cell r="A190" t="str">
            <v>O110</v>
          </cell>
          <cell r="B190" t="str">
            <v>1 OFIC. Y 1 AYUD.</v>
          </cell>
          <cell r="C190" t="str">
            <v>DIA</v>
          </cell>
          <cell r="D190">
            <v>0.2</v>
          </cell>
        </row>
        <row r="191">
          <cell r="A191">
            <v>0</v>
          </cell>
          <cell r="B191">
            <v>0</v>
          </cell>
          <cell r="C191">
            <v>0</v>
          </cell>
        </row>
        <row r="192">
          <cell r="A192">
            <v>0</v>
          </cell>
          <cell r="B192">
            <v>0</v>
          </cell>
          <cell r="C192">
            <v>0</v>
          </cell>
        </row>
        <row r="193">
          <cell r="A193">
            <v>0</v>
          </cell>
          <cell r="B193">
            <v>0</v>
          </cell>
          <cell r="C193">
            <v>0</v>
          </cell>
        </row>
        <row r="195">
          <cell r="B195" t="str">
            <v>TRANSPORTE</v>
          </cell>
        </row>
        <row r="197">
          <cell r="A197">
            <v>0</v>
          </cell>
          <cell r="B197">
            <v>0</v>
          </cell>
          <cell r="C197">
            <v>0</v>
          </cell>
        </row>
        <row r="198">
          <cell r="A198">
            <v>0</v>
          </cell>
          <cell r="B198">
            <v>0</v>
          </cell>
          <cell r="C198">
            <v>0</v>
          </cell>
        </row>
        <row r="199">
          <cell r="A199">
            <v>0</v>
          </cell>
          <cell r="B199">
            <v>0</v>
          </cell>
          <cell r="C199">
            <v>0</v>
          </cell>
        </row>
        <row r="202">
          <cell r="A202" t="str">
            <v>CODIGO</v>
          </cell>
          <cell r="B202" t="str">
            <v>ITEM</v>
          </cell>
          <cell r="C202" t="str">
            <v>UNIDAD</v>
          </cell>
        </row>
        <row r="203">
          <cell r="A203" t="str">
            <v>Z170</v>
          </cell>
          <cell r="B203" t="str">
            <v>MORTERO REV.  1:6</v>
          </cell>
          <cell r="C203" t="str">
            <v>M3</v>
          </cell>
          <cell r="D203">
            <v>125409.5</v>
          </cell>
        </row>
        <row r="204">
          <cell r="B204" t="str">
            <v>CODIGO</v>
          </cell>
          <cell r="C204" t="str">
            <v>Z170</v>
          </cell>
        </row>
        <row r="205">
          <cell r="A205" t="str">
            <v>CODIGO</v>
          </cell>
          <cell r="B205" t="str">
            <v>RECURSOS</v>
          </cell>
          <cell r="C205" t="str">
            <v>UNIDAD</v>
          </cell>
          <cell r="D205" t="str">
            <v>CANT.</v>
          </cell>
        </row>
        <row r="206">
          <cell r="B206" t="str">
            <v>MATERIALES</v>
          </cell>
        </row>
        <row r="207">
          <cell r="A207" t="str">
            <v>M010</v>
          </cell>
          <cell r="B207" t="str">
            <v>CEMENTO</v>
          </cell>
          <cell r="C207" t="str">
            <v>SACO</v>
          </cell>
          <cell r="D207">
            <v>5.2</v>
          </cell>
        </row>
        <row r="208">
          <cell r="A208" t="str">
            <v>M020</v>
          </cell>
          <cell r="B208" t="str">
            <v>AGUA</v>
          </cell>
          <cell r="C208" t="str">
            <v>LT</v>
          </cell>
          <cell r="D208">
            <v>237</v>
          </cell>
        </row>
        <row r="209">
          <cell r="A209" t="str">
            <v>M050</v>
          </cell>
          <cell r="B209" t="str">
            <v xml:space="preserve">ARENA DE REVOQUE. </v>
          </cell>
          <cell r="C209" t="str">
            <v>M3</v>
          </cell>
          <cell r="D209">
            <v>1</v>
          </cell>
        </row>
        <row r="210">
          <cell r="B210">
            <v>0</v>
          </cell>
          <cell r="C210">
            <v>0</v>
          </cell>
        </row>
        <row r="212">
          <cell r="B212" t="str">
            <v>EQUIPO</v>
          </cell>
        </row>
        <row r="213">
          <cell r="B213" t="str">
            <v>HTA MENOR (5% de M. de O.)</v>
          </cell>
        </row>
        <row r="214">
          <cell r="A214">
            <v>0</v>
          </cell>
          <cell r="B214">
            <v>0</v>
          </cell>
          <cell r="C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</row>
        <row r="216">
          <cell r="A216">
            <v>0</v>
          </cell>
          <cell r="B216">
            <v>0</v>
          </cell>
          <cell r="C216">
            <v>0</v>
          </cell>
        </row>
        <row r="218">
          <cell r="B218" t="str">
            <v>MANO DE OBRA</v>
          </cell>
        </row>
        <row r="219">
          <cell r="A219" t="str">
            <v>O110</v>
          </cell>
          <cell r="B219" t="str">
            <v>1 OFIC. Y 1 AYUD.</v>
          </cell>
          <cell r="C219" t="str">
            <v>DIA</v>
          </cell>
          <cell r="D219">
            <v>0.2</v>
          </cell>
        </row>
        <row r="220">
          <cell r="A220">
            <v>0</v>
          </cell>
          <cell r="B220">
            <v>0</v>
          </cell>
          <cell r="C220">
            <v>0</v>
          </cell>
        </row>
        <row r="221">
          <cell r="A221">
            <v>0</v>
          </cell>
          <cell r="B221">
            <v>0</v>
          </cell>
          <cell r="C221">
            <v>0</v>
          </cell>
        </row>
        <row r="222">
          <cell r="A222">
            <v>0</v>
          </cell>
          <cell r="B222">
            <v>0</v>
          </cell>
          <cell r="C222">
            <v>0</v>
          </cell>
        </row>
        <row r="224">
          <cell r="B224" t="str">
            <v>TRANSPORTE</v>
          </cell>
        </row>
        <row r="226">
          <cell r="A226">
            <v>0</v>
          </cell>
          <cell r="B226">
            <v>0</v>
          </cell>
          <cell r="C226">
            <v>0</v>
          </cell>
        </row>
        <row r="227">
          <cell r="A227">
            <v>0</v>
          </cell>
          <cell r="B227">
            <v>0</v>
          </cell>
          <cell r="C227">
            <v>0</v>
          </cell>
        </row>
        <row r="230">
          <cell r="A230" t="str">
            <v>CODIGO</v>
          </cell>
          <cell r="B230" t="str">
            <v>ITEM</v>
          </cell>
          <cell r="C230" t="str">
            <v>UNIDAD</v>
          </cell>
        </row>
        <row r="231">
          <cell r="A231" t="str">
            <v>Z180</v>
          </cell>
          <cell r="B231" t="str">
            <v>MORTERO.  1:3</v>
          </cell>
          <cell r="C231" t="str">
            <v>M3</v>
          </cell>
          <cell r="D231">
            <v>194177.625</v>
          </cell>
        </row>
        <row r="232">
          <cell r="B232" t="str">
            <v>CODIGO</v>
          </cell>
          <cell r="C232" t="str">
            <v>Z180</v>
          </cell>
        </row>
        <row r="233">
          <cell r="A233" t="str">
            <v>CODIGO</v>
          </cell>
          <cell r="B233" t="str">
            <v>RECURSOS</v>
          </cell>
          <cell r="C233" t="str">
            <v>UNIDAD</v>
          </cell>
          <cell r="D233" t="str">
            <v>CANT.</v>
          </cell>
        </row>
        <row r="234">
          <cell r="B234" t="str">
            <v>MATERIALES</v>
          </cell>
        </row>
        <row r="235">
          <cell r="A235" t="str">
            <v>M010</v>
          </cell>
          <cell r="B235" t="str">
            <v>CEMENTO</v>
          </cell>
          <cell r="C235" t="str">
            <v>SACO</v>
          </cell>
          <cell r="D235">
            <v>9</v>
          </cell>
        </row>
        <row r="236">
          <cell r="A236" t="str">
            <v>M020</v>
          </cell>
          <cell r="B236" t="str">
            <v>AGUA</v>
          </cell>
          <cell r="C236" t="str">
            <v>LT</v>
          </cell>
          <cell r="D236">
            <v>40</v>
          </cell>
        </row>
        <row r="237">
          <cell r="A237" t="str">
            <v>M070</v>
          </cell>
          <cell r="B237" t="str">
            <v>ARENA DE PEGA</v>
          </cell>
          <cell r="C237" t="str">
            <v>M3</v>
          </cell>
          <cell r="D237">
            <v>1.1200000000000001</v>
          </cell>
        </row>
        <row r="238">
          <cell r="B238">
            <v>0</v>
          </cell>
          <cell r="C238">
            <v>0</v>
          </cell>
        </row>
        <row r="240">
          <cell r="B240" t="str">
            <v>EQUIPO</v>
          </cell>
        </row>
        <row r="241">
          <cell r="B241" t="str">
            <v>HTA MENOR (5% de M. de O.)</v>
          </cell>
        </row>
        <row r="242">
          <cell r="A242">
            <v>0</v>
          </cell>
          <cell r="B242">
            <v>0</v>
          </cell>
          <cell r="C242">
            <v>0</v>
          </cell>
        </row>
        <row r="243">
          <cell r="A243">
            <v>0</v>
          </cell>
          <cell r="B243">
            <v>0</v>
          </cell>
          <cell r="C243">
            <v>0</v>
          </cell>
        </row>
        <row r="244">
          <cell r="A244">
            <v>0</v>
          </cell>
          <cell r="B244">
            <v>0</v>
          </cell>
          <cell r="C244">
            <v>0</v>
          </cell>
        </row>
        <row r="246">
          <cell r="B246" t="str">
            <v>MANO DE OBRA</v>
          </cell>
        </row>
        <row r="247">
          <cell r="A247" t="str">
            <v>O110</v>
          </cell>
          <cell r="B247" t="str">
            <v>1 OFIC. Y 1 AYUD.</v>
          </cell>
          <cell r="C247" t="str">
            <v>DIA</v>
          </cell>
          <cell r="D247">
            <v>0.25</v>
          </cell>
        </row>
        <row r="248">
          <cell r="A248">
            <v>0</v>
          </cell>
          <cell r="B248">
            <v>0</v>
          </cell>
          <cell r="C248">
            <v>0</v>
          </cell>
        </row>
        <row r="249">
          <cell r="A249">
            <v>0</v>
          </cell>
          <cell r="B249">
            <v>0</v>
          </cell>
          <cell r="C249">
            <v>0</v>
          </cell>
        </row>
        <row r="250">
          <cell r="A250">
            <v>0</v>
          </cell>
          <cell r="B250">
            <v>0</v>
          </cell>
          <cell r="C250">
            <v>0</v>
          </cell>
        </row>
        <row r="252">
          <cell r="B252" t="str">
            <v>TRANSPORTE</v>
          </cell>
        </row>
        <row r="254">
          <cell r="A254">
            <v>0</v>
          </cell>
          <cell r="B254">
            <v>0</v>
          </cell>
          <cell r="C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</row>
        <row r="259">
          <cell r="A259" t="str">
            <v>CODIGO</v>
          </cell>
          <cell r="B259" t="str">
            <v>ITEM</v>
          </cell>
          <cell r="C259" t="str">
            <v>UNIDAD</v>
          </cell>
        </row>
        <row r="260">
          <cell r="A260" t="str">
            <v>Z190</v>
          </cell>
          <cell r="B260" t="str">
            <v>MORTERO  1:2</v>
          </cell>
          <cell r="C260" t="str">
            <v>M3</v>
          </cell>
          <cell r="D260">
            <v>247343.5</v>
          </cell>
        </row>
        <row r="261">
          <cell r="B261" t="str">
            <v>CODIGO</v>
          </cell>
          <cell r="C261" t="str">
            <v>Z190</v>
          </cell>
        </row>
        <row r="262">
          <cell r="A262" t="str">
            <v>CODIGO</v>
          </cell>
          <cell r="B262" t="str">
            <v>RECURSOS</v>
          </cell>
          <cell r="C262" t="str">
            <v>UNIDAD</v>
          </cell>
          <cell r="D262" t="str">
            <v>CANT.</v>
          </cell>
        </row>
        <row r="263">
          <cell r="B263" t="str">
            <v>MATERIALES</v>
          </cell>
        </row>
        <row r="264">
          <cell r="A264" t="str">
            <v>M010</v>
          </cell>
          <cell r="B264" t="str">
            <v>CEMENTO</v>
          </cell>
          <cell r="C264" t="str">
            <v>SACO</v>
          </cell>
          <cell r="D264">
            <v>12.5</v>
          </cell>
        </row>
        <row r="265">
          <cell r="A265" t="str">
            <v>M020</v>
          </cell>
          <cell r="B265" t="str">
            <v>AGUA</v>
          </cell>
          <cell r="C265" t="str">
            <v>LT</v>
          </cell>
          <cell r="D265">
            <v>250</v>
          </cell>
        </row>
        <row r="266">
          <cell r="A266" t="str">
            <v>M070</v>
          </cell>
          <cell r="B266" t="str">
            <v>ARENA DE PEGA</v>
          </cell>
          <cell r="C266" t="str">
            <v>M3</v>
          </cell>
          <cell r="D266">
            <v>0.95</v>
          </cell>
        </row>
        <row r="267">
          <cell r="B267">
            <v>0</v>
          </cell>
          <cell r="C267">
            <v>0</v>
          </cell>
        </row>
        <row r="269">
          <cell r="B269" t="str">
            <v>EQUIPO</v>
          </cell>
        </row>
        <row r="270">
          <cell r="B270" t="str">
            <v>HTA MENOR (5% de M. de O.)</v>
          </cell>
        </row>
        <row r="271">
          <cell r="A271">
            <v>0</v>
          </cell>
          <cell r="B271">
            <v>0</v>
          </cell>
          <cell r="C271">
            <v>0</v>
          </cell>
        </row>
        <row r="272">
          <cell r="A272">
            <v>0</v>
          </cell>
          <cell r="B272">
            <v>0</v>
          </cell>
          <cell r="C272">
            <v>0</v>
          </cell>
        </row>
        <row r="274">
          <cell r="B274" t="str">
            <v>MANO DE OBRA</v>
          </cell>
        </row>
        <row r="275">
          <cell r="A275" t="str">
            <v>O110</v>
          </cell>
          <cell r="B275" t="str">
            <v>1 OFIC. Y 1 AYUD.</v>
          </cell>
          <cell r="C275" t="str">
            <v>DIA</v>
          </cell>
          <cell r="D275">
            <v>0.2</v>
          </cell>
        </row>
        <row r="276">
          <cell r="A276">
            <v>0</v>
          </cell>
          <cell r="B276">
            <v>0</v>
          </cell>
          <cell r="C276">
            <v>0</v>
          </cell>
        </row>
        <row r="277">
          <cell r="A277">
            <v>0</v>
          </cell>
          <cell r="B277">
            <v>0</v>
          </cell>
          <cell r="C277">
            <v>0</v>
          </cell>
        </row>
        <row r="278">
          <cell r="A278">
            <v>0</v>
          </cell>
          <cell r="B278">
            <v>0</v>
          </cell>
          <cell r="C278">
            <v>0</v>
          </cell>
        </row>
        <row r="280">
          <cell r="B280" t="str">
            <v>TRANSPORTE</v>
          </cell>
        </row>
        <row r="282">
          <cell r="A282">
            <v>0</v>
          </cell>
          <cell r="B282">
            <v>0</v>
          </cell>
          <cell r="C282">
            <v>0</v>
          </cell>
        </row>
        <row r="283">
          <cell r="A283">
            <v>0</v>
          </cell>
          <cell r="B283">
            <v>0</v>
          </cell>
          <cell r="C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</row>
        <row r="288">
          <cell r="A288" t="str">
            <v>CODIGO</v>
          </cell>
          <cell r="B288" t="str">
            <v>ITEM</v>
          </cell>
          <cell r="C288" t="str">
            <v>UNIDAD</v>
          </cell>
        </row>
        <row r="289">
          <cell r="A289" t="str">
            <v>Z200</v>
          </cell>
          <cell r="B289" t="str">
            <v>CONCRETO f'c=140 kg/cm2</v>
          </cell>
          <cell r="C289" t="str">
            <v>M3</v>
          </cell>
          <cell r="D289">
            <v>158178</v>
          </cell>
        </row>
        <row r="290">
          <cell r="B290" t="str">
            <v>CODIGO</v>
          </cell>
          <cell r="C290" t="str">
            <v>Z200</v>
          </cell>
        </row>
        <row r="291">
          <cell r="A291" t="str">
            <v>CODIGO</v>
          </cell>
          <cell r="B291" t="str">
            <v>RECURSOS</v>
          </cell>
          <cell r="C291" t="str">
            <v>UNIDAD</v>
          </cell>
          <cell r="D291" t="str">
            <v>CANT.</v>
          </cell>
        </row>
        <row r="292">
          <cell r="B292" t="str">
            <v>MATERIALES</v>
          </cell>
        </row>
        <row r="293">
          <cell r="A293" t="str">
            <v>M010</v>
          </cell>
          <cell r="B293" t="str">
            <v>CEMENTO</v>
          </cell>
          <cell r="C293" t="str">
            <v>SACO</v>
          </cell>
          <cell r="D293">
            <v>5</v>
          </cell>
        </row>
        <row r="294">
          <cell r="A294" t="str">
            <v>M020</v>
          </cell>
          <cell r="B294" t="str">
            <v>AGUA</v>
          </cell>
          <cell r="C294" t="str">
            <v>LT</v>
          </cell>
          <cell r="D294">
            <v>40</v>
          </cell>
        </row>
        <row r="295">
          <cell r="A295" t="str">
            <v>M080</v>
          </cell>
          <cell r="B295" t="str">
            <v>ARENA PARA CONCRETO</v>
          </cell>
          <cell r="C295" t="str">
            <v>M3</v>
          </cell>
          <cell r="D295">
            <v>0.6</v>
          </cell>
        </row>
        <row r="296">
          <cell r="A296" t="str">
            <v>M240</v>
          </cell>
          <cell r="B296" t="str">
            <v>TRITURADO 1 1/2"</v>
          </cell>
          <cell r="C296" t="str">
            <v>M3</v>
          </cell>
          <cell r="D296">
            <v>0.92</v>
          </cell>
        </row>
        <row r="297">
          <cell r="B297">
            <v>0</v>
          </cell>
          <cell r="C297">
            <v>0</v>
          </cell>
        </row>
        <row r="299">
          <cell r="B299" t="str">
            <v>EQUIPO</v>
          </cell>
        </row>
        <row r="300">
          <cell r="B300" t="str">
            <v>HTA MENOR (5% de M. de O.)</v>
          </cell>
        </row>
        <row r="301">
          <cell r="A301" t="str">
            <v>E080</v>
          </cell>
          <cell r="B301" t="str">
            <v>CONCRETADORA 1 1/2 SACOS ELECT.</v>
          </cell>
          <cell r="C301" t="str">
            <v>DIA</v>
          </cell>
          <cell r="D301">
            <v>0.4</v>
          </cell>
        </row>
        <row r="302">
          <cell r="A302">
            <v>0</v>
          </cell>
          <cell r="B302">
            <v>0</v>
          </cell>
          <cell r="C302">
            <v>0</v>
          </cell>
        </row>
        <row r="303">
          <cell r="A303">
            <v>0</v>
          </cell>
          <cell r="B303">
            <v>0</v>
          </cell>
          <cell r="C303">
            <v>0</v>
          </cell>
        </row>
        <row r="305">
          <cell r="B305" t="str">
            <v>MANO DE OBRA</v>
          </cell>
        </row>
        <row r="306">
          <cell r="A306" t="str">
            <v>O030</v>
          </cell>
          <cell r="B306" t="str">
            <v>1 OFIC. Y 2 AYUD.</v>
          </cell>
          <cell r="C306" t="str">
            <v>DIA</v>
          </cell>
          <cell r="D306">
            <v>0.4</v>
          </cell>
        </row>
        <row r="307">
          <cell r="A307">
            <v>0</v>
          </cell>
          <cell r="B307">
            <v>0</v>
          </cell>
          <cell r="C307">
            <v>0</v>
          </cell>
        </row>
        <row r="308">
          <cell r="A308">
            <v>0</v>
          </cell>
          <cell r="B308">
            <v>0</v>
          </cell>
          <cell r="C308">
            <v>0</v>
          </cell>
        </row>
        <row r="309">
          <cell r="A309">
            <v>0</v>
          </cell>
          <cell r="B309">
            <v>0</v>
          </cell>
          <cell r="C309">
            <v>0</v>
          </cell>
        </row>
        <row r="311">
          <cell r="B311" t="str">
            <v>TRANSPORTE</v>
          </cell>
        </row>
        <row r="313">
          <cell r="A313">
            <v>0</v>
          </cell>
          <cell r="B313">
            <v>0</v>
          </cell>
          <cell r="C313">
            <v>0</v>
          </cell>
        </row>
        <row r="314">
          <cell r="A314">
            <v>0</v>
          </cell>
          <cell r="B314">
            <v>0</v>
          </cell>
          <cell r="C314">
            <v>0</v>
          </cell>
        </row>
        <row r="318">
          <cell r="A318" t="str">
            <v>CODIGO</v>
          </cell>
          <cell r="B318" t="str">
            <v>ITEM</v>
          </cell>
          <cell r="C318" t="str">
            <v>UNIDAD</v>
          </cell>
        </row>
        <row r="319">
          <cell r="A319" t="str">
            <v>Z210</v>
          </cell>
          <cell r="B319" t="str">
            <v>CONCRETO f'c=175 kg/cm2</v>
          </cell>
          <cell r="C319" t="str">
            <v>M3</v>
          </cell>
          <cell r="D319">
            <v>153121.5</v>
          </cell>
        </row>
        <row r="320">
          <cell r="B320" t="str">
            <v>CODIGO</v>
          </cell>
          <cell r="C320" t="str">
            <v>Z210</v>
          </cell>
        </row>
        <row r="321">
          <cell r="A321" t="str">
            <v>CODIGO</v>
          </cell>
          <cell r="B321" t="str">
            <v>RECURSOS</v>
          </cell>
          <cell r="C321" t="str">
            <v>UNIDAD</v>
          </cell>
          <cell r="D321" t="str">
            <v>CANT.</v>
          </cell>
        </row>
        <row r="322">
          <cell r="B322" t="str">
            <v>MATERIALES</v>
          </cell>
        </row>
        <row r="323">
          <cell r="A323" t="str">
            <v>M010</v>
          </cell>
          <cell r="B323" t="str">
            <v>CEMENTO</v>
          </cell>
          <cell r="C323" t="str">
            <v>SACO</v>
          </cell>
          <cell r="D323">
            <v>6</v>
          </cell>
        </row>
        <row r="324">
          <cell r="A324" t="str">
            <v>M020</v>
          </cell>
          <cell r="B324" t="str">
            <v>AGUA</v>
          </cell>
          <cell r="C324" t="str">
            <v>LT</v>
          </cell>
          <cell r="D324">
            <v>80</v>
          </cell>
        </row>
        <row r="325">
          <cell r="A325" t="str">
            <v>M080</v>
          </cell>
          <cell r="B325" t="str">
            <v>ARENA PARA CONCRETO</v>
          </cell>
          <cell r="C325" t="str">
            <v>M3</v>
          </cell>
          <cell r="D325">
            <v>0.67</v>
          </cell>
        </row>
        <row r="326">
          <cell r="A326" t="str">
            <v>M240</v>
          </cell>
          <cell r="B326" t="str">
            <v>TRITURADO 1 1/2"</v>
          </cell>
          <cell r="C326" t="str">
            <v>M3</v>
          </cell>
          <cell r="D326">
            <v>0.71499999999999997</v>
          </cell>
        </row>
        <row r="328">
          <cell r="B328" t="str">
            <v>EQUIPO</v>
          </cell>
        </row>
        <row r="329">
          <cell r="B329" t="str">
            <v>HTA MENOR (5% de M. de O.)</v>
          </cell>
        </row>
        <row r="330">
          <cell r="A330" t="str">
            <v>E080</v>
          </cell>
          <cell r="B330" t="str">
            <v>CONCRETADORA 1 1/2 SACOS ELECT.</v>
          </cell>
          <cell r="C330" t="str">
            <v>DIA</v>
          </cell>
          <cell r="D330">
            <v>0.2</v>
          </cell>
        </row>
        <row r="331">
          <cell r="A331">
            <v>0</v>
          </cell>
          <cell r="B331">
            <v>0</v>
          </cell>
          <cell r="C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</row>
        <row r="334">
          <cell r="B334" t="str">
            <v>MANO DE OBRA</v>
          </cell>
        </row>
        <row r="335">
          <cell r="A335" t="str">
            <v>O030</v>
          </cell>
          <cell r="B335" t="str">
            <v>1 OFIC. Y 2 AYUD.</v>
          </cell>
          <cell r="C335" t="str">
            <v>DIA</v>
          </cell>
          <cell r="D335">
            <v>0.2</v>
          </cell>
        </row>
        <row r="336">
          <cell r="B336">
            <v>0</v>
          </cell>
          <cell r="C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</row>
        <row r="339">
          <cell r="B339" t="str">
            <v>TRANSPORTE</v>
          </cell>
        </row>
        <row r="341">
          <cell r="A341">
            <v>0</v>
          </cell>
          <cell r="B341">
            <v>0</v>
          </cell>
          <cell r="C341">
            <v>0</v>
          </cell>
        </row>
        <row r="342">
          <cell r="A342">
            <v>0</v>
          </cell>
          <cell r="B342">
            <v>0</v>
          </cell>
          <cell r="C342">
            <v>0</v>
          </cell>
        </row>
        <row r="346">
          <cell r="A346" t="str">
            <v>CODIGO</v>
          </cell>
          <cell r="B346" t="str">
            <v>ITEM</v>
          </cell>
          <cell r="C346" t="str">
            <v>UNIDAD</v>
          </cell>
        </row>
        <row r="347">
          <cell r="A347" t="str">
            <v>Z220</v>
          </cell>
          <cell r="B347" t="str">
            <v>CONCRETO f'c=210 kg/cm2</v>
          </cell>
          <cell r="C347" t="str">
            <v>M3</v>
          </cell>
          <cell r="D347">
            <v>241508</v>
          </cell>
        </row>
        <row r="348">
          <cell r="B348" t="str">
            <v>CODIGO</v>
          </cell>
          <cell r="C348" t="str">
            <v>Z220</v>
          </cell>
        </row>
        <row r="349">
          <cell r="A349" t="str">
            <v>CODIGO</v>
          </cell>
          <cell r="B349" t="str">
            <v>RECURSOS</v>
          </cell>
          <cell r="C349" t="str">
            <v>UNIDAD</v>
          </cell>
          <cell r="D349" t="str">
            <v>CANT.</v>
          </cell>
        </row>
        <row r="350">
          <cell r="B350" t="str">
            <v>MATERIALES</v>
          </cell>
        </row>
        <row r="351">
          <cell r="A351" t="str">
            <v>M010</v>
          </cell>
          <cell r="B351" t="str">
            <v>CEMENTO</v>
          </cell>
          <cell r="C351" t="str">
            <v>SACO</v>
          </cell>
          <cell r="D351">
            <v>7.5</v>
          </cell>
        </row>
        <row r="352">
          <cell r="A352" t="str">
            <v>M020</v>
          </cell>
          <cell r="B352" t="str">
            <v>AGUA</v>
          </cell>
          <cell r="C352" t="str">
            <v>LT</v>
          </cell>
          <cell r="D352">
            <v>175</v>
          </cell>
        </row>
        <row r="353">
          <cell r="A353" t="str">
            <v>M080</v>
          </cell>
          <cell r="B353" t="str">
            <v>ARENA PARA CONCRETO</v>
          </cell>
          <cell r="C353" t="str">
            <v>M3</v>
          </cell>
          <cell r="D353">
            <v>1.1599999999999999</v>
          </cell>
        </row>
        <row r="354">
          <cell r="A354" t="str">
            <v>M250</v>
          </cell>
          <cell r="B354" t="str">
            <v>TRITURADO 1/2"</v>
          </cell>
          <cell r="C354" t="str">
            <v>M3</v>
          </cell>
          <cell r="D354">
            <v>1.1599999999999999</v>
          </cell>
        </row>
        <row r="356">
          <cell r="B356" t="str">
            <v>EQUIPO</v>
          </cell>
        </row>
        <row r="357">
          <cell r="B357" t="str">
            <v>HTA MENOR (5% de M. de O.)</v>
          </cell>
        </row>
        <row r="358">
          <cell r="A358" t="str">
            <v>E080</v>
          </cell>
          <cell r="B358" t="str">
            <v>CONCRETADORA 1 1/2 SACOS ELECT.</v>
          </cell>
          <cell r="C358" t="str">
            <v>DIA</v>
          </cell>
          <cell r="D358">
            <v>0.5</v>
          </cell>
        </row>
        <row r="359">
          <cell r="A359">
            <v>0</v>
          </cell>
          <cell r="B359">
            <v>0</v>
          </cell>
          <cell r="C359">
            <v>0</v>
          </cell>
        </row>
        <row r="360">
          <cell r="A360">
            <v>0</v>
          </cell>
          <cell r="B360">
            <v>0</v>
          </cell>
          <cell r="C360">
            <v>0</v>
          </cell>
        </row>
        <row r="362">
          <cell r="B362" t="str">
            <v>MANO DE OBRA</v>
          </cell>
        </row>
        <row r="363">
          <cell r="A363" t="str">
            <v>O030</v>
          </cell>
          <cell r="B363" t="str">
            <v>1 OFIC. Y 2 AYUD.</v>
          </cell>
          <cell r="C363" t="str">
            <v>DIA</v>
          </cell>
          <cell r="D363">
            <v>0.65</v>
          </cell>
        </row>
        <row r="364">
          <cell r="B364">
            <v>0</v>
          </cell>
          <cell r="C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</row>
        <row r="366">
          <cell r="A366">
            <v>0</v>
          </cell>
          <cell r="B366">
            <v>0</v>
          </cell>
          <cell r="C366">
            <v>0</v>
          </cell>
        </row>
        <row r="368">
          <cell r="B368" t="str">
            <v>TRANSPORTE</v>
          </cell>
        </row>
        <row r="370">
          <cell r="A370">
            <v>0</v>
          </cell>
          <cell r="B370">
            <v>0</v>
          </cell>
          <cell r="C370">
            <v>0</v>
          </cell>
        </row>
        <row r="371">
          <cell r="A371">
            <v>0</v>
          </cell>
          <cell r="B371">
            <v>0</v>
          </cell>
          <cell r="C371">
            <v>0</v>
          </cell>
        </row>
        <row r="374">
          <cell r="A374" t="str">
            <v>CODIGO</v>
          </cell>
          <cell r="B374" t="str">
            <v>ITEM</v>
          </cell>
          <cell r="C374" t="str">
            <v>UNIDAD</v>
          </cell>
        </row>
        <row r="375">
          <cell r="A375" t="str">
            <v>Z230</v>
          </cell>
          <cell r="B375" t="str">
            <v>CONCRETO f'c=250 kg/cm2</v>
          </cell>
          <cell r="C375" t="str">
            <v>M3</v>
          </cell>
          <cell r="D375">
            <v>245808</v>
          </cell>
        </row>
        <row r="376">
          <cell r="B376" t="str">
            <v>CODIGO</v>
          </cell>
          <cell r="C376" t="str">
            <v>Z230</v>
          </cell>
        </row>
        <row r="377">
          <cell r="A377" t="str">
            <v>CODIGO</v>
          </cell>
          <cell r="B377" t="str">
            <v>RECURSOS</v>
          </cell>
          <cell r="C377" t="str">
            <v>UNIDAD</v>
          </cell>
          <cell r="D377" t="str">
            <v>CANT.</v>
          </cell>
        </row>
        <row r="378">
          <cell r="B378" t="str">
            <v>MATERIALES</v>
          </cell>
        </row>
        <row r="379">
          <cell r="A379" t="str">
            <v>M010</v>
          </cell>
          <cell r="B379" t="str">
            <v>CEMENTO</v>
          </cell>
          <cell r="C379" t="str">
            <v>SACO</v>
          </cell>
          <cell r="D379">
            <v>9</v>
          </cell>
        </row>
        <row r="380">
          <cell r="A380" t="str">
            <v>M020</v>
          </cell>
          <cell r="B380" t="str">
            <v>AGUA</v>
          </cell>
          <cell r="C380" t="str">
            <v>LT</v>
          </cell>
          <cell r="D380">
            <v>200</v>
          </cell>
        </row>
        <row r="381">
          <cell r="A381" t="str">
            <v>M080</v>
          </cell>
          <cell r="B381" t="str">
            <v>ARENA PARA CONCRETO</v>
          </cell>
          <cell r="C381" t="str">
            <v>M3</v>
          </cell>
          <cell r="D381">
            <v>0.7</v>
          </cell>
        </row>
        <row r="382">
          <cell r="A382" t="str">
            <v>M240</v>
          </cell>
          <cell r="B382" t="str">
            <v>TRITURADO 1 1/2"</v>
          </cell>
          <cell r="C382" t="str">
            <v>M3</v>
          </cell>
          <cell r="D382">
            <v>0.7</v>
          </cell>
        </row>
        <row r="384">
          <cell r="B384" t="str">
            <v>EQUIPO</v>
          </cell>
        </row>
        <row r="385">
          <cell r="B385" t="str">
            <v>HTA MENOR (5% de M. de O.)</v>
          </cell>
        </row>
        <row r="386">
          <cell r="A386" t="str">
            <v>E080</v>
          </cell>
          <cell r="B386" t="str">
            <v>CONCRETADORA 1 1/2 SACOS ELECT.</v>
          </cell>
          <cell r="C386" t="str">
            <v>DIA</v>
          </cell>
          <cell r="D386">
            <v>0.5</v>
          </cell>
        </row>
        <row r="387">
          <cell r="A387">
            <v>0</v>
          </cell>
          <cell r="B387">
            <v>0</v>
          </cell>
          <cell r="C387">
            <v>0</v>
          </cell>
        </row>
        <row r="388">
          <cell r="A388">
            <v>0</v>
          </cell>
          <cell r="B388">
            <v>0</v>
          </cell>
          <cell r="C388">
            <v>0</v>
          </cell>
        </row>
        <row r="390">
          <cell r="B390" t="str">
            <v>MANO DE OBRA</v>
          </cell>
        </row>
        <row r="391">
          <cell r="A391" t="str">
            <v>O030</v>
          </cell>
          <cell r="B391" t="str">
            <v>1 OFIC. Y 2 AYUD.</v>
          </cell>
          <cell r="C391" t="str">
            <v>DIA</v>
          </cell>
          <cell r="D391">
            <v>0.65</v>
          </cell>
        </row>
        <row r="392">
          <cell r="A392">
            <v>0</v>
          </cell>
          <cell r="B392">
            <v>0</v>
          </cell>
          <cell r="C392">
            <v>0</v>
          </cell>
        </row>
        <row r="393">
          <cell r="A393">
            <v>0</v>
          </cell>
          <cell r="B393">
            <v>0</v>
          </cell>
          <cell r="C393">
            <v>0</v>
          </cell>
        </row>
        <row r="394">
          <cell r="A394">
            <v>0</v>
          </cell>
          <cell r="B394">
            <v>0</v>
          </cell>
          <cell r="C394">
            <v>0</v>
          </cell>
        </row>
        <row r="396">
          <cell r="B396" t="str">
            <v>TRANSPORTE</v>
          </cell>
        </row>
        <row r="398">
          <cell r="A398">
            <v>0</v>
          </cell>
          <cell r="B398">
            <v>0</v>
          </cell>
          <cell r="C398">
            <v>0</v>
          </cell>
        </row>
        <row r="399">
          <cell r="A399">
            <v>0</v>
          </cell>
          <cell r="B399">
            <v>0</v>
          </cell>
          <cell r="C399">
            <v>0</v>
          </cell>
        </row>
        <row r="400">
          <cell r="A400">
            <v>0</v>
          </cell>
          <cell r="B400">
            <v>0</v>
          </cell>
          <cell r="C400">
            <v>0</v>
          </cell>
        </row>
        <row r="404">
          <cell r="A404" t="str">
            <v>CODIGO</v>
          </cell>
          <cell r="B404" t="str">
            <v>ITEM</v>
          </cell>
          <cell r="C404" t="str">
            <v>UNIDAD</v>
          </cell>
        </row>
        <row r="405">
          <cell r="A405" t="str">
            <v>Z240</v>
          </cell>
          <cell r="B405" t="str">
            <v>MORTERO REV.  1:8</v>
          </cell>
          <cell r="C405" t="str">
            <v>M3</v>
          </cell>
          <cell r="D405">
            <v>113573</v>
          </cell>
        </row>
        <row r="406">
          <cell r="B406" t="str">
            <v>CODIGO</v>
          </cell>
          <cell r="C406" t="str">
            <v>Z240</v>
          </cell>
        </row>
        <row r="407">
          <cell r="A407" t="str">
            <v>CODIGO</v>
          </cell>
          <cell r="B407" t="str">
            <v>RECURSOS</v>
          </cell>
          <cell r="C407" t="str">
            <v>UNIDAD</v>
          </cell>
          <cell r="D407" t="str">
            <v>CANT.</v>
          </cell>
        </row>
        <row r="408">
          <cell r="B408" t="str">
            <v>MATERIALES</v>
          </cell>
        </row>
        <row r="409">
          <cell r="A409" t="str">
            <v>M010</v>
          </cell>
          <cell r="B409" t="str">
            <v>CEMENTO</v>
          </cell>
          <cell r="C409" t="str">
            <v>SACO</v>
          </cell>
          <cell r="D409">
            <v>4</v>
          </cell>
        </row>
        <row r="410">
          <cell r="A410" t="str">
            <v>M020</v>
          </cell>
          <cell r="B410" t="str">
            <v>AGUA</v>
          </cell>
          <cell r="C410" t="str">
            <v>LT</v>
          </cell>
          <cell r="D410">
            <v>204</v>
          </cell>
        </row>
        <row r="411">
          <cell r="A411" t="str">
            <v>M080</v>
          </cell>
          <cell r="B411" t="str">
            <v>ARENA PARA CONCRETO</v>
          </cell>
          <cell r="C411" t="str">
            <v>M3</v>
          </cell>
          <cell r="D411">
            <v>1.25</v>
          </cell>
        </row>
        <row r="412">
          <cell r="B412">
            <v>0</v>
          </cell>
          <cell r="C412">
            <v>0</v>
          </cell>
        </row>
        <row r="414">
          <cell r="B414" t="str">
            <v>EQUIPO</v>
          </cell>
        </row>
        <row r="415">
          <cell r="B415" t="str">
            <v>HTA MENOR (5% de M. de O.)</v>
          </cell>
        </row>
        <row r="416">
          <cell r="A416">
            <v>0</v>
          </cell>
          <cell r="B416">
            <v>0</v>
          </cell>
          <cell r="C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</row>
        <row r="418">
          <cell r="A418">
            <v>0</v>
          </cell>
          <cell r="B418">
            <v>0</v>
          </cell>
          <cell r="C418">
            <v>0</v>
          </cell>
        </row>
        <row r="420">
          <cell r="B420" t="str">
            <v>MANO DE OBRA</v>
          </cell>
        </row>
        <row r="421">
          <cell r="A421" t="str">
            <v>O110</v>
          </cell>
          <cell r="B421" t="str">
            <v>1 OFIC. Y 1 AYUD.</v>
          </cell>
          <cell r="C421" t="str">
            <v>DIA</v>
          </cell>
          <cell r="D421">
            <v>0.2</v>
          </cell>
        </row>
        <row r="422">
          <cell r="A422">
            <v>0</v>
          </cell>
          <cell r="B422">
            <v>0</v>
          </cell>
          <cell r="C422">
            <v>0</v>
          </cell>
        </row>
        <row r="423">
          <cell r="A423">
            <v>0</v>
          </cell>
          <cell r="B423">
            <v>0</v>
          </cell>
          <cell r="C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</row>
        <row r="426">
          <cell r="B426" t="str">
            <v>TRANSPORTE</v>
          </cell>
        </row>
        <row r="428">
          <cell r="A428">
            <v>0</v>
          </cell>
          <cell r="B428">
            <v>0</v>
          </cell>
          <cell r="C428">
            <v>0</v>
          </cell>
        </row>
        <row r="429">
          <cell r="A429">
            <v>0</v>
          </cell>
          <cell r="B429">
            <v>0</v>
          </cell>
          <cell r="C429">
            <v>0</v>
          </cell>
        </row>
        <row r="432">
          <cell r="A432" t="str">
            <v>CODIGO</v>
          </cell>
          <cell r="B432" t="str">
            <v>ITEM</v>
          </cell>
          <cell r="C432" t="str">
            <v>UNIDAD</v>
          </cell>
        </row>
        <row r="433">
          <cell r="A433" t="str">
            <v>Z250</v>
          </cell>
          <cell r="B433" t="str">
            <v>MORTERO REV.  1:10</v>
          </cell>
          <cell r="C433" t="str">
            <v>M3</v>
          </cell>
          <cell r="D433">
            <v>99973</v>
          </cell>
        </row>
        <row r="434">
          <cell r="B434" t="str">
            <v>CODIGO</v>
          </cell>
          <cell r="C434" t="str">
            <v>Z250</v>
          </cell>
        </row>
        <row r="435">
          <cell r="A435" t="str">
            <v>CODIGO</v>
          </cell>
          <cell r="B435" t="str">
            <v>RECURSOS</v>
          </cell>
          <cell r="C435" t="str">
            <v>UNIDAD</v>
          </cell>
          <cell r="D435" t="str">
            <v>CANT.</v>
          </cell>
        </row>
        <row r="436">
          <cell r="B436" t="str">
            <v>MATERIALES</v>
          </cell>
        </row>
        <row r="437">
          <cell r="A437" t="str">
            <v>M010</v>
          </cell>
          <cell r="B437" t="str">
            <v>CEMENTO</v>
          </cell>
          <cell r="C437" t="str">
            <v>SACO</v>
          </cell>
          <cell r="D437">
            <v>3.2</v>
          </cell>
        </row>
        <row r="438">
          <cell r="A438" t="str">
            <v>M020</v>
          </cell>
          <cell r="B438" t="str">
            <v>AGUA</v>
          </cell>
          <cell r="C438" t="str">
            <v>LT</v>
          </cell>
          <cell r="D438">
            <v>204</v>
          </cell>
        </row>
        <row r="439">
          <cell r="A439" t="str">
            <v>M080</v>
          </cell>
          <cell r="B439" t="str">
            <v>ARENA PARA CONCRETO</v>
          </cell>
          <cell r="C439" t="str">
            <v>M3</v>
          </cell>
          <cell r="D439">
            <v>1.25</v>
          </cell>
        </row>
        <row r="440">
          <cell r="B440">
            <v>0</v>
          </cell>
          <cell r="C440">
            <v>0</v>
          </cell>
        </row>
        <row r="442">
          <cell r="B442" t="str">
            <v>EQUIPO</v>
          </cell>
        </row>
        <row r="443">
          <cell r="B443" t="str">
            <v>HTA MENOR (5% de M. de O.)</v>
          </cell>
        </row>
        <row r="444">
          <cell r="A444">
            <v>0</v>
          </cell>
          <cell r="B444">
            <v>0</v>
          </cell>
          <cell r="C444">
            <v>0</v>
          </cell>
        </row>
        <row r="445">
          <cell r="A445">
            <v>0</v>
          </cell>
          <cell r="B445">
            <v>0</v>
          </cell>
          <cell r="C445">
            <v>0</v>
          </cell>
        </row>
        <row r="446">
          <cell r="A446">
            <v>0</v>
          </cell>
          <cell r="B446">
            <v>0</v>
          </cell>
          <cell r="C446">
            <v>0</v>
          </cell>
        </row>
        <row r="448">
          <cell r="B448" t="str">
            <v>MANO DE OBRA</v>
          </cell>
        </row>
        <row r="449">
          <cell r="A449" t="str">
            <v>O110</v>
          </cell>
          <cell r="B449" t="str">
            <v>1 OFIC. Y 1 AYUD.</v>
          </cell>
          <cell r="C449" t="str">
            <v>DIA</v>
          </cell>
          <cell r="D449">
            <v>0.2</v>
          </cell>
        </row>
        <row r="450">
          <cell r="A450">
            <v>0</v>
          </cell>
          <cell r="B450">
            <v>0</v>
          </cell>
          <cell r="C450">
            <v>0</v>
          </cell>
        </row>
        <row r="451">
          <cell r="A451">
            <v>0</v>
          </cell>
          <cell r="B451">
            <v>0</v>
          </cell>
          <cell r="C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</row>
        <row r="454">
          <cell r="B454" t="str">
            <v>TRANSPORTE</v>
          </cell>
        </row>
        <row r="456">
          <cell r="A456">
            <v>0</v>
          </cell>
          <cell r="B456">
            <v>0</v>
          </cell>
          <cell r="C456">
            <v>0</v>
          </cell>
        </row>
        <row r="457">
          <cell r="A457">
            <v>0</v>
          </cell>
          <cell r="B457">
            <v>0</v>
          </cell>
          <cell r="C457">
            <v>0</v>
          </cell>
        </row>
        <row r="458">
          <cell r="A458">
            <v>0</v>
          </cell>
          <cell r="B458">
            <v>0</v>
          </cell>
          <cell r="C458">
            <v>0</v>
          </cell>
        </row>
        <row r="462">
          <cell r="A462" t="str">
            <v>CODIGO</v>
          </cell>
          <cell r="B462" t="str">
            <v>ITEM</v>
          </cell>
          <cell r="C462" t="str">
            <v>UNIDAD</v>
          </cell>
        </row>
        <row r="463">
          <cell r="A463" t="str">
            <v>Z260</v>
          </cell>
          <cell r="B463" t="str">
            <v>MORTERO REV.  1:12</v>
          </cell>
          <cell r="C463" t="str">
            <v>M3</v>
          </cell>
          <cell r="D463">
            <v>92311.5</v>
          </cell>
        </row>
        <row r="464">
          <cell r="B464" t="str">
            <v>CODIGO</v>
          </cell>
          <cell r="C464" t="str">
            <v>Z260</v>
          </cell>
        </row>
        <row r="465">
          <cell r="A465" t="str">
            <v>CODIGO</v>
          </cell>
          <cell r="B465" t="str">
            <v>RECURSOS</v>
          </cell>
          <cell r="C465" t="str">
            <v>UNIDAD</v>
          </cell>
          <cell r="D465" t="str">
            <v>CANT.</v>
          </cell>
        </row>
        <row r="466">
          <cell r="B466" t="str">
            <v>MATERIALES</v>
          </cell>
        </row>
        <row r="467">
          <cell r="A467" t="str">
            <v>M010</v>
          </cell>
          <cell r="B467" t="str">
            <v>CEMENTO</v>
          </cell>
          <cell r="C467" t="str">
            <v>SACO</v>
          </cell>
          <cell r="D467">
            <v>2.7</v>
          </cell>
        </row>
        <row r="468">
          <cell r="A468" t="str">
            <v>M020</v>
          </cell>
          <cell r="B468" t="str">
            <v>AGUA</v>
          </cell>
          <cell r="C468" t="str">
            <v>LT</v>
          </cell>
          <cell r="D468">
            <v>46</v>
          </cell>
        </row>
        <row r="469">
          <cell r="A469" t="str">
            <v>M080</v>
          </cell>
          <cell r="B469" t="str">
            <v>ARENA PARA CONCRETO</v>
          </cell>
          <cell r="C469" t="str">
            <v>M3</v>
          </cell>
          <cell r="D469">
            <v>1.3</v>
          </cell>
        </row>
        <row r="470">
          <cell r="B470">
            <v>0</v>
          </cell>
          <cell r="C470">
            <v>0</v>
          </cell>
        </row>
        <row r="472">
          <cell r="B472" t="str">
            <v>EQUIPO</v>
          </cell>
        </row>
        <row r="473">
          <cell r="B473" t="str">
            <v>HTA MENOR (5% de M. de O.)</v>
          </cell>
        </row>
        <row r="474">
          <cell r="A474">
            <v>0</v>
          </cell>
          <cell r="B474">
            <v>0</v>
          </cell>
          <cell r="C474">
            <v>0</v>
          </cell>
        </row>
        <row r="475">
          <cell r="A475">
            <v>0</v>
          </cell>
          <cell r="B475">
            <v>0</v>
          </cell>
          <cell r="C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</row>
        <row r="478">
          <cell r="B478" t="str">
            <v>MANO DE OBRA</v>
          </cell>
        </row>
        <row r="479">
          <cell r="A479" t="str">
            <v>O110</v>
          </cell>
          <cell r="B479" t="str">
            <v>1 OFIC. Y 1 AYUD.</v>
          </cell>
          <cell r="C479" t="str">
            <v>DIA</v>
          </cell>
          <cell r="D479">
            <v>0.2</v>
          </cell>
        </row>
        <row r="480">
          <cell r="A480">
            <v>0</v>
          </cell>
          <cell r="B480">
            <v>0</v>
          </cell>
          <cell r="C480">
            <v>0</v>
          </cell>
        </row>
        <row r="481">
          <cell r="A481">
            <v>0</v>
          </cell>
          <cell r="B481">
            <v>0</v>
          </cell>
          <cell r="C481">
            <v>0</v>
          </cell>
        </row>
        <row r="482">
          <cell r="A482">
            <v>0</v>
          </cell>
          <cell r="B482">
            <v>0</v>
          </cell>
          <cell r="C482">
            <v>0</v>
          </cell>
        </row>
        <row r="484">
          <cell r="B484" t="str">
            <v>TRANSPORTE</v>
          </cell>
        </row>
        <row r="486">
          <cell r="A486">
            <v>0</v>
          </cell>
          <cell r="B486">
            <v>0</v>
          </cell>
          <cell r="C486">
            <v>0</v>
          </cell>
        </row>
        <row r="487">
          <cell r="A487">
            <v>0</v>
          </cell>
          <cell r="B487">
            <v>0</v>
          </cell>
          <cell r="C487">
            <v>0</v>
          </cell>
        </row>
        <row r="488">
          <cell r="A488">
            <v>0</v>
          </cell>
          <cell r="B488">
            <v>0</v>
          </cell>
          <cell r="C488">
            <v>0</v>
          </cell>
        </row>
        <row r="493">
          <cell r="A493" t="str">
            <v>CODIGO</v>
          </cell>
          <cell r="B493" t="str">
            <v>ITEM</v>
          </cell>
          <cell r="C493" t="str">
            <v>UNIDAD</v>
          </cell>
        </row>
        <row r="494">
          <cell r="A494" t="str">
            <v>Z300</v>
          </cell>
          <cell r="B494" t="str">
            <v>MARCO METÁLICO MURO 10  - 0.60-1.00 M</v>
          </cell>
          <cell r="C494" t="str">
            <v>UN.</v>
          </cell>
          <cell r="D494">
            <v>38325</v>
          </cell>
        </row>
        <row r="495">
          <cell r="B495" t="str">
            <v>CODIGO</v>
          </cell>
          <cell r="C495" t="str">
            <v>Z300</v>
          </cell>
        </row>
        <row r="496">
          <cell r="A496" t="str">
            <v>CODIGO</v>
          </cell>
          <cell r="B496" t="str">
            <v>RECURSOS</v>
          </cell>
          <cell r="C496" t="str">
            <v>UNIDAD</v>
          </cell>
          <cell r="D496" t="str">
            <v>CANT.</v>
          </cell>
        </row>
        <row r="497">
          <cell r="B497" t="str">
            <v>MATERIALES</v>
          </cell>
        </row>
        <row r="498">
          <cell r="A498" t="str">
            <v>M1310</v>
          </cell>
          <cell r="B498" t="str">
            <v>LAMINA DOBLADA MARCO METALICO MURO 1O</v>
          </cell>
          <cell r="C498" t="str">
            <v>UN</v>
          </cell>
          <cell r="D498">
            <v>1</v>
          </cell>
        </row>
        <row r="499">
          <cell r="A499" t="str">
            <v>M1270</v>
          </cell>
          <cell r="B499" t="str">
            <v>ANTICORROSIVO GRIS</v>
          </cell>
          <cell r="C499" t="str">
            <v>GLN</v>
          </cell>
          <cell r="D499">
            <v>2.5000000000000001E-2</v>
          </cell>
        </row>
        <row r="500">
          <cell r="B500">
            <v>0</v>
          </cell>
          <cell r="C500">
            <v>0</v>
          </cell>
        </row>
        <row r="501">
          <cell r="B501">
            <v>0</v>
          </cell>
          <cell r="C501">
            <v>0</v>
          </cell>
        </row>
        <row r="503">
          <cell r="B503" t="str">
            <v>EQUIPO</v>
          </cell>
        </row>
        <row r="504">
          <cell r="B504" t="str">
            <v>HTA MENOR (5% de M. de O.)</v>
          </cell>
        </row>
        <row r="505">
          <cell r="A505">
            <v>0</v>
          </cell>
          <cell r="B505">
            <v>0</v>
          </cell>
          <cell r="C505">
            <v>0</v>
          </cell>
        </row>
        <row r="506">
          <cell r="A506">
            <v>0</v>
          </cell>
          <cell r="B506">
            <v>0</v>
          </cell>
          <cell r="C506">
            <v>0</v>
          </cell>
        </row>
        <row r="507">
          <cell r="A507">
            <v>0</v>
          </cell>
          <cell r="B507">
            <v>0</v>
          </cell>
          <cell r="C507">
            <v>0</v>
          </cell>
        </row>
        <row r="509">
          <cell r="B509" t="str">
            <v>MANO DE OBRA</v>
          </cell>
        </row>
        <row r="510">
          <cell r="A510" t="str">
            <v>M161</v>
          </cell>
          <cell r="B510" t="str">
            <v>M. DE O. CERRAJERO</v>
          </cell>
          <cell r="C510" t="str">
            <v>HR</v>
          </cell>
          <cell r="D510">
            <v>0.5</v>
          </cell>
        </row>
        <row r="511">
          <cell r="A511">
            <v>0</v>
          </cell>
          <cell r="B511">
            <v>0</v>
          </cell>
          <cell r="C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</row>
        <row r="513">
          <cell r="A513">
            <v>0</v>
          </cell>
          <cell r="B513">
            <v>0</v>
          </cell>
          <cell r="C513">
            <v>0</v>
          </cell>
        </row>
        <row r="515">
          <cell r="B515" t="str">
            <v>TRANSPORTE</v>
          </cell>
        </row>
        <row r="517">
          <cell r="A517">
            <v>0</v>
          </cell>
          <cell r="B517">
            <v>0</v>
          </cell>
          <cell r="C517">
            <v>0</v>
          </cell>
        </row>
        <row r="518">
          <cell r="A518">
            <v>0</v>
          </cell>
          <cell r="B518">
            <v>0</v>
          </cell>
          <cell r="C518">
            <v>0</v>
          </cell>
        </row>
        <row r="519">
          <cell r="A519">
            <v>0</v>
          </cell>
          <cell r="B519">
            <v>0</v>
          </cell>
          <cell r="C519">
            <v>0</v>
          </cell>
        </row>
        <row r="524">
          <cell r="A524" t="str">
            <v>CODIGO</v>
          </cell>
          <cell r="B524" t="str">
            <v>ITEM</v>
          </cell>
          <cell r="C524" t="str">
            <v>UNIDAD</v>
          </cell>
        </row>
        <row r="525">
          <cell r="A525" t="str">
            <v>Z310</v>
          </cell>
          <cell r="B525" t="str">
            <v>MARCO METÁLICO MURO 15  - 0.60-1.00 M</v>
          </cell>
          <cell r="C525" t="str">
            <v>UN.</v>
          </cell>
          <cell r="D525">
            <v>41185</v>
          </cell>
        </row>
        <row r="526">
          <cell r="B526" t="str">
            <v>CODIGO</v>
          </cell>
          <cell r="C526" t="str">
            <v>Z300</v>
          </cell>
        </row>
        <row r="527">
          <cell r="A527" t="str">
            <v>CODIGO</v>
          </cell>
          <cell r="B527" t="str">
            <v>RECURSOS</v>
          </cell>
          <cell r="C527" t="str">
            <v>UNIDAD</v>
          </cell>
          <cell r="D527" t="str">
            <v>CANT.</v>
          </cell>
        </row>
        <row r="528">
          <cell r="B528" t="str">
            <v>MATERIALES</v>
          </cell>
        </row>
        <row r="529">
          <cell r="A529" t="str">
            <v>M1311</v>
          </cell>
          <cell r="B529" t="str">
            <v>LAMINA DOBLADA MARCO METALICO MURO 15</v>
          </cell>
          <cell r="C529" t="str">
            <v>UN</v>
          </cell>
          <cell r="D529">
            <v>1</v>
          </cell>
        </row>
        <row r="530">
          <cell r="A530" t="str">
            <v>M1270</v>
          </cell>
          <cell r="B530" t="str">
            <v>ANTICORROSIVO GRIS</v>
          </cell>
          <cell r="C530" t="str">
            <v>GLN</v>
          </cell>
          <cell r="D530">
            <v>0.02</v>
          </cell>
        </row>
        <row r="531">
          <cell r="B531">
            <v>0</v>
          </cell>
          <cell r="C531">
            <v>0</v>
          </cell>
        </row>
        <row r="532">
          <cell r="B532">
            <v>0</v>
          </cell>
          <cell r="C532">
            <v>0</v>
          </cell>
        </row>
        <row r="534">
          <cell r="B534" t="str">
            <v>EQUIPO</v>
          </cell>
        </row>
        <row r="535">
          <cell r="B535" t="str">
            <v>HTA MENOR (5% de M. de O.)</v>
          </cell>
        </row>
        <row r="536">
          <cell r="A536">
            <v>0</v>
          </cell>
          <cell r="B536">
            <v>0</v>
          </cell>
          <cell r="C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</row>
        <row r="538">
          <cell r="A538">
            <v>0</v>
          </cell>
          <cell r="B538">
            <v>0</v>
          </cell>
          <cell r="C538">
            <v>0</v>
          </cell>
        </row>
        <row r="540">
          <cell r="B540" t="str">
            <v>MANO DE OBRA</v>
          </cell>
        </row>
        <row r="541">
          <cell r="A541" t="str">
            <v>M161</v>
          </cell>
          <cell r="B541" t="str">
            <v>M. DE O. CERRAJERO</v>
          </cell>
          <cell r="C541" t="str">
            <v>HR</v>
          </cell>
          <cell r="D541">
            <v>0.5</v>
          </cell>
        </row>
        <row r="542">
          <cell r="A542">
            <v>0</v>
          </cell>
          <cell r="B542">
            <v>0</v>
          </cell>
          <cell r="C542">
            <v>0</v>
          </cell>
        </row>
        <row r="543">
          <cell r="A543">
            <v>0</v>
          </cell>
          <cell r="B543">
            <v>0</v>
          </cell>
          <cell r="C543">
            <v>0</v>
          </cell>
        </row>
        <row r="544">
          <cell r="A544">
            <v>0</v>
          </cell>
          <cell r="B544">
            <v>0</v>
          </cell>
          <cell r="C544">
            <v>0</v>
          </cell>
        </row>
        <row r="546">
          <cell r="B546" t="str">
            <v>TRANSPORTE</v>
          </cell>
        </row>
        <row r="548">
          <cell r="A548">
            <v>0</v>
          </cell>
          <cell r="B548">
            <v>0</v>
          </cell>
          <cell r="C548">
            <v>0</v>
          </cell>
        </row>
        <row r="549">
          <cell r="A549">
            <v>0</v>
          </cell>
          <cell r="B549">
            <v>0</v>
          </cell>
          <cell r="C549">
            <v>0</v>
          </cell>
        </row>
        <row r="550">
          <cell r="A550">
            <v>0</v>
          </cell>
          <cell r="B550">
            <v>0</v>
          </cell>
          <cell r="C550">
            <v>0</v>
          </cell>
        </row>
        <row r="555">
          <cell r="A555" t="str">
            <v>CODIGO</v>
          </cell>
          <cell r="B555" t="str">
            <v>ITEM</v>
          </cell>
          <cell r="C555" t="str">
            <v>UNIDAD</v>
          </cell>
        </row>
        <row r="556">
          <cell r="A556" t="str">
            <v>Z330</v>
          </cell>
          <cell r="B556" t="str">
            <v>MARCO METÁLICO MURO 20  - 0.60-1.00 M</v>
          </cell>
          <cell r="C556" t="str">
            <v>UN.</v>
          </cell>
          <cell r="D556">
            <v>45965</v>
          </cell>
        </row>
        <row r="557">
          <cell r="B557" t="str">
            <v>CODIGO</v>
          </cell>
          <cell r="C557" t="str">
            <v>Z300</v>
          </cell>
        </row>
        <row r="558">
          <cell r="A558" t="str">
            <v>CODIGO</v>
          </cell>
          <cell r="B558" t="str">
            <v>RECURSOS</v>
          </cell>
          <cell r="C558" t="str">
            <v>UNIDAD</v>
          </cell>
          <cell r="D558" t="str">
            <v>CANT.</v>
          </cell>
        </row>
        <row r="559">
          <cell r="B559" t="str">
            <v>MATERIALES</v>
          </cell>
        </row>
        <row r="560">
          <cell r="A560" t="str">
            <v>M1312</v>
          </cell>
          <cell r="B560" t="str">
            <v>LAMINA DOBLADA MARCO METALICO MURO 20</v>
          </cell>
          <cell r="C560" t="str">
            <v>UN</v>
          </cell>
          <cell r="D560">
            <v>1</v>
          </cell>
        </row>
        <row r="561">
          <cell r="A561" t="str">
            <v>M1270</v>
          </cell>
          <cell r="B561" t="str">
            <v>ANTICORROSIVO GRIS</v>
          </cell>
          <cell r="C561" t="str">
            <v>GLN</v>
          </cell>
          <cell r="D561">
            <v>0.03</v>
          </cell>
        </row>
        <row r="562">
          <cell r="B562">
            <v>0</v>
          </cell>
          <cell r="C562">
            <v>0</v>
          </cell>
        </row>
        <row r="563">
          <cell r="B563">
            <v>0</v>
          </cell>
          <cell r="C563">
            <v>0</v>
          </cell>
        </row>
        <row r="565">
          <cell r="B565" t="str">
            <v>EQUIPO</v>
          </cell>
        </row>
        <row r="566">
          <cell r="B566" t="str">
            <v>HTA MENOR (5% de M. de O.)</v>
          </cell>
        </row>
        <row r="567">
          <cell r="A567">
            <v>0</v>
          </cell>
          <cell r="B567">
            <v>0</v>
          </cell>
          <cell r="C567">
            <v>0</v>
          </cell>
        </row>
        <row r="568">
          <cell r="A568">
            <v>0</v>
          </cell>
          <cell r="B568">
            <v>0</v>
          </cell>
          <cell r="C568">
            <v>0</v>
          </cell>
        </row>
        <row r="569">
          <cell r="A569">
            <v>0</v>
          </cell>
          <cell r="B569">
            <v>0</v>
          </cell>
          <cell r="C569">
            <v>0</v>
          </cell>
        </row>
        <row r="571">
          <cell r="B571" t="str">
            <v>MANO DE OBRA</v>
          </cell>
        </row>
        <row r="572">
          <cell r="A572" t="str">
            <v>M161</v>
          </cell>
          <cell r="B572" t="str">
            <v>M. DE O. CERRAJERO</v>
          </cell>
          <cell r="C572" t="str">
            <v>HR</v>
          </cell>
          <cell r="D572">
            <v>0.5</v>
          </cell>
        </row>
        <row r="573">
          <cell r="A573">
            <v>0</v>
          </cell>
          <cell r="B573">
            <v>0</v>
          </cell>
          <cell r="C573">
            <v>0</v>
          </cell>
        </row>
        <row r="574">
          <cell r="A574">
            <v>0</v>
          </cell>
          <cell r="B574">
            <v>0</v>
          </cell>
          <cell r="C574">
            <v>0</v>
          </cell>
        </row>
        <row r="575">
          <cell r="A575">
            <v>0</v>
          </cell>
          <cell r="B575">
            <v>0</v>
          </cell>
          <cell r="C575">
            <v>0</v>
          </cell>
        </row>
        <row r="577">
          <cell r="B577" t="str">
            <v>TRANSPORTE</v>
          </cell>
        </row>
        <row r="579">
          <cell r="A579">
            <v>0</v>
          </cell>
          <cell r="B579">
            <v>0</v>
          </cell>
          <cell r="C579">
            <v>0</v>
          </cell>
        </row>
        <row r="580">
          <cell r="A580">
            <v>0</v>
          </cell>
          <cell r="B580">
            <v>0</v>
          </cell>
          <cell r="C580">
            <v>0</v>
          </cell>
        </row>
        <row r="581">
          <cell r="A581">
            <v>0</v>
          </cell>
          <cell r="B581">
            <v>0</v>
          </cell>
          <cell r="C581">
            <v>0</v>
          </cell>
        </row>
        <row r="617">
          <cell r="A617" t="str">
            <v>CODIGO</v>
          </cell>
          <cell r="B617" t="str">
            <v>ITEM</v>
          </cell>
          <cell r="C617" t="str">
            <v>UNIDAD</v>
          </cell>
        </row>
        <row r="618">
          <cell r="D618">
            <v>0</v>
          </cell>
        </row>
        <row r="619">
          <cell r="B619" t="str">
            <v>CODIGO</v>
          </cell>
        </row>
        <row r="620">
          <cell r="A620" t="str">
            <v>CODIGO</v>
          </cell>
          <cell r="B620" t="str">
            <v>RECURSOS</v>
          </cell>
          <cell r="C620" t="str">
            <v>UNIDAD</v>
          </cell>
          <cell r="D620" t="str">
            <v>CANT.</v>
          </cell>
        </row>
        <row r="621">
          <cell r="B621" t="str">
            <v>MATERIALES</v>
          </cell>
        </row>
        <row r="622">
          <cell r="B622">
            <v>0</v>
          </cell>
          <cell r="C622">
            <v>0</v>
          </cell>
        </row>
        <row r="623">
          <cell r="B623">
            <v>0</v>
          </cell>
          <cell r="C623">
            <v>0</v>
          </cell>
        </row>
        <row r="624">
          <cell r="B624">
            <v>0</v>
          </cell>
          <cell r="C624">
            <v>0</v>
          </cell>
        </row>
        <row r="625">
          <cell r="B625">
            <v>0</v>
          </cell>
          <cell r="C625">
            <v>0</v>
          </cell>
        </row>
        <row r="627">
          <cell r="B627" t="str">
            <v>EQUIPO</v>
          </cell>
        </row>
        <row r="628">
          <cell r="B628" t="str">
            <v>HTA MENOR (5% de M. de O.)</v>
          </cell>
        </row>
        <row r="629">
          <cell r="A629">
            <v>0</v>
          </cell>
          <cell r="B629">
            <v>0</v>
          </cell>
          <cell r="C629">
            <v>0</v>
          </cell>
        </row>
        <row r="630">
          <cell r="A630">
            <v>0</v>
          </cell>
          <cell r="B630">
            <v>0</v>
          </cell>
          <cell r="C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</row>
        <row r="633">
          <cell r="B633" t="str">
            <v>MANO DE OBRA</v>
          </cell>
        </row>
        <row r="634">
          <cell r="B634">
            <v>0</v>
          </cell>
          <cell r="C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</row>
        <row r="637">
          <cell r="A637">
            <v>0</v>
          </cell>
          <cell r="B637">
            <v>0</v>
          </cell>
          <cell r="C637">
            <v>0</v>
          </cell>
        </row>
        <row r="639">
          <cell r="B639" t="str">
            <v>TRANSPORTE</v>
          </cell>
        </row>
        <row r="641">
          <cell r="A641">
            <v>0</v>
          </cell>
          <cell r="B641">
            <v>0</v>
          </cell>
          <cell r="C641">
            <v>0</v>
          </cell>
        </row>
        <row r="642">
          <cell r="A642">
            <v>0</v>
          </cell>
          <cell r="B642">
            <v>0</v>
          </cell>
          <cell r="C642">
            <v>0</v>
          </cell>
        </row>
        <row r="643">
          <cell r="A643">
            <v>0</v>
          </cell>
          <cell r="B643">
            <v>0</v>
          </cell>
          <cell r="C643">
            <v>0</v>
          </cell>
        </row>
        <row r="648">
          <cell r="A648" t="str">
            <v>CODIGO</v>
          </cell>
          <cell r="B648" t="str">
            <v>ITEM</v>
          </cell>
          <cell r="C648" t="str">
            <v>UNIDAD</v>
          </cell>
        </row>
        <row r="649">
          <cell r="D649">
            <v>0</v>
          </cell>
        </row>
        <row r="650">
          <cell r="B650" t="str">
            <v>CODIGO</v>
          </cell>
        </row>
        <row r="651">
          <cell r="A651" t="str">
            <v>CODIGO</v>
          </cell>
          <cell r="B651" t="str">
            <v>RECURSOS</v>
          </cell>
          <cell r="C651" t="str">
            <v>UNIDAD</v>
          </cell>
          <cell r="D651" t="str">
            <v>CANT.</v>
          </cell>
        </row>
        <row r="652">
          <cell r="B652" t="str">
            <v>MATERIALES</v>
          </cell>
        </row>
        <row r="653">
          <cell r="B653">
            <v>0</v>
          </cell>
          <cell r="C653">
            <v>0</v>
          </cell>
        </row>
        <row r="654">
          <cell r="B654">
            <v>0</v>
          </cell>
          <cell r="C654">
            <v>0</v>
          </cell>
        </row>
        <row r="655">
          <cell r="B655">
            <v>0</v>
          </cell>
          <cell r="C655">
            <v>0</v>
          </cell>
        </row>
        <row r="656">
          <cell r="B656">
            <v>0</v>
          </cell>
          <cell r="C656">
            <v>0</v>
          </cell>
        </row>
        <row r="658">
          <cell r="B658" t="str">
            <v>EQUIPO</v>
          </cell>
        </row>
        <row r="659">
          <cell r="B659" t="str">
            <v>HTA MENOR (5% de M. de O.)</v>
          </cell>
        </row>
        <row r="660">
          <cell r="A660">
            <v>0</v>
          </cell>
          <cell r="B660">
            <v>0</v>
          </cell>
          <cell r="C660">
            <v>0</v>
          </cell>
        </row>
        <row r="661">
          <cell r="A661">
            <v>0</v>
          </cell>
          <cell r="B661">
            <v>0</v>
          </cell>
          <cell r="C661">
            <v>0</v>
          </cell>
        </row>
        <row r="662">
          <cell r="A662">
            <v>0</v>
          </cell>
          <cell r="B662">
            <v>0</v>
          </cell>
          <cell r="C662">
            <v>0</v>
          </cell>
        </row>
        <row r="664">
          <cell r="B664" t="str">
            <v>MANO DE OBRA</v>
          </cell>
        </row>
        <row r="665">
          <cell r="B665">
            <v>0</v>
          </cell>
          <cell r="C665">
            <v>0</v>
          </cell>
        </row>
        <row r="666">
          <cell r="A666">
            <v>0</v>
          </cell>
          <cell r="B666">
            <v>0</v>
          </cell>
          <cell r="C666">
            <v>0</v>
          </cell>
        </row>
        <row r="667">
          <cell r="A667">
            <v>0</v>
          </cell>
          <cell r="B667">
            <v>0</v>
          </cell>
          <cell r="C667">
            <v>0</v>
          </cell>
        </row>
        <row r="668">
          <cell r="A668">
            <v>0</v>
          </cell>
          <cell r="B668">
            <v>0</v>
          </cell>
          <cell r="C668">
            <v>0</v>
          </cell>
        </row>
        <row r="670">
          <cell r="B670" t="str">
            <v>TRANSPORTE</v>
          </cell>
        </row>
        <row r="672">
          <cell r="A672">
            <v>0</v>
          </cell>
          <cell r="B672">
            <v>0</v>
          </cell>
          <cell r="C672">
            <v>0</v>
          </cell>
        </row>
        <row r="673">
          <cell r="A673">
            <v>0</v>
          </cell>
          <cell r="B673">
            <v>0</v>
          </cell>
          <cell r="C673">
            <v>0</v>
          </cell>
        </row>
        <row r="674">
          <cell r="A674">
            <v>0</v>
          </cell>
          <cell r="B674">
            <v>0</v>
          </cell>
          <cell r="C674">
            <v>0</v>
          </cell>
        </row>
        <row r="679">
          <cell r="A679" t="str">
            <v>CODIGO</v>
          </cell>
          <cell r="B679" t="str">
            <v>ITEM</v>
          </cell>
          <cell r="C679" t="str">
            <v>UNIDAD</v>
          </cell>
        </row>
        <row r="680">
          <cell r="D680">
            <v>0</v>
          </cell>
        </row>
        <row r="681">
          <cell r="B681" t="str">
            <v>CODIGO</v>
          </cell>
        </row>
        <row r="682">
          <cell r="A682" t="str">
            <v>CODIGO</v>
          </cell>
          <cell r="B682" t="str">
            <v>RECURSOS</v>
          </cell>
          <cell r="C682" t="str">
            <v>UNIDAD</v>
          </cell>
          <cell r="D682" t="str">
            <v>CANT.</v>
          </cell>
        </row>
        <row r="683">
          <cell r="B683" t="str">
            <v>MATERIALES</v>
          </cell>
        </row>
        <row r="684">
          <cell r="B684">
            <v>0</v>
          </cell>
          <cell r="C684">
            <v>0</v>
          </cell>
        </row>
        <row r="685">
          <cell r="B685">
            <v>0</v>
          </cell>
          <cell r="C685">
            <v>0</v>
          </cell>
        </row>
        <row r="686">
          <cell r="B686">
            <v>0</v>
          </cell>
          <cell r="C686">
            <v>0</v>
          </cell>
        </row>
        <row r="687">
          <cell r="B687">
            <v>0</v>
          </cell>
          <cell r="C687">
            <v>0</v>
          </cell>
        </row>
        <row r="689">
          <cell r="B689" t="str">
            <v>EQUIPO</v>
          </cell>
        </row>
        <row r="690">
          <cell r="B690" t="str">
            <v>HTA MENOR (5% de M. de O.)</v>
          </cell>
        </row>
        <row r="691">
          <cell r="A691">
            <v>0</v>
          </cell>
          <cell r="B691">
            <v>0</v>
          </cell>
          <cell r="C691">
            <v>0</v>
          </cell>
        </row>
        <row r="692">
          <cell r="A692">
            <v>0</v>
          </cell>
          <cell r="B692">
            <v>0</v>
          </cell>
          <cell r="C692">
            <v>0</v>
          </cell>
        </row>
        <row r="693">
          <cell r="A693">
            <v>0</v>
          </cell>
          <cell r="B693">
            <v>0</v>
          </cell>
          <cell r="C693">
            <v>0</v>
          </cell>
        </row>
        <row r="695">
          <cell r="B695" t="str">
            <v>MANO DE OBRA</v>
          </cell>
        </row>
        <row r="696">
          <cell r="B696">
            <v>0</v>
          </cell>
          <cell r="C696">
            <v>0</v>
          </cell>
        </row>
        <row r="697">
          <cell r="A697">
            <v>0</v>
          </cell>
          <cell r="B697">
            <v>0</v>
          </cell>
          <cell r="C697">
            <v>0</v>
          </cell>
        </row>
        <row r="698">
          <cell r="A698">
            <v>0</v>
          </cell>
          <cell r="B698">
            <v>0</v>
          </cell>
          <cell r="C698">
            <v>0</v>
          </cell>
        </row>
        <row r="699">
          <cell r="A699">
            <v>0</v>
          </cell>
          <cell r="B699">
            <v>0</v>
          </cell>
          <cell r="C699">
            <v>0</v>
          </cell>
        </row>
        <row r="701">
          <cell r="B701" t="str">
            <v>TRANSPORTE</v>
          </cell>
        </row>
        <row r="703">
          <cell r="A703">
            <v>0</v>
          </cell>
          <cell r="B703">
            <v>0</v>
          </cell>
          <cell r="C703">
            <v>0</v>
          </cell>
        </row>
        <row r="704">
          <cell r="A704">
            <v>0</v>
          </cell>
          <cell r="B704">
            <v>0</v>
          </cell>
          <cell r="C704">
            <v>0</v>
          </cell>
        </row>
        <row r="705">
          <cell r="A705">
            <v>0</v>
          </cell>
          <cell r="B705">
            <v>0</v>
          </cell>
          <cell r="C705">
            <v>0</v>
          </cell>
        </row>
        <row r="710">
          <cell r="A710" t="str">
            <v>CODIGO</v>
          </cell>
          <cell r="B710" t="str">
            <v>ITEM</v>
          </cell>
          <cell r="C710" t="str">
            <v>UNIDAD</v>
          </cell>
        </row>
        <row r="711">
          <cell r="D711">
            <v>0</v>
          </cell>
        </row>
        <row r="712">
          <cell r="B712" t="str">
            <v>CODIGO</v>
          </cell>
        </row>
        <row r="713">
          <cell r="A713" t="str">
            <v>CODIGO</v>
          </cell>
          <cell r="B713" t="str">
            <v>RECURSOS</v>
          </cell>
          <cell r="C713" t="str">
            <v>UNIDAD</v>
          </cell>
          <cell r="D713" t="str">
            <v>CANT.</v>
          </cell>
        </row>
        <row r="714">
          <cell r="B714" t="str">
            <v>MATERIALES</v>
          </cell>
        </row>
        <row r="715">
          <cell r="B715">
            <v>0</v>
          </cell>
          <cell r="C715">
            <v>0</v>
          </cell>
        </row>
        <row r="716">
          <cell r="B716">
            <v>0</v>
          </cell>
          <cell r="C716">
            <v>0</v>
          </cell>
        </row>
        <row r="717">
          <cell r="B717">
            <v>0</v>
          </cell>
          <cell r="C717">
            <v>0</v>
          </cell>
        </row>
        <row r="718">
          <cell r="B718">
            <v>0</v>
          </cell>
          <cell r="C718">
            <v>0</v>
          </cell>
        </row>
        <row r="720">
          <cell r="B720" t="str">
            <v>EQUIPO</v>
          </cell>
        </row>
        <row r="721">
          <cell r="B721" t="str">
            <v>HTA MENOR (5% de M. de O.)</v>
          </cell>
        </row>
        <row r="722">
          <cell r="A722">
            <v>0</v>
          </cell>
          <cell r="B722">
            <v>0</v>
          </cell>
          <cell r="C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</row>
        <row r="724">
          <cell r="A724">
            <v>0</v>
          </cell>
          <cell r="B724">
            <v>0</v>
          </cell>
          <cell r="C724">
            <v>0</v>
          </cell>
        </row>
        <row r="726">
          <cell r="B726" t="str">
            <v>MANO DE OBRA</v>
          </cell>
        </row>
        <row r="727">
          <cell r="B727">
            <v>0</v>
          </cell>
          <cell r="C727">
            <v>0</v>
          </cell>
        </row>
        <row r="728">
          <cell r="A728">
            <v>0</v>
          </cell>
          <cell r="B728">
            <v>0</v>
          </cell>
          <cell r="C728">
            <v>0</v>
          </cell>
        </row>
        <row r="729">
          <cell r="A729">
            <v>0</v>
          </cell>
          <cell r="B729">
            <v>0</v>
          </cell>
          <cell r="C729">
            <v>0</v>
          </cell>
        </row>
        <row r="730">
          <cell r="A730">
            <v>0</v>
          </cell>
          <cell r="B730">
            <v>0</v>
          </cell>
          <cell r="C730">
            <v>0</v>
          </cell>
        </row>
        <row r="732">
          <cell r="B732" t="str">
            <v>TRANSPORTE</v>
          </cell>
        </row>
        <row r="734">
          <cell r="A734">
            <v>0</v>
          </cell>
          <cell r="B734">
            <v>0</v>
          </cell>
          <cell r="C734">
            <v>0</v>
          </cell>
        </row>
        <row r="735">
          <cell r="A735">
            <v>0</v>
          </cell>
          <cell r="B735">
            <v>0</v>
          </cell>
          <cell r="C735">
            <v>0</v>
          </cell>
        </row>
        <row r="736">
          <cell r="A736">
            <v>0</v>
          </cell>
          <cell r="B736">
            <v>0</v>
          </cell>
          <cell r="C736">
            <v>0</v>
          </cell>
        </row>
        <row r="741">
          <cell r="A741" t="str">
            <v>CODIGO</v>
          </cell>
          <cell r="B741" t="str">
            <v>ITEM</v>
          </cell>
          <cell r="C741" t="str">
            <v>UNIDAD</v>
          </cell>
        </row>
        <row r="742">
          <cell r="D742">
            <v>0</v>
          </cell>
        </row>
        <row r="743">
          <cell r="B743" t="str">
            <v>CODIGO</v>
          </cell>
        </row>
        <row r="744">
          <cell r="A744" t="str">
            <v>CODIGO</v>
          </cell>
          <cell r="B744" t="str">
            <v>RECURSOS</v>
          </cell>
          <cell r="C744" t="str">
            <v>UNIDAD</v>
          </cell>
          <cell r="D744" t="str">
            <v>CANT.</v>
          </cell>
        </row>
        <row r="745">
          <cell r="B745" t="str">
            <v>MATERIALES</v>
          </cell>
        </row>
        <row r="746">
          <cell r="B746">
            <v>0</v>
          </cell>
          <cell r="C746">
            <v>0</v>
          </cell>
        </row>
        <row r="747">
          <cell r="B747">
            <v>0</v>
          </cell>
          <cell r="C747">
            <v>0</v>
          </cell>
        </row>
        <row r="748">
          <cell r="B748">
            <v>0</v>
          </cell>
          <cell r="C748">
            <v>0</v>
          </cell>
        </row>
        <row r="749">
          <cell r="B749">
            <v>0</v>
          </cell>
          <cell r="C749">
            <v>0</v>
          </cell>
        </row>
        <row r="751">
          <cell r="B751" t="str">
            <v>EQUIPO</v>
          </cell>
        </row>
        <row r="752">
          <cell r="B752" t="str">
            <v>HTA MENOR (5% de M. de O.)</v>
          </cell>
        </row>
        <row r="753">
          <cell r="A753">
            <v>0</v>
          </cell>
          <cell r="B753">
            <v>0</v>
          </cell>
          <cell r="C753">
            <v>0</v>
          </cell>
        </row>
        <row r="754">
          <cell r="A754">
            <v>0</v>
          </cell>
          <cell r="B754">
            <v>0</v>
          </cell>
          <cell r="C754">
            <v>0</v>
          </cell>
        </row>
        <row r="755">
          <cell r="A755">
            <v>0</v>
          </cell>
          <cell r="B755">
            <v>0</v>
          </cell>
          <cell r="C755">
            <v>0</v>
          </cell>
        </row>
        <row r="757">
          <cell r="B757" t="str">
            <v>MANO DE OBRA</v>
          </cell>
        </row>
        <row r="758">
          <cell r="B758">
            <v>0</v>
          </cell>
          <cell r="C758">
            <v>0</v>
          </cell>
        </row>
        <row r="759">
          <cell r="A759">
            <v>0</v>
          </cell>
          <cell r="B759">
            <v>0</v>
          </cell>
          <cell r="C759">
            <v>0</v>
          </cell>
        </row>
        <row r="760">
          <cell r="A760">
            <v>0</v>
          </cell>
          <cell r="B760">
            <v>0</v>
          </cell>
          <cell r="C760">
            <v>0</v>
          </cell>
        </row>
        <row r="761">
          <cell r="A761">
            <v>0</v>
          </cell>
          <cell r="B761">
            <v>0</v>
          </cell>
          <cell r="C761">
            <v>0</v>
          </cell>
        </row>
        <row r="763">
          <cell r="B763" t="str">
            <v>TRANSPORTE</v>
          </cell>
        </row>
        <row r="765">
          <cell r="A765">
            <v>0</v>
          </cell>
          <cell r="B765">
            <v>0</v>
          </cell>
          <cell r="C765">
            <v>0</v>
          </cell>
        </row>
        <row r="766">
          <cell r="A766">
            <v>0</v>
          </cell>
          <cell r="B766">
            <v>0</v>
          </cell>
          <cell r="C766">
            <v>0</v>
          </cell>
        </row>
        <row r="767">
          <cell r="A767">
            <v>0</v>
          </cell>
          <cell r="B767">
            <v>0</v>
          </cell>
          <cell r="C767">
            <v>0</v>
          </cell>
        </row>
        <row r="772">
          <cell r="A772" t="str">
            <v>CODIGO</v>
          </cell>
          <cell r="B772" t="str">
            <v>ITEM</v>
          </cell>
          <cell r="C772" t="str">
            <v>UNIDAD</v>
          </cell>
        </row>
        <row r="773">
          <cell r="D773">
            <v>0</v>
          </cell>
        </row>
        <row r="774">
          <cell r="B774" t="str">
            <v>CODIGO</v>
          </cell>
        </row>
        <row r="775">
          <cell r="A775" t="str">
            <v>CODIGO</v>
          </cell>
          <cell r="B775" t="str">
            <v>RECURSOS</v>
          </cell>
          <cell r="C775" t="str">
            <v>UNIDAD</v>
          </cell>
          <cell r="D775" t="str">
            <v>CANT.</v>
          </cell>
        </row>
        <row r="776">
          <cell r="B776" t="str">
            <v>MATERIALES</v>
          </cell>
        </row>
        <row r="777">
          <cell r="B777">
            <v>0</v>
          </cell>
          <cell r="C777">
            <v>0</v>
          </cell>
        </row>
        <row r="778">
          <cell r="B778">
            <v>0</v>
          </cell>
          <cell r="C778">
            <v>0</v>
          </cell>
        </row>
        <row r="779">
          <cell r="B779">
            <v>0</v>
          </cell>
          <cell r="C779">
            <v>0</v>
          </cell>
        </row>
        <row r="780">
          <cell r="B780">
            <v>0</v>
          </cell>
          <cell r="C780">
            <v>0</v>
          </cell>
        </row>
        <row r="782">
          <cell r="B782" t="str">
            <v>EQUIPO</v>
          </cell>
        </row>
        <row r="783">
          <cell r="B783" t="str">
            <v>HTA MENOR (5% de M. de O.)</v>
          </cell>
        </row>
        <row r="784">
          <cell r="A784">
            <v>0</v>
          </cell>
          <cell r="B784">
            <v>0</v>
          </cell>
          <cell r="C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</row>
        <row r="786">
          <cell r="A786">
            <v>0</v>
          </cell>
          <cell r="B786">
            <v>0</v>
          </cell>
          <cell r="C786">
            <v>0</v>
          </cell>
        </row>
        <row r="788">
          <cell r="B788" t="str">
            <v>MANO DE OBRA</v>
          </cell>
        </row>
        <row r="789">
          <cell r="B789">
            <v>0</v>
          </cell>
          <cell r="C789">
            <v>0</v>
          </cell>
        </row>
        <row r="790">
          <cell r="A790">
            <v>0</v>
          </cell>
          <cell r="B790">
            <v>0</v>
          </cell>
          <cell r="C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</row>
        <row r="792">
          <cell r="A792">
            <v>0</v>
          </cell>
          <cell r="B792">
            <v>0</v>
          </cell>
          <cell r="C792">
            <v>0</v>
          </cell>
        </row>
        <row r="794">
          <cell r="B794" t="str">
            <v>TRANSPORTE</v>
          </cell>
        </row>
        <row r="796">
          <cell r="A796">
            <v>0</v>
          </cell>
          <cell r="B796">
            <v>0</v>
          </cell>
          <cell r="C796">
            <v>0</v>
          </cell>
        </row>
        <row r="797">
          <cell r="A797">
            <v>0</v>
          </cell>
          <cell r="B797">
            <v>0</v>
          </cell>
          <cell r="C797">
            <v>0</v>
          </cell>
        </row>
        <row r="798">
          <cell r="A798">
            <v>0</v>
          </cell>
          <cell r="B798">
            <v>0</v>
          </cell>
          <cell r="C798">
            <v>0</v>
          </cell>
        </row>
        <row r="803">
          <cell r="A803" t="str">
            <v>CODIGO</v>
          </cell>
          <cell r="B803" t="str">
            <v>ITEM</v>
          </cell>
          <cell r="C803" t="str">
            <v>UNIDAD</v>
          </cell>
        </row>
        <row r="804">
          <cell r="D804">
            <v>0</v>
          </cell>
        </row>
        <row r="805">
          <cell r="B805" t="str">
            <v>CODIGO</v>
          </cell>
        </row>
        <row r="806">
          <cell r="A806" t="str">
            <v>CODIGO</v>
          </cell>
          <cell r="B806" t="str">
            <v>RECURSOS</v>
          </cell>
          <cell r="C806" t="str">
            <v>UNIDAD</v>
          </cell>
          <cell r="D806" t="str">
            <v>CANT.</v>
          </cell>
        </row>
        <row r="807">
          <cell r="B807" t="str">
            <v>MATERIALES</v>
          </cell>
        </row>
        <row r="808">
          <cell r="B808">
            <v>0</v>
          </cell>
          <cell r="C808">
            <v>0</v>
          </cell>
        </row>
        <row r="809">
          <cell r="B809">
            <v>0</v>
          </cell>
          <cell r="C809">
            <v>0</v>
          </cell>
        </row>
        <row r="810">
          <cell r="B810">
            <v>0</v>
          </cell>
          <cell r="C810">
            <v>0</v>
          </cell>
        </row>
        <row r="811">
          <cell r="B811">
            <v>0</v>
          </cell>
          <cell r="C811">
            <v>0</v>
          </cell>
        </row>
        <row r="813">
          <cell r="B813" t="str">
            <v>EQUIPO</v>
          </cell>
        </row>
        <row r="814">
          <cell r="B814" t="str">
            <v>HTA MENOR (5% de M. de O.)</v>
          </cell>
        </row>
        <row r="815">
          <cell r="A815">
            <v>0</v>
          </cell>
          <cell r="B815">
            <v>0</v>
          </cell>
          <cell r="C815">
            <v>0</v>
          </cell>
        </row>
        <row r="816">
          <cell r="A816">
            <v>0</v>
          </cell>
          <cell r="B816">
            <v>0</v>
          </cell>
          <cell r="C816">
            <v>0</v>
          </cell>
        </row>
        <row r="817">
          <cell r="A817">
            <v>0</v>
          </cell>
          <cell r="B817">
            <v>0</v>
          </cell>
          <cell r="C817">
            <v>0</v>
          </cell>
        </row>
        <row r="819">
          <cell r="B819" t="str">
            <v>MANO DE OBRA</v>
          </cell>
        </row>
        <row r="820">
          <cell r="B820">
            <v>0</v>
          </cell>
          <cell r="C820">
            <v>0</v>
          </cell>
        </row>
        <row r="821">
          <cell r="A821">
            <v>0</v>
          </cell>
          <cell r="B821">
            <v>0</v>
          </cell>
          <cell r="C821">
            <v>0</v>
          </cell>
        </row>
        <row r="822">
          <cell r="A822">
            <v>0</v>
          </cell>
          <cell r="B822">
            <v>0</v>
          </cell>
          <cell r="C822">
            <v>0</v>
          </cell>
        </row>
        <row r="823">
          <cell r="A823">
            <v>0</v>
          </cell>
          <cell r="B823">
            <v>0</v>
          </cell>
          <cell r="C823">
            <v>0</v>
          </cell>
        </row>
        <row r="825">
          <cell r="B825" t="str">
            <v>TRANSPORTE</v>
          </cell>
        </row>
        <row r="827">
          <cell r="A827">
            <v>0</v>
          </cell>
          <cell r="B827">
            <v>0</v>
          </cell>
          <cell r="C827">
            <v>0</v>
          </cell>
        </row>
        <row r="828">
          <cell r="A828">
            <v>0</v>
          </cell>
          <cell r="B828">
            <v>0</v>
          </cell>
          <cell r="C828">
            <v>0</v>
          </cell>
        </row>
        <row r="829">
          <cell r="A829">
            <v>0</v>
          </cell>
          <cell r="B829">
            <v>0</v>
          </cell>
          <cell r="C829">
            <v>0</v>
          </cell>
        </row>
        <row r="834">
          <cell r="A834" t="str">
            <v>CODIGO</v>
          </cell>
          <cell r="B834" t="str">
            <v>ITEM</v>
          </cell>
          <cell r="C834" t="str">
            <v>UNIDAD</v>
          </cell>
        </row>
        <row r="835">
          <cell r="D835">
            <v>0</v>
          </cell>
        </row>
        <row r="836">
          <cell r="B836" t="str">
            <v>CODIGO</v>
          </cell>
        </row>
        <row r="837">
          <cell r="A837" t="str">
            <v>CODIGO</v>
          </cell>
          <cell r="B837" t="str">
            <v>RECURSOS</v>
          </cell>
          <cell r="C837" t="str">
            <v>UNIDAD</v>
          </cell>
          <cell r="D837" t="str">
            <v>CANT.</v>
          </cell>
        </row>
        <row r="838">
          <cell r="B838" t="str">
            <v>MATERIALES</v>
          </cell>
        </row>
        <row r="839">
          <cell r="B839">
            <v>0</v>
          </cell>
          <cell r="C839">
            <v>0</v>
          </cell>
        </row>
        <row r="840">
          <cell r="B840">
            <v>0</v>
          </cell>
          <cell r="C840">
            <v>0</v>
          </cell>
        </row>
        <row r="841">
          <cell r="B841">
            <v>0</v>
          </cell>
          <cell r="C841">
            <v>0</v>
          </cell>
        </row>
        <row r="842">
          <cell r="B842">
            <v>0</v>
          </cell>
          <cell r="C842">
            <v>0</v>
          </cell>
        </row>
        <row r="844">
          <cell r="B844" t="str">
            <v>EQUIPO</v>
          </cell>
        </row>
        <row r="845">
          <cell r="B845" t="str">
            <v>HTA MENOR (5% de M. de O.)</v>
          </cell>
        </row>
        <row r="846">
          <cell r="A846">
            <v>0</v>
          </cell>
          <cell r="B846">
            <v>0</v>
          </cell>
          <cell r="C846">
            <v>0</v>
          </cell>
        </row>
        <row r="847">
          <cell r="A847">
            <v>0</v>
          </cell>
          <cell r="B847">
            <v>0</v>
          </cell>
          <cell r="C847">
            <v>0</v>
          </cell>
        </row>
        <row r="848">
          <cell r="A848">
            <v>0</v>
          </cell>
          <cell r="B848">
            <v>0</v>
          </cell>
          <cell r="C848">
            <v>0</v>
          </cell>
        </row>
        <row r="850">
          <cell r="B850" t="str">
            <v>MANO DE OBRA</v>
          </cell>
        </row>
        <row r="851">
          <cell r="B851">
            <v>0</v>
          </cell>
          <cell r="C851">
            <v>0</v>
          </cell>
        </row>
        <row r="852">
          <cell r="A852">
            <v>0</v>
          </cell>
          <cell r="B852">
            <v>0</v>
          </cell>
          <cell r="C852">
            <v>0</v>
          </cell>
        </row>
        <row r="853">
          <cell r="A853">
            <v>0</v>
          </cell>
          <cell r="B853">
            <v>0</v>
          </cell>
          <cell r="C853">
            <v>0</v>
          </cell>
        </row>
        <row r="854">
          <cell r="A854">
            <v>0</v>
          </cell>
          <cell r="B854">
            <v>0</v>
          </cell>
          <cell r="C854">
            <v>0</v>
          </cell>
        </row>
        <row r="856">
          <cell r="B856" t="str">
            <v>TRANSPORTE</v>
          </cell>
        </row>
        <row r="858">
          <cell r="A858">
            <v>0</v>
          </cell>
          <cell r="B858">
            <v>0</v>
          </cell>
          <cell r="C858">
            <v>0</v>
          </cell>
        </row>
        <row r="859">
          <cell r="A859">
            <v>0</v>
          </cell>
          <cell r="B859">
            <v>0</v>
          </cell>
          <cell r="C859">
            <v>0</v>
          </cell>
        </row>
        <row r="860">
          <cell r="A860">
            <v>0</v>
          </cell>
          <cell r="B860">
            <v>0</v>
          </cell>
          <cell r="C860">
            <v>0</v>
          </cell>
        </row>
        <row r="865">
          <cell r="A865" t="str">
            <v>CODIGO</v>
          </cell>
          <cell r="B865" t="str">
            <v>ITEM</v>
          </cell>
          <cell r="C865" t="str">
            <v>UNIDAD</v>
          </cell>
        </row>
        <row r="866">
          <cell r="D866">
            <v>0</v>
          </cell>
        </row>
        <row r="867">
          <cell r="B867" t="str">
            <v>CODIGO</v>
          </cell>
        </row>
        <row r="868">
          <cell r="A868" t="str">
            <v>CODIGO</v>
          </cell>
          <cell r="B868" t="str">
            <v>RECURSOS</v>
          </cell>
          <cell r="C868" t="str">
            <v>UNIDAD</v>
          </cell>
          <cell r="D868" t="str">
            <v>CANT.</v>
          </cell>
        </row>
        <row r="869">
          <cell r="B869" t="str">
            <v>MATERIALES</v>
          </cell>
        </row>
        <row r="870">
          <cell r="B870">
            <v>0</v>
          </cell>
          <cell r="C870">
            <v>0</v>
          </cell>
        </row>
        <row r="871">
          <cell r="B871">
            <v>0</v>
          </cell>
          <cell r="C871">
            <v>0</v>
          </cell>
        </row>
        <row r="872">
          <cell r="B872">
            <v>0</v>
          </cell>
          <cell r="C872">
            <v>0</v>
          </cell>
        </row>
        <row r="873">
          <cell r="B873">
            <v>0</v>
          </cell>
          <cell r="C873">
            <v>0</v>
          </cell>
        </row>
        <row r="875">
          <cell r="B875" t="str">
            <v>EQUIPO</v>
          </cell>
        </row>
        <row r="876">
          <cell r="B876" t="str">
            <v>HTA MENOR (5% de M. de O.)</v>
          </cell>
        </row>
        <row r="877">
          <cell r="A877">
            <v>0</v>
          </cell>
          <cell r="B877">
            <v>0</v>
          </cell>
          <cell r="C877">
            <v>0</v>
          </cell>
        </row>
        <row r="878">
          <cell r="A878">
            <v>0</v>
          </cell>
          <cell r="B878">
            <v>0</v>
          </cell>
          <cell r="C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</row>
        <row r="881">
          <cell r="B881" t="str">
            <v>MANO DE OBRA</v>
          </cell>
        </row>
        <row r="882">
          <cell r="B882">
            <v>0</v>
          </cell>
          <cell r="C882">
            <v>0</v>
          </cell>
        </row>
        <row r="883">
          <cell r="A883">
            <v>0</v>
          </cell>
          <cell r="B883">
            <v>0</v>
          </cell>
          <cell r="C883">
            <v>0</v>
          </cell>
        </row>
        <row r="884">
          <cell r="A884">
            <v>0</v>
          </cell>
          <cell r="B884">
            <v>0</v>
          </cell>
          <cell r="C884">
            <v>0</v>
          </cell>
        </row>
        <row r="885">
          <cell r="A885">
            <v>0</v>
          </cell>
          <cell r="B885">
            <v>0</v>
          </cell>
          <cell r="C885">
            <v>0</v>
          </cell>
        </row>
        <row r="887">
          <cell r="B887" t="str">
            <v>TRANSPORTE</v>
          </cell>
        </row>
        <row r="889">
          <cell r="A889">
            <v>0</v>
          </cell>
          <cell r="B889">
            <v>0</v>
          </cell>
          <cell r="C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</row>
        <row r="896">
          <cell r="A896" t="str">
            <v>CODIGO</v>
          </cell>
          <cell r="B896" t="str">
            <v>ITEM</v>
          </cell>
          <cell r="C896" t="str">
            <v>UNIDAD</v>
          </cell>
        </row>
        <row r="897">
          <cell r="D897">
            <v>0</v>
          </cell>
        </row>
        <row r="898">
          <cell r="B898" t="str">
            <v>CODIGO</v>
          </cell>
        </row>
        <row r="899">
          <cell r="A899" t="str">
            <v>CODIGO</v>
          </cell>
          <cell r="B899" t="str">
            <v>RECURSOS</v>
          </cell>
          <cell r="C899" t="str">
            <v>UNIDAD</v>
          </cell>
          <cell r="D899" t="str">
            <v>CANT.</v>
          </cell>
        </row>
        <row r="900">
          <cell r="B900" t="str">
            <v>MATERIALES</v>
          </cell>
        </row>
        <row r="901">
          <cell r="B901">
            <v>0</v>
          </cell>
          <cell r="C901">
            <v>0</v>
          </cell>
        </row>
        <row r="902">
          <cell r="B902">
            <v>0</v>
          </cell>
          <cell r="C902">
            <v>0</v>
          </cell>
        </row>
        <row r="903">
          <cell r="B903">
            <v>0</v>
          </cell>
          <cell r="C903">
            <v>0</v>
          </cell>
        </row>
        <row r="904">
          <cell r="B904">
            <v>0</v>
          </cell>
          <cell r="C904">
            <v>0</v>
          </cell>
        </row>
        <row r="906">
          <cell r="B906" t="str">
            <v>EQUIPO</v>
          </cell>
        </row>
        <row r="907">
          <cell r="B907" t="str">
            <v>HTA MENOR (5% de M. de O.)</v>
          </cell>
        </row>
        <row r="908">
          <cell r="A908">
            <v>0</v>
          </cell>
          <cell r="B908">
            <v>0</v>
          </cell>
          <cell r="C908">
            <v>0</v>
          </cell>
        </row>
        <row r="909">
          <cell r="A909">
            <v>0</v>
          </cell>
          <cell r="B909">
            <v>0</v>
          </cell>
          <cell r="C909">
            <v>0</v>
          </cell>
        </row>
        <row r="910">
          <cell r="A910">
            <v>0</v>
          </cell>
          <cell r="B910">
            <v>0</v>
          </cell>
          <cell r="C910">
            <v>0</v>
          </cell>
        </row>
        <row r="912">
          <cell r="B912" t="str">
            <v>MANO DE OBRA</v>
          </cell>
        </row>
        <row r="913">
          <cell r="B913">
            <v>0</v>
          </cell>
          <cell r="C913">
            <v>0</v>
          </cell>
        </row>
        <row r="914">
          <cell r="A914">
            <v>0</v>
          </cell>
          <cell r="B914">
            <v>0</v>
          </cell>
          <cell r="C914">
            <v>0</v>
          </cell>
        </row>
        <row r="915">
          <cell r="A915">
            <v>0</v>
          </cell>
          <cell r="B915">
            <v>0</v>
          </cell>
          <cell r="C915">
            <v>0</v>
          </cell>
        </row>
        <row r="916">
          <cell r="A916">
            <v>0</v>
          </cell>
          <cell r="B916">
            <v>0</v>
          </cell>
          <cell r="C916">
            <v>0</v>
          </cell>
        </row>
        <row r="918">
          <cell r="B918" t="str">
            <v>TRANSPORTE</v>
          </cell>
        </row>
        <row r="920">
          <cell r="A920">
            <v>0</v>
          </cell>
          <cell r="B920">
            <v>0</v>
          </cell>
          <cell r="C920">
            <v>0</v>
          </cell>
        </row>
        <row r="921">
          <cell r="A921">
            <v>0</v>
          </cell>
          <cell r="B921">
            <v>0</v>
          </cell>
          <cell r="C921">
            <v>0</v>
          </cell>
        </row>
        <row r="922">
          <cell r="A922">
            <v>0</v>
          </cell>
          <cell r="B922">
            <v>0</v>
          </cell>
          <cell r="C922">
            <v>0</v>
          </cell>
        </row>
        <row r="927">
          <cell r="A927" t="str">
            <v>CODIGO</v>
          </cell>
          <cell r="B927" t="str">
            <v>ITEM</v>
          </cell>
          <cell r="C927" t="str">
            <v>UNIDAD</v>
          </cell>
        </row>
        <row r="928">
          <cell r="D928">
            <v>0</v>
          </cell>
        </row>
        <row r="929">
          <cell r="B929" t="str">
            <v>CODIGO</v>
          </cell>
        </row>
        <row r="930">
          <cell r="A930" t="str">
            <v>CODIGO</v>
          </cell>
          <cell r="B930" t="str">
            <v>RECURSOS</v>
          </cell>
          <cell r="C930" t="str">
            <v>UNIDAD</v>
          </cell>
          <cell r="D930" t="str">
            <v>CANT.</v>
          </cell>
        </row>
        <row r="931">
          <cell r="B931" t="str">
            <v>MATERIALES</v>
          </cell>
        </row>
        <row r="932">
          <cell r="B932">
            <v>0</v>
          </cell>
          <cell r="C932">
            <v>0</v>
          </cell>
        </row>
        <row r="933">
          <cell r="B933">
            <v>0</v>
          </cell>
          <cell r="C933">
            <v>0</v>
          </cell>
        </row>
        <row r="934">
          <cell r="B934">
            <v>0</v>
          </cell>
          <cell r="C934">
            <v>0</v>
          </cell>
        </row>
        <row r="935">
          <cell r="B935">
            <v>0</v>
          </cell>
          <cell r="C935">
            <v>0</v>
          </cell>
        </row>
        <row r="937">
          <cell r="B937" t="str">
            <v>EQUIPO</v>
          </cell>
        </row>
        <row r="938">
          <cell r="B938" t="str">
            <v>HTA MENOR (5% de M. de O.)</v>
          </cell>
        </row>
        <row r="939">
          <cell r="A939">
            <v>0</v>
          </cell>
          <cell r="B939">
            <v>0</v>
          </cell>
          <cell r="C939">
            <v>0</v>
          </cell>
        </row>
        <row r="940">
          <cell r="A940">
            <v>0</v>
          </cell>
          <cell r="B940">
            <v>0</v>
          </cell>
          <cell r="C940">
            <v>0</v>
          </cell>
        </row>
        <row r="941">
          <cell r="A941">
            <v>0</v>
          </cell>
          <cell r="B941">
            <v>0</v>
          </cell>
          <cell r="C941">
            <v>0</v>
          </cell>
        </row>
        <row r="943">
          <cell r="B943" t="str">
            <v>MANO DE OBRA</v>
          </cell>
        </row>
        <row r="944">
          <cell r="B944">
            <v>0</v>
          </cell>
          <cell r="C944">
            <v>0</v>
          </cell>
        </row>
        <row r="945">
          <cell r="A945">
            <v>0</v>
          </cell>
          <cell r="B945">
            <v>0</v>
          </cell>
          <cell r="C945">
            <v>0</v>
          </cell>
        </row>
        <row r="946">
          <cell r="A946">
            <v>0</v>
          </cell>
          <cell r="B946">
            <v>0</v>
          </cell>
          <cell r="C946">
            <v>0</v>
          </cell>
        </row>
        <row r="947">
          <cell r="A947">
            <v>0</v>
          </cell>
          <cell r="B947">
            <v>0</v>
          </cell>
          <cell r="C947">
            <v>0</v>
          </cell>
        </row>
        <row r="949">
          <cell r="B949" t="str">
            <v>TRANSPORTE</v>
          </cell>
        </row>
        <row r="951">
          <cell r="A951">
            <v>0</v>
          </cell>
          <cell r="B951">
            <v>0</v>
          </cell>
          <cell r="C951">
            <v>0</v>
          </cell>
        </row>
        <row r="952">
          <cell r="A952">
            <v>0</v>
          </cell>
          <cell r="B952">
            <v>0</v>
          </cell>
          <cell r="C952">
            <v>0</v>
          </cell>
        </row>
        <row r="953">
          <cell r="A953">
            <v>0</v>
          </cell>
          <cell r="B953">
            <v>0</v>
          </cell>
          <cell r="C953">
            <v>0</v>
          </cell>
        </row>
        <row r="959">
          <cell r="A959" t="str">
            <v>CODIGO</v>
          </cell>
          <cell r="B959" t="str">
            <v>ITEM</v>
          </cell>
          <cell r="C959" t="str">
            <v>UNIDAD</v>
          </cell>
        </row>
        <row r="960">
          <cell r="D960">
            <v>0</v>
          </cell>
        </row>
        <row r="961">
          <cell r="B961" t="str">
            <v>CODIGO</v>
          </cell>
        </row>
        <row r="962">
          <cell r="A962" t="str">
            <v>CODIGO</v>
          </cell>
          <cell r="B962" t="str">
            <v>RECURSOS</v>
          </cell>
          <cell r="C962" t="str">
            <v>UNIDAD</v>
          </cell>
          <cell r="D962" t="str">
            <v>CANT.</v>
          </cell>
        </row>
        <row r="963">
          <cell r="B963" t="str">
            <v>MATERIALES</v>
          </cell>
        </row>
        <row r="964">
          <cell r="B964">
            <v>0</v>
          </cell>
          <cell r="C964">
            <v>0</v>
          </cell>
        </row>
        <row r="965">
          <cell r="B965">
            <v>0</v>
          </cell>
          <cell r="C965">
            <v>0</v>
          </cell>
        </row>
        <row r="966">
          <cell r="B966">
            <v>0</v>
          </cell>
          <cell r="C966">
            <v>0</v>
          </cell>
        </row>
        <row r="967">
          <cell r="B967">
            <v>0</v>
          </cell>
          <cell r="C967">
            <v>0</v>
          </cell>
        </row>
        <row r="969">
          <cell r="B969" t="str">
            <v>EQUIPO</v>
          </cell>
        </row>
        <row r="970">
          <cell r="B970" t="str">
            <v>HTA MENOR (5% de M. de O.)</v>
          </cell>
        </row>
        <row r="971">
          <cell r="A971">
            <v>0</v>
          </cell>
          <cell r="B971">
            <v>0</v>
          </cell>
          <cell r="C971">
            <v>0</v>
          </cell>
        </row>
        <row r="972">
          <cell r="A972">
            <v>0</v>
          </cell>
          <cell r="B972">
            <v>0</v>
          </cell>
          <cell r="C972">
            <v>0</v>
          </cell>
        </row>
        <row r="973">
          <cell r="A973">
            <v>0</v>
          </cell>
          <cell r="B973">
            <v>0</v>
          </cell>
          <cell r="C973">
            <v>0</v>
          </cell>
        </row>
        <row r="975">
          <cell r="B975" t="str">
            <v>MANO DE OBRA</v>
          </cell>
        </row>
        <row r="976">
          <cell r="B976">
            <v>0</v>
          </cell>
          <cell r="C976">
            <v>0</v>
          </cell>
        </row>
        <row r="977">
          <cell r="A977">
            <v>0</v>
          </cell>
          <cell r="B977">
            <v>0</v>
          </cell>
          <cell r="C977">
            <v>0</v>
          </cell>
        </row>
        <row r="978">
          <cell r="A978">
            <v>0</v>
          </cell>
          <cell r="B978">
            <v>0</v>
          </cell>
          <cell r="C978">
            <v>0</v>
          </cell>
        </row>
        <row r="979">
          <cell r="A979">
            <v>0</v>
          </cell>
          <cell r="B979">
            <v>0</v>
          </cell>
          <cell r="C979">
            <v>0</v>
          </cell>
        </row>
        <row r="981">
          <cell r="B981" t="str">
            <v>TRANSPORTE</v>
          </cell>
        </row>
        <row r="983">
          <cell r="A983">
            <v>0</v>
          </cell>
          <cell r="B983">
            <v>0</v>
          </cell>
          <cell r="C983">
            <v>0</v>
          </cell>
        </row>
        <row r="984">
          <cell r="A984">
            <v>0</v>
          </cell>
          <cell r="B984">
            <v>0</v>
          </cell>
          <cell r="C984">
            <v>0</v>
          </cell>
        </row>
        <row r="985">
          <cell r="A985">
            <v>0</v>
          </cell>
          <cell r="B985">
            <v>0</v>
          </cell>
          <cell r="C985">
            <v>0</v>
          </cell>
        </row>
        <row r="990">
          <cell r="A990" t="str">
            <v>CODIGO</v>
          </cell>
          <cell r="B990" t="str">
            <v>ITEM</v>
          </cell>
          <cell r="C990" t="str">
            <v>UNIDAD</v>
          </cell>
        </row>
        <row r="991">
          <cell r="D991">
            <v>0</v>
          </cell>
        </row>
        <row r="992">
          <cell r="B992" t="str">
            <v>CODIGO</v>
          </cell>
        </row>
        <row r="993">
          <cell r="A993" t="str">
            <v>CODIGO</v>
          </cell>
          <cell r="B993" t="str">
            <v>RECURSOS</v>
          </cell>
          <cell r="C993" t="str">
            <v>UNIDAD</v>
          </cell>
          <cell r="D993" t="str">
            <v>CANT.</v>
          </cell>
        </row>
        <row r="994">
          <cell r="B994" t="str">
            <v>MATERIALES</v>
          </cell>
        </row>
        <row r="995">
          <cell r="B995">
            <v>0</v>
          </cell>
          <cell r="C995">
            <v>0</v>
          </cell>
        </row>
        <row r="996">
          <cell r="B996">
            <v>0</v>
          </cell>
          <cell r="C996">
            <v>0</v>
          </cell>
        </row>
        <row r="997">
          <cell r="B997">
            <v>0</v>
          </cell>
          <cell r="C997">
            <v>0</v>
          </cell>
        </row>
        <row r="998">
          <cell r="B998">
            <v>0</v>
          </cell>
          <cell r="C998">
            <v>0</v>
          </cell>
        </row>
        <row r="1000">
          <cell r="B1000" t="str">
            <v>EQUIPO</v>
          </cell>
        </row>
        <row r="1001">
          <cell r="B1001" t="str">
            <v>HTA MENOR (5% de M. de O.)</v>
          </cell>
        </row>
        <row r="1002">
          <cell r="A1002">
            <v>0</v>
          </cell>
          <cell r="B1002">
            <v>0</v>
          </cell>
          <cell r="C1002">
            <v>0</v>
          </cell>
        </row>
        <row r="1003">
          <cell r="A1003">
            <v>0</v>
          </cell>
          <cell r="B1003">
            <v>0</v>
          </cell>
          <cell r="C1003">
            <v>0</v>
          </cell>
        </row>
        <row r="1004">
          <cell r="A1004">
            <v>0</v>
          </cell>
          <cell r="B1004">
            <v>0</v>
          </cell>
          <cell r="C1004">
            <v>0</v>
          </cell>
        </row>
        <row r="1006">
          <cell r="B1006" t="str">
            <v>MANO DE OBRA</v>
          </cell>
        </row>
        <row r="1007">
          <cell r="B1007">
            <v>0</v>
          </cell>
          <cell r="C1007">
            <v>0</v>
          </cell>
        </row>
        <row r="1008">
          <cell r="A1008">
            <v>0</v>
          </cell>
          <cell r="B1008">
            <v>0</v>
          </cell>
          <cell r="C1008">
            <v>0</v>
          </cell>
        </row>
        <row r="1009">
          <cell r="A1009">
            <v>0</v>
          </cell>
          <cell r="B1009">
            <v>0</v>
          </cell>
          <cell r="C1009">
            <v>0</v>
          </cell>
        </row>
        <row r="1010">
          <cell r="A1010">
            <v>0</v>
          </cell>
          <cell r="B1010">
            <v>0</v>
          </cell>
          <cell r="C1010">
            <v>0</v>
          </cell>
        </row>
        <row r="1012">
          <cell r="B1012" t="str">
            <v>TRANSPORTE</v>
          </cell>
        </row>
        <row r="1014">
          <cell r="A1014">
            <v>0</v>
          </cell>
          <cell r="B1014">
            <v>0</v>
          </cell>
          <cell r="C1014">
            <v>0</v>
          </cell>
        </row>
        <row r="1015">
          <cell r="A1015">
            <v>0</v>
          </cell>
          <cell r="B1015">
            <v>0</v>
          </cell>
          <cell r="C1015">
            <v>0</v>
          </cell>
        </row>
        <row r="1016">
          <cell r="A1016">
            <v>0</v>
          </cell>
          <cell r="B1016">
            <v>0</v>
          </cell>
          <cell r="C1016">
            <v>0</v>
          </cell>
        </row>
        <row r="1021">
          <cell r="A1021" t="str">
            <v>CODIGO</v>
          </cell>
          <cell r="B1021" t="str">
            <v>ITEM</v>
          </cell>
          <cell r="C1021" t="str">
            <v>UNIDAD</v>
          </cell>
        </row>
        <row r="1022">
          <cell r="D1022">
            <v>0</v>
          </cell>
        </row>
        <row r="1023">
          <cell r="B1023" t="str">
            <v>CODIGO</v>
          </cell>
        </row>
        <row r="1024">
          <cell r="A1024" t="str">
            <v>CODIGO</v>
          </cell>
          <cell r="B1024" t="str">
            <v>RECURSOS</v>
          </cell>
          <cell r="C1024" t="str">
            <v>UNIDAD</v>
          </cell>
          <cell r="D1024" t="str">
            <v>CANT.</v>
          </cell>
        </row>
        <row r="1025">
          <cell r="B1025" t="str">
            <v>MATERIALES</v>
          </cell>
        </row>
        <row r="1026">
          <cell r="B1026">
            <v>0</v>
          </cell>
          <cell r="C1026">
            <v>0</v>
          </cell>
        </row>
        <row r="1027">
          <cell r="B1027">
            <v>0</v>
          </cell>
          <cell r="C1027">
            <v>0</v>
          </cell>
        </row>
        <row r="1028">
          <cell r="B1028">
            <v>0</v>
          </cell>
          <cell r="C1028">
            <v>0</v>
          </cell>
        </row>
        <row r="1029">
          <cell r="B1029">
            <v>0</v>
          </cell>
          <cell r="C1029">
            <v>0</v>
          </cell>
        </row>
        <row r="1031">
          <cell r="B1031" t="str">
            <v>EQUIPO</v>
          </cell>
        </row>
        <row r="1032">
          <cell r="B1032" t="str">
            <v>HTA MENOR (5% de M. de O.)</v>
          </cell>
        </row>
        <row r="1033">
          <cell r="A1033">
            <v>0</v>
          </cell>
          <cell r="B1033">
            <v>0</v>
          </cell>
          <cell r="C1033">
            <v>0</v>
          </cell>
        </row>
        <row r="1034">
          <cell r="A1034">
            <v>0</v>
          </cell>
          <cell r="B1034">
            <v>0</v>
          </cell>
          <cell r="C1034">
            <v>0</v>
          </cell>
        </row>
        <row r="1035">
          <cell r="A1035">
            <v>0</v>
          </cell>
          <cell r="B1035">
            <v>0</v>
          </cell>
          <cell r="C1035">
            <v>0</v>
          </cell>
        </row>
        <row r="1037">
          <cell r="B1037" t="str">
            <v>MANO DE OBRA</v>
          </cell>
        </row>
        <row r="1038">
          <cell r="B1038">
            <v>0</v>
          </cell>
          <cell r="C1038">
            <v>0</v>
          </cell>
        </row>
        <row r="1039">
          <cell r="A1039">
            <v>0</v>
          </cell>
          <cell r="B1039">
            <v>0</v>
          </cell>
          <cell r="C1039">
            <v>0</v>
          </cell>
        </row>
        <row r="1040">
          <cell r="A1040">
            <v>0</v>
          </cell>
          <cell r="B1040">
            <v>0</v>
          </cell>
          <cell r="C1040">
            <v>0</v>
          </cell>
        </row>
        <row r="1041">
          <cell r="A1041">
            <v>0</v>
          </cell>
          <cell r="B1041">
            <v>0</v>
          </cell>
          <cell r="C1041">
            <v>0</v>
          </cell>
        </row>
        <row r="1043">
          <cell r="B1043" t="str">
            <v>TRANSPORTE</v>
          </cell>
        </row>
        <row r="1045">
          <cell r="A1045">
            <v>0</v>
          </cell>
          <cell r="B1045">
            <v>0</v>
          </cell>
          <cell r="C1045">
            <v>0</v>
          </cell>
        </row>
        <row r="1046">
          <cell r="A1046">
            <v>0</v>
          </cell>
          <cell r="B1046">
            <v>0</v>
          </cell>
          <cell r="C1046">
            <v>0</v>
          </cell>
        </row>
        <row r="1047">
          <cell r="A1047">
            <v>0</v>
          </cell>
          <cell r="B1047">
            <v>0</v>
          </cell>
          <cell r="C1047">
            <v>0</v>
          </cell>
        </row>
        <row r="1052">
          <cell r="A1052" t="str">
            <v>CODIGO</v>
          </cell>
          <cell r="B1052" t="str">
            <v>ITEM</v>
          </cell>
          <cell r="C1052" t="str">
            <v>UNIDAD</v>
          </cell>
        </row>
        <row r="1053">
          <cell r="D1053">
            <v>0</v>
          </cell>
        </row>
        <row r="1054">
          <cell r="B1054" t="str">
            <v>CODIGO</v>
          </cell>
        </row>
        <row r="1055">
          <cell r="A1055" t="str">
            <v>CODIGO</v>
          </cell>
          <cell r="B1055" t="str">
            <v>RECURSOS</v>
          </cell>
          <cell r="C1055" t="str">
            <v>UNIDAD</v>
          </cell>
          <cell r="D1055" t="str">
            <v>CANT.</v>
          </cell>
        </row>
        <row r="1056">
          <cell r="B1056" t="str">
            <v>MATERIALES</v>
          </cell>
        </row>
        <row r="1057">
          <cell r="B1057">
            <v>0</v>
          </cell>
          <cell r="C1057">
            <v>0</v>
          </cell>
        </row>
        <row r="1058">
          <cell r="B1058">
            <v>0</v>
          </cell>
          <cell r="C1058">
            <v>0</v>
          </cell>
        </row>
        <row r="1059">
          <cell r="B1059">
            <v>0</v>
          </cell>
          <cell r="C1059">
            <v>0</v>
          </cell>
        </row>
        <row r="1060">
          <cell r="B1060">
            <v>0</v>
          </cell>
          <cell r="C1060">
            <v>0</v>
          </cell>
        </row>
        <row r="1062">
          <cell r="B1062" t="str">
            <v>EQUIPO</v>
          </cell>
        </row>
        <row r="1063">
          <cell r="B1063" t="str">
            <v>HTA MENOR (5% de M. de O.)</v>
          </cell>
        </row>
        <row r="1064">
          <cell r="A1064">
            <v>0</v>
          </cell>
          <cell r="B1064">
            <v>0</v>
          </cell>
          <cell r="C1064">
            <v>0</v>
          </cell>
        </row>
        <row r="1065">
          <cell r="A1065">
            <v>0</v>
          </cell>
          <cell r="B1065">
            <v>0</v>
          </cell>
          <cell r="C1065">
            <v>0</v>
          </cell>
        </row>
        <row r="1066">
          <cell r="A1066">
            <v>0</v>
          </cell>
          <cell r="B1066">
            <v>0</v>
          </cell>
          <cell r="C1066">
            <v>0</v>
          </cell>
        </row>
        <row r="1068">
          <cell r="B1068" t="str">
            <v>MANO DE OBRA</v>
          </cell>
        </row>
        <row r="1069">
          <cell r="B1069">
            <v>0</v>
          </cell>
          <cell r="C1069">
            <v>0</v>
          </cell>
        </row>
        <row r="1070">
          <cell r="A1070">
            <v>0</v>
          </cell>
          <cell r="B1070">
            <v>0</v>
          </cell>
          <cell r="C1070">
            <v>0</v>
          </cell>
        </row>
        <row r="1071">
          <cell r="A1071">
            <v>0</v>
          </cell>
          <cell r="B1071">
            <v>0</v>
          </cell>
          <cell r="C1071">
            <v>0</v>
          </cell>
        </row>
        <row r="1072">
          <cell r="A1072">
            <v>0</v>
          </cell>
          <cell r="B1072">
            <v>0</v>
          </cell>
          <cell r="C1072">
            <v>0</v>
          </cell>
        </row>
        <row r="1074">
          <cell r="B1074" t="str">
            <v>TRANSPORTE</v>
          </cell>
        </row>
        <row r="1076">
          <cell r="A1076">
            <v>0</v>
          </cell>
          <cell r="B1076">
            <v>0</v>
          </cell>
          <cell r="C1076">
            <v>0</v>
          </cell>
        </row>
        <row r="1077">
          <cell r="A1077">
            <v>0</v>
          </cell>
          <cell r="B1077">
            <v>0</v>
          </cell>
          <cell r="C1077">
            <v>0</v>
          </cell>
        </row>
        <row r="1078">
          <cell r="A1078">
            <v>0</v>
          </cell>
          <cell r="B1078">
            <v>0</v>
          </cell>
          <cell r="C1078">
            <v>0</v>
          </cell>
        </row>
        <row r="1083">
          <cell r="A1083" t="str">
            <v>CODIGO</v>
          </cell>
          <cell r="B1083" t="str">
            <v>ITEM</v>
          </cell>
          <cell r="C1083" t="str">
            <v>UNIDAD</v>
          </cell>
        </row>
        <row r="1084">
          <cell r="D1084">
            <v>0</v>
          </cell>
        </row>
        <row r="1085">
          <cell r="B1085" t="str">
            <v>CODIGO</v>
          </cell>
        </row>
        <row r="1086">
          <cell r="A1086" t="str">
            <v>CODIGO</v>
          </cell>
          <cell r="B1086" t="str">
            <v>RECURSOS</v>
          </cell>
          <cell r="C1086" t="str">
            <v>UNIDAD</v>
          </cell>
          <cell r="D1086" t="str">
            <v>CANT.</v>
          </cell>
        </row>
        <row r="1087">
          <cell r="B1087" t="str">
            <v>MATERIALES</v>
          </cell>
        </row>
        <row r="1088">
          <cell r="B1088">
            <v>0</v>
          </cell>
          <cell r="C1088">
            <v>0</v>
          </cell>
        </row>
        <row r="1089">
          <cell r="B1089">
            <v>0</v>
          </cell>
          <cell r="C1089">
            <v>0</v>
          </cell>
        </row>
        <row r="1090">
          <cell r="B1090">
            <v>0</v>
          </cell>
          <cell r="C1090">
            <v>0</v>
          </cell>
        </row>
        <row r="1091">
          <cell r="B1091">
            <v>0</v>
          </cell>
          <cell r="C1091">
            <v>0</v>
          </cell>
        </row>
        <row r="1093">
          <cell r="B1093" t="str">
            <v>EQUIPO</v>
          </cell>
        </row>
        <row r="1094">
          <cell r="B1094" t="str">
            <v>HTA MENOR (5% de M. de O.)</v>
          </cell>
        </row>
        <row r="1095">
          <cell r="A1095">
            <v>0</v>
          </cell>
          <cell r="B1095">
            <v>0</v>
          </cell>
          <cell r="C1095">
            <v>0</v>
          </cell>
        </row>
        <row r="1096">
          <cell r="A1096">
            <v>0</v>
          </cell>
          <cell r="B1096">
            <v>0</v>
          </cell>
          <cell r="C1096">
            <v>0</v>
          </cell>
        </row>
        <row r="1097">
          <cell r="A1097">
            <v>0</v>
          </cell>
          <cell r="B1097">
            <v>0</v>
          </cell>
          <cell r="C1097">
            <v>0</v>
          </cell>
        </row>
        <row r="1099">
          <cell r="B1099" t="str">
            <v>MANO DE OBRA</v>
          </cell>
        </row>
        <row r="1100">
          <cell r="B1100">
            <v>0</v>
          </cell>
          <cell r="C1100">
            <v>0</v>
          </cell>
        </row>
        <row r="1101">
          <cell r="A1101">
            <v>0</v>
          </cell>
          <cell r="B1101">
            <v>0</v>
          </cell>
          <cell r="C1101">
            <v>0</v>
          </cell>
        </row>
        <row r="1102">
          <cell r="A1102">
            <v>0</v>
          </cell>
          <cell r="B1102">
            <v>0</v>
          </cell>
          <cell r="C1102">
            <v>0</v>
          </cell>
        </row>
        <row r="1103">
          <cell r="A1103">
            <v>0</v>
          </cell>
          <cell r="B1103">
            <v>0</v>
          </cell>
          <cell r="C1103">
            <v>0</v>
          </cell>
        </row>
        <row r="1105">
          <cell r="B1105" t="str">
            <v>TRANSPORTE</v>
          </cell>
        </row>
        <row r="1107">
          <cell r="A1107">
            <v>0</v>
          </cell>
          <cell r="B1107">
            <v>0</v>
          </cell>
          <cell r="C1107">
            <v>0</v>
          </cell>
        </row>
        <row r="1108">
          <cell r="A1108">
            <v>0</v>
          </cell>
          <cell r="B1108">
            <v>0</v>
          </cell>
          <cell r="C1108">
            <v>0</v>
          </cell>
        </row>
        <row r="1109">
          <cell r="A1109">
            <v>0</v>
          </cell>
          <cell r="B1109">
            <v>0</v>
          </cell>
          <cell r="C1109">
            <v>0</v>
          </cell>
        </row>
        <row r="1114">
          <cell r="A1114" t="str">
            <v>CODIGO</v>
          </cell>
          <cell r="B1114" t="str">
            <v>ITEM</v>
          </cell>
          <cell r="C1114" t="str">
            <v>UNIDAD</v>
          </cell>
        </row>
        <row r="1115">
          <cell r="D1115">
            <v>0</v>
          </cell>
        </row>
        <row r="1116">
          <cell r="B1116" t="str">
            <v>CODIGO</v>
          </cell>
        </row>
        <row r="1117">
          <cell r="A1117" t="str">
            <v>CODIGO</v>
          </cell>
          <cell r="B1117" t="str">
            <v>RECURSOS</v>
          </cell>
          <cell r="C1117" t="str">
            <v>UNIDAD</v>
          </cell>
          <cell r="D1117" t="str">
            <v>CANT.</v>
          </cell>
        </row>
        <row r="1118">
          <cell r="B1118" t="str">
            <v>MATERIALES</v>
          </cell>
        </row>
        <row r="1119">
          <cell r="B1119">
            <v>0</v>
          </cell>
          <cell r="C1119">
            <v>0</v>
          </cell>
        </row>
        <row r="1120">
          <cell r="B1120">
            <v>0</v>
          </cell>
          <cell r="C1120">
            <v>0</v>
          </cell>
        </row>
        <row r="1121">
          <cell r="B1121">
            <v>0</v>
          </cell>
          <cell r="C1121">
            <v>0</v>
          </cell>
        </row>
        <row r="1122">
          <cell r="B1122">
            <v>0</v>
          </cell>
          <cell r="C1122">
            <v>0</v>
          </cell>
        </row>
        <row r="1124">
          <cell r="B1124" t="str">
            <v>EQUIPO</v>
          </cell>
        </row>
        <row r="1125">
          <cell r="B1125" t="str">
            <v>HTA MENOR (5% de M. de O.)</v>
          </cell>
        </row>
        <row r="1126">
          <cell r="A1126">
            <v>0</v>
          </cell>
          <cell r="B1126">
            <v>0</v>
          </cell>
          <cell r="C1126">
            <v>0</v>
          </cell>
        </row>
        <row r="1127">
          <cell r="A1127">
            <v>0</v>
          </cell>
          <cell r="B1127">
            <v>0</v>
          </cell>
          <cell r="C1127">
            <v>0</v>
          </cell>
        </row>
        <row r="1128">
          <cell r="A1128">
            <v>0</v>
          </cell>
          <cell r="B1128">
            <v>0</v>
          </cell>
          <cell r="C1128">
            <v>0</v>
          </cell>
        </row>
        <row r="1130">
          <cell r="B1130" t="str">
            <v>MANO DE OBRA</v>
          </cell>
        </row>
        <row r="1131">
          <cell r="B1131">
            <v>0</v>
          </cell>
          <cell r="C1131">
            <v>0</v>
          </cell>
        </row>
        <row r="1132">
          <cell r="A1132">
            <v>0</v>
          </cell>
          <cell r="B1132">
            <v>0</v>
          </cell>
          <cell r="C1132">
            <v>0</v>
          </cell>
        </row>
        <row r="1133">
          <cell r="A1133">
            <v>0</v>
          </cell>
          <cell r="B1133">
            <v>0</v>
          </cell>
          <cell r="C1133">
            <v>0</v>
          </cell>
        </row>
        <row r="1134">
          <cell r="A1134">
            <v>0</v>
          </cell>
          <cell r="B1134">
            <v>0</v>
          </cell>
          <cell r="C1134">
            <v>0</v>
          </cell>
        </row>
        <row r="1136">
          <cell r="B1136" t="str">
            <v>TRANSPORTE</v>
          </cell>
        </row>
        <row r="1138">
          <cell r="A1138">
            <v>0</v>
          </cell>
          <cell r="B1138">
            <v>0</v>
          </cell>
          <cell r="C1138">
            <v>0</v>
          </cell>
        </row>
        <row r="1139">
          <cell r="A1139">
            <v>0</v>
          </cell>
          <cell r="B1139">
            <v>0</v>
          </cell>
          <cell r="C1139">
            <v>0</v>
          </cell>
        </row>
        <row r="1140">
          <cell r="A1140">
            <v>0</v>
          </cell>
          <cell r="B1140">
            <v>0</v>
          </cell>
          <cell r="C1140">
            <v>0</v>
          </cell>
        </row>
        <row r="1145">
          <cell r="A1145" t="str">
            <v>CODIGO</v>
          </cell>
          <cell r="B1145" t="str">
            <v>ITEM</v>
          </cell>
          <cell r="C1145" t="str">
            <v>UNIDAD</v>
          </cell>
        </row>
        <row r="1146">
          <cell r="D1146">
            <v>0</v>
          </cell>
        </row>
        <row r="1147">
          <cell r="B1147" t="str">
            <v>CODIGO</v>
          </cell>
        </row>
        <row r="1148">
          <cell r="A1148" t="str">
            <v>CODIGO</v>
          </cell>
          <cell r="B1148" t="str">
            <v>RECURSOS</v>
          </cell>
          <cell r="C1148" t="str">
            <v>UNIDAD</v>
          </cell>
          <cell r="D1148" t="str">
            <v>CANT.</v>
          </cell>
        </row>
        <row r="1149">
          <cell r="B1149" t="str">
            <v>MATERIALES</v>
          </cell>
        </row>
        <row r="1150">
          <cell r="B1150">
            <v>0</v>
          </cell>
          <cell r="C1150">
            <v>0</v>
          </cell>
        </row>
        <row r="1151">
          <cell r="B1151">
            <v>0</v>
          </cell>
          <cell r="C1151">
            <v>0</v>
          </cell>
        </row>
        <row r="1152">
          <cell r="B1152">
            <v>0</v>
          </cell>
          <cell r="C1152">
            <v>0</v>
          </cell>
        </row>
        <row r="1153">
          <cell r="B1153">
            <v>0</v>
          </cell>
          <cell r="C1153">
            <v>0</v>
          </cell>
        </row>
        <row r="1155">
          <cell r="B1155" t="str">
            <v>EQUIPO</v>
          </cell>
        </row>
        <row r="1156">
          <cell r="B1156" t="str">
            <v>HTA MENOR (5% de M. de O.)</v>
          </cell>
        </row>
        <row r="1157">
          <cell r="A1157">
            <v>0</v>
          </cell>
          <cell r="B1157">
            <v>0</v>
          </cell>
          <cell r="C1157">
            <v>0</v>
          </cell>
        </row>
        <row r="1158">
          <cell r="A1158">
            <v>0</v>
          </cell>
          <cell r="B1158">
            <v>0</v>
          </cell>
          <cell r="C1158">
            <v>0</v>
          </cell>
        </row>
        <row r="1159">
          <cell r="A1159">
            <v>0</v>
          </cell>
          <cell r="B1159">
            <v>0</v>
          </cell>
          <cell r="C1159">
            <v>0</v>
          </cell>
        </row>
        <row r="1161">
          <cell r="B1161" t="str">
            <v>MANO DE OBRA</v>
          </cell>
        </row>
        <row r="1162">
          <cell r="B1162">
            <v>0</v>
          </cell>
          <cell r="C1162">
            <v>0</v>
          </cell>
        </row>
        <row r="1163">
          <cell r="A1163">
            <v>0</v>
          </cell>
          <cell r="B1163">
            <v>0</v>
          </cell>
          <cell r="C1163">
            <v>0</v>
          </cell>
        </row>
        <row r="1164">
          <cell r="A1164">
            <v>0</v>
          </cell>
          <cell r="B1164">
            <v>0</v>
          </cell>
          <cell r="C1164">
            <v>0</v>
          </cell>
        </row>
        <row r="1165">
          <cell r="A1165">
            <v>0</v>
          </cell>
          <cell r="B1165">
            <v>0</v>
          </cell>
          <cell r="C1165">
            <v>0</v>
          </cell>
        </row>
        <row r="1167">
          <cell r="B1167" t="str">
            <v>TRANSPORTE</v>
          </cell>
        </row>
        <row r="1169">
          <cell r="A1169">
            <v>0</v>
          </cell>
          <cell r="B1169">
            <v>0</v>
          </cell>
          <cell r="C1169">
            <v>0</v>
          </cell>
        </row>
        <row r="1170">
          <cell r="A1170">
            <v>0</v>
          </cell>
          <cell r="B1170">
            <v>0</v>
          </cell>
          <cell r="C1170">
            <v>0</v>
          </cell>
        </row>
        <row r="1171">
          <cell r="A1171">
            <v>0</v>
          </cell>
          <cell r="B1171">
            <v>0</v>
          </cell>
          <cell r="C1171">
            <v>0</v>
          </cell>
        </row>
        <row r="1176">
          <cell r="A1176" t="str">
            <v>CODIGO</v>
          </cell>
          <cell r="B1176" t="str">
            <v>ITEM</v>
          </cell>
          <cell r="C1176" t="str">
            <v>UNIDAD</v>
          </cell>
        </row>
        <row r="1177">
          <cell r="D1177">
            <v>0</v>
          </cell>
        </row>
        <row r="1178">
          <cell r="B1178" t="str">
            <v>CODIGO</v>
          </cell>
        </row>
        <row r="1179">
          <cell r="A1179" t="str">
            <v>CODIGO</v>
          </cell>
          <cell r="B1179" t="str">
            <v>RECURSOS</v>
          </cell>
          <cell r="C1179" t="str">
            <v>UNIDAD</v>
          </cell>
          <cell r="D1179" t="str">
            <v>CANT.</v>
          </cell>
        </row>
        <row r="1180">
          <cell r="B1180" t="str">
            <v>MATERIALES</v>
          </cell>
        </row>
        <row r="1181">
          <cell r="B1181">
            <v>0</v>
          </cell>
          <cell r="C1181">
            <v>0</v>
          </cell>
        </row>
        <row r="1182">
          <cell r="B1182">
            <v>0</v>
          </cell>
          <cell r="C1182">
            <v>0</v>
          </cell>
        </row>
        <row r="1183">
          <cell r="B1183">
            <v>0</v>
          </cell>
          <cell r="C1183">
            <v>0</v>
          </cell>
        </row>
        <row r="1184">
          <cell r="B1184">
            <v>0</v>
          </cell>
          <cell r="C1184">
            <v>0</v>
          </cell>
        </row>
        <row r="1186">
          <cell r="B1186" t="str">
            <v>EQUIPO</v>
          </cell>
        </row>
        <row r="1187">
          <cell r="B1187" t="str">
            <v>HTA MENOR (5% de M. de O.)</v>
          </cell>
        </row>
        <row r="1188">
          <cell r="A1188">
            <v>0</v>
          </cell>
          <cell r="B1188">
            <v>0</v>
          </cell>
          <cell r="C1188">
            <v>0</v>
          </cell>
        </row>
        <row r="1189">
          <cell r="A1189">
            <v>0</v>
          </cell>
          <cell r="B1189">
            <v>0</v>
          </cell>
          <cell r="C1189">
            <v>0</v>
          </cell>
        </row>
        <row r="1190">
          <cell r="A1190">
            <v>0</v>
          </cell>
          <cell r="B1190">
            <v>0</v>
          </cell>
          <cell r="C1190">
            <v>0</v>
          </cell>
        </row>
        <row r="1192">
          <cell r="B1192" t="str">
            <v>MANO DE OBRA</v>
          </cell>
        </row>
        <row r="1193">
          <cell r="B1193">
            <v>0</v>
          </cell>
          <cell r="C1193">
            <v>0</v>
          </cell>
        </row>
        <row r="1194">
          <cell r="A1194">
            <v>0</v>
          </cell>
          <cell r="B1194">
            <v>0</v>
          </cell>
          <cell r="C1194">
            <v>0</v>
          </cell>
        </row>
        <row r="1195">
          <cell r="A1195">
            <v>0</v>
          </cell>
          <cell r="B1195">
            <v>0</v>
          </cell>
          <cell r="C1195">
            <v>0</v>
          </cell>
        </row>
        <row r="1196">
          <cell r="A1196">
            <v>0</v>
          </cell>
          <cell r="B1196">
            <v>0</v>
          </cell>
          <cell r="C1196">
            <v>0</v>
          </cell>
        </row>
        <row r="1198">
          <cell r="B1198" t="str">
            <v>TRANSPORTE</v>
          </cell>
        </row>
        <row r="1200">
          <cell r="A1200">
            <v>0</v>
          </cell>
          <cell r="B1200">
            <v>0</v>
          </cell>
          <cell r="C1200">
            <v>0</v>
          </cell>
        </row>
        <row r="1201">
          <cell r="A1201">
            <v>0</v>
          </cell>
          <cell r="B1201">
            <v>0</v>
          </cell>
          <cell r="C1201">
            <v>0</v>
          </cell>
        </row>
        <row r="1202">
          <cell r="A1202">
            <v>0</v>
          </cell>
          <cell r="B1202">
            <v>0</v>
          </cell>
          <cell r="C1202">
            <v>0</v>
          </cell>
        </row>
        <row r="1207">
          <cell r="A1207" t="str">
            <v>CODIGO</v>
          </cell>
          <cell r="B1207" t="str">
            <v>ITEM</v>
          </cell>
          <cell r="C1207" t="str">
            <v>UNIDAD</v>
          </cell>
        </row>
        <row r="1208">
          <cell r="D1208">
            <v>0</v>
          </cell>
        </row>
        <row r="1209">
          <cell r="B1209" t="str">
            <v>CODIGO</v>
          </cell>
        </row>
        <row r="1210">
          <cell r="A1210" t="str">
            <v>CODIGO</v>
          </cell>
          <cell r="B1210" t="str">
            <v>RECURSOS</v>
          </cell>
          <cell r="C1210" t="str">
            <v>UNIDAD</v>
          </cell>
          <cell r="D1210" t="str">
            <v>CANT.</v>
          </cell>
        </row>
        <row r="1211">
          <cell r="B1211" t="str">
            <v>MATERIALES</v>
          </cell>
        </row>
        <row r="1212">
          <cell r="B1212">
            <v>0</v>
          </cell>
          <cell r="C1212">
            <v>0</v>
          </cell>
        </row>
        <row r="1213">
          <cell r="B1213">
            <v>0</v>
          </cell>
          <cell r="C1213">
            <v>0</v>
          </cell>
        </row>
        <row r="1214">
          <cell r="B1214">
            <v>0</v>
          </cell>
          <cell r="C1214">
            <v>0</v>
          </cell>
        </row>
        <row r="1215">
          <cell r="B1215">
            <v>0</v>
          </cell>
          <cell r="C1215">
            <v>0</v>
          </cell>
        </row>
        <row r="1217">
          <cell r="B1217" t="str">
            <v>EQUIPO</v>
          </cell>
        </row>
        <row r="1218">
          <cell r="B1218" t="str">
            <v>HTA MENOR (5% de M. de O.)</v>
          </cell>
        </row>
        <row r="1219">
          <cell r="A1219">
            <v>0</v>
          </cell>
          <cell r="B1219">
            <v>0</v>
          </cell>
          <cell r="C1219">
            <v>0</v>
          </cell>
        </row>
        <row r="1220">
          <cell r="A1220">
            <v>0</v>
          </cell>
          <cell r="B1220">
            <v>0</v>
          </cell>
          <cell r="C1220">
            <v>0</v>
          </cell>
        </row>
        <row r="1221">
          <cell r="A1221">
            <v>0</v>
          </cell>
          <cell r="B1221">
            <v>0</v>
          </cell>
          <cell r="C1221">
            <v>0</v>
          </cell>
        </row>
        <row r="1223">
          <cell r="B1223" t="str">
            <v>MANO DE OBRA</v>
          </cell>
        </row>
        <row r="1224">
          <cell r="B1224">
            <v>0</v>
          </cell>
          <cell r="C1224">
            <v>0</v>
          </cell>
        </row>
        <row r="1225">
          <cell r="A1225">
            <v>0</v>
          </cell>
          <cell r="B1225">
            <v>0</v>
          </cell>
          <cell r="C1225">
            <v>0</v>
          </cell>
        </row>
        <row r="1226">
          <cell r="A1226">
            <v>0</v>
          </cell>
          <cell r="B1226">
            <v>0</v>
          </cell>
          <cell r="C1226">
            <v>0</v>
          </cell>
        </row>
        <row r="1227">
          <cell r="A1227">
            <v>0</v>
          </cell>
          <cell r="B1227">
            <v>0</v>
          </cell>
          <cell r="C1227">
            <v>0</v>
          </cell>
        </row>
        <row r="1229">
          <cell r="B1229" t="str">
            <v>TRANSPORTE</v>
          </cell>
        </row>
        <row r="1231">
          <cell r="A1231">
            <v>0</v>
          </cell>
          <cell r="B1231">
            <v>0</v>
          </cell>
          <cell r="C1231">
            <v>0</v>
          </cell>
        </row>
        <row r="1232">
          <cell r="A1232">
            <v>0</v>
          </cell>
          <cell r="B1232">
            <v>0</v>
          </cell>
          <cell r="C1232">
            <v>0</v>
          </cell>
        </row>
        <row r="1233">
          <cell r="A1233">
            <v>0</v>
          </cell>
          <cell r="B1233">
            <v>0</v>
          </cell>
          <cell r="C1233">
            <v>0</v>
          </cell>
        </row>
        <row r="1238">
          <cell r="A1238" t="str">
            <v>CODIGO</v>
          </cell>
          <cell r="B1238" t="str">
            <v>ITEM</v>
          </cell>
          <cell r="C1238" t="str">
            <v>UNIDAD</v>
          </cell>
        </row>
        <row r="1239">
          <cell r="D1239">
            <v>0</v>
          </cell>
        </row>
        <row r="1240">
          <cell r="B1240" t="str">
            <v>CODIGO</v>
          </cell>
        </row>
        <row r="1241">
          <cell r="A1241" t="str">
            <v>CODIGO</v>
          </cell>
          <cell r="B1241" t="str">
            <v>RECURSOS</v>
          </cell>
          <cell r="C1241" t="str">
            <v>UNIDAD</v>
          </cell>
          <cell r="D1241" t="str">
            <v>CANT.</v>
          </cell>
        </row>
        <row r="1242">
          <cell r="B1242" t="str">
            <v>MATERIALES</v>
          </cell>
        </row>
        <row r="1243">
          <cell r="B1243">
            <v>0</v>
          </cell>
          <cell r="C1243">
            <v>0</v>
          </cell>
        </row>
        <row r="1244">
          <cell r="B1244">
            <v>0</v>
          </cell>
          <cell r="C1244">
            <v>0</v>
          </cell>
        </row>
        <row r="1245">
          <cell r="B1245">
            <v>0</v>
          </cell>
          <cell r="C1245">
            <v>0</v>
          </cell>
        </row>
        <row r="1246">
          <cell r="B1246">
            <v>0</v>
          </cell>
          <cell r="C1246">
            <v>0</v>
          </cell>
        </row>
        <row r="1248">
          <cell r="B1248" t="str">
            <v>EQUIPO</v>
          </cell>
        </row>
        <row r="1249">
          <cell r="B1249" t="str">
            <v>HTA MENOR (5% de M. de O.)</v>
          </cell>
        </row>
        <row r="1250">
          <cell r="A1250">
            <v>0</v>
          </cell>
          <cell r="B1250">
            <v>0</v>
          </cell>
          <cell r="C1250">
            <v>0</v>
          </cell>
        </row>
        <row r="1251">
          <cell r="A1251">
            <v>0</v>
          </cell>
          <cell r="B1251">
            <v>0</v>
          </cell>
          <cell r="C1251">
            <v>0</v>
          </cell>
        </row>
        <row r="1252">
          <cell r="A1252">
            <v>0</v>
          </cell>
          <cell r="B1252">
            <v>0</v>
          </cell>
          <cell r="C1252">
            <v>0</v>
          </cell>
        </row>
        <row r="1254">
          <cell r="B1254" t="str">
            <v>MANO DE OBRA</v>
          </cell>
        </row>
        <row r="1255">
          <cell r="B1255">
            <v>0</v>
          </cell>
          <cell r="C1255">
            <v>0</v>
          </cell>
        </row>
        <row r="1256">
          <cell r="A1256">
            <v>0</v>
          </cell>
          <cell r="B1256">
            <v>0</v>
          </cell>
          <cell r="C1256">
            <v>0</v>
          </cell>
        </row>
        <row r="1257">
          <cell r="A1257">
            <v>0</v>
          </cell>
          <cell r="B1257">
            <v>0</v>
          </cell>
          <cell r="C1257">
            <v>0</v>
          </cell>
        </row>
        <row r="1258">
          <cell r="A1258">
            <v>0</v>
          </cell>
          <cell r="B1258">
            <v>0</v>
          </cell>
          <cell r="C1258">
            <v>0</v>
          </cell>
        </row>
        <row r="1260">
          <cell r="B1260" t="str">
            <v>TRANSPORTE</v>
          </cell>
        </row>
        <row r="1262">
          <cell r="A1262">
            <v>0</v>
          </cell>
          <cell r="B1262">
            <v>0</v>
          </cell>
          <cell r="C1262">
            <v>0</v>
          </cell>
        </row>
        <row r="1263">
          <cell r="A1263">
            <v>0</v>
          </cell>
          <cell r="B1263">
            <v>0</v>
          </cell>
          <cell r="C1263">
            <v>0</v>
          </cell>
        </row>
        <row r="1264">
          <cell r="A1264">
            <v>0</v>
          </cell>
          <cell r="B1264">
            <v>0</v>
          </cell>
          <cell r="C1264">
            <v>0</v>
          </cell>
        </row>
        <row r="1269">
          <cell r="A1269" t="str">
            <v>CODIGO</v>
          </cell>
          <cell r="B1269" t="str">
            <v>ITEM</v>
          </cell>
          <cell r="C1269" t="str">
            <v>UNIDAD</v>
          </cell>
        </row>
        <row r="1270">
          <cell r="D1270">
            <v>0</v>
          </cell>
        </row>
        <row r="1271">
          <cell r="B1271" t="str">
            <v>CODIGO</v>
          </cell>
        </row>
        <row r="1272">
          <cell r="A1272" t="str">
            <v>CODIGO</v>
          </cell>
          <cell r="B1272" t="str">
            <v>RECURSOS</v>
          </cell>
          <cell r="C1272" t="str">
            <v>UNIDAD</v>
          </cell>
          <cell r="D1272" t="str">
            <v>CANT.</v>
          </cell>
        </row>
        <row r="1273">
          <cell r="B1273" t="str">
            <v>MATERIALES</v>
          </cell>
        </row>
        <row r="1274">
          <cell r="B1274">
            <v>0</v>
          </cell>
          <cell r="C1274">
            <v>0</v>
          </cell>
        </row>
        <row r="1275">
          <cell r="B1275">
            <v>0</v>
          </cell>
          <cell r="C1275">
            <v>0</v>
          </cell>
        </row>
        <row r="1276">
          <cell r="B1276">
            <v>0</v>
          </cell>
          <cell r="C1276">
            <v>0</v>
          </cell>
        </row>
        <row r="1277">
          <cell r="B1277">
            <v>0</v>
          </cell>
          <cell r="C1277">
            <v>0</v>
          </cell>
        </row>
        <row r="1279">
          <cell r="B1279" t="str">
            <v>EQUIPO</v>
          </cell>
        </row>
        <row r="1280">
          <cell r="B1280" t="str">
            <v>HTA MENOR (5% de M. de O.)</v>
          </cell>
        </row>
        <row r="1281">
          <cell r="A1281">
            <v>0</v>
          </cell>
          <cell r="B1281">
            <v>0</v>
          </cell>
          <cell r="C1281">
            <v>0</v>
          </cell>
        </row>
        <row r="1282">
          <cell r="A1282">
            <v>0</v>
          </cell>
          <cell r="B1282">
            <v>0</v>
          </cell>
          <cell r="C1282">
            <v>0</v>
          </cell>
        </row>
        <row r="1283">
          <cell r="A1283">
            <v>0</v>
          </cell>
          <cell r="B1283">
            <v>0</v>
          </cell>
          <cell r="C1283">
            <v>0</v>
          </cell>
        </row>
        <row r="1285">
          <cell r="B1285" t="str">
            <v>MANO DE OBRA</v>
          </cell>
        </row>
        <row r="1286">
          <cell r="B1286">
            <v>0</v>
          </cell>
          <cell r="C1286">
            <v>0</v>
          </cell>
        </row>
        <row r="1287">
          <cell r="A1287">
            <v>0</v>
          </cell>
          <cell r="B1287">
            <v>0</v>
          </cell>
          <cell r="C1287">
            <v>0</v>
          </cell>
        </row>
        <row r="1288">
          <cell r="A1288">
            <v>0</v>
          </cell>
          <cell r="B1288">
            <v>0</v>
          </cell>
          <cell r="C1288">
            <v>0</v>
          </cell>
        </row>
        <row r="1289">
          <cell r="A1289">
            <v>0</v>
          </cell>
          <cell r="B1289">
            <v>0</v>
          </cell>
          <cell r="C1289">
            <v>0</v>
          </cell>
        </row>
        <row r="1291">
          <cell r="B1291" t="str">
            <v>TRANSPORTE</v>
          </cell>
        </row>
        <row r="1293">
          <cell r="A1293">
            <v>0</v>
          </cell>
          <cell r="B1293">
            <v>0</v>
          </cell>
          <cell r="C1293">
            <v>0</v>
          </cell>
        </row>
        <row r="1294">
          <cell r="A1294">
            <v>0</v>
          </cell>
          <cell r="B1294">
            <v>0</v>
          </cell>
          <cell r="C1294">
            <v>0</v>
          </cell>
        </row>
        <row r="1295">
          <cell r="A1295">
            <v>0</v>
          </cell>
          <cell r="B1295">
            <v>0</v>
          </cell>
          <cell r="C1295">
            <v>0</v>
          </cell>
        </row>
        <row r="1300">
          <cell r="A1300" t="str">
            <v>CODIGO</v>
          </cell>
          <cell r="B1300" t="str">
            <v>ITEM</v>
          </cell>
          <cell r="C1300" t="str">
            <v>UNIDAD</v>
          </cell>
        </row>
        <row r="1301">
          <cell r="D1301">
            <v>0</v>
          </cell>
        </row>
        <row r="1302">
          <cell r="B1302" t="str">
            <v>CODIGO</v>
          </cell>
        </row>
        <row r="1303">
          <cell r="A1303" t="str">
            <v>CODIGO</v>
          </cell>
          <cell r="B1303" t="str">
            <v>RECURSOS</v>
          </cell>
          <cell r="C1303" t="str">
            <v>UNIDAD</v>
          </cell>
          <cell r="D1303" t="str">
            <v>CANT.</v>
          </cell>
        </row>
        <row r="1304">
          <cell r="B1304" t="str">
            <v>MATERIALES</v>
          </cell>
        </row>
        <row r="1305">
          <cell r="B1305">
            <v>0</v>
          </cell>
          <cell r="C1305">
            <v>0</v>
          </cell>
        </row>
        <row r="1306">
          <cell r="B1306">
            <v>0</v>
          </cell>
          <cell r="C1306">
            <v>0</v>
          </cell>
        </row>
        <row r="1307">
          <cell r="B1307">
            <v>0</v>
          </cell>
          <cell r="C1307">
            <v>0</v>
          </cell>
        </row>
        <row r="1308">
          <cell r="B1308">
            <v>0</v>
          </cell>
          <cell r="C1308">
            <v>0</v>
          </cell>
        </row>
        <row r="1310">
          <cell r="B1310" t="str">
            <v>EQUIPO</v>
          </cell>
        </row>
        <row r="1311">
          <cell r="B1311" t="str">
            <v>HTA MENOR (5% de M. de O.)</v>
          </cell>
        </row>
        <row r="1312">
          <cell r="A1312">
            <v>0</v>
          </cell>
          <cell r="B1312">
            <v>0</v>
          </cell>
          <cell r="C1312">
            <v>0</v>
          </cell>
        </row>
        <row r="1313">
          <cell r="A1313">
            <v>0</v>
          </cell>
          <cell r="B1313">
            <v>0</v>
          </cell>
          <cell r="C1313">
            <v>0</v>
          </cell>
        </row>
        <row r="1314">
          <cell r="A1314">
            <v>0</v>
          </cell>
          <cell r="B1314">
            <v>0</v>
          </cell>
          <cell r="C1314">
            <v>0</v>
          </cell>
        </row>
        <row r="1316">
          <cell r="B1316" t="str">
            <v>MANO DE OBRA</v>
          </cell>
        </row>
        <row r="1317">
          <cell r="B1317">
            <v>0</v>
          </cell>
          <cell r="C1317">
            <v>0</v>
          </cell>
        </row>
        <row r="1318">
          <cell r="A1318">
            <v>0</v>
          </cell>
          <cell r="B1318">
            <v>0</v>
          </cell>
          <cell r="C1318">
            <v>0</v>
          </cell>
        </row>
        <row r="1319">
          <cell r="A1319">
            <v>0</v>
          </cell>
          <cell r="B1319">
            <v>0</v>
          </cell>
          <cell r="C1319">
            <v>0</v>
          </cell>
        </row>
        <row r="1320">
          <cell r="A1320">
            <v>0</v>
          </cell>
          <cell r="B1320">
            <v>0</v>
          </cell>
          <cell r="C1320">
            <v>0</v>
          </cell>
        </row>
        <row r="1322">
          <cell r="B1322" t="str">
            <v>TRANSPORTE</v>
          </cell>
        </row>
        <row r="1324">
          <cell r="A1324">
            <v>0</v>
          </cell>
          <cell r="B1324">
            <v>0</v>
          </cell>
          <cell r="C1324">
            <v>0</v>
          </cell>
        </row>
        <row r="1325">
          <cell r="A1325">
            <v>0</v>
          </cell>
          <cell r="B1325">
            <v>0</v>
          </cell>
          <cell r="C1325">
            <v>0</v>
          </cell>
        </row>
        <row r="1326">
          <cell r="A1326">
            <v>0</v>
          </cell>
          <cell r="B1326">
            <v>0</v>
          </cell>
          <cell r="C1326">
            <v>0</v>
          </cell>
        </row>
        <row r="1332">
          <cell r="A1332" t="str">
            <v>CODIGO</v>
          </cell>
          <cell r="B1332" t="str">
            <v>ITEM</v>
          </cell>
          <cell r="C1332" t="str">
            <v>UNIDAD</v>
          </cell>
        </row>
        <row r="1333">
          <cell r="D1333">
            <v>0</v>
          </cell>
        </row>
        <row r="1334">
          <cell r="B1334" t="str">
            <v>CODIGO</v>
          </cell>
        </row>
        <row r="1335">
          <cell r="A1335" t="str">
            <v>CODIGO</v>
          </cell>
          <cell r="B1335" t="str">
            <v>RECURSOS</v>
          </cell>
          <cell r="C1335" t="str">
            <v>UNIDAD</v>
          </cell>
          <cell r="D1335" t="str">
            <v>CANT.</v>
          </cell>
        </row>
        <row r="1336">
          <cell r="B1336" t="str">
            <v>MATERIALES</v>
          </cell>
        </row>
        <row r="1337">
          <cell r="B1337">
            <v>0</v>
          </cell>
          <cell r="C1337">
            <v>0</v>
          </cell>
        </row>
        <row r="1338">
          <cell r="B1338">
            <v>0</v>
          </cell>
          <cell r="C1338">
            <v>0</v>
          </cell>
        </row>
        <row r="1339">
          <cell r="B1339">
            <v>0</v>
          </cell>
          <cell r="C1339">
            <v>0</v>
          </cell>
        </row>
        <row r="1340">
          <cell r="B1340">
            <v>0</v>
          </cell>
          <cell r="C1340">
            <v>0</v>
          </cell>
        </row>
        <row r="1342">
          <cell r="B1342" t="str">
            <v>EQUIPO</v>
          </cell>
        </row>
        <row r="1343">
          <cell r="B1343" t="str">
            <v>HTA MENOR (5% de M. de O.)</v>
          </cell>
        </row>
        <row r="1344">
          <cell r="A1344">
            <v>0</v>
          </cell>
          <cell r="B1344">
            <v>0</v>
          </cell>
          <cell r="C1344">
            <v>0</v>
          </cell>
        </row>
        <row r="1345">
          <cell r="A1345">
            <v>0</v>
          </cell>
          <cell r="B1345">
            <v>0</v>
          </cell>
          <cell r="C1345">
            <v>0</v>
          </cell>
        </row>
        <row r="1346">
          <cell r="A1346">
            <v>0</v>
          </cell>
          <cell r="B1346">
            <v>0</v>
          </cell>
          <cell r="C1346">
            <v>0</v>
          </cell>
        </row>
        <row r="1348">
          <cell r="B1348" t="str">
            <v>MANO DE OBRA</v>
          </cell>
        </row>
        <row r="1349">
          <cell r="B1349">
            <v>0</v>
          </cell>
          <cell r="C1349">
            <v>0</v>
          </cell>
        </row>
        <row r="1350">
          <cell r="A1350">
            <v>0</v>
          </cell>
          <cell r="B1350">
            <v>0</v>
          </cell>
          <cell r="C1350">
            <v>0</v>
          </cell>
        </row>
        <row r="1351">
          <cell r="A1351">
            <v>0</v>
          </cell>
          <cell r="B1351">
            <v>0</v>
          </cell>
          <cell r="C1351">
            <v>0</v>
          </cell>
        </row>
        <row r="1352">
          <cell r="A1352">
            <v>0</v>
          </cell>
          <cell r="B1352">
            <v>0</v>
          </cell>
          <cell r="C1352">
            <v>0</v>
          </cell>
        </row>
        <row r="1354">
          <cell r="B1354" t="str">
            <v>TRANSPORTE</v>
          </cell>
        </row>
        <row r="1356">
          <cell r="A1356">
            <v>0</v>
          </cell>
          <cell r="B1356">
            <v>0</v>
          </cell>
          <cell r="C1356">
            <v>0</v>
          </cell>
        </row>
        <row r="1357">
          <cell r="A1357">
            <v>0</v>
          </cell>
          <cell r="B1357">
            <v>0</v>
          </cell>
          <cell r="C1357">
            <v>0</v>
          </cell>
        </row>
        <row r="1358">
          <cell r="A1358">
            <v>0</v>
          </cell>
          <cell r="B1358">
            <v>0</v>
          </cell>
          <cell r="C1358">
            <v>0</v>
          </cell>
        </row>
        <row r="1363">
          <cell r="A1363" t="str">
            <v>CODIGO</v>
          </cell>
          <cell r="B1363" t="str">
            <v>ITEM</v>
          </cell>
          <cell r="C1363" t="str">
            <v>UNIDAD</v>
          </cell>
        </row>
        <row r="1364">
          <cell r="D1364">
            <v>0</v>
          </cell>
        </row>
        <row r="1365">
          <cell r="B1365" t="str">
            <v>CODIGO</v>
          </cell>
        </row>
        <row r="1366">
          <cell r="A1366" t="str">
            <v>CODIGO</v>
          </cell>
          <cell r="B1366" t="str">
            <v>RECURSOS</v>
          </cell>
          <cell r="C1366" t="str">
            <v>UNIDAD</v>
          </cell>
          <cell r="D1366" t="str">
            <v>CANT.</v>
          </cell>
        </row>
        <row r="1367">
          <cell r="B1367" t="str">
            <v>MATERIALES</v>
          </cell>
        </row>
        <row r="1368">
          <cell r="B1368">
            <v>0</v>
          </cell>
          <cell r="C1368">
            <v>0</v>
          </cell>
        </row>
        <row r="1369">
          <cell r="B1369">
            <v>0</v>
          </cell>
          <cell r="C1369">
            <v>0</v>
          </cell>
        </row>
        <row r="1370">
          <cell r="B1370">
            <v>0</v>
          </cell>
          <cell r="C1370">
            <v>0</v>
          </cell>
        </row>
        <row r="1371">
          <cell r="B1371">
            <v>0</v>
          </cell>
          <cell r="C1371">
            <v>0</v>
          </cell>
        </row>
        <row r="1373">
          <cell r="B1373" t="str">
            <v>EQUIPO</v>
          </cell>
        </row>
        <row r="1374">
          <cell r="B1374" t="str">
            <v>HTA MENOR (5% de M. de O.)</v>
          </cell>
        </row>
        <row r="1375">
          <cell r="A1375">
            <v>0</v>
          </cell>
          <cell r="B1375">
            <v>0</v>
          </cell>
          <cell r="C1375">
            <v>0</v>
          </cell>
        </row>
        <row r="1376">
          <cell r="A1376">
            <v>0</v>
          </cell>
          <cell r="B1376">
            <v>0</v>
          </cell>
          <cell r="C1376">
            <v>0</v>
          </cell>
        </row>
        <row r="1377">
          <cell r="A1377">
            <v>0</v>
          </cell>
          <cell r="B1377">
            <v>0</v>
          </cell>
          <cell r="C1377">
            <v>0</v>
          </cell>
        </row>
        <row r="1379">
          <cell r="B1379" t="str">
            <v>MANO DE OBRA</v>
          </cell>
        </row>
        <row r="1380">
          <cell r="B1380">
            <v>0</v>
          </cell>
          <cell r="C1380">
            <v>0</v>
          </cell>
        </row>
        <row r="1381">
          <cell r="A1381">
            <v>0</v>
          </cell>
          <cell r="B1381">
            <v>0</v>
          </cell>
          <cell r="C1381">
            <v>0</v>
          </cell>
        </row>
        <row r="1382">
          <cell r="A1382">
            <v>0</v>
          </cell>
          <cell r="B1382">
            <v>0</v>
          </cell>
          <cell r="C1382">
            <v>0</v>
          </cell>
        </row>
        <row r="1383">
          <cell r="A1383">
            <v>0</v>
          </cell>
          <cell r="B1383">
            <v>0</v>
          </cell>
          <cell r="C1383">
            <v>0</v>
          </cell>
        </row>
        <row r="1385">
          <cell r="B1385" t="str">
            <v>TRANSPORTE</v>
          </cell>
        </row>
        <row r="1387">
          <cell r="A1387">
            <v>0</v>
          </cell>
          <cell r="B1387">
            <v>0</v>
          </cell>
          <cell r="C1387">
            <v>0</v>
          </cell>
        </row>
        <row r="1388">
          <cell r="A1388">
            <v>0</v>
          </cell>
          <cell r="B1388">
            <v>0</v>
          </cell>
          <cell r="C1388">
            <v>0</v>
          </cell>
        </row>
        <row r="1389">
          <cell r="A1389">
            <v>0</v>
          </cell>
          <cell r="B1389">
            <v>0</v>
          </cell>
          <cell r="C1389">
            <v>0</v>
          </cell>
        </row>
        <row r="1394">
          <cell r="A1394" t="str">
            <v>CODIGO</v>
          </cell>
          <cell r="B1394" t="str">
            <v>ITEM</v>
          </cell>
          <cell r="C1394" t="str">
            <v>UNIDAD</v>
          </cell>
        </row>
        <row r="1395">
          <cell r="D1395">
            <v>0</v>
          </cell>
        </row>
        <row r="1396">
          <cell r="B1396" t="str">
            <v>CODIGO</v>
          </cell>
        </row>
        <row r="1397">
          <cell r="A1397" t="str">
            <v>CODIGO</v>
          </cell>
          <cell r="B1397" t="str">
            <v>RECURSOS</v>
          </cell>
          <cell r="C1397" t="str">
            <v>UNIDAD</v>
          </cell>
          <cell r="D1397" t="str">
            <v>CANT.</v>
          </cell>
        </row>
        <row r="1398">
          <cell r="B1398" t="str">
            <v>MATERIALES</v>
          </cell>
        </row>
        <row r="1399">
          <cell r="B1399">
            <v>0</v>
          </cell>
          <cell r="C1399">
            <v>0</v>
          </cell>
        </row>
        <row r="1400">
          <cell r="B1400">
            <v>0</v>
          </cell>
          <cell r="C1400">
            <v>0</v>
          </cell>
        </row>
        <row r="1401">
          <cell r="B1401">
            <v>0</v>
          </cell>
          <cell r="C1401">
            <v>0</v>
          </cell>
        </row>
        <row r="1402">
          <cell r="B1402">
            <v>0</v>
          </cell>
          <cell r="C1402">
            <v>0</v>
          </cell>
        </row>
        <row r="1404">
          <cell r="B1404" t="str">
            <v>EQUIPO</v>
          </cell>
        </row>
        <row r="1405">
          <cell r="B1405" t="str">
            <v>HTA MENOR (5% de M. de O.)</v>
          </cell>
        </row>
        <row r="1406">
          <cell r="A1406">
            <v>0</v>
          </cell>
          <cell r="B1406">
            <v>0</v>
          </cell>
          <cell r="C1406">
            <v>0</v>
          </cell>
        </row>
        <row r="1407">
          <cell r="A1407">
            <v>0</v>
          </cell>
          <cell r="B1407">
            <v>0</v>
          </cell>
          <cell r="C1407">
            <v>0</v>
          </cell>
        </row>
        <row r="1408">
          <cell r="A1408">
            <v>0</v>
          </cell>
          <cell r="B1408">
            <v>0</v>
          </cell>
          <cell r="C1408">
            <v>0</v>
          </cell>
        </row>
        <row r="1410">
          <cell r="B1410" t="str">
            <v>MANO DE OBRA</v>
          </cell>
        </row>
        <row r="1411">
          <cell r="B1411">
            <v>0</v>
          </cell>
          <cell r="C1411">
            <v>0</v>
          </cell>
        </row>
        <row r="1412">
          <cell r="A1412">
            <v>0</v>
          </cell>
          <cell r="B1412">
            <v>0</v>
          </cell>
          <cell r="C1412">
            <v>0</v>
          </cell>
        </row>
        <row r="1413">
          <cell r="A1413">
            <v>0</v>
          </cell>
          <cell r="B1413">
            <v>0</v>
          </cell>
          <cell r="C1413">
            <v>0</v>
          </cell>
        </row>
        <row r="1414">
          <cell r="A1414">
            <v>0</v>
          </cell>
          <cell r="B1414">
            <v>0</v>
          </cell>
          <cell r="C1414">
            <v>0</v>
          </cell>
        </row>
        <row r="1416">
          <cell r="B1416" t="str">
            <v>TRANSPORTE</v>
          </cell>
        </row>
        <row r="1418">
          <cell r="A1418">
            <v>0</v>
          </cell>
          <cell r="B1418">
            <v>0</v>
          </cell>
          <cell r="C1418">
            <v>0</v>
          </cell>
        </row>
        <row r="1419">
          <cell r="A1419">
            <v>0</v>
          </cell>
          <cell r="B1419">
            <v>0</v>
          </cell>
          <cell r="C1419">
            <v>0</v>
          </cell>
        </row>
        <row r="1420">
          <cell r="A1420">
            <v>0</v>
          </cell>
          <cell r="B1420">
            <v>0</v>
          </cell>
          <cell r="C1420">
            <v>0</v>
          </cell>
        </row>
        <row r="1425">
          <cell r="A1425" t="str">
            <v>CODIGO</v>
          </cell>
          <cell r="B1425" t="str">
            <v>ITEM</v>
          </cell>
          <cell r="C1425" t="str">
            <v>UNIDAD</v>
          </cell>
        </row>
        <row r="1426">
          <cell r="D1426">
            <v>0</v>
          </cell>
        </row>
        <row r="1427">
          <cell r="B1427" t="str">
            <v>CODIGO</v>
          </cell>
        </row>
        <row r="1428">
          <cell r="A1428" t="str">
            <v>CODIGO</v>
          </cell>
          <cell r="B1428" t="str">
            <v>RECURSOS</v>
          </cell>
          <cell r="C1428" t="str">
            <v>UNIDAD</v>
          </cell>
          <cell r="D1428" t="str">
            <v>CANT.</v>
          </cell>
        </row>
        <row r="1429">
          <cell r="B1429" t="str">
            <v>MATERIALES</v>
          </cell>
        </row>
        <row r="1430">
          <cell r="B1430">
            <v>0</v>
          </cell>
          <cell r="C1430">
            <v>0</v>
          </cell>
        </row>
        <row r="1431">
          <cell r="B1431">
            <v>0</v>
          </cell>
          <cell r="C1431">
            <v>0</v>
          </cell>
        </row>
        <row r="1432">
          <cell r="B1432">
            <v>0</v>
          </cell>
          <cell r="C1432">
            <v>0</v>
          </cell>
        </row>
        <row r="1433">
          <cell r="B1433">
            <v>0</v>
          </cell>
          <cell r="C1433">
            <v>0</v>
          </cell>
        </row>
        <row r="1435">
          <cell r="B1435" t="str">
            <v>EQUIPO</v>
          </cell>
        </row>
        <row r="1436">
          <cell r="B1436" t="str">
            <v>HTA MENOR (5% de M. de O.)</v>
          </cell>
        </row>
        <row r="1437">
          <cell r="A1437">
            <v>0</v>
          </cell>
          <cell r="B1437">
            <v>0</v>
          </cell>
          <cell r="C1437">
            <v>0</v>
          </cell>
        </row>
        <row r="1438">
          <cell r="A1438">
            <v>0</v>
          </cell>
          <cell r="B1438">
            <v>0</v>
          </cell>
          <cell r="C1438">
            <v>0</v>
          </cell>
        </row>
        <row r="1439">
          <cell r="A1439">
            <v>0</v>
          </cell>
          <cell r="B1439">
            <v>0</v>
          </cell>
          <cell r="C1439">
            <v>0</v>
          </cell>
        </row>
        <row r="1441">
          <cell r="B1441" t="str">
            <v>MANO DE OBRA</v>
          </cell>
        </row>
        <row r="1442">
          <cell r="B1442">
            <v>0</v>
          </cell>
          <cell r="C1442">
            <v>0</v>
          </cell>
        </row>
        <row r="1443">
          <cell r="A1443">
            <v>0</v>
          </cell>
          <cell r="B1443">
            <v>0</v>
          </cell>
          <cell r="C1443">
            <v>0</v>
          </cell>
        </row>
        <row r="1444">
          <cell r="A1444">
            <v>0</v>
          </cell>
          <cell r="B1444">
            <v>0</v>
          </cell>
          <cell r="C1444">
            <v>0</v>
          </cell>
        </row>
        <row r="1445">
          <cell r="A1445">
            <v>0</v>
          </cell>
          <cell r="B1445">
            <v>0</v>
          </cell>
          <cell r="C1445">
            <v>0</v>
          </cell>
        </row>
        <row r="1447">
          <cell r="B1447" t="str">
            <v>TRANSPORTE</v>
          </cell>
        </row>
        <row r="1449">
          <cell r="A1449">
            <v>0</v>
          </cell>
          <cell r="B1449">
            <v>0</v>
          </cell>
          <cell r="C1449">
            <v>0</v>
          </cell>
        </row>
        <row r="1450">
          <cell r="A1450">
            <v>0</v>
          </cell>
          <cell r="B1450">
            <v>0</v>
          </cell>
          <cell r="C1450">
            <v>0</v>
          </cell>
        </row>
        <row r="1451">
          <cell r="A1451">
            <v>0</v>
          </cell>
          <cell r="B1451">
            <v>0</v>
          </cell>
          <cell r="C1451">
            <v>0</v>
          </cell>
        </row>
        <row r="1456">
          <cell r="A1456" t="str">
            <v>CODIGO</v>
          </cell>
          <cell r="B1456" t="str">
            <v>ITEM</v>
          </cell>
          <cell r="C1456" t="str">
            <v>UNIDAD</v>
          </cell>
        </row>
        <row r="1457">
          <cell r="D1457">
            <v>0</v>
          </cell>
        </row>
        <row r="1458">
          <cell r="B1458" t="str">
            <v>CODIGO</v>
          </cell>
        </row>
        <row r="1459">
          <cell r="A1459" t="str">
            <v>CODIGO</v>
          </cell>
          <cell r="B1459" t="str">
            <v>RECURSOS</v>
          </cell>
          <cell r="C1459" t="str">
            <v>UNIDAD</v>
          </cell>
          <cell r="D1459" t="str">
            <v>CANT.</v>
          </cell>
        </row>
        <row r="1460">
          <cell r="B1460" t="str">
            <v>MATERIALES</v>
          </cell>
        </row>
        <row r="1461">
          <cell r="B1461">
            <v>0</v>
          </cell>
          <cell r="C1461">
            <v>0</v>
          </cell>
        </row>
        <row r="1462">
          <cell r="B1462">
            <v>0</v>
          </cell>
          <cell r="C1462">
            <v>0</v>
          </cell>
        </row>
        <row r="1463">
          <cell r="B1463">
            <v>0</v>
          </cell>
          <cell r="C1463">
            <v>0</v>
          </cell>
        </row>
        <row r="1464">
          <cell r="B1464">
            <v>0</v>
          </cell>
          <cell r="C1464">
            <v>0</v>
          </cell>
        </row>
        <row r="1466">
          <cell r="B1466" t="str">
            <v>EQUIPO</v>
          </cell>
        </row>
        <row r="1467">
          <cell r="B1467" t="str">
            <v>HTA MENOR (5% de M. de O.)</v>
          </cell>
        </row>
        <row r="1468">
          <cell r="A1468">
            <v>0</v>
          </cell>
          <cell r="B1468">
            <v>0</v>
          </cell>
          <cell r="C1468">
            <v>0</v>
          </cell>
        </row>
        <row r="1469">
          <cell r="A1469">
            <v>0</v>
          </cell>
          <cell r="B1469">
            <v>0</v>
          </cell>
          <cell r="C1469">
            <v>0</v>
          </cell>
        </row>
        <row r="1470">
          <cell r="A1470">
            <v>0</v>
          </cell>
          <cell r="B1470">
            <v>0</v>
          </cell>
          <cell r="C1470">
            <v>0</v>
          </cell>
        </row>
        <row r="1472">
          <cell r="B1472" t="str">
            <v>MANO DE OBRA</v>
          </cell>
        </row>
        <row r="1473">
          <cell r="B1473">
            <v>0</v>
          </cell>
          <cell r="C1473">
            <v>0</v>
          </cell>
        </row>
        <row r="1474">
          <cell r="A1474">
            <v>0</v>
          </cell>
          <cell r="B1474">
            <v>0</v>
          </cell>
          <cell r="C1474">
            <v>0</v>
          </cell>
        </row>
        <row r="1475">
          <cell r="A1475">
            <v>0</v>
          </cell>
          <cell r="B1475">
            <v>0</v>
          </cell>
          <cell r="C1475">
            <v>0</v>
          </cell>
        </row>
        <row r="1476">
          <cell r="A1476">
            <v>0</v>
          </cell>
          <cell r="B1476">
            <v>0</v>
          </cell>
          <cell r="C1476">
            <v>0</v>
          </cell>
        </row>
        <row r="1478">
          <cell r="B1478" t="str">
            <v>TRANSPORTE</v>
          </cell>
        </row>
        <row r="1480">
          <cell r="A1480">
            <v>0</v>
          </cell>
          <cell r="B1480">
            <v>0</v>
          </cell>
          <cell r="C1480">
            <v>0</v>
          </cell>
        </row>
        <row r="1481">
          <cell r="A1481">
            <v>0</v>
          </cell>
          <cell r="B1481">
            <v>0</v>
          </cell>
          <cell r="C1481">
            <v>0</v>
          </cell>
        </row>
        <row r="1482">
          <cell r="A1482">
            <v>0</v>
          </cell>
          <cell r="B1482">
            <v>0</v>
          </cell>
          <cell r="C1482">
            <v>0</v>
          </cell>
        </row>
        <row r="1487">
          <cell r="A1487" t="str">
            <v>CODIGO</v>
          </cell>
          <cell r="B1487" t="str">
            <v>ITEM</v>
          </cell>
          <cell r="C1487" t="str">
            <v>UNIDAD</v>
          </cell>
        </row>
        <row r="1488">
          <cell r="D1488">
            <v>0</v>
          </cell>
        </row>
        <row r="1489">
          <cell r="B1489" t="str">
            <v>CODIGO</v>
          </cell>
        </row>
        <row r="1490">
          <cell r="A1490" t="str">
            <v>CODIGO</v>
          </cell>
          <cell r="B1490" t="str">
            <v>RECURSOS</v>
          </cell>
          <cell r="C1490" t="str">
            <v>UNIDAD</v>
          </cell>
          <cell r="D1490" t="str">
            <v>CANT.</v>
          </cell>
        </row>
        <row r="1491">
          <cell r="B1491" t="str">
            <v>MATERIALES</v>
          </cell>
        </row>
        <row r="1492">
          <cell r="B1492">
            <v>0</v>
          </cell>
          <cell r="C1492">
            <v>0</v>
          </cell>
        </row>
        <row r="1493">
          <cell r="B1493">
            <v>0</v>
          </cell>
          <cell r="C1493">
            <v>0</v>
          </cell>
        </row>
        <row r="1494">
          <cell r="B1494">
            <v>0</v>
          </cell>
          <cell r="C1494">
            <v>0</v>
          </cell>
        </row>
        <row r="1495">
          <cell r="B1495">
            <v>0</v>
          </cell>
          <cell r="C1495">
            <v>0</v>
          </cell>
        </row>
        <row r="1497">
          <cell r="B1497" t="str">
            <v>EQUIPO</v>
          </cell>
        </row>
        <row r="1498">
          <cell r="B1498" t="str">
            <v>HTA MENOR (5% de M. de O.)</v>
          </cell>
        </row>
        <row r="1499">
          <cell r="A1499">
            <v>0</v>
          </cell>
          <cell r="B1499">
            <v>0</v>
          </cell>
          <cell r="C1499">
            <v>0</v>
          </cell>
        </row>
        <row r="1500">
          <cell r="A1500">
            <v>0</v>
          </cell>
          <cell r="B1500">
            <v>0</v>
          </cell>
          <cell r="C1500">
            <v>0</v>
          </cell>
        </row>
        <row r="1501">
          <cell r="A1501">
            <v>0</v>
          </cell>
          <cell r="B1501">
            <v>0</v>
          </cell>
          <cell r="C1501">
            <v>0</v>
          </cell>
        </row>
        <row r="1503">
          <cell r="B1503" t="str">
            <v>MANO DE OBRA</v>
          </cell>
        </row>
        <row r="1504">
          <cell r="B1504">
            <v>0</v>
          </cell>
          <cell r="C1504">
            <v>0</v>
          </cell>
        </row>
        <row r="1505">
          <cell r="A1505">
            <v>0</v>
          </cell>
          <cell r="B1505">
            <v>0</v>
          </cell>
          <cell r="C1505">
            <v>0</v>
          </cell>
        </row>
        <row r="1506">
          <cell r="A1506">
            <v>0</v>
          </cell>
          <cell r="B1506">
            <v>0</v>
          </cell>
          <cell r="C1506">
            <v>0</v>
          </cell>
        </row>
        <row r="1507">
          <cell r="A1507">
            <v>0</v>
          </cell>
          <cell r="B1507">
            <v>0</v>
          </cell>
          <cell r="C1507">
            <v>0</v>
          </cell>
        </row>
        <row r="1509">
          <cell r="B1509" t="str">
            <v>TRANSPORTE</v>
          </cell>
        </row>
        <row r="1511">
          <cell r="A1511">
            <v>0</v>
          </cell>
          <cell r="B1511">
            <v>0</v>
          </cell>
          <cell r="C1511">
            <v>0</v>
          </cell>
        </row>
        <row r="1512">
          <cell r="A1512">
            <v>0</v>
          </cell>
          <cell r="B1512">
            <v>0</v>
          </cell>
          <cell r="C1512">
            <v>0</v>
          </cell>
        </row>
        <row r="1513">
          <cell r="A1513">
            <v>0</v>
          </cell>
          <cell r="B1513">
            <v>0</v>
          </cell>
          <cell r="C1513">
            <v>0</v>
          </cell>
        </row>
        <row r="1518">
          <cell r="A1518" t="str">
            <v>CODIGO</v>
          </cell>
          <cell r="B1518" t="str">
            <v>ITEM</v>
          </cell>
          <cell r="C1518" t="str">
            <v>UNIDAD</v>
          </cell>
        </row>
        <row r="1519">
          <cell r="D1519">
            <v>0</v>
          </cell>
        </row>
        <row r="1520">
          <cell r="B1520" t="str">
            <v>CODIGO</v>
          </cell>
        </row>
        <row r="1521">
          <cell r="A1521" t="str">
            <v>CODIGO</v>
          </cell>
          <cell r="B1521" t="str">
            <v>RECURSOS</v>
          </cell>
          <cell r="C1521" t="str">
            <v>UNIDAD</v>
          </cell>
          <cell r="D1521" t="str">
            <v>CANT.</v>
          </cell>
        </row>
        <row r="1522">
          <cell r="B1522" t="str">
            <v>MATERIALES</v>
          </cell>
        </row>
        <row r="1523">
          <cell r="B1523">
            <v>0</v>
          </cell>
          <cell r="C1523">
            <v>0</v>
          </cell>
        </row>
        <row r="1524">
          <cell r="B1524">
            <v>0</v>
          </cell>
          <cell r="C1524">
            <v>0</v>
          </cell>
        </row>
        <row r="1525">
          <cell r="B1525">
            <v>0</v>
          </cell>
          <cell r="C1525">
            <v>0</v>
          </cell>
        </row>
        <row r="1526">
          <cell r="B1526">
            <v>0</v>
          </cell>
          <cell r="C1526">
            <v>0</v>
          </cell>
        </row>
        <row r="1528">
          <cell r="B1528" t="str">
            <v>EQUIPO</v>
          </cell>
        </row>
        <row r="1529">
          <cell r="B1529" t="str">
            <v>HTA MENOR (5% de M. de O.)</v>
          </cell>
        </row>
        <row r="1530">
          <cell r="A1530">
            <v>0</v>
          </cell>
          <cell r="B1530">
            <v>0</v>
          </cell>
          <cell r="C1530">
            <v>0</v>
          </cell>
        </row>
        <row r="1531">
          <cell r="A1531">
            <v>0</v>
          </cell>
          <cell r="B1531">
            <v>0</v>
          </cell>
          <cell r="C1531">
            <v>0</v>
          </cell>
        </row>
        <row r="1532">
          <cell r="A1532">
            <v>0</v>
          </cell>
          <cell r="B1532">
            <v>0</v>
          </cell>
          <cell r="C1532">
            <v>0</v>
          </cell>
        </row>
        <row r="1534">
          <cell r="B1534" t="str">
            <v>MANO DE OBRA</v>
          </cell>
        </row>
        <row r="1535">
          <cell r="B1535">
            <v>0</v>
          </cell>
          <cell r="C1535">
            <v>0</v>
          </cell>
        </row>
        <row r="1536">
          <cell r="A1536">
            <v>0</v>
          </cell>
          <cell r="B1536">
            <v>0</v>
          </cell>
          <cell r="C1536">
            <v>0</v>
          </cell>
        </row>
        <row r="1537">
          <cell r="A1537">
            <v>0</v>
          </cell>
          <cell r="B1537">
            <v>0</v>
          </cell>
          <cell r="C1537">
            <v>0</v>
          </cell>
        </row>
        <row r="1538">
          <cell r="A1538">
            <v>0</v>
          </cell>
          <cell r="B1538">
            <v>0</v>
          </cell>
          <cell r="C1538">
            <v>0</v>
          </cell>
        </row>
        <row r="1540">
          <cell r="B1540" t="str">
            <v>TRANSPORTE</v>
          </cell>
        </row>
        <row r="1542">
          <cell r="A1542">
            <v>0</v>
          </cell>
          <cell r="B1542">
            <v>0</v>
          </cell>
          <cell r="C1542">
            <v>0</v>
          </cell>
        </row>
        <row r="1543">
          <cell r="A1543">
            <v>0</v>
          </cell>
          <cell r="B1543">
            <v>0</v>
          </cell>
          <cell r="C1543">
            <v>0</v>
          </cell>
        </row>
        <row r="1544">
          <cell r="A1544">
            <v>0</v>
          </cell>
          <cell r="B1544">
            <v>0</v>
          </cell>
          <cell r="C1544">
            <v>0</v>
          </cell>
        </row>
        <row r="1549">
          <cell r="A1549" t="str">
            <v>CODIGO</v>
          </cell>
          <cell r="B1549" t="str">
            <v>ITEM</v>
          </cell>
          <cell r="C1549" t="str">
            <v>UNIDAD</v>
          </cell>
        </row>
        <row r="1550">
          <cell r="D1550">
            <v>0</v>
          </cell>
        </row>
        <row r="1551">
          <cell r="B1551" t="str">
            <v>CODIGO</v>
          </cell>
        </row>
        <row r="1552">
          <cell r="A1552" t="str">
            <v>CODIGO</v>
          </cell>
          <cell r="B1552" t="str">
            <v>RECURSOS</v>
          </cell>
          <cell r="C1552" t="str">
            <v>UNIDAD</v>
          </cell>
          <cell r="D1552" t="str">
            <v>CANT.</v>
          </cell>
        </row>
        <row r="1553">
          <cell r="B1553" t="str">
            <v>MATERIALES</v>
          </cell>
        </row>
        <row r="1554">
          <cell r="B1554">
            <v>0</v>
          </cell>
          <cell r="C1554">
            <v>0</v>
          </cell>
        </row>
        <row r="1555">
          <cell r="B1555">
            <v>0</v>
          </cell>
          <cell r="C1555">
            <v>0</v>
          </cell>
        </row>
        <row r="1556">
          <cell r="B1556">
            <v>0</v>
          </cell>
          <cell r="C1556">
            <v>0</v>
          </cell>
        </row>
        <row r="1557">
          <cell r="B1557">
            <v>0</v>
          </cell>
          <cell r="C1557">
            <v>0</v>
          </cell>
        </row>
        <row r="1559">
          <cell r="B1559" t="str">
            <v>EQUIPO</v>
          </cell>
        </row>
        <row r="1560">
          <cell r="B1560" t="str">
            <v>HTA MENOR (5% de M. de O.)</v>
          </cell>
        </row>
        <row r="1561">
          <cell r="A1561">
            <v>0</v>
          </cell>
          <cell r="B1561">
            <v>0</v>
          </cell>
          <cell r="C1561">
            <v>0</v>
          </cell>
        </row>
        <row r="1562">
          <cell r="A1562">
            <v>0</v>
          </cell>
          <cell r="B1562">
            <v>0</v>
          </cell>
          <cell r="C1562">
            <v>0</v>
          </cell>
        </row>
        <row r="1563">
          <cell r="A1563">
            <v>0</v>
          </cell>
          <cell r="B1563">
            <v>0</v>
          </cell>
          <cell r="C1563">
            <v>0</v>
          </cell>
        </row>
        <row r="1565">
          <cell r="B1565" t="str">
            <v>MANO DE OBRA</v>
          </cell>
        </row>
        <row r="1566">
          <cell r="B1566">
            <v>0</v>
          </cell>
          <cell r="C1566">
            <v>0</v>
          </cell>
        </row>
        <row r="1567">
          <cell r="A1567">
            <v>0</v>
          </cell>
          <cell r="B1567">
            <v>0</v>
          </cell>
          <cell r="C1567">
            <v>0</v>
          </cell>
        </row>
        <row r="1568">
          <cell r="A1568">
            <v>0</v>
          </cell>
          <cell r="B1568">
            <v>0</v>
          </cell>
          <cell r="C1568">
            <v>0</v>
          </cell>
        </row>
        <row r="1569">
          <cell r="A1569">
            <v>0</v>
          </cell>
          <cell r="B1569">
            <v>0</v>
          </cell>
          <cell r="C1569">
            <v>0</v>
          </cell>
        </row>
        <row r="1571">
          <cell r="B1571" t="str">
            <v>TRANSPORTE</v>
          </cell>
        </row>
        <row r="1573">
          <cell r="A1573">
            <v>0</v>
          </cell>
          <cell r="B1573">
            <v>0</v>
          </cell>
          <cell r="C1573">
            <v>0</v>
          </cell>
        </row>
        <row r="1574">
          <cell r="A1574">
            <v>0</v>
          </cell>
          <cell r="B1574">
            <v>0</v>
          </cell>
          <cell r="C1574">
            <v>0</v>
          </cell>
        </row>
        <row r="1575">
          <cell r="A1575">
            <v>0</v>
          </cell>
          <cell r="B1575">
            <v>0</v>
          </cell>
          <cell r="C1575">
            <v>0</v>
          </cell>
        </row>
        <row r="1580">
          <cell r="A1580" t="str">
            <v>CODIGO</v>
          </cell>
          <cell r="B1580" t="str">
            <v>ITEM</v>
          </cell>
          <cell r="C1580" t="str">
            <v>UNIDAD</v>
          </cell>
        </row>
        <row r="1581">
          <cell r="D1581">
            <v>0</v>
          </cell>
        </row>
        <row r="1582">
          <cell r="B1582" t="str">
            <v>CODIGO</v>
          </cell>
        </row>
        <row r="1583">
          <cell r="A1583" t="str">
            <v>CODIGO</v>
          </cell>
          <cell r="B1583" t="str">
            <v>RECURSOS</v>
          </cell>
          <cell r="C1583" t="str">
            <v>UNIDAD</v>
          </cell>
          <cell r="D1583" t="str">
            <v>CANT.</v>
          </cell>
        </row>
        <row r="1584">
          <cell r="B1584" t="str">
            <v>MATERIALES</v>
          </cell>
        </row>
        <row r="1585">
          <cell r="B1585">
            <v>0</v>
          </cell>
          <cell r="C1585">
            <v>0</v>
          </cell>
        </row>
        <row r="1586">
          <cell r="B1586">
            <v>0</v>
          </cell>
          <cell r="C1586">
            <v>0</v>
          </cell>
        </row>
        <row r="1587">
          <cell r="B1587">
            <v>0</v>
          </cell>
          <cell r="C1587">
            <v>0</v>
          </cell>
        </row>
        <row r="1588">
          <cell r="B1588">
            <v>0</v>
          </cell>
          <cell r="C1588">
            <v>0</v>
          </cell>
        </row>
        <row r="1590">
          <cell r="B1590" t="str">
            <v>EQUIPO</v>
          </cell>
        </row>
        <row r="1591">
          <cell r="B1591" t="str">
            <v>HTA MENOR (5% de M. de O.)</v>
          </cell>
        </row>
        <row r="1592">
          <cell r="A1592">
            <v>0</v>
          </cell>
          <cell r="B1592">
            <v>0</v>
          </cell>
          <cell r="C1592">
            <v>0</v>
          </cell>
        </row>
        <row r="1593">
          <cell r="A1593">
            <v>0</v>
          </cell>
          <cell r="B1593">
            <v>0</v>
          </cell>
          <cell r="C1593">
            <v>0</v>
          </cell>
        </row>
        <row r="1594">
          <cell r="A1594">
            <v>0</v>
          </cell>
          <cell r="B1594">
            <v>0</v>
          </cell>
          <cell r="C1594">
            <v>0</v>
          </cell>
        </row>
        <row r="1596">
          <cell r="B1596" t="str">
            <v>MANO DE OBRA</v>
          </cell>
        </row>
        <row r="1597">
          <cell r="B1597">
            <v>0</v>
          </cell>
          <cell r="C1597">
            <v>0</v>
          </cell>
        </row>
        <row r="1598">
          <cell r="A1598">
            <v>0</v>
          </cell>
          <cell r="B1598">
            <v>0</v>
          </cell>
          <cell r="C1598">
            <v>0</v>
          </cell>
        </row>
        <row r="1599">
          <cell r="A1599">
            <v>0</v>
          </cell>
          <cell r="B1599">
            <v>0</v>
          </cell>
          <cell r="C1599">
            <v>0</v>
          </cell>
        </row>
        <row r="1600">
          <cell r="A1600">
            <v>0</v>
          </cell>
          <cell r="B1600">
            <v>0</v>
          </cell>
          <cell r="C1600">
            <v>0</v>
          </cell>
        </row>
        <row r="1602">
          <cell r="B1602" t="str">
            <v>TRANSPORTE</v>
          </cell>
        </row>
        <row r="1604">
          <cell r="A1604">
            <v>0</v>
          </cell>
          <cell r="B1604">
            <v>0</v>
          </cell>
          <cell r="C1604">
            <v>0</v>
          </cell>
        </row>
        <row r="1605">
          <cell r="A1605">
            <v>0</v>
          </cell>
          <cell r="B1605">
            <v>0</v>
          </cell>
          <cell r="C1605">
            <v>0</v>
          </cell>
        </row>
        <row r="1606">
          <cell r="A1606">
            <v>0</v>
          </cell>
          <cell r="B1606">
            <v>0</v>
          </cell>
          <cell r="C1606">
            <v>0</v>
          </cell>
        </row>
        <row r="1611">
          <cell r="A1611" t="str">
            <v>CODIGO</v>
          </cell>
          <cell r="B1611" t="str">
            <v>ITEM</v>
          </cell>
          <cell r="C1611" t="str">
            <v>UNIDAD</v>
          </cell>
        </row>
        <row r="1612">
          <cell r="D1612">
            <v>0</v>
          </cell>
        </row>
        <row r="1613">
          <cell r="B1613" t="str">
            <v>CODIGO</v>
          </cell>
        </row>
        <row r="1614">
          <cell r="A1614" t="str">
            <v>CODIGO</v>
          </cell>
          <cell r="B1614" t="str">
            <v>RECURSOS</v>
          </cell>
          <cell r="C1614" t="str">
            <v>UNIDAD</v>
          </cell>
          <cell r="D1614" t="str">
            <v>CANT.</v>
          </cell>
        </row>
        <row r="1615">
          <cell r="B1615" t="str">
            <v>MATERIALES</v>
          </cell>
        </row>
        <row r="1616">
          <cell r="B1616">
            <v>0</v>
          </cell>
          <cell r="C1616">
            <v>0</v>
          </cell>
        </row>
        <row r="1617">
          <cell r="B1617">
            <v>0</v>
          </cell>
          <cell r="C1617">
            <v>0</v>
          </cell>
        </row>
        <row r="1618">
          <cell r="B1618">
            <v>0</v>
          </cell>
          <cell r="C1618">
            <v>0</v>
          </cell>
        </row>
        <row r="1619">
          <cell r="B1619">
            <v>0</v>
          </cell>
          <cell r="C1619">
            <v>0</v>
          </cell>
        </row>
        <row r="1621">
          <cell r="B1621" t="str">
            <v>EQUIPO</v>
          </cell>
        </row>
        <row r="1622">
          <cell r="B1622" t="str">
            <v>HTA MENOR (5% de M. de O.)</v>
          </cell>
        </row>
        <row r="1623">
          <cell r="A1623">
            <v>0</v>
          </cell>
          <cell r="B1623">
            <v>0</v>
          </cell>
          <cell r="C1623">
            <v>0</v>
          </cell>
        </row>
        <row r="1624">
          <cell r="A1624">
            <v>0</v>
          </cell>
          <cell r="B1624">
            <v>0</v>
          </cell>
          <cell r="C1624">
            <v>0</v>
          </cell>
        </row>
        <row r="1625">
          <cell r="A1625">
            <v>0</v>
          </cell>
          <cell r="B1625">
            <v>0</v>
          </cell>
          <cell r="C1625">
            <v>0</v>
          </cell>
        </row>
        <row r="1627">
          <cell r="B1627" t="str">
            <v>MANO DE OBRA</v>
          </cell>
        </row>
        <row r="1628">
          <cell r="B1628">
            <v>0</v>
          </cell>
          <cell r="C1628">
            <v>0</v>
          </cell>
        </row>
        <row r="1629">
          <cell r="A1629">
            <v>0</v>
          </cell>
          <cell r="B1629">
            <v>0</v>
          </cell>
          <cell r="C1629">
            <v>0</v>
          </cell>
        </row>
        <row r="1630">
          <cell r="A1630">
            <v>0</v>
          </cell>
          <cell r="B1630">
            <v>0</v>
          </cell>
          <cell r="C1630">
            <v>0</v>
          </cell>
        </row>
        <row r="1631">
          <cell r="A1631">
            <v>0</v>
          </cell>
          <cell r="B1631">
            <v>0</v>
          </cell>
          <cell r="C1631">
            <v>0</v>
          </cell>
        </row>
        <row r="1633">
          <cell r="B1633" t="str">
            <v>TRANSPORTE</v>
          </cell>
        </row>
        <row r="1635">
          <cell r="A1635">
            <v>0</v>
          </cell>
          <cell r="B1635">
            <v>0</v>
          </cell>
          <cell r="C1635">
            <v>0</v>
          </cell>
        </row>
        <row r="1636">
          <cell r="A1636">
            <v>0</v>
          </cell>
          <cell r="B1636">
            <v>0</v>
          </cell>
          <cell r="C1636">
            <v>0</v>
          </cell>
        </row>
        <row r="1637">
          <cell r="A1637">
            <v>0</v>
          </cell>
          <cell r="B1637">
            <v>0</v>
          </cell>
          <cell r="C1637">
            <v>0</v>
          </cell>
        </row>
        <row r="1642">
          <cell r="A1642" t="str">
            <v>CODIGO</v>
          </cell>
          <cell r="B1642" t="str">
            <v>ITEM</v>
          </cell>
          <cell r="C1642" t="str">
            <v>UNIDAD</v>
          </cell>
        </row>
        <row r="1643">
          <cell r="D1643">
            <v>0</v>
          </cell>
        </row>
        <row r="1644">
          <cell r="B1644" t="str">
            <v>CODIGO</v>
          </cell>
        </row>
        <row r="1645">
          <cell r="A1645" t="str">
            <v>CODIGO</v>
          </cell>
          <cell r="B1645" t="str">
            <v>RECURSOS</v>
          </cell>
          <cell r="C1645" t="str">
            <v>UNIDAD</v>
          </cell>
          <cell r="D1645" t="str">
            <v>CANT.</v>
          </cell>
        </row>
        <row r="1646">
          <cell r="B1646" t="str">
            <v>MATERIALES</v>
          </cell>
        </row>
        <row r="1647">
          <cell r="B1647">
            <v>0</v>
          </cell>
          <cell r="C1647">
            <v>0</v>
          </cell>
        </row>
        <row r="1648">
          <cell r="B1648">
            <v>0</v>
          </cell>
          <cell r="C1648">
            <v>0</v>
          </cell>
        </row>
        <row r="1649">
          <cell r="B1649">
            <v>0</v>
          </cell>
          <cell r="C1649">
            <v>0</v>
          </cell>
        </row>
        <row r="1650">
          <cell r="B1650">
            <v>0</v>
          </cell>
          <cell r="C1650">
            <v>0</v>
          </cell>
        </row>
        <row r="1652">
          <cell r="B1652" t="str">
            <v>EQUIPO</v>
          </cell>
        </row>
        <row r="1653">
          <cell r="B1653" t="str">
            <v>HTA MENOR (5% de M. de O.)</v>
          </cell>
        </row>
        <row r="1654">
          <cell r="A1654">
            <v>0</v>
          </cell>
          <cell r="B1654">
            <v>0</v>
          </cell>
          <cell r="C1654">
            <v>0</v>
          </cell>
        </row>
        <row r="1655">
          <cell r="A1655">
            <v>0</v>
          </cell>
          <cell r="B1655">
            <v>0</v>
          </cell>
          <cell r="C1655">
            <v>0</v>
          </cell>
        </row>
        <row r="1656">
          <cell r="A1656">
            <v>0</v>
          </cell>
          <cell r="B1656">
            <v>0</v>
          </cell>
          <cell r="C1656">
            <v>0</v>
          </cell>
        </row>
        <row r="1658">
          <cell r="B1658" t="str">
            <v>MANO DE OBRA</v>
          </cell>
        </row>
        <row r="1659">
          <cell r="B1659">
            <v>0</v>
          </cell>
          <cell r="C1659">
            <v>0</v>
          </cell>
        </row>
        <row r="1660">
          <cell r="A1660">
            <v>0</v>
          </cell>
          <cell r="B1660">
            <v>0</v>
          </cell>
          <cell r="C1660">
            <v>0</v>
          </cell>
        </row>
        <row r="1661">
          <cell r="A1661">
            <v>0</v>
          </cell>
          <cell r="B1661">
            <v>0</v>
          </cell>
          <cell r="C1661">
            <v>0</v>
          </cell>
        </row>
        <row r="1662">
          <cell r="A1662">
            <v>0</v>
          </cell>
          <cell r="B1662">
            <v>0</v>
          </cell>
          <cell r="C1662">
            <v>0</v>
          </cell>
        </row>
        <row r="1664">
          <cell r="B1664" t="str">
            <v>TRANSPORTE</v>
          </cell>
        </row>
        <row r="1666">
          <cell r="A1666">
            <v>0</v>
          </cell>
          <cell r="B1666">
            <v>0</v>
          </cell>
          <cell r="C1666">
            <v>0</v>
          </cell>
        </row>
        <row r="1667">
          <cell r="A1667">
            <v>0</v>
          </cell>
          <cell r="B1667">
            <v>0</v>
          </cell>
          <cell r="C1667">
            <v>0</v>
          </cell>
        </row>
        <row r="1668">
          <cell r="A1668">
            <v>0</v>
          </cell>
          <cell r="B1668">
            <v>0</v>
          </cell>
          <cell r="C1668">
            <v>0</v>
          </cell>
        </row>
        <row r="1673">
          <cell r="A1673" t="str">
            <v>CODIGO</v>
          </cell>
          <cell r="B1673" t="str">
            <v>ITEM</v>
          </cell>
          <cell r="C1673" t="str">
            <v>UNIDAD</v>
          </cell>
        </row>
        <row r="1674">
          <cell r="D1674">
            <v>0</v>
          </cell>
        </row>
        <row r="1675">
          <cell r="B1675" t="str">
            <v>CODIGO</v>
          </cell>
        </row>
        <row r="1676">
          <cell r="A1676" t="str">
            <v>CODIGO</v>
          </cell>
          <cell r="B1676" t="str">
            <v>RECURSOS</v>
          </cell>
          <cell r="C1676" t="str">
            <v>UNIDAD</v>
          </cell>
          <cell r="D1676" t="str">
            <v>CANT.</v>
          </cell>
        </row>
        <row r="1677">
          <cell r="B1677" t="str">
            <v>MATERIALES</v>
          </cell>
        </row>
        <row r="1678">
          <cell r="B1678">
            <v>0</v>
          </cell>
          <cell r="C1678">
            <v>0</v>
          </cell>
        </row>
        <row r="1679">
          <cell r="B1679">
            <v>0</v>
          </cell>
          <cell r="C1679">
            <v>0</v>
          </cell>
        </row>
        <row r="1680">
          <cell r="B1680">
            <v>0</v>
          </cell>
          <cell r="C1680">
            <v>0</v>
          </cell>
        </row>
        <row r="1681">
          <cell r="B1681">
            <v>0</v>
          </cell>
          <cell r="C1681">
            <v>0</v>
          </cell>
        </row>
        <row r="1683">
          <cell r="B1683" t="str">
            <v>EQUIPO</v>
          </cell>
        </row>
        <row r="1684">
          <cell r="B1684" t="str">
            <v>HTA MENOR (5% de M. de O.)</v>
          </cell>
        </row>
        <row r="1685">
          <cell r="A1685">
            <v>0</v>
          </cell>
          <cell r="B1685">
            <v>0</v>
          </cell>
          <cell r="C1685">
            <v>0</v>
          </cell>
        </row>
        <row r="1686">
          <cell r="A1686">
            <v>0</v>
          </cell>
          <cell r="B1686">
            <v>0</v>
          </cell>
          <cell r="C1686">
            <v>0</v>
          </cell>
        </row>
        <row r="1687">
          <cell r="A1687">
            <v>0</v>
          </cell>
          <cell r="B1687">
            <v>0</v>
          </cell>
          <cell r="C1687">
            <v>0</v>
          </cell>
        </row>
        <row r="1689">
          <cell r="B1689" t="str">
            <v>MANO DE OBRA</v>
          </cell>
        </row>
        <row r="1690">
          <cell r="B1690">
            <v>0</v>
          </cell>
          <cell r="C1690">
            <v>0</v>
          </cell>
        </row>
        <row r="1691">
          <cell r="A1691">
            <v>0</v>
          </cell>
          <cell r="B1691">
            <v>0</v>
          </cell>
          <cell r="C1691">
            <v>0</v>
          </cell>
        </row>
        <row r="1692">
          <cell r="A1692">
            <v>0</v>
          </cell>
          <cell r="B1692">
            <v>0</v>
          </cell>
          <cell r="C1692">
            <v>0</v>
          </cell>
        </row>
        <row r="1693">
          <cell r="A1693">
            <v>0</v>
          </cell>
          <cell r="B1693">
            <v>0</v>
          </cell>
          <cell r="C1693">
            <v>0</v>
          </cell>
        </row>
        <row r="1695">
          <cell r="B1695" t="str">
            <v>TRANSPORTE</v>
          </cell>
        </row>
        <row r="1697">
          <cell r="A1697">
            <v>0</v>
          </cell>
          <cell r="B1697">
            <v>0</v>
          </cell>
          <cell r="C1697">
            <v>0</v>
          </cell>
        </row>
        <row r="1698">
          <cell r="A1698">
            <v>0</v>
          </cell>
          <cell r="B1698">
            <v>0</v>
          </cell>
          <cell r="C1698">
            <v>0</v>
          </cell>
        </row>
        <row r="1699">
          <cell r="A1699">
            <v>0</v>
          </cell>
          <cell r="B1699">
            <v>0</v>
          </cell>
          <cell r="C1699">
            <v>0</v>
          </cell>
        </row>
        <row r="1705">
          <cell r="A1705" t="str">
            <v>CODIGO</v>
          </cell>
          <cell r="B1705" t="str">
            <v>ITEM</v>
          </cell>
          <cell r="C1705" t="str">
            <v>UNIDAD</v>
          </cell>
        </row>
        <row r="1706">
          <cell r="D1706">
            <v>0</v>
          </cell>
        </row>
        <row r="1707">
          <cell r="B1707" t="str">
            <v>CODIGO</v>
          </cell>
        </row>
        <row r="1708">
          <cell r="A1708" t="str">
            <v>CODIGO</v>
          </cell>
          <cell r="B1708" t="str">
            <v>RECURSOS</v>
          </cell>
          <cell r="C1708" t="str">
            <v>UNIDAD</v>
          </cell>
          <cell r="D1708" t="str">
            <v>CANT.</v>
          </cell>
        </row>
        <row r="1709">
          <cell r="B1709" t="str">
            <v>MATERIALES</v>
          </cell>
        </row>
        <row r="1710">
          <cell r="B1710">
            <v>0</v>
          </cell>
          <cell r="C1710">
            <v>0</v>
          </cell>
        </row>
        <row r="1711">
          <cell r="B1711">
            <v>0</v>
          </cell>
          <cell r="C1711">
            <v>0</v>
          </cell>
        </row>
        <row r="1712">
          <cell r="B1712">
            <v>0</v>
          </cell>
          <cell r="C1712">
            <v>0</v>
          </cell>
        </row>
        <row r="1713">
          <cell r="B1713">
            <v>0</v>
          </cell>
          <cell r="C1713">
            <v>0</v>
          </cell>
        </row>
        <row r="1715">
          <cell r="B1715" t="str">
            <v>EQUIPO</v>
          </cell>
        </row>
        <row r="1716">
          <cell r="B1716" t="str">
            <v>HTA MENOR (5% de M. de O.)</v>
          </cell>
        </row>
        <row r="1717">
          <cell r="A1717">
            <v>0</v>
          </cell>
          <cell r="B1717">
            <v>0</v>
          </cell>
          <cell r="C1717">
            <v>0</v>
          </cell>
        </row>
        <row r="1718">
          <cell r="A1718">
            <v>0</v>
          </cell>
          <cell r="B1718">
            <v>0</v>
          </cell>
          <cell r="C1718">
            <v>0</v>
          </cell>
        </row>
        <row r="1719">
          <cell r="A1719">
            <v>0</v>
          </cell>
          <cell r="B1719">
            <v>0</v>
          </cell>
          <cell r="C1719">
            <v>0</v>
          </cell>
        </row>
        <row r="1721">
          <cell r="B1721" t="str">
            <v>MANO DE OBRA</v>
          </cell>
        </row>
        <row r="1722">
          <cell r="B1722">
            <v>0</v>
          </cell>
          <cell r="C1722">
            <v>0</v>
          </cell>
        </row>
        <row r="1723">
          <cell r="A1723">
            <v>0</v>
          </cell>
          <cell r="B1723">
            <v>0</v>
          </cell>
          <cell r="C1723">
            <v>0</v>
          </cell>
        </row>
        <row r="1724">
          <cell r="A1724">
            <v>0</v>
          </cell>
          <cell r="B1724">
            <v>0</v>
          </cell>
          <cell r="C1724">
            <v>0</v>
          </cell>
        </row>
        <row r="1725">
          <cell r="A1725">
            <v>0</v>
          </cell>
          <cell r="B1725">
            <v>0</v>
          </cell>
          <cell r="C1725">
            <v>0</v>
          </cell>
        </row>
        <row r="1727">
          <cell r="B1727" t="str">
            <v>TRANSPORTE</v>
          </cell>
        </row>
        <row r="1729">
          <cell r="A1729">
            <v>0</v>
          </cell>
          <cell r="B1729">
            <v>0</v>
          </cell>
          <cell r="C1729">
            <v>0</v>
          </cell>
        </row>
        <row r="1730">
          <cell r="A1730">
            <v>0</v>
          </cell>
          <cell r="B1730">
            <v>0</v>
          </cell>
          <cell r="C1730">
            <v>0</v>
          </cell>
        </row>
        <row r="1731">
          <cell r="A1731">
            <v>0</v>
          </cell>
          <cell r="B1731">
            <v>0</v>
          </cell>
          <cell r="C1731">
            <v>0</v>
          </cell>
        </row>
        <row r="1736">
          <cell r="A1736" t="str">
            <v>CODIGO</v>
          </cell>
          <cell r="B1736" t="str">
            <v>ITEM</v>
          </cell>
          <cell r="C1736" t="str">
            <v>UNIDAD</v>
          </cell>
        </row>
        <row r="1737">
          <cell r="D1737">
            <v>0</v>
          </cell>
        </row>
        <row r="1738">
          <cell r="B1738" t="str">
            <v>CODIGO</v>
          </cell>
        </row>
        <row r="1739">
          <cell r="A1739" t="str">
            <v>CODIGO</v>
          </cell>
          <cell r="B1739" t="str">
            <v>RECURSOS</v>
          </cell>
          <cell r="C1739" t="str">
            <v>UNIDAD</v>
          </cell>
          <cell r="D1739" t="str">
            <v>CANT.</v>
          </cell>
        </row>
        <row r="1740">
          <cell r="B1740" t="str">
            <v>MATERIALES</v>
          </cell>
        </row>
        <row r="1741">
          <cell r="B1741">
            <v>0</v>
          </cell>
          <cell r="C1741">
            <v>0</v>
          </cell>
        </row>
        <row r="1742">
          <cell r="B1742">
            <v>0</v>
          </cell>
          <cell r="C1742">
            <v>0</v>
          </cell>
        </row>
        <row r="1743">
          <cell r="B1743">
            <v>0</v>
          </cell>
          <cell r="C1743">
            <v>0</v>
          </cell>
        </row>
        <row r="1744">
          <cell r="B1744">
            <v>0</v>
          </cell>
          <cell r="C1744">
            <v>0</v>
          </cell>
        </row>
        <row r="1746">
          <cell r="B1746" t="str">
            <v>EQUIPO</v>
          </cell>
        </row>
        <row r="1747">
          <cell r="B1747" t="str">
            <v>HTA MENOR (5% de M. de O.)</v>
          </cell>
        </row>
        <row r="1748">
          <cell r="A1748">
            <v>0</v>
          </cell>
          <cell r="B1748">
            <v>0</v>
          </cell>
          <cell r="C1748">
            <v>0</v>
          </cell>
        </row>
        <row r="1749">
          <cell r="A1749">
            <v>0</v>
          </cell>
          <cell r="B1749">
            <v>0</v>
          </cell>
          <cell r="C1749">
            <v>0</v>
          </cell>
        </row>
        <row r="1750">
          <cell r="A1750">
            <v>0</v>
          </cell>
          <cell r="B1750">
            <v>0</v>
          </cell>
          <cell r="C1750">
            <v>0</v>
          </cell>
        </row>
        <row r="1752">
          <cell r="B1752" t="str">
            <v>MANO DE OBRA</v>
          </cell>
        </row>
        <row r="1753">
          <cell r="B1753">
            <v>0</v>
          </cell>
          <cell r="C1753">
            <v>0</v>
          </cell>
        </row>
        <row r="1754">
          <cell r="A1754">
            <v>0</v>
          </cell>
          <cell r="B1754">
            <v>0</v>
          </cell>
          <cell r="C1754">
            <v>0</v>
          </cell>
        </row>
        <row r="1755">
          <cell r="A1755">
            <v>0</v>
          </cell>
          <cell r="B1755">
            <v>0</v>
          </cell>
          <cell r="C1755">
            <v>0</v>
          </cell>
        </row>
        <row r="1756">
          <cell r="A1756">
            <v>0</v>
          </cell>
          <cell r="B1756">
            <v>0</v>
          </cell>
          <cell r="C1756">
            <v>0</v>
          </cell>
        </row>
        <row r="1758">
          <cell r="B1758" t="str">
            <v>TRANSPORTE</v>
          </cell>
        </row>
        <row r="1760">
          <cell r="A1760">
            <v>0</v>
          </cell>
          <cell r="B1760">
            <v>0</v>
          </cell>
          <cell r="C1760">
            <v>0</v>
          </cell>
        </row>
        <row r="1761">
          <cell r="A1761">
            <v>0</v>
          </cell>
          <cell r="B1761">
            <v>0</v>
          </cell>
          <cell r="C1761">
            <v>0</v>
          </cell>
        </row>
        <row r="1762">
          <cell r="A1762">
            <v>0</v>
          </cell>
          <cell r="B1762">
            <v>0</v>
          </cell>
          <cell r="C1762">
            <v>0</v>
          </cell>
        </row>
        <row r="1767">
          <cell r="A1767" t="str">
            <v>CODIGO</v>
          </cell>
          <cell r="B1767" t="str">
            <v>ITEM</v>
          </cell>
          <cell r="C1767" t="str">
            <v>UNIDAD</v>
          </cell>
        </row>
        <row r="1768">
          <cell r="D1768">
            <v>0</v>
          </cell>
        </row>
        <row r="1769">
          <cell r="B1769" t="str">
            <v>CODIGO</v>
          </cell>
        </row>
        <row r="1770">
          <cell r="A1770" t="str">
            <v>CODIGO</v>
          </cell>
          <cell r="B1770" t="str">
            <v>RECURSOS</v>
          </cell>
          <cell r="C1770" t="str">
            <v>UNIDAD</v>
          </cell>
          <cell r="D1770" t="str">
            <v>CANT.</v>
          </cell>
        </row>
        <row r="1771">
          <cell r="B1771" t="str">
            <v>MATERIALES</v>
          </cell>
        </row>
        <row r="1772">
          <cell r="B1772">
            <v>0</v>
          </cell>
          <cell r="C1772">
            <v>0</v>
          </cell>
        </row>
        <row r="1773">
          <cell r="B1773">
            <v>0</v>
          </cell>
          <cell r="C1773">
            <v>0</v>
          </cell>
        </row>
        <row r="1774">
          <cell r="B1774">
            <v>0</v>
          </cell>
          <cell r="C1774">
            <v>0</v>
          </cell>
        </row>
        <row r="1775">
          <cell r="B1775">
            <v>0</v>
          </cell>
          <cell r="C1775">
            <v>0</v>
          </cell>
        </row>
        <row r="1777">
          <cell r="B1777" t="str">
            <v>EQUIPO</v>
          </cell>
        </row>
        <row r="1778">
          <cell r="B1778" t="str">
            <v>HTA MENOR (5% de M. de O.)</v>
          </cell>
        </row>
        <row r="1779">
          <cell r="A1779">
            <v>0</v>
          </cell>
          <cell r="B1779">
            <v>0</v>
          </cell>
          <cell r="C1779">
            <v>0</v>
          </cell>
        </row>
        <row r="1780">
          <cell r="A1780">
            <v>0</v>
          </cell>
          <cell r="B1780">
            <v>0</v>
          </cell>
          <cell r="C1780">
            <v>0</v>
          </cell>
        </row>
        <row r="1781">
          <cell r="A1781">
            <v>0</v>
          </cell>
          <cell r="B1781">
            <v>0</v>
          </cell>
          <cell r="C1781">
            <v>0</v>
          </cell>
        </row>
        <row r="1783">
          <cell r="B1783" t="str">
            <v>MANO DE OBRA</v>
          </cell>
        </row>
        <row r="1784">
          <cell r="B1784">
            <v>0</v>
          </cell>
          <cell r="C1784">
            <v>0</v>
          </cell>
        </row>
        <row r="1785">
          <cell r="A1785">
            <v>0</v>
          </cell>
          <cell r="B1785">
            <v>0</v>
          </cell>
          <cell r="C1785">
            <v>0</v>
          </cell>
        </row>
        <row r="1786">
          <cell r="A1786">
            <v>0</v>
          </cell>
          <cell r="B1786">
            <v>0</v>
          </cell>
          <cell r="C1786">
            <v>0</v>
          </cell>
        </row>
        <row r="1787">
          <cell r="A1787">
            <v>0</v>
          </cell>
          <cell r="B1787">
            <v>0</v>
          </cell>
          <cell r="C1787">
            <v>0</v>
          </cell>
        </row>
        <row r="1789">
          <cell r="B1789" t="str">
            <v>TRANSPORTE</v>
          </cell>
        </row>
        <row r="1791">
          <cell r="A1791">
            <v>0</v>
          </cell>
          <cell r="B1791">
            <v>0</v>
          </cell>
          <cell r="C1791">
            <v>0</v>
          </cell>
        </row>
        <row r="1792">
          <cell r="A1792">
            <v>0</v>
          </cell>
          <cell r="B1792">
            <v>0</v>
          </cell>
          <cell r="C1792">
            <v>0</v>
          </cell>
        </row>
        <row r="1793">
          <cell r="A1793">
            <v>0</v>
          </cell>
          <cell r="B1793">
            <v>0</v>
          </cell>
          <cell r="C1793">
            <v>0</v>
          </cell>
        </row>
        <row r="1798">
          <cell r="A1798" t="str">
            <v>CODIGO</v>
          </cell>
          <cell r="B1798" t="str">
            <v>ITEM</v>
          </cell>
          <cell r="C1798" t="str">
            <v>UNIDAD</v>
          </cell>
        </row>
        <row r="1799">
          <cell r="D1799">
            <v>0</v>
          </cell>
        </row>
        <row r="1800">
          <cell r="B1800" t="str">
            <v>CODIGO</v>
          </cell>
        </row>
        <row r="1801">
          <cell r="A1801" t="str">
            <v>CODIGO</v>
          </cell>
          <cell r="B1801" t="str">
            <v>RECURSOS</v>
          </cell>
          <cell r="C1801" t="str">
            <v>UNIDAD</v>
          </cell>
          <cell r="D1801" t="str">
            <v>CANT.</v>
          </cell>
        </row>
        <row r="1802">
          <cell r="B1802" t="str">
            <v>MATERIALES</v>
          </cell>
        </row>
        <row r="1803">
          <cell r="B1803">
            <v>0</v>
          </cell>
          <cell r="C1803">
            <v>0</v>
          </cell>
        </row>
        <row r="1804">
          <cell r="B1804">
            <v>0</v>
          </cell>
          <cell r="C1804">
            <v>0</v>
          </cell>
        </row>
        <row r="1805">
          <cell r="B1805">
            <v>0</v>
          </cell>
          <cell r="C1805">
            <v>0</v>
          </cell>
        </row>
        <row r="1806">
          <cell r="B1806">
            <v>0</v>
          </cell>
          <cell r="C1806">
            <v>0</v>
          </cell>
        </row>
        <row r="1808">
          <cell r="B1808" t="str">
            <v>EQUIPO</v>
          </cell>
        </row>
        <row r="1809">
          <cell r="B1809" t="str">
            <v>HTA MENOR (5% de M. de O.)</v>
          </cell>
        </row>
        <row r="1810">
          <cell r="A1810">
            <v>0</v>
          </cell>
          <cell r="B1810">
            <v>0</v>
          </cell>
          <cell r="C1810">
            <v>0</v>
          </cell>
        </row>
        <row r="1811">
          <cell r="A1811">
            <v>0</v>
          </cell>
          <cell r="B1811">
            <v>0</v>
          </cell>
          <cell r="C1811">
            <v>0</v>
          </cell>
        </row>
        <row r="1812">
          <cell r="A1812">
            <v>0</v>
          </cell>
          <cell r="B1812">
            <v>0</v>
          </cell>
          <cell r="C1812">
            <v>0</v>
          </cell>
        </row>
        <row r="1814">
          <cell r="B1814" t="str">
            <v>MANO DE OBRA</v>
          </cell>
        </row>
        <row r="1815">
          <cell r="B1815">
            <v>0</v>
          </cell>
          <cell r="C1815">
            <v>0</v>
          </cell>
        </row>
        <row r="1816">
          <cell r="A1816">
            <v>0</v>
          </cell>
          <cell r="B1816">
            <v>0</v>
          </cell>
          <cell r="C1816">
            <v>0</v>
          </cell>
        </row>
        <row r="1817">
          <cell r="A1817">
            <v>0</v>
          </cell>
          <cell r="B1817">
            <v>0</v>
          </cell>
          <cell r="C1817">
            <v>0</v>
          </cell>
        </row>
        <row r="1818">
          <cell r="A1818">
            <v>0</v>
          </cell>
          <cell r="B1818">
            <v>0</v>
          </cell>
          <cell r="C1818">
            <v>0</v>
          </cell>
        </row>
        <row r="1820">
          <cell r="B1820" t="str">
            <v>TRANSPORTE</v>
          </cell>
        </row>
        <row r="1822">
          <cell r="A1822">
            <v>0</v>
          </cell>
          <cell r="B1822">
            <v>0</v>
          </cell>
          <cell r="C1822">
            <v>0</v>
          </cell>
        </row>
        <row r="1823">
          <cell r="A1823">
            <v>0</v>
          </cell>
          <cell r="B1823">
            <v>0</v>
          </cell>
          <cell r="C1823">
            <v>0</v>
          </cell>
        </row>
        <row r="1824">
          <cell r="A1824">
            <v>0</v>
          </cell>
          <cell r="B1824">
            <v>0</v>
          </cell>
          <cell r="C1824">
            <v>0</v>
          </cell>
        </row>
        <row r="1829">
          <cell r="A1829" t="str">
            <v>CODIGO</v>
          </cell>
          <cell r="B1829" t="str">
            <v>ITEM</v>
          </cell>
          <cell r="C1829" t="str">
            <v>UNIDAD</v>
          </cell>
        </row>
        <row r="1830">
          <cell r="D1830">
            <v>0</v>
          </cell>
        </row>
        <row r="1831">
          <cell r="B1831" t="str">
            <v>CODIGO</v>
          </cell>
        </row>
        <row r="1832">
          <cell r="A1832" t="str">
            <v>CODIGO</v>
          </cell>
          <cell r="B1832" t="str">
            <v>RECURSOS</v>
          </cell>
          <cell r="C1832" t="str">
            <v>UNIDAD</v>
          </cell>
          <cell r="D1832" t="str">
            <v>CANT.</v>
          </cell>
        </row>
        <row r="1833">
          <cell r="B1833" t="str">
            <v>MATERIALES</v>
          </cell>
        </row>
        <row r="1834">
          <cell r="B1834">
            <v>0</v>
          </cell>
          <cell r="C1834">
            <v>0</v>
          </cell>
        </row>
        <row r="1835">
          <cell r="B1835">
            <v>0</v>
          </cell>
          <cell r="C1835">
            <v>0</v>
          </cell>
        </row>
        <row r="1836">
          <cell r="B1836">
            <v>0</v>
          </cell>
          <cell r="C1836">
            <v>0</v>
          </cell>
        </row>
        <row r="1837">
          <cell r="B1837">
            <v>0</v>
          </cell>
          <cell r="C1837">
            <v>0</v>
          </cell>
        </row>
        <row r="1839">
          <cell r="B1839" t="str">
            <v>EQUIPO</v>
          </cell>
        </row>
        <row r="1840">
          <cell r="B1840" t="str">
            <v>HTA MENOR (5% de M. de O.)</v>
          </cell>
        </row>
        <row r="1841">
          <cell r="A1841">
            <v>0</v>
          </cell>
          <cell r="B1841">
            <v>0</v>
          </cell>
          <cell r="C1841">
            <v>0</v>
          </cell>
        </row>
        <row r="1842">
          <cell r="A1842">
            <v>0</v>
          </cell>
          <cell r="B1842">
            <v>0</v>
          </cell>
          <cell r="C1842">
            <v>0</v>
          </cell>
        </row>
        <row r="1843">
          <cell r="A1843">
            <v>0</v>
          </cell>
          <cell r="B1843">
            <v>0</v>
          </cell>
          <cell r="C1843">
            <v>0</v>
          </cell>
        </row>
        <row r="1845">
          <cell r="B1845" t="str">
            <v>MANO DE OBRA</v>
          </cell>
        </row>
        <row r="1846">
          <cell r="B1846">
            <v>0</v>
          </cell>
          <cell r="C1846">
            <v>0</v>
          </cell>
        </row>
        <row r="1847">
          <cell r="A1847">
            <v>0</v>
          </cell>
          <cell r="B1847">
            <v>0</v>
          </cell>
          <cell r="C1847">
            <v>0</v>
          </cell>
        </row>
        <row r="1848">
          <cell r="A1848">
            <v>0</v>
          </cell>
          <cell r="B1848">
            <v>0</v>
          </cell>
          <cell r="C1848">
            <v>0</v>
          </cell>
        </row>
        <row r="1849">
          <cell r="A1849">
            <v>0</v>
          </cell>
          <cell r="B1849">
            <v>0</v>
          </cell>
          <cell r="C1849">
            <v>0</v>
          </cell>
        </row>
        <row r="1851">
          <cell r="B1851" t="str">
            <v>TRANSPORTE</v>
          </cell>
        </row>
        <row r="1853">
          <cell r="A1853">
            <v>0</v>
          </cell>
          <cell r="B1853">
            <v>0</v>
          </cell>
          <cell r="C1853">
            <v>0</v>
          </cell>
        </row>
        <row r="1854">
          <cell r="A1854">
            <v>0</v>
          </cell>
          <cell r="B1854">
            <v>0</v>
          </cell>
          <cell r="C1854">
            <v>0</v>
          </cell>
        </row>
        <row r="1855">
          <cell r="A1855">
            <v>0</v>
          </cell>
          <cell r="B1855">
            <v>0</v>
          </cell>
          <cell r="C1855">
            <v>0</v>
          </cell>
        </row>
        <row r="1860">
          <cell r="A1860" t="str">
            <v>CODIGO</v>
          </cell>
          <cell r="B1860" t="str">
            <v>ITEM</v>
          </cell>
          <cell r="C1860" t="str">
            <v>UNIDAD</v>
          </cell>
        </row>
        <row r="1861">
          <cell r="D1861">
            <v>0</v>
          </cell>
        </row>
        <row r="1862">
          <cell r="B1862" t="str">
            <v>CODIGO</v>
          </cell>
        </row>
        <row r="1863">
          <cell r="A1863" t="str">
            <v>CODIGO</v>
          </cell>
          <cell r="B1863" t="str">
            <v>RECURSOS</v>
          </cell>
          <cell r="C1863" t="str">
            <v>UNIDAD</v>
          </cell>
          <cell r="D1863" t="str">
            <v>CANT.</v>
          </cell>
        </row>
        <row r="1864">
          <cell r="B1864" t="str">
            <v>MATERIALES</v>
          </cell>
        </row>
        <row r="1865">
          <cell r="B1865">
            <v>0</v>
          </cell>
          <cell r="C1865">
            <v>0</v>
          </cell>
        </row>
        <row r="1866">
          <cell r="B1866">
            <v>0</v>
          </cell>
          <cell r="C1866">
            <v>0</v>
          </cell>
        </row>
        <row r="1867">
          <cell r="B1867">
            <v>0</v>
          </cell>
          <cell r="C1867">
            <v>0</v>
          </cell>
        </row>
        <row r="1868">
          <cell r="B1868">
            <v>0</v>
          </cell>
          <cell r="C1868">
            <v>0</v>
          </cell>
        </row>
        <row r="1870">
          <cell r="B1870" t="str">
            <v>EQUIPO</v>
          </cell>
        </row>
        <row r="1871">
          <cell r="B1871" t="str">
            <v>HTA MENOR (5% de M. de O.)</v>
          </cell>
        </row>
        <row r="1872">
          <cell r="A1872">
            <v>0</v>
          </cell>
          <cell r="B1872">
            <v>0</v>
          </cell>
          <cell r="C1872">
            <v>0</v>
          </cell>
        </row>
        <row r="1873">
          <cell r="A1873">
            <v>0</v>
          </cell>
          <cell r="B1873">
            <v>0</v>
          </cell>
          <cell r="C1873">
            <v>0</v>
          </cell>
        </row>
        <row r="1874">
          <cell r="A1874">
            <v>0</v>
          </cell>
          <cell r="B1874">
            <v>0</v>
          </cell>
          <cell r="C1874">
            <v>0</v>
          </cell>
        </row>
        <row r="1876">
          <cell r="B1876" t="str">
            <v>MANO DE OBRA</v>
          </cell>
        </row>
        <row r="1877">
          <cell r="B1877">
            <v>0</v>
          </cell>
          <cell r="C1877">
            <v>0</v>
          </cell>
        </row>
        <row r="1878">
          <cell r="A1878">
            <v>0</v>
          </cell>
          <cell r="B1878">
            <v>0</v>
          </cell>
          <cell r="C1878">
            <v>0</v>
          </cell>
        </row>
        <row r="1879">
          <cell r="A1879">
            <v>0</v>
          </cell>
          <cell r="B1879">
            <v>0</v>
          </cell>
          <cell r="C1879">
            <v>0</v>
          </cell>
        </row>
        <row r="1880">
          <cell r="A1880">
            <v>0</v>
          </cell>
          <cell r="B1880">
            <v>0</v>
          </cell>
          <cell r="C1880">
            <v>0</v>
          </cell>
        </row>
        <row r="1882">
          <cell r="B1882" t="str">
            <v>TRANSPORTE</v>
          </cell>
        </row>
        <row r="1884">
          <cell r="A1884">
            <v>0</v>
          </cell>
          <cell r="B1884">
            <v>0</v>
          </cell>
          <cell r="C1884">
            <v>0</v>
          </cell>
        </row>
        <row r="1885">
          <cell r="A1885">
            <v>0</v>
          </cell>
          <cell r="B1885">
            <v>0</v>
          </cell>
          <cell r="C1885">
            <v>0</v>
          </cell>
        </row>
        <row r="1886">
          <cell r="A1886">
            <v>0</v>
          </cell>
          <cell r="B1886">
            <v>0</v>
          </cell>
          <cell r="C1886">
            <v>0</v>
          </cell>
        </row>
        <row r="1891">
          <cell r="A1891" t="str">
            <v>CODIGO</v>
          </cell>
          <cell r="B1891" t="str">
            <v>ITEM</v>
          </cell>
          <cell r="C1891" t="str">
            <v>UNIDAD</v>
          </cell>
        </row>
        <row r="1892">
          <cell r="D1892">
            <v>0</v>
          </cell>
        </row>
        <row r="1893">
          <cell r="B1893" t="str">
            <v>CODIGO</v>
          </cell>
        </row>
        <row r="1894">
          <cell r="A1894" t="str">
            <v>CODIGO</v>
          </cell>
          <cell r="B1894" t="str">
            <v>RECURSOS</v>
          </cell>
          <cell r="C1894" t="str">
            <v>UNIDAD</v>
          </cell>
          <cell r="D1894" t="str">
            <v>CANT.</v>
          </cell>
        </row>
        <row r="1895">
          <cell r="B1895" t="str">
            <v>MATERIALES</v>
          </cell>
        </row>
        <row r="1896">
          <cell r="B1896">
            <v>0</v>
          </cell>
          <cell r="C1896">
            <v>0</v>
          </cell>
        </row>
        <row r="1897">
          <cell r="B1897">
            <v>0</v>
          </cell>
          <cell r="C1897">
            <v>0</v>
          </cell>
        </row>
        <row r="1898">
          <cell r="B1898">
            <v>0</v>
          </cell>
          <cell r="C1898">
            <v>0</v>
          </cell>
        </row>
        <row r="1899">
          <cell r="B1899">
            <v>0</v>
          </cell>
          <cell r="C1899">
            <v>0</v>
          </cell>
        </row>
        <row r="1901">
          <cell r="B1901" t="str">
            <v>EQUIPO</v>
          </cell>
        </row>
        <row r="1902">
          <cell r="B1902" t="str">
            <v>HTA MENOR (5% de M. de O.)</v>
          </cell>
        </row>
        <row r="1903">
          <cell r="A1903">
            <v>0</v>
          </cell>
          <cell r="B1903">
            <v>0</v>
          </cell>
          <cell r="C1903">
            <v>0</v>
          </cell>
        </row>
        <row r="1904">
          <cell r="A1904">
            <v>0</v>
          </cell>
          <cell r="B1904">
            <v>0</v>
          </cell>
          <cell r="C1904">
            <v>0</v>
          </cell>
        </row>
        <row r="1905">
          <cell r="A1905">
            <v>0</v>
          </cell>
          <cell r="B1905">
            <v>0</v>
          </cell>
          <cell r="C1905">
            <v>0</v>
          </cell>
        </row>
        <row r="1907">
          <cell r="B1907" t="str">
            <v>MANO DE OBRA</v>
          </cell>
        </row>
        <row r="1908">
          <cell r="B1908">
            <v>0</v>
          </cell>
          <cell r="C1908">
            <v>0</v>
          </cell>
        </row>
        <row r="1909">
          <cell r="A1909">
            <v>0</v>
          </cell>
          <cell r="B1909">
            <v>0</v>
          </cell>
          <cell r="C1909">
            <v>0</v>
          </cell>
        </row>
        <row r="1910">
          <cell r="A1910">
            <v>0</v>
          </cell>
          <cell r="B1910">
            <v>0</v>
          </cell>
          <cell r="C1910">
            <v>0</v>
          </cell>
        </row>
        <row r="1911">
          <cell r="A1911">
            <v>0</v>
          </cell>
          <cell r="B1911">
            <v>0</v>
          </cell>
          <cell r="C1911">
            <v>0</v>
          </cell>
        </row>
        <row r="1913">
          <cell r="B1913" t="str">
            <v>TRANSPORTE</v>
          </cell>
        </row>
        <row r="1915">
          <cell r="A1915">
            <v>0</v>
          </cell>
          <cell r="B1915">
            <v>0</v>
          </cell>
          <cell r="C1915">
            <v>0</v>
          </cell>
        </row>
        <row r="1916">
          <cell r="A1916">
            <v>0</v>
          </cell>
          <cell r="B1916">
            <v>0</v>
          </cell>
          <cell r="C1916">
            <v>0</v>
          </cell>
        </row>
        <row r="1917">
          <cell r="A1917">
            <v>0</v>
          </cell>
          <cell r="B1917">
            <v>0</v>
          </cell>
          <cell r="C1917">
            <v>0</v>
          </cell>
        </row>
        <row r="1922">
          <cell r="A1922" t="str">
            <v>CODIGO</v>
          </cell>
          <cell r="B1922" t="str">
            <v>ITEM</v>
          </cell>
          <cell r="C1922" t="str">
            <v>UNIDAD</v>
          </cell>
        </row>
        <row r="1923">
          <cell r="D1923">
            <v>0</v>
          </cell>
        </row>
        <row r="1924">
          <cell r="B1924" t="str">
            <v>CODIGO</v>
          </cell>
        </row>
        <row r="1925">
          <cell r="A1925" t="str">
            <v>CODIGO</v>
          </cell>
          <cell r="B1925" t="str">
            <v>RECURSOS</v>
          </cell>
          <cell r="C1925" t="str">
            <v>UNIDAD</v>
          </cell>
          <cell r="D1925" t="str">
            <v>CANT.</v>
          </cell>
        </row>
        <row r="1926">
          <cell r="B1926" t="str">
            <v>MATERIALES</v>
          </cell>
        </row>
        <row r="1927">
          <cell r="B1927">
            <v>0</v>
          </cell>
          <cell r="C1927">
            <v>0</v>
          </cell>
        </row>
        <row r="1928">
          <cell r="B1928">
            <v>0</v>
          </cell>
          <cell r="C1928">
            <v>0</v>
          </cell>
        </row>
        <row r="1929">
          <cell r="B1929">
            <v>0</v>
          </cell>
          <cell r="C1929">
            <v>0</v>
          </cell>
        </row>
        <row r="1930">
          <cell r="B1930">
            <v>0</v>
          </cell>
          <cell r="C1930">
            <v>0</v>
          </cell>
        </row>
        <row r="1932">
          <cell r="B1932" t="str">
            <v>EQUIPO</v>
          </cell>
        </row>
        <row r="1933">
          <cell r="B1933" t="str">
            <v>HTA MENOR (5% de M. de O.)</v>
          </cell>
        </row>
        <row r="1934">
          <cell r="A1934">
            <v>0</v>
          </cell>
          <cell r="B1934">
            <v>0</v>
          </cell>
          <cell r="C1934">
            <v>0</v>
          </cell>
        </row>
        <row r="1935">
          <cell r="A1935">
            <v>0</v>
          </cell>
          <cell r="B1935">
            <v>0</v>
          </cell>
          <cell r="C1935">
            <v>0</v>
          </cell>
        </row>
        <row r="1936">
          <cell r="A1936">
            <v>0</v>
          </cell>
          <cell r="B1936">
            <v>0</v>
          </cell>
          <cell r="C1936">
            <v>0</v>
          </cell>
        </row>
        <row r="1938">
          <cell r="B1938" t="str">
            <v>MANO DE OBRA</v>
          </cell>
        </row>
        <row r="1939">
          <cell r="B1939">
            <v>0</v>
          </cell>
          <cell r="C1939">
            <v>0</v>
          </cell>
        </row>
        <row r="1940">
          <cell r="A1940">
            <v>0</v>
          </cell>
          <cell r="B1940">
            <v>0</v>
          </cell>
          <cell r="C1940">
            <v>0</v>
          </cell>
        </row>
        <row r="1941">
          <cell r="A1941">
            <v>0</v>
          </cell>
          <cell r="B1941">
            <v>0</v>
          </cell>
          <cell r="C1941">
            <v>0</v>
          </cell>
        </row>
        <row r="1942">
          <cell r="A1942">
            <v>0</v>
          </cell>
          <cell r="B1942">
            <v>0</v>
          </cell>
          <cell r="C1942">
            <v>0</v>
          </cell>
        </row>
        <row r="1944">
          <cell r="B1944" t="str">
            <v>TRANSPORTE</v>
          </cell>
        </row>
        <row r="1946">
          <cell r="A1946">
            <v>0</v>
          </cell>
          <cell r="B1946">
            <v>0</v>
          </cell>
          <cell r="C1946">
            <v>0</v>
          </cell>
        </row>
        <row r="1947">
          <cell r="A1947">
            <v>0</v>
          </cell>
          <cell r="B1947">
            <v>0</v>
          </cell>
          <cell r="C1947">
            <v>0</v>
          </cell>
        </row>
        <row r="1948">
          <cell r="A1948">
            <v>0</v>
          </cell>
          <cell r="B1948">
            <v>0</v>
          </cell>
          <cell r="C1948">
            <v>0</v>
          </cell>
        </row>
        <row r="1953">
          <cell r="A1953" t="str">
            <v>CODIGO</v>
          </cell>
          <cell r="B1953" t="str">
            <v>ITEM</v>
          </cell>
          <cell r="C1953" t="str">
            <v>UNIDAD</v>
          </cell>
        </row>
        <row r="1954">
          <cell r="D1954">
            <v>0</v>
          </cell>
        </row>
        <row r="1955">
          <cell r="B1955" t="str">
            <v>CODIGO</v>
          </cell>
        </row>
        <row r="1956">
          <cell r="A1956" t="str">
            <v>CODIGO</v>
          </cell>
          <cell r="B1956" t="str">
            <v>RECURSOS</v>
          </cell>
          <cell r="C1956" t="str">
            <v>UNIDAD</v>
          </cell>
          <cell r="D1956" t="str">
            <v>CANT.</v>
          </cell>
        </row>
        <row r="1957">
          <cell r="B1957" t="str">
            <v>MATERIALES</v>
          </cell>
        </row>
        <row r="1958">
          <cell r="B1958">
            <v>0</v>
          </cell>
          <cell r="C1958">
            <v>0</v>
          </cell>
        </row>
        <row r="1959">
          <cell r="B1959">
            <v>0</v>
          </cell>
          <cell r="C1959">
            <v>0</v>
          </cell>
        </row>
        <row r="1960">
          <cell r="B1960">
            <v>0</v>
          </cell>
          <cell r="C1960">
            <v>0</v>
          </cell>
        </row>
        <row r="1961">
          <cell r="B1961">
            <v>0</v>
          </cell>
          <cell r="C1961">
            <v>0</v>
          </cell>
        </row>
        <row r="1963">
          <cell r="B1963" t="str">
            <v>EQUIPO</v>
          </cell>
        </row>
        <row r="1964">
          <cell r="B1964" t="str">
            <v>HTA MENOR (5% de M. de O.)</v>
          </cell>
        </row>
        <row r="1965">
          <cell r="A1965">
            <v>0</v>
          </cell>
          <cell r="B1965">
            <v>0</v>
          </cell>
          <cell r="C1965">
            <v>0</v>
          </cell>
        </row>
        <row r="1966">
          <cell r="A1966">
            <v>0</v>
          </cell>
          <cell r="B1966">
            <v>0</v>
          </cell>
          <cell r="C1966">
            <v>0</v>
          </cell>
        </row>
        <row r="1967">
          <cell r="A1967">
            <v>0</v>
          </cell>
          <cell r="B1967">
            <v>0</v>
          </cell>
          <cell r="C1967">
            <v>0</v>
          </cell>
        </row>
        <row r="1969">
          <cell r="B1969" t="str">
            <v>MANO DE OBRA</v>
          </cell>
        </row>
        <row r="1970">
          <cell r="B1970">
            <v>0</v>
          </cell>
          <cell r="C1970">
            <v>0</v>
          </cell>
        </row>
        <row r="1971">
          <cell r="A1971">
            <v>0</v>
          </cell>
          <cell r="B1971">
            <v>0</v>
          </cell>
          <cell r="C1971">
            <v>0</v>
          </cell>
        </row>
        <row r="1972">
          <cell r="A1972">
            <v>0</v>
          </cell>
          <cell r="B1972">
            <v>0</v>
          </cell>
          <cell r="C1972">
            <v>0</v>
          </cell>
        </row>
        <row r="1973">
          <cell r="A1973">
            <v>0</v>
          </cell>
          <cell r="B1973">
            <v>0</v>
          </cell>
          <cell r="C1973">
            <v>0</v>
          </cell>
        </row>
        <row r="1975">
          <cell r="B1975" t="str">
            <v>TRANSPORTE</v>
          </cell>
        </row>
        <row r="1977">
          <cell r="A1977">
            <v>0</v>
          </cell>
          <cell r="B1977">
            <v>0</v>
          </cell>
          <cell r="C1977">
            <v>0</v>
          </cell>
        </row>
        <row r="1978">
          <cell r="A1978">
            <v>0</v>
          </cell>
          <cell r="B1978">
            <v>0</v>
          </cell>
          <cell r="C1978">
            <v>0</v>
          </cell>
        </row>
        <row r="1979">
          <cell r="A1979">
            <v>0</v>
          </cell>
          <cell r="B1979">
            <v>0</v>
          </cell>
          <cell r="C1979">
            <v>0</v>
          </cell>
        </row>
        <row r="1984">
          <cell r="A1984" t="str">
            <v>CODIGO</v>
          </cell>
          <cell r="B1984" t="str">
            <v>ITEM</v>
          </cell>
          <cell r="C1984" t="str">
            <v>UNIDAD</v>
          </cell>
        </row>
        <row r="1985">
          <cell r="D1985">
            <v>0</v>
          </cell>
        </row>
        <row r="1986">
          <cell r="B1986" t="str">
            <v>CODIGO</v>
          </cell>
        </row>
        <row r="1987">
          <cell r="A1987" t="str">
            <v>CODIGO</v>
          </cell>
          <cell r="B1987" t="str">
            <v>RECURSOS</v>
          </cell>
          <cell r="C1987" t="str">
            <v>UNIDAD</v>
          </cell>
          <cell r="D1987" t="str">
            <v>CANT.</v>
          </cell>
        </row>
        <row r="1988">
          <cell r="B1988" t="str">
            <v>MATERIALES</v>
          </cell>
        </row>
        <row r="1989">
          <cell r="B1989">
            <v>0</v>
          </cell>
          <cell r="C1989">
            <v>0</v>
          </cell>
        </row>
        <row r="1990">
          <cell r="B1990">
            <v>0</v>
          </cell>
          <cell r="C1990">
            <v>0</v>
          </cell>
        </row>
        <row r="1991">
          <cell r="B1991">
            <v>0</v>
          </cell>
          <cell r="C1991">
            <v>0</v>
          </cell>
        </row>
        <row r="1992">
          <cell r="B1992">
            <v>0</v>
          </cell>
          <cell r="C1992">
            <v>0</v>
          </cell>
        </row>
        <row r="1994">
          <cell r="B1994" t="str">
            <v>EQUIPO</v>
          </cell>
        </row>
        <row r="1995">
          <cell r="B1995" t="str">
            <v>HTA MENOR (5% de M. de O.)</v>
          </cell>
        </row>
        <row r="1996">
          <cell r="A1996">
            <v>0</v>
          </cell>
          <cell r="B1996">
            <v>0</v>
          </cell>
          <cell r="C1996">
            <v>0</v>
          </cell>
        </row>
        <row r="1997">
          <cell r="A1997">
            <v>0</v>
          </cell>
          <cell r="B1997">
            <v>0</v>
          </cell>
          <cell r="C1997">
            <v>0</v>
          </cell>
        </row>
        <row r="1998">
          <cell r="A1998">
            <v>0</v>
          </cell>
          <cell r="B1998">
            <v>0</v>
          </cell>
          <cell r="C1998">
            <v>0</v>
          </cell>
        </row>
        <row r="2000">
          <cell r="B2000" t="str">
            <v>MANO DE OBRA</v>
          </cell>
        </row>
        <row r="2001">
          <cell r="B2001">
            <v>0</v>
          </cell>
          <cell r="C2001">
            <v>0</v>
          </cell>
        </row>
        <row r="2002">
          <cell r="A2002">
            <v>0</v>
          </cell>
          <cell r="B2002">
            <v>0</v>
          </cell>
          <cell r="C2002">
            <v>0</v>
          </cell>
        </row>
        <row r="2003">
          <cell r="A2003">
            <v>0</v>
          </cell>
          <cell r="B2003">
            <v>0</v>
          </cell>
          <cell r="C2003">
            <v>0</v>
          </cell>
        </row>
        <row r="2004">
          <cell r="A2004">
            <v>0</v>
          </cell>
          <cell r="B2004">
            <v>0</v>
          </cell>
          <cell r="C2004">
            <v>0</v>
          </cell>
        </row>
        <row r="2006">
          <cell r="B2006" t="str">
            <v>TRANSPORTE</v>
          </cell>
        </row>
        <row r="2008">
          <cell r="A2008">
            <v>0</v>
          </cell>
          <cell r="B2008">
            <v>0</v>
          </cell>
          <cell r="C2008">
            <v>0</v>
          </cell>
        </row>
        <row r="2009">
          <cell r="A2009">
            <v>0</v>
          </cell>
          <cell r="B2009">
            <v>0</v>
          </cell>
          <cell r="C2009">
            <v>0</v>
          </cell>
        </row>
        <row r="2010">
          <cell r="A2010">
            <v>0</v>
          </cell>
          <cell r="B2010">
            <v>0</v>
          </cell>
          <cell r="C2010">
            <v>0</v>
          </cell>
        </row>
        <row r="2015">
          <cell r="A2015" t="str">
            <v>CODIGO</v>
          </cell>
          <cell r="B2015" t="str">
            <v>ITEM</v>
          </cell>
          <cell r="C2015" t="str">
            <v>UNIDAD</v>
          </cell>
        </row>
        <row r="2016">
          <cell r="D2016">
            <v>0</v>
          </cell>
        </row>
        <row r="2017">
          <cell r="B2017" t="str">
            <v>CODIGO</v>
          </cell>
        </row>
        <row r="2018">
          <cell r="A2018" t="str">
            <v>CODIGO</v>
          </cell>
          <cell r="B2018" t="str">
            <v>RECURSOS</v>
          </cell>
          <cell r="C2018" t="str">
            <v>UNIDAD</v>
          </cell>
          <cell r="D2018" t="str">
            <v>CANT.</v>
          </cell>
        </row>
        <row r="2019">
          <cell r="B2019" t="str">
            <v>MATERIALES</v>
          </cell>
        </row>
        <row r="2020">
          <cell r="B2020">
            <v>0</v>
          </cell>
          <cell r="C2020">
            <v>0</v>
          </cell>
        </row>
        <row r="2021">
          <cell r="B2021">
            <v>0</v>
          </cell>
          <cell r="C2021">
            <v>0</v>
          </cell>
        </row>
        <row r="2022">
          <cell r="B2022">
            <v>0</v>
          </cell>
          <cell r="C2022">
            <v>0</v>
          </cell>
        </row>
        <row r="2023">
          <cell r="B2023">
            <v>0</v>
          </cell>
          <cell r="C2023">
            <v>0</v>
          </cell>
        </row>
        <row r="2025">
          <cell r="B2025" t="str">
            <v>EQUIPO</v>
          </cell>
        </row>
        <row r="2026">
          <cell r="B2026" t="str">
            <v>HTA MENOR (5% de M. de O.)</v>
          </cell>
        </row>
        <row r="2027">
          <cell r="A2027">
            <v>0</v>
          </cell>
          <cell r="B2027">
            <v>0</v>
          </cell>
          <cell r="C2027">
            <v>0</v>
          </cell>
        </row>
        <row r="2028">
          <cell r="A2028">
            <v>0</v>
          </cell>
          <cell r="B2028">
            <v>0</v>
          </cell>
          <cell r="C2028">
            <v>0</v>
          </cell>
        </row>
        <row r="2029">
          <cell r="A2029">
            <v>0</v>
          </cell>
          <cell r="B2029">
            <v>0</v>
          </cell>
          <cell r="C2029">
            <v>0</v>
          </cell>
        </row>
        <row r="2031">
          <cell r="B2031" t="str">
            <v>MANO DE OBRA</v>
          </cell>
        </row>
        <row r="2032">
          <cell r="B2032">
            <v>0</v>
          </cell>
          <cell r="C2032">
            <v>0</v>
          </cell>
        </row>
        <row r="2033">
          <cell r="A2033">
            <v>0</v>
          </cell>
          <cell r="B2033">
            <v>0</v>
          </cell>
          <cell r="C2033">
            <v>0</v>
          </cell>
        </row>
        <row r="2034">
          <cell r="A2034">
            <v>0</v>
          </cell>
          <cell r="B2034">
            <v>0</v>
          </cell>
          <cell r="C2034">
            <v>0</v>
          </cell>
        </row>
        <row r="2035">
          <cell r="A2035">
            <v>0</v>
          </cell>
          <cell r="B2035">
            <v>0</v>
          </cell>
          <cell r="C2035">
            <v>0</v>
          </cell>
        </row>
        <row r="2037">
          <cell r="B2037" t="str">
            <v>TRANSPORTE</v>
          </cell>
        </row>
        <row r="2039">
          <cell r="A2039">
            <v>0</v>
          </cell>
          <cell r="B2039">
            <v>0</v>
          </cell>
          <cell r="C2039">
            <v>0</v>
          </cell>
        </row>
        <row r="2040">
          <cell r="A2040">
            <v>0</v>
          </cell>
          <cell r="B2040">
            <v>0</v>
          </cell>
          <cell r="C2040">
            <v>0</v>
          </cell>
        </row>
        <row r="2041">
          <cell r="A2041">
            <v>0</v>
          </cell>
          <cell r="B2041">
            <v>0</v>
          </cell>
          <cell r="C2041">
            <v>0</v>
          </cell>
        </row>
        <row r="2046">
          <cell r="A2046" t="str">
            <v>CODIGO</v>
          </cell>
          <cell r="B2046" t="str">
            <v>ITEM</v>
          </cell>
          <cell r="C2046" t="str">
            <v>UNIDAD</v>
          </cell>
        </row>
        <row r="2047">
          <cell r="D2047">
            <v>0</v>
          </cell>
        </row>
        <row r="2048">
          <cell r="B2048" t="str">
            <v>CODIGO</v>
          </cell>
        </row>
        <row r="2049">
          <cell r="A2049" t="str">
            <v>CODIGO</v>
          </cell>
          <cell r="B2049" t="str">
            <v>RECURSOS</v>
          </cell>
          <cell r="C2049" t="str">
            <v>UNIDAD</v>
          </cell>
          <cell r="D2049" t="str">
            <v>CANT.</v>
          </cell>
        </row>
        <row r="2050">
          <cell r="B2050" t="str">
            <v>MATERIALES</v>
          </cell>
        </row>
        <row r="2051">
          <cell r="B2051">
            <v>0</v>
          </cell>
          <cell r="C2051">
            <v>0</v>
          </cell>
        </row>
        <row r="2052">
          <cell r="B2052">
            <v>0</v>
          </cell>
          <cell r="C2052">
            <v>0</v>
          </cell>
        </row>
        <row r="2053">
          <cell r="B2053">
            <v>0</v>
          </cell>
          <cell r="C2053">
            <v>0</v>
          </cell>
        </row>
        <row r="2054">
          <cell r="B2054">
            <v>0</v>
          </cell>
          <cell r="C2054">
            <v>0</v>
          </cell>
        </row>
        <row r="2056">
          <cell r="B2056" t="str">
            <v>EQUIPO</v>
          </cell>
        </row>
        <row r="2057">
          <cell r="B2057" t="str">
            <v>HTA MENOR (5% de M. de O.)</v>
          </cell>
        </row>
        <row r="2058">
          <cell r="A2058">
            <v>0</v>
          </cell>
          <cell r="B2058">
            <v>0</v>
          </cell>
          <cell r="C2058">
            <v>0</v>
          </cell>
        </row>
        <row r="2059">
          <cell r="A2059">
            <v>0</v>
          </cell>
          <cell r="B2059">
            <v>0</v>
          </cell>
          <cell r="C2059">
            <v>0</v>
          </cell>
        </row>
        <row r="2060">
          <cell r="A2060">
            <v>0</v>
          </cell>
          <cell r="B2060">
            <v>0</v>
          </cell>
          <cell r="C2060">
            <v>0</v>
          </cell>
        </row>
        <row r="2062">
          <cell r="B2062" t="str">
            <v>MANO DE OBRA</v>
          </cell>
        </row>
        <row r="2063">
          <cell r="B2063">
            <v>0</v>
          </cell>
          <cell r="C2063">
            <v>0</v>
          </cell>
        </row>
        <row r="2064">
          <cell r="A2064">
            <v>0</v>
          </cell>
          <cell r="B2064">
            <v>0</v>
          </cell>
          <cell r="C2064">
            <v>0</v>
          </cell>
        </row>
        <row r="2065">
          <cell r="A2065">
            <v>0</v>
          </cell>
          <cell r="B2065">
            <v>0</v>
          </cell>
          <cell r="C2065">
            <v>0</v>
          </cell>
        </row>
        <row r="2066">
          <cell r="A2066">
            <v>0</v>
          </cell>
          <cell r="B2066">
            <v>0</v>
          </cell>
          <cell r="C2066">
            <v>0</v>
          </cell>
        </row>
        <row r="2068">
          <cell r="B2068" t="str">
            <v>TRANSPORTE</v>
          </cell>
        </row>
        <row r="2070">
          <cell r="A2070">
            <v>0</v>
          </cell>
          <cell r="B2070">
            <v>0</v>
          </cell>
          <cell r="C2070">
            <v>0</v>
          </cell>
        </row>
        <row r="2071">
          <cell r="A2071">
            <v>0</v>
          </cell>
          <cell r="B2071">
            <v>0</v>
          </cell>
          <cell r="C2071">
            <v>0</v>
          </cell>
        </row>
        <row r="2072">
          <cell r="A2072">
            <v>0</v>
          </cell>
          <cell r="B2072">
            <v>0</v>
          </cell>
          <cell r="C2072">
            <v>0</v>
          </cell>
        </row>
        <row r="2078">
          <cell r="A2078" t="str">
            <v>CODIGO</v>
          </cell>
          <cell r="B2078" t="str">
            <v>ITEM</v>
          </cell>
          <cell r="C2078" t="str">
            <v>UNIDAD</v>
          </cell>
        </row>
        <row r="2079">
          <cell r="D2079">
            <v>0</v>
          </cell>
        </row>
        <row r="2080">
          <cell r="B2080" t="str">
            <v>CODIGO</v>
          </cell>
        </row>
        <row r="2081">
          <cell r="A2081" t="str">
            <v>CODIGO</v>
          </cell>
          <cell r="B2081" t="str">
            <v>RECURSOS</v>
          </cell>
          <cell r="C2081" t="str">
            <v>UNIDAD</v>
          </cell>
          <cell r="D2081" t="str">
            <v>CANT.</v>
          </cell>
        </row>
        <row r="2082">
          <cell r="B2082" t="str">
            <v>MATERIALES</v>
          </cell>
        </row>
        <row r="2083">
          <cell r="B2083">
            <v>0</v>
          </cell>
          <cell r="C2083">
            <v>0</v>
          </cell>
        </row>
        <row r="2084">
          <cell r="B2084">
            <v>0</v>
          </cell>
          <cell r="C2084">
            <v>0</v>
          </cell>
        </row>
        <row r="2085">
          <cell r="B2085">
            <v>0</v>
          </cell>
          <cell r="C2085">
            <v>0</v>
          </cell>
        </row>
        <row r="2086">
          <cell r="B2086">
            <v>0</v>
          </cell>
          <cell r="C2086">
            <v>0</v>
          </cell>
        </row>
        <row r="2088">
          <cell r="B2088" t="str">
            <v>EQUIPO</v>
          </cell>
        </row>
        <row r="2089">
          <cell r="B2089" t="str">
            <v>HTA MENOR (5% de M. de O.)</v>
          </cell>
        </row>
        <row r="2090">
          <cell r="A2090">
            <v>0</v>
          </cell>
          <cell r="B2090">
            <v>0</v>
          </cell>
          <cell r="C2090">
            <v>0</v>
          </cell>
        </row>
        <row r="2091">
          <cell r="A2091">
            <v>0</v>
          </cell>
          <cell r="B2091">
            <v>0</v>
          </cell>
          <cell r="C2091">
            <v>0</v>
          </cell>
        </row>
        <row r="2092">
          <cell r="A2092">
            <v>0</v>
          </cell>
          <cell r="B2092">
            <v>0</v>
          </cell>
          <cell r="C2092">
            <v>0</v>
          </cell>
        </row>
        <row r="2094">
          <cell r="B2094" t="str">
            <v>MANO DE OBRA</v>
          </cell>
        </row>
        <row r="2095">
          <cell r="B2095">
            <v>0</v>
          </cell>
          <cell r="C2095">
            <v>0</v>
          </cell>
        </row>
        <row r="2096">
          <cell r="A2096">
            <v>0</v>
          </cell>
          <cell r="B2096">
            <v>0</v>
          </cell>
          <cell r="C2096">
            <v>0</v>
          </cell>
        </row>
        <row r="2097">
          <cell r="A2097">
            <v>0</v>
          </cell>
          <cell r="B2097">
            <v>0</v>
          </cell>
          <cell r="C2097">
            <v>0</v>
          </cell>
        </row>
        <row r="2098">
          <cell r="A2098">
            <v>0</v>
          </cell>
          <cell r="B2098">
            <v>0</v>
          </cell>
          <cell r="C2098">
            <v>0</v>
          </cell>
        </row>
        <row r="2100">
          <cell r="B2100" t="str">
            <v>TRANSPORTE</v>
          </cell>
        </row>
        <row r="2102">
          <cell r="A2102">
            <v>0</v>
          </cell>
          <cell r="B2102">
            <v>0</v>
          </cell>
          <cell r="C2102">
            <v>0</v>
          </cell>
        </row>
        <row r="2103">
          <cell r="A2103">
            <v>0</v>
          </cell>
          <cell r="B2103">
            <v>0</v>
          </cell>
          <cell r="C2103">
            <v>0</v>
          </cell>
        </row>
        <row r="2104">
          <cell r="A2104">
            <v>0</v>
          </cell>
          <cell r="B2104">
            <v>0</v>
          </cell>
          <cell r="C2104">
            <v>0</v>
          </cell>
        </row>
        <row r="2109">
          <cell r="A2109" t="str">
            <v>CODIGO</v>
          </cell>
          <cell r="B2109" t="str">
            <v>ITEM</v>
          </cell>
          <cell r="C2109" t="str">
            <v>UNIDAD</v>
          </cell>
        </row>
        <row r="2110">
          <cell r="D2110">
            <v>0</v>
          </cell>
        </row>
        <row r="2111">
          <cell r="B2111" t="str">
            <v>CODIGO</v>
          </cell>
        </row>
        <row r="2112">
          <cell r="A2112" t="str">
            <v>CODIGO</v>
          </cell>
          <cell r="B2112" t="str">
            <v>RECURSOS</v>
          </cell>
          <cell r="C2112" t="str">
            <v>UNIDAD</v>
          </cell>
          <cell r="D2112" t="str">
            <v>CANT.</v>
          </cell>
        </row>
        <row r="2113">
          <cell r="B2113" t="str">
            <v>MATERIALES</v>
          </cell>
        </row>
        <row r="2114">
          <cell r="B2114">
            <v>0</v>
          </cell>
          <cell r="C2114">
            <v>0</v>
          </cell>
        </row>
        <row r="2115">
          <cell r="B2115">
            <v>0</v>
          </cell>
          <cell r="C2115">
            <v>0</v>
          </cell>
        </row>
        <row r="2116">
          <cell r="B2116">
            <v>0</v>
          </cell>
          <cell r="C2116">
            <v>0</v>
          </cell>
        </row>
        <row r="2117">
          <cell r="B2117">
            <v>0</v>
          </cell>
          <cell r="C2117">
            <v>0</v>
          </cell>
        </row>
        <row r="2119">
          <cell r="B2119" t="str">
            <v>EQUIPO</v>
          </cell>
        </row>
        <row r="2120">
          <cell r="B2120" t="str">
            <v>HTA MENOR (5% de M. de O.)</v>
          </cell>
        </row>
        <row r="2121">
          <cell r="A2121">
            <v>0</v>
          </cell>
          <cell r="B2121">
            <v>0</v>
          </cell>
          <cell r="C2121">
            <v>0</v>
          </cell>
        </row>
        <row r="2122">
          <cell r="A2122">
            <v>0</v>
          </cell>
          <cell r="B2122">
            <v>0</v>
          </cell>
          <cell r="C2122">
            <v>0</v>
          </cell>
        </row>
        <row r="2123">
          <cell r="A2123">
            <v>0</v>
          </cell>
          <cell r="B2123">
            <v>0</v>
          </cell>
          <cell r="C2123">
            <v>0</v>
          </cell>
        </row>
        <row r="2125">
          <cell r="B2125" t="str">
            <v>MANO DE OBRA</v>
          </cell>
        </row>
        <row r="2126">
          <cell r="B2126">
            <v>0</v>
          </cell>
          <cell r="C2126">
            <v>0</v>
          </cell>
        </row>
        <row r="2127">
          <cell r="A2127">
            <v>0</v>
          </cell>
          <cell r="B2127">
            <v>0</v>
          </cell>
          <cell r="C2127">
            <v>0</v>
          </cell>
        </row>
        <row r="2128">
          <cell r="A2128">
            <v>0</v>
          </cell>
          <cell r="B2128">
            <v>0</v>
          </cell>
          <cell r="C2128">
            <v>0</v>
          </cell>
        </row>
        <row r="2129">
          <cell r="A2129">
            <v>0</v>
          </cell>
          <cell r="B2129">
            <v>0</v>
          </cell>
          <cell r="C2129">
            <v>0</v>
          </cell>
        </row>
        <row r="2131">
          <cell r="B2131" t="str">
            <v>TRANSPORTE</v>
          </cell>
        </row>
        <row r="2133">
          <cell r="A2133">
            <v>0</v>
          </cell>
          <cell r="B2133">
            <v>0</v>
          </cell>
          <cell r="C2133">
            <v>0</v>
          </cell>
        </row>
        <row r="2134">
          <cell r="A2134">
            <v>0</v>
          </cell>
          <cell r="B2134">
            <v>0</v>
          </cell>
          <cell r="C2134">
            <v>0</v>
          </cell>
        </row>
        <row r="2135">
          <cell r="A2135">
            <v>0</v>
          </cell>
          <cell r="B2135">
            <v>0</v>
          </cell>
          <cell r="C2135">
            <v>0</v>
          </cell>
        </row>
        <row r="2140">
          <cell r="A2140" t="str">
            <v>CODIGO</v>
          </cell>
          <cell r="B2140" t="str">
            <v>ITEM</v>
          </cell>
          <cell r="C2140" t="str">
            <v>UNIDAD</v>
          </cell>
        </row>
        <row r="2141">
          <cell r="D2141">
            <v>0</v>
          </cell>
        </row>
        <row r="2142">
          <cell r="B2142" t="str">
            <v>CODIGO</v>
          </cell>
        </row>
        <row r="2143">
          <cell r="A2143" t="str">
            <v>CODIGO</v>
          </cell>
          <cell r="B2143" t="str">
            <v>RECURSOS</v>
          </cell>
          <cell r="C2143" t="str">
            <v>UNIDAD</v>
          </cell>
          <cell r="D2143" t="str">
            <v>CANT.</v>
          </cell>
        </row>
        <row r="2144">
          <cell r="B2144" t="str">
            <v>MATERIALES</v>
          </cell>
        </row>
        <row r="2145">
          <cell r="B2145">
            <v>0</v>
          </cell>
          <cell r="C2145">
            <v>0</v>
          </cell>
        </row>
        <row r="2146">
          <cell r="B2146">
            <v>0</v>
          </cell>
          <cell r="C2146">
            <v>0</v>
          </cell>
        </row>
        <row r="2147">
          <cell r="B2147">
            <v>0</v>
          </cell>
          <cell r="C2147">
            <v>0</v>
          </cell>
        </row>
        <row r="2148">
          <cell r="B2148">
            <v>0</v>
          </cell>
          <cell r="C2148">
            <v>0</v>
          </cell>
        </row>
        <row r="2150">
          <cell r="B2150" t="str">
            <v>EQUIPO</v>
          </cell>
        </row>
        <row r="2151">
          <cell r="B2151" t="str">
            <v>HTA MENOR (5% de M. de O.)</v>
          </cell>
        </row>
        <row r="2152">
          <cell r="A2152">
            <v>0</v>
          </cell>
          <cell r="B2152">
            <v>0</v>
          </cell>
          <cell r="C2152">
            <v>0</v>
          </cell>
        </row>
        <row r="2153">
          <cell r="A2153">
            <v>0</v>
          </cell>
          <cell r="B2153">
            <v>0</v>
          </cell>
          <cell r="C2153">
            <v>0</v>
          </cell>
        </row>
        <row r="2154">
          <cell r="A2154">
            <v>0</v>
          </cell>
          <cell r="B2154">
            <v>0</v>
          </cell>
          <cell r="C2154">
            <v>0</v>
          </cell>
        </row>
        <row r="2156">
          <cell r="B2156" t="str">
            <v>MANO DE OBRA</v>
          </cell>
        </row>
        <row r="2157">
          <cell r="B2157">
            <v>0</v>
          </cell>
          <cell r="C2157">
            <v>0</v>
          </cell>
        </row>
        <row r="2158">
          <cell r="A2158">
            <v>0</v>
          </cell>
          <cell r="B2158">
            <v>0</v>
          </cell>
          <cell r="C2158">
            <v>0</v>
          </cell>
        </row>
        <row r="2159">
          <cell r="A2159">
            <v>0</v>
          </cell>
          <cell r="B2159">
            <v>0</v>
          </cell>
          <cell r="C2159">
            <v>0</v>
          </cell>
        </row>
        <row r="2160">
          <cell r="A2160">
            <v>0</v>
          </cell>
          <cell r="B2160">
            <v>0</v>
          </cell>
          <cell r="C2160">
            <v>0</v>
          </cell>
        </row>
        <row r="2162">
          <cell r="B2162" t="str">
            <v>TRANSPORTE</v>
          </cell>
        </row>
        <row r="2164">
          <cell r="A2164">
            <v>0</v>
          </cell>
          <cell r="B2164">
            <v>0</v>
          </cell>
          <cell r="C2164">
            <v>0</v>
          </cell>
        </row>
        <row r="2165">
          <cell r="A2165">
            <v>0</v>
          </cell>
          <cell r="B2165">
            <v>0</v>
          </cell>
          <cell r="C2165">
            <v>0</v>
          </cell>
        </row>
        <row r="2166">
          <cell r="A2166">
            <v>0</v>
          </cell>
          <cell r="B2166">
            <v>0</v>
          </cell>
          <cell r="C2166">
            <v>0</v>
          </cell>
        </row>
        <row r="2171">
          <cell r="A2171" t="str">
            <v>CODIGO</v>
          </cell>
          <cell r="B2171" t="str">
            <v>ITEM</v>
          </cell>
          <cell r="C2171" t="str">
            <v>UNIDAD</v>
          </cell>
        </row>
        <row r="2172">
          <cell r="D2172">
            <v>0</v>
          </cell>
        </row>
        <row r="2173">
          <cell r="B2173" t="str">
            <v>CODIGO</v>
          </cell>
        </row>
        <row r="2174">
          <cell r="A2174" t="str">
            <v>CODIGO</v>
          </cell>
          <cell r="B2174" t="str">
            <v>RECURSOS</v>
          </cell>
          <cell r="C2174" t="str">
            <v>UNIDAD</v>
          </cell>
          <cell r="D2174" t="str">
            <v>CANT.</v>
          </cell>
        </row>
        <row r="2175">
          <cell r="B2175" t="str">
            <v>MATERIALES</v>
          </cell>
        </row>
        <row r="2176">
          <cell r="B2176">
            <v>0</v>
          </cell>
          <cell r="C2176">
            <v>0</v>
          </cell>
        </row>
        <row r="2177">
          <cell r="B2177">
            <v>0</v>
          </cell>
          <cell r="C2177">
            <v>0</v>
          </cell>
        </row>
        <row r="2178">
          <cell r="B2178">
            <v>0</v>
          </cell>
          <cell r="C2178">
            <v>0</v>
          </cell>
        </row>
        <row r="2179">
          <cell r="B2179">
            <v>0</v>
          </cell>
          <cell r="C2179">
            <v>0</v>
          </cell>
        </row>
        <row r="2181">
          <cell r="B2181" t="str">
            <v>EQUIPO</v>
          </cell>
        </row>
        <row r="2182">
          <cell r="B2182" t="str">
            <v>HTA MENOR (5% de M. de O.)</v>
          </cell>
        </row>
        <row r="2183">
          <cell r="A2183">
            <v>0</v>
          </cell>
          <cell r="B2183">
            <v>0</v>
          </cell>
          <cell r="C2183">
            <v>0</v>
          </cell>
        </row>
        <row r="2184">
          <cell r="A2184">
            <v>0</v>
          </cell>
          <cell r="B2184">
            <v>0</v>
          </cell>
          <cell r="C2184">
            <v>0</v>
          </cell>
        </row>
        <row r="2185">
          <cell r="A2185">
            <v>0</v>
          </cell>
          <cell r="B2185">
            <v>0</v>
          </cell>
          <cell r="C2185">
            <v>0</v>
          </cell>
        </row>
        <row r="2187">
          <cell r="B2187" t="str">
            <v>MANO DE OBRA</v>
          </cell>
        </row>
        <row r="2188">
          <cell r="B2188">
            <v>0</v>
          </cell>
          <cell r="C2188">
            <v>0</v>
          </cell>
        </row>
        <row r="2189">
          <cell r="A2189">
            <v>0</v>
          </cell>
          <cell r="B2189">
            <v>0</v>
          </cell>
          <cell r="C2189">
            <v>0</v>
          </cell>
        </row>
        <row r="2190">
          <cell r="A2190">
            <v>0</v>
          </cell>
          <cell r="B2190">
            <v>0</v>
          </cell>
          <cell r="C2190">
            <v>0</v>
          </cell>
        </row>
        <row r="2191">
          <cell r="A2191">
            <v>0</v>
          </cell>
          <cell r="B2191">
            <v>0</v>
          </cell>
          <cell r="C2191">
            <v>0</v>
          </cell>
        </row>
        <row r="2193">
          <cell r="B2193" t="str">
            <v>TRANSPORTE</v>
          </cell>
        </row>
        <row r="2195">
          <cell r="A2195">
            <v>0</v>
          </cell>
          <cell r="B2195">
            <v>0</v>
          </cell>
          <cell r="C2195">
            <v>0</v>
          </cell>
        </row>
        <row r="2196">
          <cell r="A2196">
            <v>0</v>
          </cell>
          <cell r="B2196">
            <v>0</v>
          </cell>
          <cell r="C2196">
            <v>0</v>
          </cell>
        </row>
        <row r="2197">
          <cell r="A2197">
            <v>0</v>
          </cell>
          <cell r="B2197">
            <v>0</v>
          </cell>
          <cell r="C2197">
            <v>0</v>
          </cell>
        </row>
        <row r="2202">
          <cell r="A2202" t="str">
            <v>CODIGO</v>
          </cell>
          <cell r="B2202" t="str">
            <v>ITEM</v>
          </cell>
          <cell r="C2202" t="str">
            <v>UNIDAD</v>
          </cell>
        </row>
        <row r="2203">
          <cell r="D2203">
            <v>0</v>
          </cell>
        </row>
        <row r="2204">
          <cell r="B2204" t="str">
            <v>CODIGO</v>
          </cell>
        </row>
        <row r="2205">
          <cell r="A2205" t="str">
            <v>CODIGO</v>
          </cell>
          <cell r="B2205" t="str">
            <v>RECURSOS</v>
          </cell>
          <cell r="C2205" t="str">
            <v>UNIDAD</v>
          </cell>
          <cell r="D2205" t="str">
            <v>CANT.</v>
          </cell>
        </row>
        <row r="2206">
          <cell r="B2206" t="str">
            <v>MATERIALES</v>
          </cell>
        </row>
        <row r="2207">
          <cell r="B2207">
            <v>0</v>
          </cell>
          <cell r="C2207">
            <v>0</v>
          </cell>
        </row>
        <row r="2208">
          <cell r="B2208">
            <v>0</v>
          </cell>
          <cell r="C2208">
            <v>0</v>
          </cell>
        </row>
        <row r="2209">
          <cell r="B2209">
            <v>0</v>
          </cell>
          <cell r="C2209">
            <v>0</v>
          </cell>
        </row>
        <row r="2210">
          <cell r="B2210">
            <v>0</v>
          </cell>
          <cell r="C2210">
            <v>0</v>
          </cell>
        </row>
        <row r="2212">
          <cell r="B2212" t="str">
            <v>EQUIPO</v>
          </cell>
        </row>
        <row r="2213">
          <cell r="B2213" t="str">
            <v>HTA MENOR (5% de M. de O.)</v>
          </cell>
        </row>
        <row r="2214">
          <cell r="A2214">
            <v>0</v>
          </cell>
          <cell r="B2214">
            <v>0</v>
          </cell>
          <cell r="C2214">
            <v>0</v>
          </cell>
        </row>
        <row r="2215">
          <cell r="A2215">
            <v>0</v>
          </cell>
          <cell r="B2215">
            <v>0</v>
          </cell>
          <cell r="C2215">
            <v>0</v>
          </cell>
        </row>
        <row r="2216">
          <cell r="A2216">
            <v>0</v>
          </cell>
          <cell r="B2216">
            <v>0</v>
          </cell>
          <cell r="C2216">
            <v>0</v>
          </cell>
        </row>
        <row r="2218">
          <cell r="B2218" t="str">
            <v>MANO DE OBRA</v>
          </cell>
        </row>
        <row r="2219">
          <cell r="B2219">
            <v>0</v>
          </cell>
          <cell r="C2219">
            <v>0</v>
          </cell>
        </row>
        <row r="2220">
          <cell r="A2220">
            <v>0</v>
          </cell>
          <cell r="B2220">
            <v>0</v>
          </cell>
          <cell r="C2220">
            <v>0</v>
          </cell>
        </row>
        <row r="2221">
          <cell r="A2221">
            <v>0</v>
          </cell>
          <cell r="B2221">
            <v>0</v>
          </cell>
          <cell r="C2221">
            <v>0</v>
          </cell>
        </row>
        <row r="2222">
          <cell r="A2222">
            <v>0</v>
          </cell>
          <cell r="B2222">
            <v>0</v>
          </cell>
          <cell r="C2222">
            <v>0</v>
          </cell>
        </row>
        <row r="2224">
          <cell r="B2224" t="str">
            <v>TRANSPORTE</v>
          </cell>
        </row>
        <row r="2226">
          <cell r="A2226">
            <v>0</v>
          </cell>
          <cell r="B2226">
            <v>0</v>
          </cell>
          <cell r="C2226">
            <v>0</v>
          </cell>
        </row>
        <row r="2227">
          <cell r="A2227">
            <v>0</v>
          </cell>
          <cell r="B2227">
            <v>0</v>
          </cell>
          <cell r="C2227">
            <v>0</v>
          </cell>
        </row>
        <row r="2228">
          <cell r="A2228">
            <v>0</v>
          </cell>
          <cell r="B2228">
            <v>0</v>
          </cell>
          <cell r="C2228">
            <v>0</v>
          </cell>
        </row>
        <row r="2233">
          <cell r="A2233" t="str">
            <v>CODIGO</v>
          </cell>
          <cell r="B2233" t="str">
            <v>ITEM</v>
          </cell>
          <cell r="C2233" t="str">
            <v>UNIDAD</v>
          </cell>
        </row>
        <row r="2234">
          <cell r="D2234">
            <v>0</v>
          </cell>
        </row>
        <row r="2235">
          <cell r="B2235" t="str">
            <v>CODIGO</v>
          </cell>
        </row>
        <row r="2236">
          <cell r="A2236" t="str">
            <v>CODIGO</v>
          </cell>
          <cell r="B2236" t="str">
            <v>RECURSOS</v>
          </cell>
          <cell r="C2236" t="str">
            <v>UNIDAD</v>
          </cell>
          <cell r="D2236" t="str">
            <v>CANT.</v>
          </cell>
        </row>
        <row r="2237">
          <cell r="B2237" t="str">
            <v>MATERIALES</v>
          </cell>
        </row>
        <row r="2238">
          <cell r="B2238">
            <v>0</v>
          </cell>
          <cell r="C2238">
            <v>0</v>
          </cell>
        </row>
        <row r="2239">
          <cell r="B2239">
            <v>0</v>
          </cell>
          <cell r="C2239">
            <v>0</v>
          </cell>
        </row>
        <row r="2240">
          <cell r="B2240">
            <v>0</v>
          </cell>
          <cell r="C2240">
            <v>0</v>
          </cell>
        </row>
        <row r="2241">
          <cell r="B2241">
            <v>0</v>
          </cell>
          <cell r="C2241">
            <v>0</v>
          </cell>
        </row>
        <row r="2243">
          <cell r="B2243" t="str">
            <v>EQUIPO</v>
          </cell>
        </row>
        <row r="2244">
          <cell r="B2244" t="str">
            <v>HTA MENOR (5% de M. de O.)</v>
          </cell>
        </row>
        <row r="2245">
          <cell r="A2245">
            <v>0</v>
          </cell>
          <cell r="B2245">
            <v>0</v>
          </cell>
          <cell r="C2245">
            <v>0</v>
          </cell>
        </row>
        <row r="2246">
          <cell r="A2246">
            <v>0</v>
          </cell>
          <cell r="B2246">
            <v>0</v>
          </cell>
          <cell r="C2246">
            <v>0</v>
          </cell>
        </row>
        <row r="2247">
          <cell r="A2247">
            <v>0</v>
          </cell>
          <cell r="B2247">
            <v>0</v>
          </cell>
          <cell r="C2247">
            <v>0</v>
          </cell>
        </row>
        <row r="2249">
          <cell r="B2249" t="str">
            <v>MANO DE OBRA</v>
          </cell>
        </row>
        <row r="2250">
          <cell r="B2250">
            <v>0</v>
          </cell>
          <cell r="C2250">
            <v>0</v>
          </cell>
        </row>
        <row r="2251">
          <cell r="A2251">
            <v>0</v>
          </cell>
          <cell r="B2251">
            <v>0</v>
          </cell>
          <cell r="C2251">
            <v>0</v>
          </cell>
        </row>
        <row r="2252">
          <cell r="A2252">
            <v>0</v>
          </cell>
          <cell r="B2252">
            <v>0</v>
          </cell>
          <cell r="C2252">
            <v>0</v>
          </cell>
        </row>
        <row r="2253">
          <cell r="A2253">
            <v>0</v>
          </cell>
          <cell r="B2253">
            <v>0</v>
          </cell>
          <cell r="C2253">
            <v>0</v>
          </cell>
        </row>
        <row r="2255">
          <cell r="B2255" t="str">
            <v>TRANSPORTE</v>
          </cell>
        </row>
        <row r="2257">
          <cell r="A2257">
            <v>0</v>
          </cell>
          <cell r="B2257">
            <v>0</v>
          </cell>
          <cell r="C2257">
            <v>0</v>
          </cell>
        </row>
        <row r="2258">
          <cell r="A2258">
            <v>0</v>
          </cell>
          <cell r="B2258">
            <v>0</v>
          </cell>
          <cell r="C2258">
            <v>0</v>
          </cell>
        </row>
        <row r="2259">
          <cell r="A2259">
            <v>0</v>
          </cell>
          <cell r="B2259">
            <v>0</v>
          </cell>
          <cell r="C2259">
            <v>0</v>
          </cell>
        </row>
        <row r="2264">
          <cell r="A2264" t="str">
            <v>CODIGO</v>
          </cell>
          <cell r="B2264" t="str">
            <v>ITEM</v>
          </cell>
          <cell r="C2264" t="str">
            <v>UNIDAD</v>
          </cell>
        </row>
        <row r="2265">
          <cell r="D2265">
            <v>0</v>
          </cell>
        </row>
        <row r="2266">
          <cell r="B2266" t="str">
            <v>CODIGO</v>
          </cell>
        </row>
        <row r="2267">
          <cell r="A2267" t="str">
            <v>CODIGO</v>
          </cell>
          <cell r="B2267" t="str">
            <v>RECURSOS</v>
          </cell>
          <cell r="C2267" t="str">
            <v>UNIDAD</v>
          </cell>
          <cell r="D2267" t="str">
            <v>CANT.</v>
          </cell>
        </row>
        <row r="2268">
          <cell r="B2268" t="str">
            <v>MATERIALES</v>
          </cell>
        </row>
        <row r="2269">
          <cell r="B2269">
            <v>0</v>
          </cell>
          <cell r="C2269">
            <v>0</v>
          </cell>
        </row>
        <row r="2270">
          <cell r="B2270">
            <v>0</v>
          </cell>
          <cell r="C2270">
            <v>0</v>
          </cell>
        </row>
        <row r="2271">
          <cell r="B2271">
            <v>0</v>
          </cell>
          <cell r="C2271">
            <v>0</v>
          </cell>
        </row>
        <row r="2272">
          <cell r="B2272">
            <v>0</v>
          </cell>
          <cell r="C2272">
            <v>0</v>
          </cell>
        </row>
        <row r="2274">
          <cell r="B2274" t="str">
            <v>EQUIPO</v>
          </cell>
        </row>
        <row r="2275">
          <cell r="B2275" t="str">
            <v>HTA MENOR (5% de M. de O.)</v>
          </cell>
        </row>
        <row r="2276">
          <cell r="A2276">
            <v>0</v>
          </cell>
          <cell r="B2276">
            <v>0</v>
          </cell>
          <cell r="C2276">
            <v>0</v>
          </cell>
        </row>
        <row r="2277">
          <cell r="A2277">
            <v>0</v>
          </cell>
          <cell r="B2277">
            <v>0</v>
          </cell>
          <cell r="C2277">
            <v>0</v>
          </cell>
        </row>
        <row r="2278">
          <cell r="A2278">
            <v>0</v>
          </cell>
          <cell r="B2278">
            <v>0</v>
          </cell>
          <cell r="C2278">
            <v>0</v>
          </cell>
        </row>
        <row r="2280">
          <cell r="B2280" t="str">
            <v>MANO DE OBRA</v>
          </cell>
        </row>
        <row r="2281">
          <cell r="B2281">
            <v>0</v>
          </cell>
          <cell r="C2281">
            <v>0</v>
          </cell>
        </row>
        <row r="2282">
          <cell r="A2282">
            <v>0</v>
          </cell>
          <cell r="B2282">
            <v>0</v>
          </cell>
          <cell r="C2282">
            <v>0</v>
          </cell>
        </row>
        <row r="2283">
          <cell r="A2283">
            <v>0</v>
          </cell>
          <cell r="B2283">
            <v>0</v>
          </cell>
          <cell r="C2283">
            <v>0</v>
          </cell>
        </row>
        <row r="2284">
          <cell r="A2284">
            <v>0</v>
          </cell>
          <cell r="B2284">
            <v>0</v>
          </cell>
          <cell r="C2284">
            <v>0</v>
          </cell>
        </row>
        <row r="2286">
          <cell r="B2286" t="str">
            <v>TRANSPORTE</v>
          </cell>
        </row>
        <row r="2288">
          <cell r="A2288">
            <v>0</v>
          </cell>
          <cell r="B2288">
            <v>0</v>
          </cell>
          <cell r="C2288">
            <v>0</v>
          </cell>
        </row>
        <row r="2289">
          <cell r="A2289">
            <v>0</v>
          </cell>
          <cell r="B2289">
            <v>0</v>
          </cell>
          <cell r="C2289">
            <v>0</v>
          </cell>
        </row>
        <row r="2290">
          <cell r="A2290">
            <v>0</v>
          </cell>
          <cell r="B2290">
            <v>0</v>
          </cell>
          <cell r="C2290">
            <v>0</v>
          </cell>
        </row>
        <row r="2295">
          <cell r="A2295" t="str">
            <v>CODIGO</v>
          </cell>
          <cell r="B2295" t="str">
            <v>ITEM</v>
          </cell>
          <cell r="C2295" t="str">
            <v>UNIDAD</v>
          </cell>
        </row>
        <row r="2296">
          <cell r="D2296">
            <v>0</v>
          </cell>
        </row>
        <row r="2297">
          <cell r="B2297" t="str">
            <v>CODIGO</v>
          </cell>
        </row>
        <row r="2298">
          <cell r="A2298" t="str">
            <v>CODIGO</v>
          </cell>
          <cell r="B2298" t="str">
            <v>RECURSOS</v>
          </cell>
          <cell r="C2298" t="str">
            <v>UNIDAD</v>
          </cell>
          <cell r="D2298" t="str">
            <v>CANT.</v>
          </cell>
        </row>
        <row r="2299">
          <cell r="B2299" t="str">
            <v>MATERIALES</v>
          </cell>
        </row>
        <row r="2300">
          <cell r="B2300">
            <v>0</v>
          </cell>
          <cell r="C2300">
            <v>0</v>
          </cell>
        </row>
        <row r="2301">
          <cell r="B2301">
            <v>0</v>
          </cell>
          <cell r="C2301">
            <v>0</v>
          </cell>
        </row>
        <row r="2302">
          <cell r="B2302">
            <v>0</v>
          </cell>
          <cell r="C2302">
            <v>0</v>
          </cell>
        </row>
        <row r="2303">
          <cell r="B2303">
            <v>0</v>
          </cell>
          <cell r="C2303">
            <v>0</v>
          </cell>
        </row>
        <row r="2305">
          <cell r="B2305" t="str">
            <v>EQUIPO</v>
          </cell>
        </row>
        <row r="2306">
          <cell r="B2306" t="str">
            <v>HTA MENOR (5% de M. de O.)</v>
          </cell>
        </row>
        <row r="2307">
          <cell r="A2307">
            <v>0</v>
          </cell>
          <cell r="B2307">
            <v>0</v>
          </cell>
          <cell r="C2307">
            <v>0</v>
          </cell>
        </row>
        <row r="2308">
          <cell r="A2308">
            <v>0</v>
          </cell>
          <cell r="B2308">
            <v>0</v>
          </cell>
          <cell r="C2308">
            <v>0</v>
          </cell>
        </row>
        <row r="2309">
          <cell r="A2309">
            <v>0</v>
          </cell>
          <cell r="B2309">
            <v>0</v>
          </cell>
          <cell r="C2309">
            <v>0</v>
          </cell>
        </row>
        <row r="2311">
          <cell r="B2311" t="str">
            <v>MANO DE OBRA</v>
          </cell>
        </row>
        <row r="2312">
          <cell r="B2312">
            <v>0</v>
          </cell>
          <cell r="C2312">
            <v>0</v>
          </cell>
        </row>
        <row r="2313">
          <cell r="A2313">
            <v>0</v>
          </cell>
          <cell r="B2313">
            <v>0</v>
          </cell>
          <cell r="C2313">
            <v>0</v>
          </cell>
        </row>
        <row r="2314">
          <cell r="A2314">
            <v>0</v>
          </cell>
          <cell r="B2314">
            <v>0</v>
          </cell>
          <cell r="C2314">
            <v>0</v>
          </cell>
        </row>
        <row r="2315">
          <cell r="A2315">
            <v>0</v>
          </cell>
          <cell r="B2315">
            <v>0</v>
          </cell>
          <cell r="C2315">
            <v>0</v>
          </cell>
        </row>
        <row r="2317">
          <cell r="B2317" t="str">
            <v>TRANSPORTE</v>
          </cell>
        </row>
        <row r="2319">
          <cell r="A2319">
            <v>0</v>
          </cell>
          <cell r="B2319">
            <v>0</v>
          </cell>
          <cell r="C2319">
            <v>0</v>
          </cell>
        </row>
        <row r="2320">
          <cell r="A2320">
            <v>0</v>
          </cell>
          <cell r="B2320">
            <v>0</v>
          </cell>
          <cell r="C2320">
            <v>0</v>
          </cell>
        </row>
        <row r="2321">
          <cell r="A2321">
            <v>0</v>
          </cell>
          <cell r="B2321">
            <v>0</v>
          </cell>
          <cell r="C2321">
            <v>0</v>
          </cell>
        </row>
        <row r="2326">
          <cell r="A2326" t="str">
            <v>CODIGO</v>
          </cell>
          <cell r="B2326" t="str">
            <v>ITEM</v>
          </cell>
          <cell r="C2326" t="str">
            <v>UNIDAD</v>
          </cell>
        </row>
        <row r="2327">
          <cell r="D2327">
            <v>0</v>
          </cell>
        </row>
        <row r="2328">
          <cell r="B2328" t="str">
            <v>CODIGO</v>
          </cell>
        </row>
        <row r="2329">
          <cell r="A2329" t="str">
            <v>CODIGO</v>
          </cell>
          <cell r="B2329" t="str">
            <v>RECURSOS</v>
          </cell>
          <cell r="C2329" t="str">
            <v>UNIDAD</v>
          </cell>
          <cell r="D2329" t="str">
            <v>CANT.</v>
          </cell>
        </row>
        <row r="2330">
          <cell r="B2330" t="str">
            <v>MATERIALES</v>
          </cell>
        </row>
        <row r="2331">
          <cell r="B2331">
            <v>0</v>
          </cell>
          <cell r="C2331">
            <v>0</v>
          </cell>
        </row>
        <row r="2332">
          <cell r="B2332">
            <v>0</v>
          </cell>
          <cell r="C2332">
            <v>0</v>
          </cell>
        </row>
        <row r="2333">
          <cell r="B2333">
            <v>0</v>
          </cell>
          <cell r="C2333">
            <v>0</v>
          </cell>
        </row>
        <row r="2334">
          <cell r="B2334">
            <v>0</v>
          </cell>
          <cell r="C2334">
            <v>0</v>
          </cell>
        </row>
        <row r="2336">
          <cell r="B2336" t="str">
            <v>EQUIPO</v>
          </cell>
        </row>
        <row r="2337">
          <cell r="B2337" t="str">
            <v>HTA MENOR (5% de M. de O.)</v>
          </cell>
        </row>
        <row r="2338">
          <cell r="A2338">
            <v>0</v>
          </cell>
          <cell r="B2338">
            <v>0</v>
          </cell>
          <cell r="C2338">
            <v>0</v>
          </cell>
        </row>
        <row r="2339">
          <cell r="A2339">
            <v>0</v>
          </cell>
          <cell r="B2339">
            <v>0</v>
          </cell>
          <cell r="C2339">
            <v>0</v>
          </cell>
        </row>
        <row r="2340">
          <cell r="A2340">
            <v>0</v>
          </cell>
          <cell r="B2340">
            <v>0</v>
          </cell>
          <cell r="C2340">
            <v>0</v>
          </cell>
        </row>
        <row r="2342">
          <cell r="B2342" t="str">
            <v>MANO DE OBRA</v>
          </cell>
        </row>
        <row r="2343">
          <cell r="B2343">
            <v>0</v>
          </cell>
          <cell r="C2343">
            <v>0</v>
          </cell>
        </row>
        <row r="2344">
          <cell r="A2344">
            <v>0</v>
          </cell>
          <cell r="B2344">
            <v>0</v>
          </cell>
          <cell r="C2344">
            <v>0</v>
          </cell>
        </row>
        <row r="2345">
          <cell r="A2345">
            <v>0</v>
          </cell>
          <cell r="B2345">
            <v>0</v>
          </cell>
          <cell r="C2345">
            <v>0</v>
          </cell>
        </row>
        <row r="2346">
          <cell r="A2346">
            <v>0</v>
          </cell>
          <cell r="B2346">
            <v>0</v>
          </cell>
          <cell r="C2346">
            <v>0</v>
          </cell>
        </row>
        <row r="2348">
          <cell r="B2348" t="str">
            <v>TRANSPORTE</v>
          </cell>
        </row>
        <row r="2350">
          <cell r="A2350">
            <v>0</v>
          </cell>
          <cell r="B2350">
            <v>0</v>
          </cell>
          <cell r="C2350">
            <v>0</v>
          </cell>
        </row>
        <row r="2351">
          <cell r="A2351">
            <v>0</v>
          </cell>
          <cell r="B2351">
            <v>0</v>
          </cell>
          <cell r="C2351">
            <v>0</v>
          </cell>
        </row>
        <row r="2352">
          <cell r="A2352">
            <v>0</v>
          </cell>
          <cell r="B2352">
            <v>0</v>
          </cell>
          <cell r="C2352">
            <v>0</v>
          </cell>
        </row>
        <row r="2357">
          <cell r="A2357" t="str">
            <v>CODIGO</v>
          </cell>
          <cell r="B2357" t="str">
            <v>ITEM</v>
          </cell>
          <cell r="C2357" t="str">
            <v>UNIDAD</v>
          </cell>
        </row>
        <row r="2358">
          <cell r="D2358">
            <v>0</v>
          </cell>
        </row>
        <row r="2359">
          <cell r="B2359" t="str">
            <v>CODIGO</v>
          </cell>
        </row>
        <row r="2360">
          <cell r="A2360" t="str">
            <v>CODIGO</v>
          </cell>
          <cell r="B2360" t="str">
            <v>RECURSOS</v>
          </cell>
          <cell r="C2360" t="str">
            <v>UNIDAD</v>
          </cell>
          <cell r="D2360" t="str">
            <v>CANT.</v>
          </cell>
        </row>
        <row r="2361">
          <cell r="B2361" t="str">
            <v>MATERIALES</v>
          </cell>
        </row>
        <row r="2362">
          <cell r="B2362">
            <v>0</v>
          </cell>
          <cell r="C2362">
            <v>0</v>
          </cell>
        </row>
        <row r="2363">
          <cell r="B2363">
            <v>0</v>
          </cell>
          <cell r="C2363">
            <v>0</v>
          </cell>
        </row>
        <row r="2364">
          <cell r="B2364">
            <v>0</v>
          </cell>
          <cell r="C2364">
            <v>0</v>
          </cell>
        </row>
        <row r="2365">
          <cell r="B2365">
            <v>0</v>
          </cell>
          <cell r="C2365">
            <v>0</v>
          </cell>
        </row>
        <row r="2367">
          <cell r="B2367" t="str">
            <v>EQUIPO</v>
          </cell>
        </row>
        <row r="2368">
          <cell r="B2368" t="str">
            <v>HTA MENOR (5% de M. de O.)</v>
          </cell>
        </row>
        <row r="2369">
          <cell r="A2369">
            <v>0</v>
          </cell>
          <cell r="B2369">
            <v>0</v>
          </cell>
          <cell r="C2369">
            <v>0</v>
          </cell>
        </row>
        <row r="2370">
          <cell r="A2370">
            <v>0</v>
          </cell>
          <cell r="B2370">
            <v>0</v>
          </cell>
          <cell r="C2370">
            <v>0</v>
          </cell>
        </row>
        <row r="2371">
          <cell r="A2371">
            <v>0</v>
          </cell>
          <cell r="B2371">
            <v>0</v>
          </cell>
          <cell r="C2371">
            <v>0</v>
          </cell>
        </row>
        <row r="2373">
          <cell r="B2373" t="str">
            <v>MANO DE OBRA</v>
          </cell>
        </row>
        <row r="2374">
          <cell r="B2374">
            <v>0</v>
          </cell>
          <cell r="C2374">
            <v>0</v>
          </cell>
        </row>
        <row r="2375">
          <cell r="A2375">
            <v>0</v>
          </cell>
          <cell r="B2375">
            <v>0</v>
          </cell>
          <cell r="C2375">
            <v>0</v>
          </cell>
        </row>
        <row r="2376">
          <cell r="A2376">
            <v>0</v>
          </cell>
          <cell r="B2376">
            <v>0</v>
          </cell>
          <cell r="C2376">
            <v>0</v>
          </cell>
        </row>
        <row r="2377">
          <cell r="A2377">
            <v>0</v>
          </cell>
          <cell r="B2377">
            <v>0</v>
          </cell>
          <cell r="C2377">
            <v>0</v>
          </cell>
        </row>
        <row r="2379">
          <cell r="B2379" t="str">
            <v>TRANSPORTE</v>
          </cell>
        </row>
        <row r="2381">
          <cell r="A2381">
            <v>0</v>
          </cell>
          <cell r="B2381">
            <v>0</v>
          </cell>
          <cell r="C2381">
            <v>0</v>
          </cell>
        </row>
        <row r="2382">
          <cell r="A2382">
            <v>0</v>
          </cell>
          <cell r="B2382">
            <v>0</v>
          </cell>
          <cell r="C2382">
            <v>0</v>
          </cell>
        </row>
        <row r="2383">
          <cell r="A2383">
            <v>0</v>
          </cell>
          <cell r="B2383">
            <v>0</v>
          </cell>
          <cell r="C2383">
            <v>0</v>
          </cell>
        </row>
        <row r="2388">
          <cell r="A2388" t="str">
            <v>CODIGO</v>
          </cell>
          <cell r="B2388" t="str">
            <v>ITEM</v>
          </cell>
          <cell r="C2388" t="str">
            <v>UNIDAD</v>
          </cell>
        </row>
        <row r="2389">
          <cell r="D2389">
            <v>0</v>
          </cell>
        </row>
        <row r="2390">
          <cell r="B2390" t="str">
            <v>CODIGO</v>
          </cell>
        </row>
        <row r="2391">
          <cell r="A2391" t="str">
            <v>CODIGO</v>
          </cell>
          <cell r="B2391" t="str">
            <v>RECURSOS</v>
          </cell>
          <cell r="C2391" t="str">
            <v>UNIDAD</v>
          </cell>
          <cell r="D2391" t="str">
            <v>CANT.</v>
          </cell>
        </row>
        <row r="2392">
          <cell r="B2392" t="str">
            <v>MATERIALES</v>
          </cell>
        </row>
        <row r="2393">
          <cell r="B2393">
            <v>0</v>
          </cell>
          <cell r="C2393">
            <v>0</v>
          </cell>
        </row>
        <row r="2394">
          <cell r="B2394">
            <v>0</v>
          </cell>
          <cell r="C2394">
            <v>0</v>
          </cell>
        </row>
        <row r="2395">
          <cell r="B2395">
            <v>0</v>
          </cell>
          <cell r="C2395">
            <v>0</v>
          </cell>
        </row>
        <row r="2396">
          <cell r="B2396">
            <v>0</v>
          </cell>
          <cell r="C2396">
            <v>0</v>
          </cell>
        </row>
        <row r="2398">
          <cell r="B2398" t="str">
            <v>EQUIPO</v>
          </cell>
        </row>
        <row r="2399">
          <cell r="B2399" t="str">
            <v>HTA MENOR (5% de M. de O.)</v>
          </cell>
        </row>
        <row r="2400">
          <cell r="A2400">
            <v>0</v>
          </cell>
          <cell r="B2400">
            <v>0</v>
          </cell>
          <cell r="C2400">
            <v>0</v>
          </cell>
        </row>
        <row r="2401">
          <cell r="A2401">
            <v>0</v>
          </cell>
          <cell r="B2401">
            <v>0</v>
          </cell>
          <cell r="C2401">
            <v>0</v>
          </cell>
        </row>
        <row r="2402">
          <cell r="A2402">
            <v>0</v>
          </cell>
          <cell r="B2402">
            <v>0</v>
          </cell>
          <cell r="C2402">
            <v>0</v>
          </cell>
        </row>
        <row r="2404">
          <cell r="B2404" t="str">
            <v>MANO DE OBRA</v>
          </cell>
        </row>
        <row r="2405">
          <cell r="B2405">
            <v>0</v>
          </cell>
          <cell r="C2405">
            <v>0</v>
          </cell>
        </row>
        <row r="2406">
          <cell r="A2406">
            <v>0</v>
          </cell>
          <cell r="B2406">
            <v>0</v>
          </cell>
          <cell r="C2406">
            <v>0</v>
          </cell>
        </row>
        <row r="2407">
          <cell r="A2407">
            <v>0</v>
          </cell>
          <cell r="B2407">
            <v>0</v>
          </cell>
          <cell r="C2407">
            <v>0</v>
          </cell>
        </row>
        <row r="2408">
          <cell r="A2408">
            <v>0</v>
          </cell>
          <cell r="B2408">
            <v>0</v>
          </cell>
          <cell r="C2408">
            <v>0</v>
          </cell>
        </row>
        <row r="2410">
          <cell r="B2410" t="str">
            <v>TRANSPORTE</v>
          </cell>
        </row>
        <row r="2412">
          <cell r="A2412">
            <v>0</v>
          </cell>
          <cell r="B2412">
            <v>0</v>
          </cell>
          <cell r="C2412">
            <v>0</v>
          </cell>
        </row>
        <row r="2413">
          <cell r="A2413">
            <v>0</v>
          </cell>
          <cell r="B2413">
            <v>0</v>
          </cell>
          <cell r="C2413">
            <v>0</v>
          </cell>
        </row>
        <row r="2414">
          <cell r="A2414">
            <v>0</v>
          </cell>
          <cell r="B2414">
            <v>0</v>
          </cell>
          <cell r="C2414">
            <v>0</v>
          </cell>
        </row>
        <row r="2419">
          <cell r="A2419" t="str">
            <v>CODIGO</v>
          </cell>
          <cell r="B2419" t="str">
            <v>ITEM</v>
          </cell>
          <cell r="C2419" t="str">
            <v>UNIDAD</v>
          </cell>
        </row>
        <row r="2420">
          <cell r="D2420">
            <v>0</v>
          </cell>
        </row>
        <row r="2421">
          <cell r="B2421" t="str">
            <v>CODIGO</v>
          </cell>
        </row>
        <row r="2422">
          <cell r="A2422" t="str">
            <v>CODIGO</v>
          </cell>
          <cell r="B2422" t="str">
            <v>RECURSOS</v>
          </cell>
          <cell r="C2422" t="str">
            <v>UNIDAD</v>
          </cell>
          <cell r="D2422" t="str">
            <v>CANT.</v>
          </cell>
        </row>
        <row r="2423">
          <cell r="B2423" t="str">
            <v>MATERIALES</v>
          </cell>
        </row>
        <row r="2424">
          <cell r="B2424">
            <v>0</v>
          </cell>
          <cell r="C2424">
            <v>0</v>
          </cell>
        </row>
        <row r="2425">
          <cell r="B2425">
            <v>0</v>
          </cell>
          <cell r="C2425">
            <v>0</v>
          </cell>
        </row>
        <row r="2426">
          <cell r="B2426">
            <v>0</v>
          </cell>
          <cell r="C2426">
            <v>0</v>
          </cell>
        </row>
        <row r="2427">
          <cell r="B2427">
            <v>0</v>
          </cell>
          <cell r="C2427">
            <v>0</v>
          </cell>
        </row>
        <row r="2429">
          <cell r="B2429" t="str">
            <v>EQUIPO</v>
          </cell>
        </row>
        <row r="2430">
          <cell r="B2430" t="str">
            <v>HTA MENOR (5% de M. de O.)</v>
          </cell>
        </row>
        <row r="2431">
          <cell r="A2431">
            <v>0</v>
          </cell>
          <cell r="B2431">
            <v>0</v>
          </cell>
          <cell r="C2431">
            <v>0</v>
          </cell>
        </row>
        <row r="2432">
          <cell r="A2432">
            <v>0</v>
          </cell>
          <cell r="B2432">
            <v>0</v>
          </cell>
          <cell r="C2432">
            <v>0</v>
          </cell>
        </row>
        <row r="2433">
          <cell r="A2433">
            <v>0</v>
          </cell>
          <cell r="B2433">
            <v>0</v>
          </cell>
          <cell r="C2433">
            <v>0</v>
          </cell>
        </row>
        <row r="2435">
          <cell r="B2435" t="str">
            <v>MANO DE OBRA</v>
          </cell>
        </row>
        <row r="2436">
          <cell r="B2436">
            <v>0</v>
          </cell>
          <cell r="C2436">
            <v>0</v>
          </cell>
        </row>
        <row r="2437">
          <cell r="A2437">
            <v>0</v>
          </cell>
          <cell r="B2437">
            <v>0</v>
          </cell>
          <cell r="C2437">
            <v>0</v>
          </cell>
        </row>
        <row r="2438">
          <cell r="A2438">
            <v>0</v>
          </cell>
          <cell r="B2438">
            <v>0</v>
          </cell>
          <cell r="C2438">
            <v>0</v>
          </cell>
        </row>
        <row r="2439">
          <cell r="A2439">
            <v>0</v>
          </cell>
          <cell r="B2439">
            <v>0</v>
          </cell>
          <cell r="C2439">
            <v>0</v>
          </cell>
        </row>
        <row r="2441">
          <cell r="B2441" t="str">
            <v>TRANSPORTE</v>
          </cell>
        </row>
        <row r="2443">
          <cell r="A2443">
            <v>0</v>
          </cell>
          <cell r="B2443">
            <v>0</v>
          </cell>
          <cell r="C2443">
            <v>0</v>
          </cell>
        </row>
        <row r="2444">
          <cell r="A2444">
            <v>0</v>
          </cell>
          <cell r="B2444">
            <v>0</v>
          </cell>
          <cell r="C2444">
            <v>0</v>
          </cell>
        </row>
        <row r="2445">
          <cell r="A2445">
            <v>0</v>
          </cell>
          <cell r="B2445">
            <v>0</v>
          </cell>
          <cell r="C2445">
            <v>0</v>
          </cell>
        </row>
        <row r="2451">
          <cell r="A2451" t="str">
            <v>CODIGO</v>
          </cell>
          <cell r="B2451" t="str">
            <v>ITEM</v>
          </cell>
          <cell r="C2451" t="str">
            <v>UNIDAD</v>
          </cell>
        </row>
        <row r="2452">
          <cell r="D2452">
            <v>0</v>
          </cell>
        </row>
        <row r="2453">
          <cell r="B2453" t="str">
            <v>CODIGO</v>
          </cell>
        </row>
        <row r="2454">
          <cell r="A2454" t="str">
            <v>CODIGO</v>
          </cell>
          <cell r="B2454" t="str">
            <v>RECURSOS</v>
          </cell>
          <cell r="C2454" t="str">
            <v>UNIDAD</v>
          </cell>
          <cell r="D2454" t="str">
            <v>CANT.</v>
          </cell>
        </row>
        <row r="2455">
          <cell r="B2455" t="str">
            <v>MATERIALES</v>
          </cell>
        </row>
        <row r="2456">
          <cell r="B2456">
            <v>0</v>
          </cell>
          <cell r="C2456">
            <v>0</v>
          </cell>
        </row>
        <row r="2457">
          <cell r="B2457">
            <v>0</v>
          </cell>
          <cell r="C2457">
            <v>0</v>
          </cell>
        </row>
        <row r="2458">
          <cell r="B2458">
            <v>0</v>
          </cell>
          <cell r="C2458">
            <v>0</v>
          </cell>
        </row>
        <row r="2459">
          <cell r="B2459">
            <v>0</v>
          </cell>
          <cell r="C2459">
            <v>0</v>
          </cell>
        </row>
        <row r="2461">
          <cell r="B2461" t="str">
            <v>EQUIPO</v>
          </cell>
        </row>
        <row r="2462">
          <cell r="B2462" t="str">
            <v>HTA MENOR (5% de M. de O.)</v>
          </cell>
        </row>
        <row r="2463">
          <cell r="A2463">
            <v>0</v>
          </cell>
          <cell r="B2463">
            <v>0</v>
          </cell>
          <cell r="C2463">
            <v>0</v>
          </cell>
        </row>
        <row r="2464">
          <cell r="A2464">
            <v>0</v>
          </cell>
          <cell r="B2464">
            <v>0</v>
          </cell>
          <cell r="C2464">
            <v>0</v>
          </cell>
        </row>
        <row r="2465">
          <cell r="A2465">
            <v>0</v>
          </cell>
          <cell r="B2465">
            <v>0</v>
          </cell>
          <cell r="C2465">
            <v>0</v>
          </cell>
        </row>
        <row r="2467">
          <cell r="B2467" t="str">
            <v>MANO DE OBRA</v>
          </cell>
        </row>
        <row r="2468">
          <cell r="B2468">
            <v>0</v>
          </cell>
          <cell r="C2468">
            <v>0</v>
          </cell>
        </row>
        <row r="2469">
          <cell r="A2469">
            <v>0</v>
          </cell>
          <cell r="B2469">
            <v>0</v>
          </cell>
          <cell r="C2469">
            <v>0</v>
          </cell>
        </row>
        <row r="2470">
          <cell r="A2470">
            <v>0</v>
          </cell>
          <cell r="B2470">
            <v>0</v>
          </cell>
          <cell r="C2470">
            <v>0</v>
          </cell>
        </row>
        <row r="2471">
          <cell r="A2471">
            <v>0</v>
          </cell>
          <cell r="B2471">
            <v>0</v>
          </cell>
          <cell r="C2471">
            <v>0</v>
          </cell>
        </row>
        <row r="2473">
          <cell r="B2473" t="str">
            <v>TRANSPORTE</v>
          </cell>
        </row>
        <row r="2475">
          <cell r="A2475">
            <v>0</v>
          </cell>
          <cell r="B2475">
            <v>0</v>
          </cell>
          <cell r="C2475">
            <v>0</v>
          </cell>
        </row>
        <row r="2476">
          <cell r="A2476">
            <v>0</v>
          </cell>
          <cell r="B2476">
            <v>0</v>
          </cell>
          <cell r="C2476">
            <v>0</v>
          </cell>
        </row>
        <row r="2477">
          <cell r="A2477">
            <v>0</v>
          </cell>
          <cell r="B2477">
            <v>0</v>
          </cell>
          <cell r="C2477">
            <v>0</v>
          </cell>
        </row>
        <row r="2482">
          <cell r="A2482" t="str">
            <v>CODIGO</v>
          </cell>
          <cell r="B2482" t="str">
            <v>ITEM</v>
          </cell>
          <cell r="C2482" t="str">
            <v>UNIDAD</v>
          </cell>
        </row>
        <row r="2483">
          <cell r="D2483">
            <v>0</v>
          </cell>
        </row>
        <row r="2484">
          <cell r="B2484" t="str">
            <v>CODIGO</v>
          </cell>
        </row>
        <row r="2485">
          <cell r="A2485" t="str">
            <v>CODIGO</v>
          </cell>
          <cell r="B2485" t="str">
            <v>RECURSOS</v>
          </cell>
          <cell r="C2485" t="str">
            <v>UNIDAD</v>
          </cell>
          <cell r="D2485" t="str">
            <v>CANT.</v>
          </cell>
        </row>
        <row r="2486">
          <cell r="B2486" t="str">
            <v>MATERIALES</v>
          </cell>
        </row>
        <row r="2487">
          <cell r="B2487">
            <v>0</v>
          </cell>
          <cell r="C2487">
            <v>0</v>
          </cell>
        </row>
        <row r="2488">
          <cell r="B2488">
            <v>0</v>
          </cell>
          <cell r="C2488">
            <v>0</v>
          </cell>
        </row>
        <row r="2489">
          <cell r="B2489">
            <v>0</v>
          </cell>
          <cell r="C2489">
            <v>0</v>
          </cell>
        </row>
        <row r="2490">
          <cell r="B2490">
            <v>0</v>
          </cell>
          <cell r="C2490">
            <v>0</v>
          </cell>
        </row>
        <row r="2492">
          <cell r="B2492" t="str">
            <v>EQUIPO</v>
          </cell>
        </row>
        <row r="2493">
          <cell r="B2493" t="str">
            <v>HTA MENOR (5% de M. de O.)</v>
          </cell>
        </row>
        <row r="2494">
          <cell r="A2494">
            <v>0</v>
          </cell>
          <cell r="B2494">
            <v>0</v>
          </cell>
          <cell r="C2494">
            <v>0</v>
          </cell>
        </row>
        <row r="2495">
          <cell r="A2495">
            <v>0</v>
          </cell>
          <cell r="B2495">
            <v>0</v>
          </cell>
          <cell r="C2495">
            <v>0</v>
          </cell>
        </row>
        <row r="2496">
          <cell r="A2496">
            <v>0</v>
          </cell>
          <cell r="B2496">
            <v>0</v>
          </cell>
          <cell r="C2496">
            <v>0</v>
          </cell>
        </row>
        <row r="2498">
          <cell r="B2498" t="str">
            <v>MANO DE OBRA</v>
          </cell>
        </row>
        <row r="2499">
          <cell r="B2499">
            <v>0</v>
          </cell>
          <cell r="C2499">
            <v>0</v>
          </cell>
        </row>
        <row r="2500">
          <cell r="A2500">
            <v>0</v>
          </cell>
          <cell r="B2500">
            <v>0</v>
          </cell>
          <cell r="C2500">
            <v>0</v>
          </cell>
        </row>
        <row r="2501">
          <cell r="A2501">
            <v>0</v>
          </cell>
          <cell r="B2501">
            <v>0</v>
          </cell>
          <cell r="C2501">
            <v>0</v>
          </cell>
        </row>
        <row r="2502">
          <cell r="A2502">
            <v>0</v>
          </cell>
          <cell r="B2502">
            <v>0</v>
          </cell>
          <cell r="C2502">
            <v>0</v>
          </cell>
        </row>
        <row r="2504">
          <cell r="B2504" t="str">
            <v>TRANSPORTE</v>
          </cell>
        </row>
        <row r="2506">
          <cell r="A2506">
            <v>0</v>
          </cell>
          <cell r="B2506">
            <v>0</v>
          </cell>
          <cell r="C2506">
            <v>0</v>
          </cell>
        </row>
        <row r="2507">
          <cell r="A2507">
            <v>0</v>
          </cell>
          <cell r="B2507">
            <v>0</v>
          </cell>
          <cell r="C2507">
            <v>0</v>
          </cell>
        </row>
        <row r="2508">
          <cell r="A2508">
            <v>0</v>
          </cell>
          <cell r="B2508">
            <v>0</v>
          </cell>
          <cell r="C2508">
            <v>0</v>
          </cell>
        </row>
        <row r="2513">
          <cell r="A2513" t="str">
            <v>CODIGO</v>
          </cell>
          <cell r="B2513" t="str">
            <v>ITEM</v>
          </cell>
          <cell r="C2513" t="str">
            <v>UNIDAD</v>
          </cell>
        </row>
        <row r="2514">
          <cell r="D2514">
            <v>0</v>
          </cell>
        </row>
        <row r="2515">
          <cell r="B2515" t="str">
            <v>CODIGO</v>
          </cell>
        </row>
        <row r="2516">
          <cell r="A2516" t="str">
            <v>CODIGO</v>
          </cell>
          <cell r="B2516" t="str">
            <v>RECURSOS</v>
          </cell>
          <cell r="C2516" t="str">
            <v>UNIDAD</v>
          </cell>
          <cell r="D2516" t="str">
            <v>CANT.</v>
          </cell>
        </row>
        <row r="2517">
          <cell r="B2517" t="str">
            <v>MATERIALES</v>
          </cell>
        </row>
        <row r="2518">
          <cell r="B2518">
            <v>0</v>
          </cell>
          <cell r="C2518">
            <v>0</v>
          </cell>
        </row>
        <row r="2519">
          <cell r="B2519">
            <v>0</v>
          </cell>
          <cell r="C2519">
            <v>0</v>
          </cell>
        </row>
        <row r="2520">
          <cell r="B2520">
            <v>0</v>
          </cell>
          <cell r="C2520">
            <v>0</v>
          </cell>
        </row>
        <row r="2521">
          <cell r="B2521">
            <v>0</v>
          </cell>
          <cell r="C2521">
            <v>0</v>
          </cell>
        </row>
        <row r="2523">
          <cell r="B2523" t="str">
            <v>EQUIPO</v>
          </cell>
        </row>
        <row r="2524">
          <cell r="B2524" t="str">
            <v>HTA MENOR (5% de M. de O.)</v>
          </cell>
        </row>
        <row r="2525">
          <cell r="A2525">
            <v>0</v>
          </cell>
          <cell r="B2525">
            <v>0</v>
          </cell>
          <cell r="C2525">
            <v>0</v>
          </cell>
        </row>
        <row r="2526">
          <cell r="A2526">
            <v>0</v>
          </cell>
          <cell r="B2526">
            <v>0</v>
          </cell>
          <cell r="C2526">
            <v>0</v>
          </cell>
        </row>
        <row r="2527">
          <cell r="A2527">
            <v>0</v>
          </cell>
          <cell r="B2527">
            <v>0</v>
          </cell>
          <cell r="C2527">
            <v>0</v>
          </cell>
        </row>
        <row r="2529">
          <cell r="B2529" t="str">
            <v>MANO DE OBRA</v>
          </cell>
        </row>
        <row r="2530">
          <cell r="B2530">
            <v>0</v>
          </cell>
          <cell r="C2530">
            <v>0</v>
          </cell>
        </row>
        <row r="2531">
          <cell r="A2531">
            <v>0</v>
          </cell>
          <cell r="B2531">
            <v>0</v>
          </cell>
          <cell r="C2531">
            <v>0</v>
          </cell>
        </row>
        <row r="2532">
          <cell r="A2532">
            <v>0</v>
          </cell>
          <cell r="B2532">
            <v>0</v>
          </cell>
          <cell r="C2532">
            <v>0</v>
          </cell>
        </row>
        <row r="2533">
          <cell r="A2533">
            <v>0</v>
          </cell>
          <cell r="B2533">
            <v>0</v>
          </cell>
          <cell r="C2533">
            <v>0</v>
          </cell>
        </row>
        <row r="2535">
          <cell r="B2535" t="str">
            <v>TRANSPORTE</v>
          </cell>
        </row>
        <row r="2537">
          <cell r="A2537">
            <v>0</v>
          </cell>
          <cell r="B2537">
            <v>0</v>
          </cell>
          <cell r="C2537">
            <v>0</v>
          </cell>
        </row>
        <row r="2538">
          <cell r="A2538">
            <v>0</v>
          </cell>
          <cell r="B2538">
            <v>0</v>
          </cell>
          <cell r="C2538">
            <v>0</v>
          </cell>
        </row>
        <row r="2539">
          <cell r="A2539">
            <v>0</v>
          </cell>
          <cell r="B2539">
            <v>0</v>
          </cell>
          <cell r="C2539">
            <v>0</v>
          </cell>
        </row>
        <row r="2544">
          <cell r="A2544" t="str">
            <v>CODIGO</v>
          </cell>
          <cell r="B2544" t="str">
            <v>ITEM</v>
          </cell>
          <cell r="C2544" t="str">
            <v>UNIDAD</v>
          </cell>
        </row>
        <row r="2545">
          <cell r="D2545">
            <v>0</v>
          </cell>
        </row>
        <row r="2546">
          <cell r="B2546" t="str">
            <v>CODIGO</v>
          </cell>
        </row>
        <row r="2547">
          <cell r="A2547" t="str">
            <v>CODIGO</v>
          </cell>
          <cell r="B2547" t="str">
            <v>RECURSOS</v>
          </cell>
          <cell r="C2547" t="str">
            <v>UNIDAD</v>
          </cell>
          <cell r="D2547" t="str">
            <v>CANT.</v>
          </cell>
        </row>
        <row r="2548">
          <cell r="B2548" t="str">
            <v>MATERIALES</v>
          </cell>
        </row>
        <row r="2549">
          <cell r="B2549">
            <v>0</v>
          </cell>
          <cell r="C2549">
            <v>0</v>
          </cell>
        </row>
        <row r="2550">
          <cell r="B2550">
            <v>0</v>
          </cell>
          <cell r="C2550">
            <v>0</v>
          </cell>
        </row>
        <row r="2551">
          <cell r="B2551">
            <v>0</v>
          </cell>
          <cell r="C2551">
            <v>0</v>
          </cell>
        </row>
        <row r="2552">
          <cell r="B2552">
            <v>0</v>
          </cell>
          <cell r="C2552">
            <v>0</v>
          </cell>
        </row>
        <row r="2554">
          <cell r="B2554" t="str">
            <v>EQUIPO</v>
          </cell>
        </row>
        <row r="2555">
          <cell r="B2555" t="str">
            <v>HTA MENOR (5% de M. de O.)</v>
          </cell>
        </row>
        <row r="2556">
          <cell r="A2556">
            <v>0</v>
          </cell>
          <cell r="B2556">
            <v>0</v>
          </cell>
          <cell r="C2556">
            <v>0</v>
          </cell>
        </row>
        <row r="2557">
          <cell r="A2557">
            <v>0</v>
          </cell>
          <cell r="B2557">
            <v>0</v>
          </cell>
          <cell r="C2557">
            <v>0</v>
          </cell>
        </row>
        <row r="2558">
          <cell r="A2558">
            <v>0</v>
          </cell>
          <cell r="B2558">
            <v>0</v>
          </cell>
          <cell r="C2558">
            <v>0</v>
          </cell>
        </row>
        <row r="2560">
          <cell r="B2560" t="str">
            <v>MANO DE OBRA</v>
          </cell>
        </row>
        <row r="2561">
          <cell r="B2561">
            <v>0</v>
          </cell>
          <cell r="C2561">
            <v>0</v>
          </cell>
        </row>
        <row r="2562">
          <cell r="A2562">
            <v>0</v>
          </cell>
          <cell r="B2562">
            <v>0</v>
          </cell>
          <cell r="C2562">
            <v>0</v>
          </cell>
        </row>
        <row r="2563">
          <cell r="A2563">
            <v>0</v>
          </cell>
          <cell r="B2563">
            <v>0</v>
          </cell>
          <cell r="C2563">
            <v>0</v>
          </cell>
        </row>
        <row r="2564">
          <cell r="A2564">
            <v>0</v>
          </cell>
          <cell r="B2564">
            <v>0</v>
          </cell>
          <cell r="C2564">
            <v>0</v>
          </cell>
        </row>
        <row r="2566">
          <cell r="B2566" t="str">
            <v>TRANSPORTE</v>
          </cell>
        </row>
        <row r="2568">
          <cell r="A2568">
            <v>0</v>
          </cell>
          <cell r="B2568">
            <v>0</v>
          </cell>
          <cell r="C2568">
            <v>0</v>
          </cell>
        </row>
        <row r="2569">
          <cell r="A2569">
            <v>0</v>
          </cell>
          <cell r="B2569">
            <v>0</v>
          </cell>
          <cell r="C2569">
            <v>0</v>
          </cell>
        </row>
        <row r="2570">
          <cell r="A2570">
            <v>0</v>
          </cell>
          <cell r="B2570">
            <v>0</v>
          </cell>
          <cell r="C2570">
            <v>0</v>
          </cell>
        </row>
        <row r="2575">
          <cell r="A2575" t="str">
            <v>CODIGO</v>
          </cell>
          <cell r="B2575" t="str">
            <v>ITEM</v>
          </cell>
          <cell r="C2575" t="str">
            <v>UNIDAD</v>
          </cell>
        </row>
        <row r="2576">
          <cell r="D2576">
            <v>0</v>
          </cell>
        </row>
        <row r="2577">
          <cell r="B2577" t="str">
            <v>CODIGO</v>
          </cell>
        </row>
        <row r="2578">
          <cell r="A2578" t="str">
            <v>CODIGO</v>
          </cell>
          <cell r="B2578" t="str">
            <v>RECURSOS</v>
          </cell>
          <cell r="C2578" t="str">
            <v>UNIDAD</v>
          </cell>
          <cell r="D2578" t="str">
            <v>CANT.</v>
          </cell>
        </row>
        <row r="2579">
          <cell r="B2579" t="str">
            <v>MATERIALES</v>
          </cell>
        </row>
        <row r="2580">
          <cell r="B2580">
            <v>0</v>
          </cell>
          <cell r="C2580">
            <v>0</v>
          </cell>
        </row>
        <row r="2581">
          <cell r="B2581">
            <v>0</v>
          </cell>
          <cell r="C2581">
            <v>0</v>
          </cell>
        </row>
        <row r="2582">
          <cell r="B2582">
            <v>0</v>
          </cell>
          <cell r="C2582">
            <v>0</v>
          </cell>
        </row>
        <row r="2583">
          <cell r="B2583">
            <v>0</v>
          </cell>
          <cell r="C2583">
            <v>0</v>
          </cell>
        </row>
        <row r="2585">
          <cell r="B2585" t="str">
            <v>EQUIPO</v>
          </cell>
        </row>
        <row r="2586">
          <cell r="B2586" t="str">
            <v>HTA MENOR (5% de M. de O.)</v>
          </cell>
        </row>
        <row r="2587">
          <cell r="A2587">
            <v>0</v>
          </cell>
          <cell r="B2587">
            <v>0</v>
          </cell>
          <cell r="C2587">
            <v>0</v>
          </cell>
        </row>
        <row r="2588">
          <cell r="A2588">
            <v>0</v>
          </cell>
          <cell r="B2588">
            <v>0</v>
          </cell>
          <cell r="C2588">
            <v>0</v>
          </cell>
        </row>
        <row r="2589">
          <cell r="A2589">
            <v>0</v>
          </cell>
          <cell r="B2589">
            <v>0</v>
          </cell>
          <cell r="C2589">
            <v>0</v>
          </cell>
        </row>
        <row r="2591">
          <cell r="B2591" t="str">
            <v>MANO DE OBRA</v>
          </cell>
        </row>
        <row r="2592">
          <cell r="B2592">
            <v>0</v>
          </cell>
          <cell r="C2592">
            <v>0</v>
          </cell>
        </row>
        <row r="2593">
          <cell r="A2593">
            <v>0</v>
          </cell>
          <cell r="B2593">
            <v>0</v>
          </cell>
          <cell r="C2593">
            <v>0</v>
          </cell>
        </row>
        <row r="2594">
          <cell r="A2594">
            <v>0</v>
          </cell>
          <cell r="B2594">
            <v>0</v>
          </cell>
          <cell r="C2594">
            <v>0</v>
          </cell>
        </row>
        <row r="2595">
          <cell r="A2595">
            <v>0</v>
          </cell>
          <cell r="B2595">
            <v>0</v>
          </cell>
          <cell r="C2595">
            <v>0</v>
          </cell>
        </row>
        <row r="2597">
          <cell r="B2597" t="str">
            <v>TRANSPORTE</v>
          </cell>
        </row>
        <row r="2599">
          <cell r="A2599">
            <v>0</v>
          </cell>
          <cell r="B2599">
            <v>0</v>
          </cell>
          <cell r="C2599">
            <v>0</v>
          </cell>
        </row>
        <row r="2600">
          <cell r="A2600">
            <v>0</v>
          </cell>
          <cell r="B2600">
            <v>0</v>
          </cell>
          <cell r="C2600">
            <v>0</v>
          </cell>
        </row>
        <row r="2601">
          <cell r="A2601">
            <v>0</v>
          </cell>
          <cell r="B2601">
            <v>0</v>
          </cell>
          <cell r="C2601">
            <v>0</v>
          </cell>
        </row>
        <row r="2606">
          <cell r="A2606" t="str">
            <v>CODIGO</v>
          </cell>
          <cell r="B2606" t="str">
            <v>ITEM</v>
          </cell>
          <cell r="C2606" t="str">
            <v>UNIDAD</v>
          </cell>
        </row>
        <row r="2607">
          <cell r="D2607">
            <v>0</v>
          </cell>
        </row>
        <row r="2608">
          <cell r="B2608" t="str">
            <v>CODIGO</v>
          </cell>
        </row>
        <row r="2609">
          <cell r="A2609" t="str">
            <v>CODIGO</v>
          </cell>
          <cell r="B2609" t="str">
            <v>RECURSOS</v>
          </cell>
          <cell r="C2609" t="str">
            <v>UNIDAD</v>
          </cell>
          <cell r="D2609" t="str">
            <v>CANT.</v>
          </cell>
        </row>
        <row r="2610">
          <cell r="B2610" t="str">
            <v>MATERIALES</v>
          </cell>
        </row>
        <row r="2611">
          <cell r="B2611">
            <v>0</v>
          </cell>
          <cell r="C2611">
            <v>0</v>
          </cell>
        </row>
        <row r="2612">
          <cell r="B2612">
            <v>0</v>
          </cell>
          <cell r="C2612">
            <v>0</v>
          </cell>
        </row>
        <row r="2613">
          <cell r="B2613">
            <v>0</v>
          </cell>
          <cell r="C2613">
            <v>0</v>
          </cell>
        </row>
        <row r="2614">
          <cell r="B2614">
            <v>0</v>
          </cell>
          <cell r="C2614">
            <v>0</v>
          </cell>
        </row>
        <row r="2616">
          <cell r="B2616" t="str">
            <v>EQUIPO</v>
          </cell>
        </row>
        <row r="2617">
          <cell r="B2617" t="str">
            <v>HTA MENOR (5% de M. de O.)</v>
          </cell>
        </row>
        <row r="2618">
          <cell r="A2618">
            <v>0</v>
          </cell>
          <cell r="B2618">
            <v>0</v>
          </cell>
          <cell r="C2618">
            <v>0</v>
          </cell>
        </row>
        <row r="2619">
          <cell r="A2619">
            <v>0</v>
          </cell>
          <cell r="B2619">
            <v>0</v>
          </cell>
          <cell r="C2619">
            <v>0</v>
          </cell>
        </row>
        <row r="2620">
          <cell r="A2620">
            <v>0</v>
          </cell>
          <cell r="B2620">
            <v>0</v>
          </cell>
          <cell r="C2620">
            <v>0</v>
          </cell>
        </row>
        <row r="2622">
          <cell r="B2622" t="str">
            <v>MANO DE OBRA</v>
          </cell>
        </row>
        <row r="2623">
          <cell r="B2623">
            <v>0</v>
          </cell>
          <cell r="C2623">
            <v>0</v>
          </cell>
        </row>
        <row r="2624">
          <cell r="A2624">
            <v>0</v>
          </cell>
          <cell r="B2624">
            <v>0</v>
          </cell>
          <cell r="C2624">
            <v>0</v>
          </cell>
        </row>
        <row r="2625">
          <cell r="A2625">
            <v>0</v>
          </cell>
          <cell r="B2625">
            <v>0</v>
          </cell>
          <cell r="C2625">
            <v>0</v>
          </cell>
        </row>
        <row r="2626">
          <cell r="A2626">
            <v>0</v>
          </cell>
          <cell r="B2626">
            <v>0</v>
          </cell>
          <cell r="C2626">
            <v>0</v>
          </cell>
        </row>
        <row r="2628">
          <cell r="B2628" t="str">
            <v>TRANSPORTE</v>
          </cell>
        </row>
        <row r="2630">
          <cell r="A2630">
            <v>0</v>
          </cell>
          <cell r="B2630">
            <v>0</v>
          </cell>
          <cell r="C2630">
            <v>0</v>
          </cell>
        </row>
        <row r="2631">
          <cell r="A2631">
            <v>0</v>
          </cell>
          <cell r="B2631">
            <v>0</v>
          </cell>
          <cell r="C2631">
            <v>0</v>
          </cell>
        </row>
        <row r="2632">
          <cell r="A2632">
            <v>0</v>
          </cell>
          <cell r="B2632">
            <v>0</v>
          </cell>
          <cell r="C2632">
            <v>0</v>
          </cell>
        </row>
        <row r="2637">
          <cell r="A2637" t="str">
            <v>CODIGO</v>
          </cell>
          <cell r="B2637" t="str">
            <v>ITEM</v>
          </cell>
          <cell r="C2637" t="str">
            <v>UNIDAD</v>
          </cell>
        </row>
        <row r="2638">
          <cell r="D2638">
            <v>0</v>
          </cell>
        </row>
        <row r="2639">
          <cell r="B2639" t="str">
            <v>CODIGO</v>
          </cell>
        </row>
        <row r="2640">
          <cell r="A2640" t="str">
            <v>CODIGO</v>
          </cell>
          <cell r="B2640" t="str">
            <v>RECURSOS</v>
          </cell>
          <cell r="C2640" t="str">
            <v>UNIDAD</v>
          </cell>
          <cell r="D2640" t="str">
            <v>CANT.</v>
          </cell>
        </row>
        <row r="2641">
          <cell r="B2641" t="str">
            <v>MATERIALES</v>
          </cell>
        </row>
        <row r="2642">
          <cell r="B2642">
            <v>0</v>
          </cell>
          <cell r="C2642">
            <v>0</v>
          </cell>
        </row>
        <row r="2643">
          <cell r="B2643">
            <v>0</v>
          </cell>
          <cell r="C2643">
            <v>0</v>
          </cell>
        </row>
        <row r="2644">
          <cell r="B2644">
            <v>0</v>
          </cell>
          <cell r="C2644">
            <v>0</v>
          </cell>
        </row>
        <row r="2645">
          <cell r="B2645">
            <v>0</v>
          </cell>
          <cell r="C2645">
            <v>0</v>
          </cell>
        </row>
        <row r="2647">
          <cell r="B2647" t="str">
            <v>EQUIPO</v>
          </cell>
        </row>
        <row r="2648">
          <cell r="B2648" t="str">
            <v>HTA MENOR (5% de M. de O.)</v>
          </cell>
        </row>
        <row r="2649">
          <cell r="A2649">
            <v>0</v>
          </cell>
          <cell r="B2649">
            <v>0</v>
          </cell>
          <cell r="C2649">
            <v>0</v>
          </cell>
        </row>
        <row r="2650">
          <cell r="A2650">
            <v>0</v>
          </cell>
          <cell r="B2650">
            <v>0</v>
          </cell>
          <cell r="C2650">
            <v>0</v>
          </cell>
        </row>
        <row r="2651">
          <cell r="A2651">
            <v>0</v>
          </cell>
          <cell r="B2651">
            <v>0</v>
          </cell>
          <cell r="C2651">
            <v>0</v>
          </cell>
        </row>
        <row r="2653">
          <cell r="B2653" t="str">
            <v>MANO DE OBRA</v>
          </cell>
        </row>
        <row r="2654">
          <cell r="B2654">
            <v>0</v>
          </cell>
          <cell r="C2654">
            <v>0</v>
          </cell>
        </row>
        <row r="2655">
          <cell r="A2655">
            <v>0</v>
          </cell>
          <cell r="B2655">
            <v>0</v>
          </cell>
          <cell r="C2655">
            <v>0</v>
          </cell>
        </row>
        <row r="2656">
          <cell r="A2656">
            <v>0</v>
          </cell>
          <cell r="B2656">
            <v>0</v>
          </cell>
          <cell r="C2656">
            <v>0</v>
          </cell>
        </row>
        <row r="2657">
          <cell r="A2657">
            <v>0</v>
          </cell>
          <cell r="B2657">
            <v>0</v>
          </cell>
          <cell r="C2657">
            <v>0</v>
          </cell>
        </row>
        <row r="2659">
          <cell r="B2659" t="str">
            <v>TRANSPORTE</v>
          </cell>
        </row>
        <row r="2661">
          <cell r="A2661">
            <v>0</v>
          </cell>
          <cell r="B2661">
            <v>0</v>
          </cell>
          <cell r="C2661">
            <v>0</v>
          </cell>
        </row>
        <row r="2662">
          <cell r="A2662">
            <v>0</v>
          </cell>
          <cell r="B2662">
            <v>0</v>
          </cell>
          <cell r="C2662">
            <v>0</v>
          </cell>
        </row>
        <row r="2663">
          <cell r="A2663">
            <v>0</v>
          </cell>
          <cell r="B2663">
            <v>0</v>
          </cell>
          <cell r="C2663">
            <v>0</v>
          </cell>
        </row>
        <row r="2668">
          <cell r="A2668" t="str">
            <v>CODIGO</v>
          </cell>
          <cell r="B2668" t="str">
            <v>ITEM</v>
          </cell>
          <cell r="C2668" t="str">
            <v>UNIDAD</v>
          </cell>
        </row>
        <row r="2669">
          <cell r="D2669">
            <v>0</v>
          </cell>
        </row>
        <row r="2670">
          <cell r="B2670" t="str">
            <v>CODIGO</v>
          </cell>
        </row>
        <row r="2671">
          <cell r="A2671" t="str">
            <v>CODIGO</v>
          </cell>
          <cell r="B2671" t="str">
            <v>RECURSOS</v>
          </cell>
          <cell r="C2671" t="str">
            <v>UNIDAD</v>
          </cell>
          <cell r="D2671" t="str">
            <v>CANT.</v>
          </cell>
        </row>
        <row r="2672">
          <cell r="B2672" t="str">
            <v>MATERIALES</v>
          </cell>
        </row>
        <row r="2673">
          <cell r="B2673">
            <v>0</v>
          </cell>
          <cell r="C2673">
            <v>0</v>
          </cell>
        </row>
        <row r="2674">
          <cell r="B2674">
            <v>0</v>
          </cell>
          <cell r="C2674">
            <v>0</v>
          </cell>
        </row>
        <row r="2675">
          <cell r="B2675">
            <v>0</v>
          </cell>
          <cell r="C2675">
            <v>0</v>
          </cell>
        </row>
        <row r="2676">
          <cell r="B2676">
            <v>0</v>
          </cell>
          <cell r="C2676">
            <v>0</v>
          </cell>
        </row>
        <row r="2678">
          <cell r="B2678" t="str">
            <v>EQUIPO</v>
          </cell>
        </row>
        <row r="2679">
          <cell r="B2679" t="str">
            <v>HTA MENOR (5% de M. de O.)</v>
          </cell>
        </row>
        <row r="2680">
          <cell r="A2680">
            <v>0</v>
          </cell>
          <cell r="B2680">
            <v>0</v>
          </cell>
          <cell r="C2680">
            <v>0</v>
          </cell>
        </row>
        <row r="2681">
          <cell r="A2681">
            <v>0</v>
          </cell>
          <cell r="B2681">
            <v>0</v>
          </cell>
          <cell r="C2681">
            <v>0</v>
          </cell>
        </row>
        <row r="2682">
          <cell r="A2682">
            <v>0</v>
          </cell>
          <cell r="B2682">
            <v>0</v>
          </cell>
          <cell r="C2682">
            <v>0</v>
          </cell>
        </row>
        <row r="2684">
          <cell r="B2684" t="str">
            <v>MANO DE OBRA</v>
          </cell>
        </row>
        <row r="2685">
          <cell r="B2685">
            <v>0</v>
          </cell>
          <cell r="C2685">
            <v>0</v>
          </cell>
        </row>
        <row r="2686">
          <cell r="A2686">
            <v>0</v>
          </cell>
          <cell r="B2686">
            <v>0</v>
          </cell>
          <cell r="C2686">
            <v>0</v>
          </cell>
        </row>
        <row r="2687">
          <cell r="A2687">
            <v>0</v>
          </cell>
          <cell r="B2687">
            <v>0</v>
          </cell>
          <cell r="C2687">
            <v>0</v>
          </cell>
        </row>
        <row r="2688">
          <cell r="A2688">
            <v>0</v>
          </cell>
          <cell r="B2688">
            <v>0</v>
          </cell>
          <cell r="C2688">
            <v>0</v>
          </cell>
        </row>
        <row r="2690">
          <cell r="B2690" t="str">
            <v>TRANSPORTE</v>
          </cell>
        </row>
        <row r="2692">
          <cell r="A2692">
            <v>0</v>
          </cell>
          <cell r="B2692">
            <v>0</v>
          </cell>
          <cell r="C2692">
            <v>0</v>
          </cell>
        </row>
        <row r="2693">
          <cell r="A2693">
            <v>0</v>
          </cell>
          <cell r="B2693">
            <v>0</v>
          </cell>
          <cell r="C2693">
            <v>0</v>
          </cell>
        </row>
        <row r="2694">
          <cell r="A2694">
            <v>0</v>
          </cell>
          <cell r="B2694">
            <v>0</v>
          </cell>
          <cell r="C2694">
            <v>0</v>
          </cell>
        </row>
        <row r="2699">
          <cell r="A2699" t="str">
            <v>CODIGO</v>
          </cell>
          <cell r="B2699" t="str">
            <v>ITEM</v>
          </cell>
          <cell r="C2699" t="str">
            <v>UNIDAD</v>
          </cell>
        </row>
        <row r="2700">
          <cell r="D2700">
            <v>0</v>
          </cell>
        </row>
        <row r="2701">
          <cell r="B2701" t="str">
            <v>CODIGO</v>
          </cell>
        </row>
        <row r="2702">
          <cell r="A2702" t="str">
            <v>CODIGO</v>
          </cell>
          <cell r="B2702" t="str">
            <v>RECURSOS</v>
          </cell>
          <cell r="C2702" t="str">
            <v>UNIDAD</v>
          </cell>
          <cell r="D2702" t="str">
            <v>CANT.</v>
          </cell>
        </row>
        <row r="2703">
          <cell r="B2703" t="str">
            <v>MATERIALES</v>
          </cell>
        </row>
        <row r="2704">
          <cell r="B2704">
            <v>0</v>
          </cell>
          <cell r="C2704">
            <v>0</v>
          </cell>
        </row>
        <row r="2705">
          <cell r="B2705">
            <v>0</v>
          </cell>
          <cell r="C2705">
            <v>0</v>
          </cell>
        </row>
        <row r="2706">
          <cell r="B2706">
            <v>0</v>
          </cell>
          <cell r="C2706">
            <v>0</v>
          </cell>
        </row>
        <row r="2707">
          <cell r="B2707">
            <v>0</v>
          </cell>
          <cell r="C2707">
            <v>0</v>
          </cell>
        </row>
        <row r="2709">
          <cell r="B2709" t="str">
            <v>EQUIPO</v>
          </cell>
        </row>
        <row r="2710">
          <cell r="B2710" t="str">
            <v>HTA MENOR (5% de M. de O.)</v>
          </cell>
        </row>
        <row r="2711">
          <cell r="A2711">
            <v>0</v>
          </cell>
          <cell r="B2711">
            <v>0</v>
          </cell>
          <cell r="C2711">
            <v>0</v>
          </cell>
        </row>
        <row r="2712">
          <cell r="A2712">
            <v>0</v>
          </cell>
          <cell r="B2712">
            <v>0</v>
          </cell>
          <cell r="C2712">
            <v>0</v>
          </cell>
        </row>
        <row r="2713">
          <cell r="A2713">
            <v>0</v>
          </cell>
          <cell r="B2713">
            <v>0</v>
          </cell>
          <cell r="C2713">
            <v>0</v>
          </cell>
        </row>
        <row r="2715">
          <cell r="B2715" t="str">
            <v>MANO DE OBRA</v>
          </cell>
        </row>
        <row r="2716">
          <cell r="B2716">
            <v>0</v>
          </cell>
          <cell r="C2716">
            <v>0</v>
          </cell>
        </row>
        <row r="2717">
          <cell r="A2717">
            <v>0</v>
          </cell>
          <cell r="B2717">
            <v>0</v>
          </cell>
          <cell r="C2717">
            <v>0</v>
          </cell>
        </row>
        <row r="2718">
          <cell r="A2718">
            <v>0</v>
          </cell>
          <cell r="B2718">
            <v>0</v>
          </cell>
          <cell r="C2718">
            <v>0</v>
          </cell>
        </row>
        <row r="2719">
          <cell r="A2719">
            <v>0</v>
          </cell>
          <cell r="B2719">
            <v>0</v>
          </cell>
          <cell r="C2719">
            <v>0</v>
          </cell>
        </row>
        <row r="2721">
          <cell r="B2721" t="str">
            <v>TRANSPORTE</v>
          </cell>
        </row>
        <row r="2723">
          <cell r="A2723">
            <v>0</v>
          </cell>
          <cell r="B2723">
            <v>0</v>
          </cell>
          <cell r="C2723">
            <v>0</v>
          </cell>
        </row>
        <row r="2724">
          <cell r="A2724">
            <v>0</v>
          </cell>
          <cell r="B2724">
            <v>0</v>
          </cell>
          <cell r="C2724">
            <v>0</v>
          </cell>
        </row>
        <row r="2725">
          <cell r="A2725">
            <v>0</v>
          </cell>
          <cell r="B2725">
            <v>0</v>
          </cell>
          <cell r="C2725">
            <v>0</v>
          </cell>
        </row>
        <row r="2730">
          <cell r="A2730" t="str">
            <v>CODIGO</v>
          </cell>
          <cell r="B2730" t="str">
            <v>ITEM</v>
          </cell>
          <cell r="C2730" t="str">
            <v>UNIDAD</v>
          </cell>
        </row>
        <row r="2731">
          <cell r="D2731">
            <v>0</v>
          </cell>
        </row>
        <row r="2732">
          <cell r="B2732" t="str">
            <v>CODIGO</v>
          </cell>
        </row>
        <row r="2733">
          <cell r="A2733" t="str">
            <v>CODIGO</v>
          </cell>
          <cell r="B2733" t="str">
            <v>RECURSOS</v>
          </cell>
          <cell r="C2733" t="str">
            <v>UNIDAD</v>
          </cell>
          <cell r="D2733" t="str">
            <v>CANT.</v>
          </cell>
        </row>
        <row r="2734">
          <cell r="B2734" t="str">
            <v>MATERIALES</v>
          </cell>
        </row>
        <row r="2735">
          <cell r="B2735">
            <v>0</v>
          </cell>
          <cell r="C2735">
            <v>0</v>
          </cell>
        </row>
        <row r="2736">
          <cell r="B2736">
            <v>0</v>
          </cell>
          <cell r="C2736">
            <v>0</v>
          </cell>
        </row>
        <row r="2737">
          <cell r="B2737">
            <v>0</v>
          </cell>
          <cell r="C2737">
            <v>0</v>
          </cell>
        </row>
        <row r="2738">
          <cell r="B2738">
            <v>0</v>
          </cell>
          <cell r="C2738">
            <v>0</v>
          </cell>
        </row>
        <row r="2740">
          <cell r="B2740" t="str">
            <v>EQUIPO</v>
          </cell>
        </row>
        <row r="2741">
          <cell r="B2741" t="str">
            <v>HTA MENOR (5% de M. de O.)</v>
          </cell>
        </row>
        <row r="2742">
          <cell r="A2742">
            <v>0</v>
          </cell>
          <cell r="B2742">
            <v>0</v>
          </cell>
          <cell r="C2742">
            <v>0</v>
          </cell>
        </row>
        <row r="2743">
          <cell r="A2743">
            <v>0</v>
          </cell>
          <cell r="B2743">
            <v>0</v>
          </cell>
          <cell r="C2743">
            <v>0</v>
          </cell>
        </row>
        <row r="2744">
          <cell r="A2744">
            <v>0</v>
          </cell>
          <cell r="B2744">
            <v>0</v>
          </cell>
          <cell r="C2744">
            <v>0</v>
          </cell>
        </row>
        <row r="2746">
          <cell r="B2746" t="str">
            <v>MANO DE OBRA</v>
          </cell>
        </row>
        <row r="2747">
          <cell r="B2747">
            <v>0</v>
          </cell>
          <cell r="C2747">
            <v>0</v>
          </cell>
        </row>
        <row r="2748">
          <cell r="A2748">
            <v>0</v>
          </cell>
          <cell r="B2748">
            <v>0</v>
          </cell>
          <cell r="C2748">
            <v>0</v>
          </cell>
        </row>
        <row r="2749">
          <cell r="A2749">
            <v>0</v>
          </cell>
          <cell r="B2749">
            <v>0</v>
          </cell>
          <cell r="C2749">
            <v>0</v>
          </cell>
        </row>
        <row r="2750">
          <cell r="A2750">
            <v>0</v>
          </cell>
          <cell r="B2750">
            <v>0</v>
          </cell>
          <cell r="C2750">
            <v>0</v>
          </cell>
        </row>
        <row r="2752">
          <cell r="B2752" t="str">
            <v>TRANSPORTE</v>
          </cell>
        </row>
        <row r="2754">
          <cell r="A2754">
            <v>0</v>
          </cell>
          <cell r="B2754">
            <v>0</v>
          </cell>
          <cell r="C2754">
            <v>0</v>
          </cell>
        </row>
        <row r="2755">
          <cell r="A2755">
            <v>0</v>
          </cell>
          <cell r="B2755">
            <v>0</v>
          </cell>
          <cell r="C2755">
            <v>0</v>
          </cell>
        </row>
        <row r="2756">
          <cell r="A2756">
            <v>0</v>
          </cell>
          <cell r="B2756">
            <v>0</v>
          </cell>
          <cell r="C2756">
            <v>0</v>
          </cell>
        </row>
        <row r="2761">
          <cell r="A2761" t="str">
            <v>CODIGO</v>
          </cell>
          <cell r="B2761" t="str">
            <v>ITEM</v>
          </cell>
          <cell r="C2761" t="str">
            <v>UNIDAD</v>
          </cell>
        </row>
        <row r="2762">
          <cell r="D2762">
            <v>0</v>
          </cell>
        </row>
        <row r="2763">
          <cell r="B2763" t="str">
            <v>CODIGO</v>
          </cell>
        </row>
        <row r="2764">
          <cell r="A2764" t="str">
            <v>CODIGO</v>
          </cell>
          <cell r="B2764" t="str">
            <v>RECURSOS</v>
          </cell>
          <cell r="C2764" t="str">
            <v>UNIDAD</v>
          </cell>
          <cell r="D2764" t="str">
            <v>CANT.</v>
          </cell>
        </row>
        <row r="2765">
          <cell r="B2765" t="str">
            <v>MATERIALES</v>
          </cell>
        </row>
        <row r="2766">
          <cell r="B2766">
            <v>0</v>
          </cell>
          <cell r="C2766">
            <v>0</v>
          </cell>
        </row>
        <row r="2767">
          <cell r="B2767">
            <v>0</v>
          </cell>
          <cell r="C2767">
            <v>0</v>
          </cell>
        </row>
        <row r="2768">
          <cell r="B2768">
            <v>0</v>
          </cell>
          <cell r="C2768">
            <v>0</v>
          </cell>
        </row>
        <row r="2769">
          <cell r="B2769">
            <v>0</v>
          </cell>
          <cell r="C2769">
            <v>0</v>
          </cell>
        </row>
        <row r="2771">
          <cell r="B2771" t="str">
            <v>EQUIPO</v>
          </cell>
        </row>
        <row r="2772">
          <cell r="B2772" t="str">
            <v>HTA MENOR (5% de M. de O.)</v>
          </cell>
        </row>
        <row r="2773">
          <cell r="A2773">
            <v>0</v>
          </cell>
          <cell r="B2773">
            <v>0</v>
          </cell>
          <cell r="C2773">
            <v>0</v>
          </cell>
        </row>
        <row r="2774">
          <cell r="A2774">
            <v>0</v>
          </cell>
          <cell r="B2774">
            <v>0</v>
          </cell>
          <cell r="C2774">
            <v>0</v>
          </cell>
        </row>
        <row r="2775">
          <cell r="A2775">
            <v>0</v>
          </cell>
          <cell r="B2775">
            <v>0</v>
          </cell>
          <cell r="C2775">
            <v>0</v>
          </cell>
        </row>
        <row r="2777">
          <cell r="B2777" t="str">
            <v>MANO DE OBRA</v>
          </cell>
        </row>
        <row r="2778">
          <cell r="B2778">
            <v>0</v>
          </cell>
          <cell r="C2778">
            <v>0</v>
          </cell>
        </row>
        <row r="2779">
          <cell r="A2779">
            <v>0</v>
          </cell>
          <cell r="B2779">
            <v>0</v>
          </cell>
          <cell r="C2779">
            <v>0</v>
          </cell>
        </row>
        <row r="2780">
          <cell r="A2780">
            <v>0</v>
          </cell>
          <cell r="B2780">
            <v>0</v>
          </cell>
          <cell r="C2780">
            <v>0</v>
          </cell>
        </row>
        <row r="2781">
          <cell r="A2781">
            <v>0</v>
          </cell>
          <cell r="B2781">
            <v>0</v>
          </cell>
          <cell r="C2781">
            <v>0</v>
          </cell>
        </row>
        <row r="2783">
          <cell r="B2783" t="str">
            <v>TRANSPORTE</v>
          </cell>
        </row>
        <row r="2785">
          <cell r="A2785">
            <v>0</v>
          </cell>
          <cell r="B2785">
            <v>0</v>
          </cell>
          <cell r="C2785">
            <v>0</v>
          </cell>
        </row>
        <row r="2786">
          <cell r="A2786">
            <v>0</v>
          </cell>
          <cell r="B2786">
            <v>0</v>
          </cell>
          <cell r="C2786">
            <v>0</v>
          </cell>
        </row>
        <row r="2787">
          <cell r="A2787">
            <v>0</v>
          </cell>
          <cell r="B2787">
            <v>0</v>
          </cell>
          <cell r="C2787">
            <v>0</v>
          </cell>
        </row>
        <row r="2792">
          <cell r="A2792" t="str">
            <v>CODIGO</v>
          </cell>
          <cell r="B2792" t="str">
            <v>ITEM</v>
          </cell>
          <cell r="C2792" t="str">
            <v>UNIDAD</v>
          </cell>
        </row>
        <row r="2793">
          <cell r="D2793">
            <v>0</v>
          </cell>
        </row>
        <row r="2794">
          <cell r="B2794" t="str">
            <v>CODIGO</v>
          </cell>
        </row>
        <row r="2795">
          <cell r="A2795" t="str">
            <v>CODIGO</v>
          </cell>
          <cell r="B2795" t="str">
            <v>RECURSOS</v>
          </cell>
          <cell r="C2795" t="str">
            <v>UNIDAD</v>
          </cell>
          <cell r="D2795" t="str">
            <v>CANT.</v>
          </cell>
        </row>
        <row r="2796">
          <cell r="B2796" t="str">
            <v>MATERIALES</v>
          </cell>
        </row>
        <row r="2797">
          <cell r="B2797">
            <v>0</v>
          </cell>
          <cell r="C2797">
            <v>0</v>
          </cell>
        </row>
        <row r="2798">
          <cell r="B2798">
            <v>0</v>
          </cell>
          <cell r="C2798">
            <v>0</v>
          </cell>
        </row>
        <row r="2799">
          <cell r="B2799">
            <v>0</v>
          </cell>
          <cell r="C2799">
            <v>0</v>
          </cell>
        </row>
        <row r="2800">
          <cell r="B2800">
            <v>0</v>
          </cell>
          <cell r="C2800">
            <v>0</v>
          </cell>
        </row>
        <row r="2802">
          <cell r="B2802" t="str">
            <v>EQUIPO</v>
          </cell>
        </row>
        <row r="2803">
          <cell r="B2803" t="str">
            <v>HTA MENOR (5% de M. de O.)</v>
          </cell>
        </row>
        <row r="2804">
          <cell r="A2804">
            <v>0</v>
          </cell>
          <cell r="B2804">
            <v>0</v>
          </cell>
          <cell r="C2804">
            <v>0</v>
          </cell>
        </row>
        <row r="2805">
          <cell r="A2805">
            <v>0</v>
          </cell>
          <cell r="B2805">
            <v>0</v>
          </cell>
          <cell r="C2805">
            <v>0</v>
          </cell>
        </row>
        <row r="2806">
          <cell r="A2806">
            <v>0</v>
          </cell>
          <cell r="B2806">
            <v>0</v>
          </cell>
          <cell r="C2806">
            <v>0</v>
          </cell>
        </row>
        <row r="2808">
          <cell r="B2808" t="str">
            <v>MANO DE OBRA</v>
          </cell>
        </row>
        <row r="2809">
          <cell r="B2809">
            <v>0</v>
          </cell>
          <cell r="C2809">
            <v>0</v>
          </cell>
        </row>
        <row r="2810">
          <cell r="A2810">
            <v>0</v>
          </cell>
          <cell r="B2810">
            <v>0</v>
          </cell>
          <cell r="C2810">
            <v>0</v>
          </cell>
        </row>
        <row r="2811">
          <cell r="A2811">
            <v>0</v>
          </cell>
          <cell r="B2811">
            <v>0</v>
          </cell>
          <cell r="C2811">
            <v>0</v>
          </cell>
        </row>
        <row r="2812">
          <cell r="A2812">
            <v>0</v>
          </cell>
          <cell r="B2812">
            <v>0</v>
          </cell>
          <cell r="C2812">
            <v>0</v>
          </cell>
        </row>
        <row r="2814">
          <cell r="B2814" t="str">
            <v>TRANSPORTE</v>
          </cell>
        </row>
        <row r="2816">
          <cell r="A2816">
            <v>0</v>
          </cell>
          <cell r="B2816">
            <v>0</v>
          </cell>
          <cell r="C2816">
            <v>0</v>
          </cell>
        </row>
        <row r="2817">
          <cell r="A2817">
            <v>0</v>
          </cell>
          <cell r="B2817">
            <v>0</v>
          </cell>
          <cell r="C2817">
            <v>0</v>
          </cell>
        </row>
        <row r="2818">
          <cell r="A2818">
            <v>0</v>
          </cell>
          <cell r="B2818">
            <v>0</v>
          </cell>
          <cell r="C2818">
            <v>0</v>
          </cell>
        </row>
        <row r="2824">
          <cell r="A2824" t="str">
            <v>CODIGO</v>
          </cell>
          <cell r="B2824" t="str">
            <v>ITEM</v>
          </cell>
          <cell r="C2824" t="str">
            <v>UNIDAD</v>
          </cell>
        </row>
        <row r="2825">
          <cell r="D2825">
            <v>0</v>
          </cell>
        </row>
        <row r="2826">
          <cell r="B2826" t="str">
            <v>CODIGO</v>
          </cell>
        </row>
        <row r="2827">
          <cell r="A2827" t="str">
            <v>CODIGO</v>
          </cell>
          <cell r="B2827" t="str">
            <v>RECURSOS</v>
          </cell>
          <cell r="C2827" t="str">
            <v>UNIDAD</v>
          </cell>
          <cell r="D2827" t="str">
            <v>CANT.</v>
          </cell>
        </row>
        <row r="2828">
          <cell r="B2828" t="str">
            <v>MATERIALES</v>
          </cell>
        </row>
        <row r="2829">
          <cell r="B2829">
            <v>0</v>
          </cell>
          <cell r="C2829">
            <v>0</v>
          </cell>
        </row>
        <row r="2830">
          <cell r="B2830">
            <v>0</v>
          </cell>
          <cell r="C2830">
            <v>0</v>
          </cell>
        </row>
        <row r="2831">
          <cell r="B2831">
            <v>0</v>
          </cell>
          <cell r="C2831">
            <v>0</v>
          </cell>
        </row>
        <row r="2832">
          <cell r="B2832">
            <v>0</v>
          </cell>
          <cell r="C2832">
            <v>0</v>
          </cell>
        </row>
        <row r="2834">
          <cell r="B2834" t="str">
            <v>EQUIPO</v>
          </cell>
        </row>
        <row r="2835">
          <cell r="B2835" t="str">
            <v>HTA MENOR (5% de M. de O.)</v>
          </cell>
        </row>
        <row r="2836">
          <cell r="A2836">
            <v>0</v>
          </cell>
          <cell r="B2836">
            <v>0</v>
          </cell>
          <cell r="C2836">
            <v>0</v>
          </cell>
        </row>
        <row r="2837">
          <cell r="A2837">
            <v>0</v>
          </cell>
          <cell r="B2837">
            <v>0</v>
          </cell>
          <cell r="C2837">
            <v>0</v>
          </cell>
        </row>
        <row r="2838">
          <cell r="A2838">
            <v>0</v>
          </cell>
          <cell r="B2838">
            <v>0</v>
          </cell>
          <cell r="C2838">
            <v>0</v>
          </cell>
        </row>
        <row r="2840">
          <cell r="B2840" t="str">
            <v>MANO DE OBRA</v>
          </cell>
        </row>
        <row r="2841">
          <cell r="B2841">
            <v>0</v>
          </cell>
          <cell r="C2841">
            <v>0</v>
          </cell>
        </row>
        <row r="2842">
          <cell r="A2842">
            <v>0</v>
          </cell>
          <cell r="B2842">
            <v>0</v>
          </cell>
          <cell r="C2842">
            <v>0</v>
          </cell>
        </row>
        <row r="2843">
          <cell r="A2843">
            <v>0</v>
          </cell>
          <cell r="B2843">
            <v>0</v>
          </cell>
          <cell r="C2843">
            <v>0</v>
          </cell>
        </row>
        <row r="2844">
          <cell r="A2844">
            <v>0</v>
          </cell>
          <cell r="B2844">
            <v>0</v>
          </cell>
          <cell r="C2844">
            <v>0</v>
          </cell>
        </row>
        <row r="2846">
          <cell r="B2846" t="str">
            <v>TRANSPORTE</v>
          </cell>
        </row>
        <row r="2848">
          <cell r="A2848">
            <v>0</v>
          </cell>
          <cell r="B2848">
            <v>0</v>
          </cell>
          <cell r="C2848">
            <v>0</v>
          </cell>
        </row>
        <row r="2849">
          <cell r="A2849">
            <v>0</v>
          </cell>
          <cell r="B2849">
            <v>0</v>
          </cell>
          <cell r="C2849">
            <v>0</v>
          </cell>
        </row>
        <row r="2850">
          <cell r="A2850">
            <v>0</v>
          </cell>
          <cell r="B2850">
            <v>0</v>
          </cell>
          <cell r="C2850">
            <v>0</v>
          </cell>
        </row>
        <row r="2855">
          <cell r="A2855" t="str">
            <v>CODIGO</v>
          </cell>
          <cell r="B2855" t="str">
            <v>ITEM</v>
          </cell>
          <cell r="C2855" t="str">
            <v>UNIDAD</v>
          </cell>
        </row>
        <row r="2856">
          <cell r="D2856">
            <v>0</v>
          </cell>
        </row>
        <row r="2857">
          <cell r="B2857" t="str">
            <v>CODIGO</v>
          </cell>
        </row>
        <row r="2858">
          <cell r="A2858" t="str">
            <v>CODIGO</v>
          </cell>
          <cell r="B2858" t="str">
            <v>RECURSOS</v>
          </cell>
          <cell r="C2858" t="str">
            <v>UNIDAD</v>
          </cell>
          <cell r="D2858" t="str">
            <v>CANT.</v>
          </cell>
        </row>
        <row r="2859">
          <cell r="B2859" t="str">
            <v>MATERIALES</v>
          </cell>
        </row>
        <row r="2860">
          <cell r="B2860">
            <v>0</v>
          </cell>
          <cell r="C2860">
            <v>0</v>
          </cell>
        </row>
        <row r="2861">
          <cell r="B2861">
            <v>0</v>
          </cell>
          <cell r="C2861">
            <v>0</v>
          </cell>
        </row>
        <row r="2862">
          <cell r="B2862">
            <v>0</v>
          </cell>
          <cell r="C2862">
            <v>0</v>
          </cell>
        </row>
        <row r="2863">
          <cell r="B2863">
            <v>0</v>
          </cell>
          <cell r="C2863">
            <v>0</v>
          </cell>
        </row>
        <row r="2865">
          <cell r="B2865" t="str">
            <v>EQUIPO</v>
          </cell>
        </row>
        <row r="2866">
          <cell r="B2866" t="str">
            <v>HTA MENOR (5% de M. de O.)</v>
          </cell>
        </row>
        <row r="2867">
          <cell r="A2867">
            <v>0</v>
          </cell>
          <cell r="B2867">
            <v>0</v>
          </cell>
          <cell r="C2867">
            <v>0</v>
          </cell>
        </row>
        <row r="2868">
          <cell r="A2868">
            <v>0</v>
          </cell>
          <cell r="B2868">
            <v>0</v>
          </cell>
          <cell r="C2868">
            <v>0</v>
          </cell>
        </row>
        <row r="2869">
          <cell r="A2869">
            <v>0</v>
          </cell>
          <cell r="B2869">
            <v>0</v>
          </cell>
          <cell r="C2869">
            <v>0</v>
          </cell>
        </row>
        <row r="2871">
          <cell r="B2871" t="str">
            <v>MANO DE OBRA</v>
          </cell>
        </row>
        <row r="2872">
          <cell r="B2872">
            <v>0</v>
          </cell>
          <cell r="C2872">
            <v>0</v>
          </cell>
        </row>
        <row r="2873">
          <cell r="A2873">
            <v>0</v>
          </cell>
          <cell r="B2873">
            <v>0</v>
          </cell>
          <cell r="C2873">
            <v>0</v>
          </cell>
        </row>
        <row r="2874">
          <cell r="A2874">
            <v>0</v>
          </cell>
          <cell r="B2874">
            <v>0</v>
          </cell>
          <cell r="C2874">
            <v>0</v>
          </cell>
        </row>
        <row r="2875">
          <cell r="A2875">
            <v>0</v>
          </cell>
          <cell r="B2875">
            <v>0</v>
          </cell>
          <cell r="C2875">
            <v>0</v>
          </cell>
        </row>
        <row r="2877">
          <cell r="B2877" t="str">
            <v>TRANSPORTE</v>
          </cell>
        </row>
        <row r="2879">
          <cell r="A2879">
            <v>0</v>
          </cell>
          <cell r="B2879">
            <v>0</v>
          </cell>
          <cell r="C2879">
            <v>0</v>
          </cell>
        </row>
        <row r="2880">
          <cell r="A2880">
            <v>0</v>
          </cell>
          <cell r="B2880">
            <v>0</v>
          </cell>
          <cell r="C2880">
            <v>0</v>
          </cell>
        </row>
        <row r="2881">
          <cell r="A2881">
            <v>0</v>
          </cell>
          <cell r="B2881">
            <v>0</v>
          </cell>
          <cell r="C2881">
            <v>0</v>
          </cell>
        </row>
        <row r="2886">
          <cell r="A2886" t="str">
            <v>CODIGO</v>
          </cell>
          <cell r="B2886" t="str">
            <v>ITEM</v>
          </cell>
          <cell r="C2886" t="str">
            <v>UNIDAD</v>
          </cell>
        </row>
        <row r="2887">
          <cell r="D2887">
            <v>0</v>
          </cell>
        </row>
        <row r="2888">
          <cell r="B2888" t="str">
            <v>CODIGO</v>
          </cell>
        </row>
        <row r="2889">
          <cell r="A2889" t="str">
            <v>CODIGO</v>
          </cell>
          <cell r="B2889" t="str">
            <v>RECURSOS</v>
          </cell>
          <cell r="C2889" t="str">
            <v>UNIDAD</v>
          </cell>
          <cell r="D2889" t="str">
            <v>CANT.</v>
          </cell>
        </row>
        <row r="2890">
          <cell r="B2890" t="str">
            <v>MATERIALES</v>
          </cell>
        </row>
        <row r="2891">
          <cell r="B2891">
            <v>0</v>
          </cell>
          <cell r="C2891">
            <v>0</v>
          </cell>
        </row>
        <row r="2892">
          <cell r="B2892">
            <v>0</v>
          </cell>
          <cell r="C2892">
            <v>0</v>
          </cell>
        </row>
        <row r="2893">
          <cell r="B2893">
            <v>0</v>
          </cell>
          <cell r="C2893">
            <v>0</v>
          </cell>
        </row>
        <row r="2894">
          <cell r="B2894">
            <v>0</v>
          </cell>
          <cell r="C2894">
            <v>0</v>
          </cell>
        </row>
        <row r="2896">
          <cell r="B2896" t="str">
            <v>EQUIPO</v>
          </cell>
        </row>
        <row r="2897">
          <cell r="B2897" t="str">
            <v>HTA MENOR (5% de M. de O.)</v>
          </cell>
        </row>
        <row r="2898">
          <cell r="A2898">
            <v>0</v>
          </cell>
          <cell r="B2898">
            <v>0</v>
          </cell>
          <cell r="C2898">
            <v>0</v>
          </cell>
        </row>
        <row r="2899">
          <cell r="A2899">
            <v>0</v>
          </cell>
          <cell r="B2899">
            <v>0</v>
          </cell>
          <cell r="C2899">
            <v>0</v>
          </cell>
        </row>
        <row r="2900">
          <cell r="A2900">
            <v>0</v>
          </cell>
          <cell r="B2900">
            <v>0</v>
          </cell>
          <cell r="C2900">
            <v>0</v>
          </cell>
        </row>
        <row r="2902">
          <cell r="B2902" t="str">
            <v>MANO DE OBRA</v>
          </cell>
        </row>
        <row r="2903">
          <cell r="B2903">
            <v>0</v>
          </cell>
          <cell r="C2903">
            <v>0</v>
          </cell>
        </row>
        <row r="2904">
          <cell r="A2904">
            <v>0</v>
          </cell>
          <cell r="B2904">
            <v>0</v>
          </cell>
          <cell r="C2904">
            <v>0</v>
          </cell>
        </row>
        <row r="2905">
          <cell r="A2905">
            <v>0</v>
          </cell>
          <cell r="B2905">
            <v>0</v>
          </cell>
          <cell r="C2905">
            <v>0</v>
          </cell>
        </row>
        <row r="2906">
          <cell r="A2906">
            <v>0</v>
          </cell>
          <cell r="B2906">
            <v>0</v>
          </cell>
          <cell r="C2906">
            <v>0</v>
          </cell>
        </row>
        <row r="2908">
          <cell r="B2908" t="str">
            <v>TRANSPORTE</v>
          </cell>
        </row>
        <row r="2910">
          <cell r="A2910">
            <v>0</v>
          </cell>
          <cell r="B2910">
            <v>0</v>
          </cell>
          <cell r="C2910">
            <v>0</v>
          </cell>
        </row>
        <row r="2911">
          <cell r="A2911">
            <v>0</v>
          </cell>
          <cell r="B2911">
            <v>0</v>
          </cell>
          <cell r="C2911">
            <v>0</v>
          </cell>
        </row>
        <row r="2912">
          <cell r="A2912">
            <v>0</v>
          </cell>
          <cell r="B2912">
            <v>0</v>
          </cell>
          <cell r="C2912">
            <v>0</v>
          </cell>
        </row>
        <row r="2917">
          <cell r="A2917" t="str">
            <v>CODIGO</v>
          </cell>
          <cell r="B2917" t="str">
            <v>ITEM</v>
          </cell>
          <cell r="C2917" t="str">
            <v>UNIDAD</v>
          </cell>
        </row>
        <row r="2918">
          <cell r="D2918">
            <v>0</v>
          </cell>
        </row>
        <row r="2919">
          <cell r="B2919" t="str">
            <v>CODIGO</v>
          </cell>
        </row>
        <row r="2920">
          <cell r="A2920" t="str">
            <v>CODIGO</v>
          </cell>
          <cell r="B2920" t="str">
            <v>RECURSOS</v>
          </cell>
          <cell r="C2920" t="str">
            <v>UNIDAD</v>
          </cell>
          <cell r="D2920" t="str">
            <v>CANT.</v>
          </cell>
        </row>
        <row r="2921">
          <cell r="B2921" t="str">
            <v>MATERIALES</v>
          </cell>
        </row>
        <row r="2922">
          <cell r="B2922">
            <v>0</v>
          </cell>
          <cell r="C2922">
            <v>0</v>
          </cell>
        </row>
        <row r="2923">
          <cell r="B2923">
            <v>0</v>
          </cell>
          <cell r="C2923">
            <v>0</v>
          </cell>
        </row>
        <row r="2924">
          <cell r="B2924">
            <v>0</v>
          </cell>
          <cell r="C2924">
            <v>0</v>
          </cell>
        </row>
        <row r="2925">
          <cell r="B2925">
            <v>0</v>
          </cell>
          <cell r="C2925">
            <v>0</v>
          </cell>
        </row>
        <row r="2927">
          <cell r="B2927" t="str">
            <v>EQUIPO</v>
          </cell>
        </row>
        <row r="2928">
          <cell r="B2928" t="str">
            <v>HTA MENOR (5% de M. de O.)</v>
          </cell>
        </row>
        <row r="2929">
          <cell r="A2929">
            <v>0</v>
          </cell>
          <cell r="B2929">
            <v>0</v>
          </cell>
          <cell r="C2929">
            <v>0</v>
          </cell>
        </row>
        <row r="2930">
          <cell r="A2930">
            <v>0</v>
          </cell>
          <cell r="B2930">
            <v>0</v>
          </cell>
          <cell r="C2930">
            <v>0</v>
          </cell>
        </row>
        <row r="2931">
          <cell r="A2931">
            <v>0</v>
          </cell>
          <cell r="B2931">
            <v>0</v>
          </cell>
          <cell r="C2931">
            <v>0</v>
          </cell>
        </row>
        <row r="2933">
          <cell r="B2933" t="str">
            <v>MANO DE OBRA</v>
          </cell>
        </row>
        <row r="2934">
          <cell r="B2934">
            <v>0</v>
          </cell>
          <cell r="C2934">
            <v>0</v>
          </cell>
        </row>
        <row r="2935">
          <cell r="A2935">
            <v>0</v>
          </cell>
          <cell r="B2935">
            <v>0</v>
          </cell>
          <cell r="C2935">
            <v>0</v>
          </cell>
        </row>
        <row r="2936">
          <cell r="A2936">
            <v>0</v>
          </cell>
          <cell r="B2936">
            <v>0</v>
          </cell>
          <cell r="C2936">
            <v>0</v>
          </cell>
        </row>
        <row r="2937">
          <cell r="A2937">
            <v>0</v>
          </cell>
          <cell r="B2937">
            <v>0</v>
          </cell>
          <cell r="C2937">
            <v>0</v>
          </cell>
        </row>
        <row r="2939">
          <cell r="B2939" t="str">
            <v>TRANSPORTE</v>
          </cell>
        </row>
        <row r="2941">
          <cell r="A2941">
            <v>0</v>
          </cell>
          <cell r="B2941">
            <v>0</v>
          </cell>
          <cell r="C2941">
            <v>0</v>
          </cell>
        </row>
        <row r="2942">
          <cell r="A2942">
            <v>0</v>
          </cell>
          <cell r="B2942">
            <v>0</v>
          </cell>
          <cell r="C2942">
            <v>0</v>
          </cell>
        </row>
        <row r="2943">
          <cell r="A2943">
            <v>0</v>
          </cell>
          <cell r="B2943">
            <v>0</v>
          </cell>
          <cell r="C2943">
            <v>0</v>
          </cell>
        </row>
        <row r="2948">
          <cell r="A2948" t="str">
            <v>CODIGO</v>
          </cell>
          <cell r="B2948" t="str">
            <v>ITEM</v>
          </cell>
          <cell r="C2948" t="str">
            <v>UNIDAD</v>
          </cell>
        </row>
        <row r="2949">
          <cell r="D2949">
            <v>0</v>
          </cell>
        </row>
        <row r="2950">
          <cell r="B2950" t="str">
            <v>CODIGO</v>
          </cell>
        </row>
        <row r="2951">
          <cell r="A2951" t="str">
            <v>CODIGO</v>
          </cell>
          <cell r="B2951" t="str">
            <v>RECURSOS</v>
          </cell>
          <cell r="C2951" t="str">
            <v>UNIDAD</v>
          </cell>
          <cell r="D2951" t="str">
            <v>CANT.</v>
          </cell>
        </row>
        <row r="2952">
          <cell r="B2952" t="str">
            <v>MATERIALES</v>
          </cell>
        </row>
        <row r="2953">
          <cell r="B2953">
            <v>0</v>
          </cell>
          <cell r="C2953">
            <v>0</v>
          </cell>
        </row>
        <row r="2954">
          <cell r="B2954">
            <v>0</v>
          </cell>
          <cell r="C2954">
            <v>0</v>
          </cell>
        </row>
        <row r="2955">
          <cell r="B2955">
            <v>0</v>
          </cell>
          <cell r="C2955">
            <v>0</v>
          </cell>
        </row>
        <row r="2956">
          <cell r="B2956">
            <v>0</v>
          </cell>
          <cell r="C2956">
            <v>0</v>
          </cell>
        </row>
        <row r="2958">
          <cell r="B2958" t="str">
            <v>EQUIPO</v>
          </cell>
        </row>
        <row r="2959">
          <cell r="B2959" t="str">
            <v>HTA MENOR (5% de M. de O.)</v>
          </cell>
        </row>
        <row r="2960">
          <cell r="A2960">
            <v>0</v>
          </cell>
          <cell r="B2960">
            <v>0</v>
          </cell>
          <cell r="C2960">
            <v>0</v>
          </cell>
        </row>
        <row r="2961">
          <cell r="A2961">
            <v>0</v>
          </cell>
          <cell r="B2961">
            <v>0</v>
          </cell>
          <cell r="C2961">
            <v>0</v>
          </cell>
        </row>
        <row r="2962">
          <cell r="A2962">
            <v>0</v>
          </cell>
          <cell r="B2962">
            <v>0</v>
          </cell>
          <cell r="C2962">
            <v>0</v>
          </cell>
        </row>
        <row r="2964">
          <cell r="B2964" t="str">
            <v>MANO DE OBRA</v>
          </cell>
        </row>
        <row r="2965">
          <cell r="B2965">
            <v>0</v>
          </cell>
          <cell r="C2965">
            <v>0</v>
          </cell>
        </row>
        <row r="2966">
          <cell r="A2966">
            <v>0</v>
          </cell>
          <cell r="B2966">
            <v>0</v>
          </cell>
          <cell r="C2966">
            <v>0</v>
          </cell>
        </row>
        <row r="2967">
          <cell r="A2967">
            <v>0</v>
          </cell>
          <cell r="B2967">
            <v>0</v>
          </cell>
          <cell r="C2967">
            <v>0</v>
          </cell>
        </row>
        <row r="2968">
          <cell r="A2968">
            <v>0</v>
          </cell>
          <cell r="B2968">
            <v>0</v>
          </cell>
          <cell r="C2968">
            <v>0</v>
          </cell>
        </row>
        <row r="2970">
          <cell r="B2970" t="str">
            <v>TRANSPORTE</v>
          </cell>
        </row>
        <row r="2972">
          <cell r="A2972">
            <v>0</v>
          </cell>
          <cell r="B2972">
            <v>0</v>
          </cell>
          <cell r="C2972">
            <v>0</v>
          </cell>
        </row>
        <row r="2973">
          <cell r="A2973">
            <v>0</v>
          </cell>
          <cell r="B2973">
            <v>0</v>
          </cell>
          <cell r="C2973">
            <v>0</v>
          </cell>
        </row>
        <row r="2974">
          <cell r="A2974">
            <v>0</v>
          </cell>
          <cell r="B2974">
            <v>0</v>
          </cell>
          <cell r="C2974">
            <v>0</v>
          </cell>
        </row>
        <row r="2979">
          <cell r="A2979" t="str">
            <v>CODIGO</v>
          </cell>
          <cell r="B2979" t="str">
            <v>ITEM</v>
          </cell>
          <cell r="C2979" t="str">
            <v>UNIDAD</v>
          </cell>
        </row>
        <row r="2980">
          <cell r="D2980">
            <v>0</v>
          </cell>
        </row>
        <row r="2981">
          <cell r="B2981" t="str">
            <v>CODIGO</v>
          </cell>
        </row>
        <row r="2982">
          <cell r="A2982" t="str">
            <v>CODIGO</v>
          </cell>
          <cell r="B2982" t="str">
            <v>RECURSOS</v>
          </cell>
          <cell r="C2982" t="str">
            <v>UNIDAD</v>
          </cell>
          <cell r="D2982" t="str">
            <v>CANT.</v>
          </cell>
        </row>
        <row r="2983">
          <cell r="B2983" t="str">
            <v>MATERIALES</v>
          </cell>
        </row>
        <row r="2984">
          <cell r="B2984">
            <v>0</v>
          </cell>
          <cell r="C2984">
            <v>0</v>
          </cell>
        </row>
        <row r="2985">
          <cell r="B2985">
            <v>0</v>
          </cell>
          <cell r="C2985">
            <v>0</v>
          </cell>
        </row>
        <row r="2986">
          <cell r="B2986">
            <v>0</v>
          </cell>
          <cell r="C2986">
            <v>0</v>
          </cell>
        </row>
        <row r="2987">
          <cell r="B2987">
            <v>0</v>
          </cell>
          <cell r="C2987">
            <v>0</v>
          </cell>
        </row>
        <row r="2989">
          <cell r="B2989" t="str">
            <v>EQUIPO</v>
          </cell>
        </row>
        <row r="2990">
          <cell r="B2990" t="str">
            <v>HTA MENOR (5% de M. de O.)</v>
          </cell>
        </row>
        <row r="2991">
          <cell r="A2991">
            <v>0</v>
          </cell>
          <cell r="B2991">
            <v>0</v>
          </cell>
          <cell r="C2991">
            <v>0</v>
          </cell>
        </row>
        <row r="2992">
          <cell r="A2992">
            <v>0</v>
          </cell>
          <cell r="B2992">
            <v>0</v>
          </cell>
          <cell r="C2992">
            <v>0</v>
          </cell>
        </row>
        <row r="2993">
          <cell r="A2993">
            <v>0</v>
          </cell>
          <cell r="B2993">
            <v>0</v>
          </cell>
          <cell r="C2993">
            <v>0</v>
          </cell>
        </row>
        <row r="2995">
          <cell r="B2995" t="str">
            <v>MANO DE OBRA</v>
          </cell>
        </row>
        <row r="2996">
          <cell r="B2996">
            <v>0</v>
          </cell>
          <cell r="C2996">
            <v>0</v>
          </cell>
        </row>
        <row r="2997">
          <cell r="A2997">
            <v>0</v>
          </cell>
          <cell r="B2997">
            <v>0</v>
          </cell>
          <cell r="C2997">
            <v>0</v>
          </cell>
        </row>
        <row r="2998">
          <cell r="A2998">
            <v>0</v>
          </cell>
          <cell r="B2998">
            <v>0</v>
          </cell>
          <cell r="C2998">
            <v>0</v>
          </cell>
        </row>
        <row r="2999">
          <cell r="A2999">
            <v>0</v>
          </cell>
          <cell r="B2999">
            <v>0</v>
          </cell>
          <cell r="C2999">
            <v>0</v>
          </cell>
        </row>
        <row r="3001">
          <cell r="B3001" t="str">
            <v>TRANSPORTE</v>
          </cell>
        </row>
        <row r="3003">
          <cell r="A3003">
            <v>0</v>
          </cell>
          <cell r="B3003">
            <v>0</v>
          </cell>
          <cell r="C3003">
            <v>0</v>
          </cell>
        </row>
        <row r="3004">
          <cell r="A3004">
            <v>0</v>
          </cell>
          <cell r="B3004">
            <v>0</v>
          </cell>
          <cell r="C3004">
            <v>0</v>
          </cell>
        </row>
        <row r="3005">
          <cell r="A3005">
            <v>0</v>
          </cell>
          <cell r="B3005">
            <v>0</v>
          </cell>
          <cell r="C3005">
            <v>0</v>
          </cell>
        </row>
        <row r="3010">
          <cell r="A3010" t="str">
            <v>CODIGO</v>
          </cell>
          <cell r="B3010" t="str">
            <v>ITEM</v>
          </cell>
          <cell r="C3010" t="str">
            <v>UNIDAD</v>
          </cell>
        </row>
        <row r="3011">
          <cell r="D3011">
            <v>0</v>
          </cell>
        </row>
        <row r="3012">
          <cell r="B3012" t="str">
            <v>CODIGO</v>
          </cell>
        </row>
        <row r="3013">
          <cell r="A3013" t="str">
            <v>CODIGO</v>
          </cell>
          <cell r="B3013" t="str">
            <v>RECURSOS</v>
          </cell>
          <cell r="C3013" t="str">
            <v>UNIDAD</v>
          </cell>
          <cell r="D3013" t="str">
            <v>CANT.</v>
          </cell>
        </row>
        <row r="3014">
          <cell r="B3014" t="str">
            <v>MATERIALES</v>
          </cell>
        </row>
        <row r="3015">
          <cell r="B3015">
            <v>0</v>
          </cell>
          <cell r="C3015">
            <v>0</v>
          </cell>
        </row>
        <row r="3016">
          <cell r="B3016">
            <v>0</v>
          </cell>
          <cell r="C3016">
            <v>0</v>
          </cell>
        </row>
        <row r="3017">
          <cell r="B3017">
            <v>0</v>
          </cell>
          <cell r="C3017">
            <v>0</v>
          </cell>
        </row>
        <row r="3018">
          <cell r="B3018">
            <v>0</v>
          </cell>
          <cell r="C3018">
            <v>0</v>
          </cell>
        </row>
        <row r="3020">
          <cell r="B3020" t="str">
            <v>EQUIPO</v>
          </cell>
        </row>
        <row r="3021">
          <cell r="B3021" t="str">
            <v>HTA MENOR (5% de M. de O.)</v>
          </cell>
        </row>
        <row r="3022">
          <cell r="A3022">
            <v>0</v>
          </cell>
          <cell r="B3022">
            <v>0</v>
          </cell>
          <cell r="C3022">
            <v>0</v>
          </cell>
        </row>
        <row r="3023">
          <cell r="A3023">
            <v>0</v>
          </cell>
          <cell r="B3023">
            <v>0</v>
          </cell>
          <cell r="C3023">
            <v>0</v>
          </cell>
        </row>
        <row r="3024">
          <cell r="A3024">
            <v>0</v>
          </cell>
          <cell r="B3024">
            <v>0</v>
          </cell>
          <cell r="C3024">
            <v>0</v>
          </cell>
        </row>
        <row r="3026">
          <cell r="B3026" t="str">
            <v>MANO DE OBRA</v>
          </cell>
        </row>
        <row r="3027">
          <cell r="B3027">
            <v>0</v>
          </cell>
          <cell r="C3027">
            <v>0</v>
          </cell>
        </row>
        <row r="3028">
          <cell r="A3028">
            <v>0</v>
          </cell>
          <cell r="B3028">
            <v>0</v>
          </cell>
          <cell r="C3028">
            <v>0</v>
          </cell>
        </row>
        <row r="3029">
          <cell r="A3029">
            <v>0</v>
          </cell>
          <cell r="B3029">
            <v>0</v>
          </cell>
          <cell r="C3029">
            <v>0</v>
          </cell>
        </row>
        <row r="3030">
          <cell r="A3030">
            <v>0</v>
          </cell>
          <cell r="B3030">
            <v>0</v>
          </cell>
          <cell r="C3030">
            <v>0</v>
          </cell>
        </row>
        <row r="3032">
          <cell r="B3032" t="str">
            <v>TRANSPORTE</v>
          </cell>
        </row>
        <row r="3034">
          <cell r="A3034">
            <v>0</v>
          </cell>
          <cell r="B3034">
            <v>0</v>
          </cell>
          <cell r="C3034">
            <v>0</v>
          </cell>
        </row>
        <row r="3035">
          <cell r="A3035">
            <v>0</v>
          </cell>
          <cell r="B3035">
            <v>0</v>
          </cell>
          <cell r="C3035">
            <v>0</v>
          </cell>
        </row>
        <row r="3036">
          <cell r="A3036">
            <v>0</v>
          </cell>
          <cell r="B3036">
            <v>0</v>
          </cell>
          <cell r="C3036">
            <v>0</v>
          </cell>
        </row>
        <row r="3041">
          <cell r="A3041" t="str">
            <v>CODIGO</v>
          </cell>
          <cell r="B3041" t="str">
            <v>ITEM</v>
          </cell>
          <cell r="C3041" t="str">
            <v>UNIDAD</v>
          </cell>
        </row>
        <row r="3042">
          <cell r="D3042">
            <v>0</v>
          </cell>
        </row>
        <row r="3043">
          <cell r="B3043" t="str">
            <v>CODIGO</v>
          </cell>
        </row>
        <row r="3044">
          <cell r="A3044" t="str">
            <v>CODIGO</v>
          </cell>
          <cell r="B3044" t="str">
            <v>RECURSOS</v>
          </cell>
          <cell r="C3044" t="str">
            <v>UNIDAD</v>
          </cell>
          <cell r="D3044" t="str">
            <v>CANT.</v>
          </cell>
        </row>
        <row r="3045">
          <cell r="B3045" t="str">
            <v>MATERIALES</v>
          </cell>
        </row>
        <row r="3046">
          <cell r="B3046">
            <v>0</v>
          </cell>
          <cell r="C3046">
            <v>0</v>
          </cell>
        </row>
        <row r="3047">
          <cell r="B3047">
            <v>0</v>
          </cell>
          <cell r="C3047">
            <v>0</v>
          </cell>
        </row>
        <row r="3048">
          <cell r="B3048">
            <v>0</v>
          </cell>
          <cell r="C3048">
            <v>0</v>
          </cell>
        </row>
        <row r="3049">
          <cell r="B3049">
            <v>0</v>
          </cell>
          <cell r="C3049">
            <v>0</v>
          </cell>
        </row>
        <row r="3051">
          <cell r="B3051" t="str">
            <v>EQUIPO</v>
          </cell>
        </row>
        <row r="3052">
          <cell r="B3052" t="str">
            <v>HTA MENOR (5% de M. de O.)</v>
          </cell>
        </row>
        <row r="3053">
          <cell r="A3053">
            <v>0</v>
          </cell>
          <cell r="B3053">
            <v>0</v>
          </cell>
          <cell r="C3053">
            <v>0</v>
          </cell>
        </row>
        <row r="3054">
          <cell r="A3054">
            <v>0</v>
          </cell>
          <cell r="B3054">
            <v>0</v>
          </cell>
          <cell r="C3054">
            <v>0</v>
          </cell>
        </row>
        <row r="3055">
          <cell r="A3055">
            <v>0</v>
          </cell>
          <cell r="B3055">
            <v>0</v>
          </cell>
          <cell r="C3055">
            <v>0</v>
          </cell>
        </row>
        <row r="3057">
          <cell r="B3057" t="str">
            <v>MANO DE OBRA</v>
          </cell>
        </row>
        <row r="3058">
          <cell r="B3058">
            <v>0</v>
          </cell>
          <cell r="C3058">
            <v>0</v>
          </cell>
        </row>
        <row r="3059">
          <cell r="A3059">
            <v>0</v>
          </cell>
          <cell r="B3059">
            <v>0</v>
          </cell>
          <cell r="C3059">
            <v>0</v>
          </cell>
        </row>
        <row r="3060">
          <cell r="A3060">
            <v>0</v>
          </cell>
          <cell r="B3060">
            <v>0</v>
          </cell>
          <cell r="C3060">
            <v>0</v>
          </cell>
        </row>
        <row r="3061">
          <cell r="A3061">
            <v>0</v>
          </cell>
          <cell r="B3061">
            <v>0</v>
          </cell>
          <cell r="C3061">
            <v>0</v>
          </cell>
        </row>
        <row r="3063">
          <cell r="B3063" t="str">
            <v>TRANSPORTE</v>
          </cell>
        </row>
        <row r="3065">
          <cell r="A3065">
            <v>0</v>
          </cell>
          <cell r="B3065">
            <v>0</v>
          </cell>
          <cell r="C3065">
            <v>0</v>
          </cell>
        </row>
        <row r="3066">
          <cell r="A3066">
            <v>0</v>
          </cell>
          <cell r="B3066">
            <v>0</v>
          </cell>
          <cell r="C3066">
            <v>0</v>
          </cell>
        </row>
        <row r="3067">
          <cell r="A3067">
            <v>0</v>
          </cell>
          <cell r="B3067">
            <v>0</v>
          </cell>
          <cell r="C3067">
            <v>0</v>
          </cell>
        </row>
        <row r="3072">
          <cell r="A3072" t="str">
            <v>CODIGO</v>
          </cell>
          <cell r="B3072" t="str">
            <v>ITEM</v>
          </cell>
          <cell r="C3072" t="str">
            <v>UNIDAD</v>
          </cell>
        </row>
        <row r="3073">
          <cell r="D3073">
            <v>0</v>
          </cell>
        </row>
        <row r="3074">
          <cell r="B3074" t="str">
            <v>CODIGO</v>
          </cell>
        </row>
        <row r="3075">
          <cell r="A3075" t="str">
            <v>CODIGO</v>
          </cell>
          <cell r="B3075" t="str">
            <v>RECURSOS</v>
          </cell>
          <cell r="C3075" t="str">
            <v>UNIDAD</v>
          </cell>
          <cell r="D3075" t="str">
            <v>CANT.</v>
          </cell>
        </row>
        <row r="3076">
          <cell r="B3076" t="str">
            <v>MATERIALES</v>
          </cell>
        </row>
        <row r="3077">
          <cell r="B3077">
            <v>0</v>
          </cell>
          <cell r="C3077">
            <v>0</v>
          </cell>
        </row>
        <row r="3078">
          <cell r="B3078">
            <v>0</v>
          </cell>
          <cell r="C3078">
            <v>0</v>
          </cell>
        </row>
        <row r="3079">
          <cell r="B3079">
            <v>0</v>
          </cell>
          <cell r="C3079">
            <v>0</v>
          </cell>
        </row>
        <row r="3080">
          <cell r="B3080">
            <v>0</v>
          </cell>
          <cell r="C3080">
            <v>0</v>
          </cell>
        </row>
        <row r="3082">
          <cell r="B3082" t="str">
            <v>EQUIPO</v>
          </cell>
        </row>
        <row r="3083">
          <cell r="B3083" t="str">
            <v>HTA MENOR (5% de M. de O.)</v>
          </cell>
        </row>
        <row r="3084">
          <cell r="A3084">
            <v>0</v>
          </cell>
          <cell r="B3084">
            <v>0</v>
          </cell>
          <cell r="C3084">
            <v>0</v>
          </cell>
        </row>
        <row r="3085">
          <cell r="A3085">
            <v>0</v>
          </cell>
          <cell r="B3085">
            <v>0</v>
          </cell>
          <cell r="C3085">
            <v>0</v>
          </cell>
        </row>
        <row r="3086">
          <cell r="A3086">
            <v>0</v>
          </cell>
          <cell r="B3086">
            <v>0</v>
          </cell>
          <cell r="C3086">
            <v>0</v>
          </cell>
        </row>
        <row r="3088">
          <cell r="B3088" t="str">
            <v>MANO DE OBRA</v>
          </cell>
        </row>
        <row r="3089">
          <cell r="B3089">
            <v>0</v>
          </cell>
          <cell r="C3089">
            <v>0</v>
          </cell>
        </row>
        <row r="3090">
          <cell r="A3090">
            <v>0</v>
          </cell>
          <cell r="B3090">
            <v>0</v>
          </cell>
          <cell r="C3090">
            <v>0</v>
          </cell>
        </row>
        <row r="3091">
          <cell r="A3091">
            <v>0</v>
          </cell>
          <cell r="B3091">
            <v>0</v>
          </cell>
          <cell r="C3091">
            <v>0</v>
          </cell>
        </row>
        <row r="3092">
          <cell r="A3092">
            <v>0</v>
          </cell>
          <cell r="B3092">
            <v>0</v>
          </cell>
          <cell r="C3092">
            <v>0</v>
          </cell>
        </row>
        <row r="3094">
          <cell r="B3094" t="str">
            <v>TRANSPORTE</v>
          </cell>
        </row>
        <row r="3096">
          <cell r="A3096">
            <v>0</v>
          </cell>
          <cell r="B3096">
            <v>0</v>
          </cell>
          <cell r="C3096">
            <v>0</v>
          </cell>
        </row>
        <row r="3097">
          <cell r="A3097">
            <v>0</v>
          </cell>
          <cell r="B3097">
            <v>0</v>
          </cell>
          <cell r="C3097">
            <v>0</v>
          </cell>
        </row>
        <row r="3098">
          <cell r="A3098">
            <v>0</v>
          </cell>
          <cell r="B3098">
            <v>0</v>
          </cell>
          <cell r="C3098">
            <v>0</v>
          </cell>
        </row>
        <row r="3103">
          <cell r="A3103" t="str">
            <v>CODIGO</v>
          </cell>
          <cell r="B3103" t="str">
            <v>ITEM</v>
          </cell>
          <cell r="C3103" t="str">
            <v>UNIDAD</v>
          </cell>
        </row>
        <row r="3104">
          <cell r="D3104">
            <v>0</v>
          </cell>
        </row>
        <row r="3105">
          <cell r="B3105" t="str">
            <v>CODIGO</v>
          </cell>
        </row>
        <row r="3106">
          <cell r="A3106" t="str">
            <v>CODIGO</v>
          </cell>
          <cell r="B3106" t="str">
            <v>RECURSOS</v>
          </cell>
          <cell r="C3106" t="str">
            <v>UNIDAD</v>
          </cell>
          <cell r="D3106" t="str">
            <v>CANT.</v>
          </cell>
        </row>
        <row r="3107">
          <cell r="B3107" t="str">
            <v>MATERIALES</v>
          </cell>
        </row>
        <row r="3108">
          <cell r="B3108">
            <v>0</v>
          </cell>
          <cell r="C3108">
            <v>0</v>
          </cell>
        </row>
        <row r="3109">
          <cell r="B3109">
            <v>0</v>
          </cell>
          <cell r="C3109">
            <v>0</v>
          </cell>
        </row>
        <row r="3110">
          <cell r="B3110">
            <v>0</v>
          </cell>
          <cell r="C3110">
            <v>0</v>
          </cell>
        </row>
        <row r="3111">
          <cell r="B3111">
            <v>0</v>
          </cell>
          <cell r="C3111">
            <v>0</v>
          </cell>
        </row>
        <row r="3113">
          <cell r="B3113" t="str">
            <v>EQUIPO</v>
          </cell>
        </row>
        <row r="3114">
          <cell r="B3114" t="str">
            <v>HTA MENOR (5% de M. de O.)</v>
          </cell>
        </row>
        <row r="3115">
          <cell r="A3115">
            <v>0</v>
          </cell>
          <cell r="B3115">
            <v>0</v>
          </cell>
          <cell r="C3115">
            <v>0</v>
          </cell>
        </row>
        <row r="3116">
          <cell r="A3116">
            <v>0</v>
          </cell>
          <cell r="B3116">
            <v>0</v>
          </cell>
          <cell r="C3116">
            <v>0</v>
          </cell>
        </row>
        <row r="3117">
          <cell r="A3117">
            <v>0</v>
          </cell>
          <cell r="B3117">
            <v>0</v>
          </cell>
          <cell r="C3117">
            <v>0</v>
          </cell>
        </row>
        <row r="3119">
          <cell r="B3119" t="str">
            <v>MANO DE OBRA</v>
          </cell>
        </row>
        <row r="3120">
          <cell r="B3120">
            <v>0</v>
          </cell>
          <cell r="C3120">
            <v>0</v>
          </cell>
        </row>
        <row r="3121">
          <cell r="A3121">
            <v>0</v>
          </cell>
          <cell r="B3121">
            <v>0</v>
          </cell>
          <cell r="C3121">
            <v>0</v>
          </cell>
        </row>
        <row r="3122">
          <cell r="A3122">
            <v>0</v>
          </cell>
          <cell r="B3122">
            <v>0</v>
          </cell>
          <cell r="C3122">
            <v>0</v>
          </cell>
        </row>
        <row r="3123">
          <cell r="A3123">
            <v>0</v>
          </cell>
          <cell r="B3123">
            <v>0</v>
          </cell>
          <cell r="C3123">
            <v>0</v>
          </cell>
        </row>
        <row r="3125">
          <cell r="B3125" t="str">
            <v>TRANSPORTE</v>
          </cell>
        </row>
        <row r="3127">
          <cell r="A3127">
            <v>0</v>
          </cell>
          <cell r="B3127">
            <v>0</v>
          </cell>
          <cell r="C3127">
            <v>0</v>
          </cell>
        </row>
        <row r="3128">
          <cell r="A3128">
            <v>0</v>
          </cell>
          <cell r="B3128">
            <v>0</v>
          </cell>
          <cell r="C3128">
            <v>0</v>
          </cell>
        </row>
        <row r="3129">
          <cell r="A3129">
            <v>0</v>
          </cell>
          <cell r="B3129">
            <v>0</v>
          </cell>
          <cell r="C3129">
            <v>0</v>
          </cell>
        </row>
        <row r="3134">
          <cell r="A3134" t="str">
            <v>CODIGO</v>
          </cell>
          <cell r="B3134" t="str">
            <v>ITEM</v>
          </cell>
          <cell r="C3134" t="str">
            <v>UNIDAD</v>
          </cell>
        </row>
        <row r="3135">
          <cell r="D3135">
            <v>0</v>
          </cell>
        </row>
        <row r="3136">
          <cell r="B3136" t="str">
            <v>CODIGO</v>
          </cell>
        </row>
        <row r="3137">
          <cell r="A3137" t="str">
            <v>CODIGO</v>
          </cell>
          <cell r="B3137" t="str">
            <v>RECURSOS</v>
          </cell>
          <cell r="C3137" t="str">
            <v>UNIDAD</v>
          </cell>
          <cell r="D3137" t="str">
            <v>CANT.</v>
          </cell>
        </row>
        <row r="3138">
          <cell r="B3138" t="str">
            <v>MATERIALES</v>
          </cell>
        </row>
        <row r="3139">
          <cell r="B3139">
            <v>0</v>
          </cell>
          <cell r="C3139">
            <v>0</v>
          </cell>
        </row>
        <row r="3140">
          <cell r="B3140">
            <v>0</v>
          </cell>
          <cell r="C3140">
            <v>0</v>
          </cell>
        </row>
        <row r="3141">
          <cell r="B3141">
            <v>0</v>
          </cell>
          <cell r="C3141">
            <v>0</v>
          </cell>
        </row>
        <row r="3142">
          <cell r="B3142">
            <v>0</v>
          </cell>
          <cell r="C3142">
            <v>0</v>
          </cell>
        </row>
        <row r="3144">
          <cell r="B3144" t="str">
            <v>EQUIPO</v>
          </cell>
        </row>
        <row r="3145">
          <cell r="B3145" t="str">
            <v>HTA MENOR (5% de M. de O.)</v>
          </cell>
        </row>
        <row r="3146">
          <cell r="A3146">
            <v>0</v>
          </cell>
          <cell r="B3146">
            <v>0</v>
          </cell>
          <cell r="C3146">
            <v>0</v>
          </cell>
        </row>
        <row r="3147">
          <cell r="A3147">
            <v>0</v>
          </cell>
          <cell r="B3147">
            <v>0</v>
          </cell>
          <cell r="C3147">
            <v>0</v>
          </cell>
        </row>
        <row r="3148">
          <cell r="A3148">
            <v>0</v>
          </cell>
          <cell r="B3148">
            <v>0</v>
          </cell>
          <cell r="C3148">
            <v>0</v>
          </cell>
        </row>
        <row r="3150">
          <cell r="B3150" t="str">
            <v>MANO DE OBRA</v>
          </cell>
        </row>
        <row r="3151">
          <cell r="B3151">
            <v>0</v>
          </cell>
          <cell r="C3151">
            <v>0</v>
          </cell>
        </row>
        <row r="3152">
          <cell r="A3152">
            <v>0</v>
          </cell>
          <cell r="B3152">
            <v>0</v>
          </cell>
          <cell r="C3152">
            <v>0</v>
          </cell>
        </row>
        <row r="3153">
          <cell r="A3153">
            <v>0</v>
          </cell>
          <cell r="B3153">
            <v>0</v>
          </cell>
          <cell r="C3153">
            <v>0</v>
          </cell>
        </row>
        <row r="3154">
          <cell r="A3154">
            <v>0</v>
          </cell>
          <cell r="B3154">
            <v>0</v>
          </cell>
          <cell r="C3154">
            <v>0</v>
          </cell>
        </row>
        <row r="3156">
          <cell r="B3156" t="str">
            <v>TRANSPORTE</v>
          </cell>
        </row>
        <row r="3158">
          <cell r="A3158">
            <v>0</v>
          </cell>
          <cell r="B3158">
            <v>0</v>
          </cell>
          <cell r="C3158">
            <v>0</v>
          </cell>
        </row>
        <row r="3159">
          <cell r="A3159">
            <v>0</v>
          </cell>
          <cell r="B3159">
            <v>0</v>
          </cell>
          <cell r="C3159">
            <v>0</v>
          </cell>
        </row>
        <row r="3160">
          <cell r="A3160">
            <v>0</v>
          </cell>
          <cell r="B3160">
            <v>0</v>
          </cell>
          <cell r="C3160">
            <v>0</v>
          </cell>
        </row>
        <row r="3165">
          <cell r="A3165" t="str">
            <v>CODIGO</v>
          </cell>
          <cell r="B3165" t="str">
            <v>ITEM</v>
          </cell>
          <cell r="C3165" t="str">
            <v>UNIDAD</v>
          </cell>
        </row>
        <row r="3166">
          <cell r="D3166">
            <v>0</v>
          </cell>
        </row>
        <row r="3167">
          <cell r="B3167" t="str">
            <v>CODIGO</v>
          </cell>
        </row>
        <row r="3168">
          <cell r="A3168" t="str">
            <v>CODIGO</v>
          </cell>
          <cell r="B3168" t="str">
            <v>RECURSOS</v>
          </cell>
          <cell r="C3168" t="str">
            <v>UNIDAD</v>
          </cell>
          <cell r="D3168" t="str">
            <v>CANT.</v>
          </cell>
        </row>
        <row r="3169">
          <cell r="B3169" t="str">
            <v>MATERIALES</v>
          </cell>
        </row>
        <row r="3170">
          <cell r="B3170">
            <v>0</v>
          </cell>
          <cell r="C3170">
            <v>0</v>
          </cell>
        </row>
        <row r="3171">
          <cell r="B3171">
            <v>0</v>
          </cell>
          <cell r="C3171">
            <v>0</v>
          </cell>
        </row>
        <row r="3172">
          <cell r="B3172">
            <v>0</v>
          </cell>
          <cell r="C3172">
            <v>0</v>
          </cell>
        </row>
        <row r="3173">
          <cell r="B3173">
            <v>0</v>
          </cell>
          <cell r="C3173">
            <v>0</v>
          </cell>
        </row>
        <row r="3175">
          <cell r="B3175" t="str">
            <v>EQUIPO</v>
          </cell>
        </row>
        <row r="3176">
          <cell r="B3176" t="str">
            <v>HTA MENOR (5% de M. de O.)</v>
          </cell>
        </row>
        <row r="3177">
          <cell r="A3177">
            <v>0</v>
          </cell>
          <cell r="B3177">
            <v>0</v>
          </cell>
          <cell r="C3177">
            <v>0</v>
          </cell>
        </row>
        <row r="3178">
          <cell r="A3178">
            <v>0</v>
          </cell>
          <cell r="B3178">
            <v>0</v>
          </cell>
          <cell r="C3178">
            <v>0</v>
          </cell>
        </row>
        <row r="3179">
          <cell r="A3179">
            <v>0</v>
          </cell>
          <cell r="B3179">
            <v>0</v>
          </cell>
          <cell r="C3179">
            <v>0</v>
          </cell>
        </row>
        <row r="3181">
          <cell r="B3181" t="str">
            <v>MANO DE OBRA</v>
          </cell>
        </row>
        <row r="3182">
          <cell r="B3182">
            <v>0</v>
          </cell>
          <cell r="C3182">
            <v>0</v>
          </cell>
        </row>
        <row r="3183">
          <cell r="A3183">
            <v>0</v>
          </cell>
          <cell r="B3183">
            <v>0</v>
          </cell>
          <cell r="C3183">
            <v>0</v>
          </cell>
        </row>
        <row r="3184">
          <cell r="A3184">
            <v>0</v>
          </cell>
          <cell r="B3184">
            <v>0</v>
          </cell>
          <cell r="C3184">
            <v>0</v>
          </cell>
        </row>
        <row r="3185">
          <cell r="A3185">
            <v>0</v>
          </cell>
          <cell r="B3185">
            <v>0</v>
          </cell>
          <cell r="C3185">
            <v>0</v>
          </cell>
        </row>
        <row r="3187">
          <cell r="B3187" t="str">
            <v>TRANSPORTE</v>
          </cell>
        </row>
        <row r="3189">
          <cell r="A3189">
            <v>0</v>
          </cell>
          <cell r="B3189">
            <v>0</v>
          </cell>
          <cell r="C3189">
            <v>0</v>
          </cell>
        </row>
        <row r="3190">
          <cell r="A3190">
            <v>0</v>
          </cell>
          <cell r="B3190">
            <v>0</v>
          </cell>
          <cell r="C3190">
            <v>0</v>
          </cell>
        </row>
        <row r="3191">
          <cell r="A3191">
            <v>0</v>
          </cell>
          <cell r="B3191">
            <v>0</v>
          </cell>
          <cell r="C3191">
            <v>0</v>
          </cell>
        </row>
        <row r="3197">
          <cell r="A3197" t="str">
            <v>CODIGO</v>
          </cell>
          <cell r="B3197" t="str">
            <v>ITEM</v>
          </cell>
          <cell r="C3197" t="str">
            <v>UNIDAD</v>
          </cell>
        </row>
        <row r="3198">
          <cell r="D3198">
            <v>0</v>
          </cell>
        </row>
        <row r="3199">
          <cell r="B3199" t="str">
            <v>CODIGO</v>
          </cell>
        </row>
        <row r="3200">
          <cell r="A3200" t="str">
            <v>CODIGO</v>
          </cell>
          <cell r="B3200" t="str">
            <v>RECURSOS</v>
          </cell>
          <cell r="C3200" t="str">
            <v>UNIDAD</v>
          </cell>
          <cell r="D3200" t="str">
            <v>CANT.</v>
          </cell>
        </row>
        <row r="3201">
          <cell r="B3201" t="str">
            <v>MATERIALES</v>
          </cell>
        </row>
        <row r="3202">
          <cell r="B3202">
            <v>0</v>
          </cell>
          <cell r="C3202">
            <v>0</v>
          </cell>
        </row>
        <row r="3203">
          <cell r="B3203">
            <v>0</v>
          </cell>
          <cell r="C3203">
            <v>0</v>
          </cell>
        </row>
        <row r="3204">
          <cell r="B3204">
            <v>0</v>
          </cell>
          <cell r="C3204">
            <v>0</v>
          </cell>
        </row>
        <row r="3205">
          <cell r="B3205">
            <v>0</v>
          </cell>
          <cell r="C3205">
            <v>0</v>
          </cell>
        </row>
        <row r="3207">
          <cell r="B3207" t="str">
            <v>EQUIPO</v>
          </cell>
        </row>
        <row r="3208">
          <cell r="B3208" t="str">
            <v>HTA MENOR (5% de M. de O.)</v>
          </cell>
        </row>
        <row r="3209">
          <cell r="A3209">
            <v>0</v>
          </cell>
          <cell r="B3209">
            <v>0</v>
          </cell>
          <cell r="C3209">
            <v>0</v>
          </cell>
        </row>
        <row r="3210">
          <cell r="A3210">
            <v>0</v>
          </cell>
          <cell r="B3210">
            <v>0</v>
          </cell>
          <cell r="C3210">
            <v>0</v>
          </cell>
        </row>
        <row r="3211">
          <cell r="A3211">
            <v>0</v>
          </cell>
          <cell r="B3211">
            <v>0</v>
          </cell>
          <cell r="C3211">
            <v>0</v>
          </cell>
        </row>
        <row r="3213">
          <cell r="B3213" t="str">
            <v>MANO DE OBRA</v>
          </cell>
        </row>
        <row r="3214">
          <cell r="B3214">
            <v>0</v>
          </cell>
          <cell r="C3214">
            <v>0</v>
          </cell>
        </row>
        <row r="3215">
          <cell r="A3215">
            <v>0</v>
          </cell>
          <cell r="B3215">
            <v>0</v>
          </cell>
          <cell r="C3215">
            <v>0</v>
          </cell>
        </row>
        <row r="3216">
          <cell r="A3216">
            <v>0</v>
          </cell>
          <cell r="B3216">
            <v>0</v>
          </cell>
          <cell r="C3216">
            <v>0</v>
          </cell>
        </row>
        <row r="3217">
          <cell r="A3217">
            <v>0</v>
          </cell>
          <cell r="B3217">
            <v>0</v>
          </cell>
          <cell r="C3217">
            <v>0</v>
          </cell>
        </row>
        <row r="3219">
          <cell r="B3219" t="str">
            <v>TRANSPORTE</v>
          </cell>
        </row>
        <row r="3221">
          <cell r="A3221">
            <v>0</v>
          </cell>
          <cell r="B3221">
            <v>0</v>
          </cell>
          <cell r="C3221">
            <v>0</v>
          </cell>
        </row>
        <row r="3222">
          <cell r="A3222">
            <v>0</v>
          </cell>
          <cell r="B3222">
            <v>0</v>
          </cell>
          <cell r="C3222">
            <v>0</v>
          </cell>
        </row>
        <row r="3223">
          <cell r="A3223">
            <v>0</v>
          </cell>
          <cell r="B3223">
            <v>0</v>
          </cell>
          <cell r="C3223">
            <v>0</v>
          </cell>
        </row>
        <row r="3229">
          <cell r="A3229" t="str">
            <v>CODIGO</v>
          </cell>
          <cell r="B3229" t="str">
            <v>ITEM</v>
          </cell>
          <cell r="C3229" t="str">
            <v>UNIDAD</v>
          </cell>
        </row>
        <row r="3230">
          <cell r="D3230">
            <v>0</v>
          </cell>
        </row>
        <row r="3231">
          <cell r="B3231" t="str">
            <v>CODIGO</v>
          </cell>
        </row>
        <row r="3232">
          <cell r="A3232" t="str">
            <v>CODIGO</v>
          </cell>
          <cell r="B3232" t="str">
            <v>RECURSOS</v>
          </cell>
          <cell r="C3232" t="str">
            <v>UNIDAD</v>
          </cell>
          <cell r="D3232" t="str">
            <v>CANT.</v>
          </cell>
        </row>
        <row r="3233">
          <cell r="B3233" t="str">
            <v>MATERIALES</v>
          </cell>
        </row>
        <row r="3234">
          <cell r="B3234">
            <v>0</v>
          </cell>
          <cell r="C3234">
            <v>0</v>
          </cell>
        </row>
        <row r="3235">
          <cell r="B3235">
            <v>0</v>
          </cell>
          <cell r="C3235">
            <v>0</v>
          </cell>
        </row>
        <row r="3236">
          <cell r="B3236">
            <v>0</v>
          </cell>
          <cell r="C3236">
            <v>0</v>
          </cell>
        </row>
        <row r="3237">
          <cell r="B3237">
            <v>0</v>
          </cell>
          <cell r="C3237">
            <v>0</v>
          </cell>
        </row>
        <row r="3239">
          <cell r="B3239" t="str">
            <v>EQUIPO</v>
          </cell>
        </row>
        <row r="3240">
          <cell r="B3240" t="str">
            <v>HTA MENOR (5% de M. de O.)</v>
          </cell>
        </row>
        <row r="3241">
          <cell r="A3241">
            <v>0</v>
          </cell>
          <cell r="B3241">
            <v>0</v>
          </cell>
          <cell r="C3241">
            <v>0</v>
          </cell>
        </row>
        <row r="3242">
          <cell r="A3242">
            <v>0</v>
          </cell>
          <cell r="B3242">
            <v>0</v>
          </cell>
          <cell r="C3242">
            <v>0</v>
          </cell>
        </row>
        <row r="3243">
          <cell r="A3243">
            <v>0</v>
          </cell>
          <cell r="B3243">
            <v>0</v>
          </cell>
          <cell r="C3243">
            <v>0</v>
          </cell>
        </row>
        <row r="3245">
          <cell r="B3245" t="str">
            <v>MANO DE OBRA</v>
          </cell>
        </row>
        <row r="3246">
          <cell r="B3246">
            <v>0</v>
          </cell>
          <cell r="C3246">
            <v>0</v>
          </cell>
        </row>
        <row r="3247">
          <cell r="A3247">
            <v>0</v>
          </cell>
          <cell r="B3247">
            <v>0</v>
          </cell>
          <cell r="C3247">
            <v>0</v>
          </cell>
        </row>
        <row r="3248">
          <cell r="A3248">
            <v>0</v>
          </cell>
          <cell r="B3248">
            <v>0</v>
          </cell>
          <cell r="C3248">
            <v>0</v>
          </cell>
        </row>
        <row r="3249">
          <cell r="A3249">
            <v>0</v>
          </cell>
          <cell r="B3249">
            <v>0</v>
          </cell>
          <cell r="C3249">
            <v>0</v>
          </cell>
        </row>
        <row r="3251">
          <cell r="B3251" t="str">
            <v>TRANSPORTE</v>
          </cell>
        </row>
        <row r="3253">
          <cell r="A3253">
            <v>0</v>
          </cell>
          <cell r="B3253">
            <v>0</v>
          </cell>
          <cell r="C3253">
            <v>0</v>
          </cell>
        </row>
        <row r="3254">
          <cell r="A3254">
            <v>0</v>
          </cell>
          <cell r="B3254">
            <v>0</v>
          </cell>
          <cell r="C3254">
            <v>0</v>
          </cell>
        </row>
        <row r="3255">
          <cell r="A3255">
            <v>0</v>
          </cell>
          <cell r="B3255">
            <v>0</v>
          </cell>
          <cell r="C3255">
            <v>0</v>
          </cell>
        </row>
        <row r="3260">
          <cell r="A3260" t="str">
            <v>CODIGO</v>
          </cell>
          <cell r="B3260" t="str">
            <v>ITEM</v>
          </cell>
          <cell r="C3260" t="str">
            <v>UNIDAD</v>
          </cell>
        </row>
        <row r="3261">
          <cell r="D3261">
            <v>0</v>
          </cell>
        </row>
        <row r="3262">
          <cell r="B3262" t="str">
            <v>CODIGO</v>
          </cell>
        </row>
        <row r="3263">
          <cell r="A3263" t="str">
            <v>CODIGO</v>
          </cell>
          <cell r="B3263" t="str">
            <v>RECURSOS</v>
          </cell>
          <cell r="C3263" t="str">
            <v>UNIDAD</v>
          </cell>
          <cell r="D3263" t="str">
            <v>CANT.</v>
          </cell>
        </row>
        <row r="3264">
          <cell r="B3264" t="str">
            <v>MATERIALES</v>
          </cell>
        </row>
        <row r="3265">
          <cell r="B3265">
            <v>0</v>
          </cell>
          <cell r="C3265">
            <v>0</v>
          </cell>
        </row>
        <row r="3266">
          <cell r="B3266">
            <v>0</v>
          </cell>
          <cell r="C3266">
            <v>0</v>
          </cell>
        </row>
        <row r="3267">
          <cell r="B3267">
            <v>0</v>
          </cell>
          <cell r="C3267">
            <v>0</v>
          </cell>
        </row>
        <row r="3268">
          <cell r="B3268">
            <v>0</v>
          </cell>
          <cell r="C3268">
            <v>0</v>
          </cell>
        </row>
        <row r="3270">
          <cell r="B3270" t="str">
            <v>EQUIPO</v>
          </cell>
        </row>
        <row r="3271">
          <cell r="B3271" t="str">
            <v>HTA MENOR (5% de M. de O.)</v>
          </cell>
        </row>
        <row r="3272">
          <cell r="A3272">
            <v>0</v>
          </cell>
          <cell r="B3272">
            <v>0</v>
          </cell>
          <cell r="C3272">
            <v>0</v>
          </cell>
        </row>
        <row r="3273">
          <cell r="A3273">
            <v>0</v>
          </cell>
          <cell r="B3273">
            <v>0</v>
          </cell>
          <cell r="C3273">
            <v>0</v>
          </cell>
        </row>
        <row r="3274">
          <cell r="A3274">
            <v>0</v>
          </cell>
          <cell r="B3274">
            <v>0</v>
          </cell>
          <cell r="C3274">
            <v>0</v>
          </cell>
        </row>
        <row r="3276">
          <cell r="B3276" t="str">
            <v>MANO DE OBRA</v>
          </cell>
        </row>
        <row r="3277">
          <cell r="B3277">
            <v>0</v>
          </cell>
          <cell r="C3277">
            <v>0</v>
          </cell>
        </row>
        <row r="3278">
          <cell r="A3278">
            <v>0</v>
          </cell>
          <cell r="B3278">
            <v>0</v>
          </cell>
          <cell r="C3278">
            <v>0</v>
          </cell>
        </row>
        <row r="3279">
          <cell r="A3279">
            <v>0</v>
          </cell>
          <cell r="B3279">
            <v>0</v>
          </cell>
          <cell r="C3279">
            <v>0</v>
          </cell>
        </row>
        <row r="3280">
          <cell r="A3280">
            <v>0</v>
          </cell>
          <cell r="B3280">
            <v>0</v>
          </cell>
          <cell r="C3280">
            <v>0</v>
          </cell>
        </row>
        <row r="3282">
          <cell r="B3282" t="str">
            <v>TRANSPORTE</v>
          </cell>
        </row>
        <row r="3284">
          <cell r="A3284">
            <v>0</v>
          </cell>
          <cell r="B3284">
            <v>0</v>
          </cell>
          <cell r="C3284">
            <v>0</v>
          </cell>
        </row>
        <row r="3285">
          <cell r="A3285">
            <v>0</v>
          </cell>
          <cell r="B3285">
            <v>0</v>
          </cell>
          <cell r="C3285">
            <v>0</v>
          </cell>
        </row>
        <row r="3286">
          <cell r="A3286">
            <v>0</v>
          </cell>
          <cell r="B3286">
            <v>0</v>
          </cell>
          <cell r="C3286">
            <v>0</v>
          </cell>
        </row>
        <row r="3291">
          <cell r="A3291" t="str">
            <v>CODIGO</v>
          </cell>
          <cell r="B3291" t="str">
            <v>ITEM</v>
          </cell>
          <cell r="C3291" t="str">
            <v>UNIDAD</v>
          </cell>
        </row>
        <row r="3292">
          <cell r="D3292">
            <v>0</v>
          </cell>
        </row>
        <row r="3293">
          <cell r="B3293" t="str">
            <v>CODIGO</v>
          </cell>
        </row>
        <row r="3294">
          <cell r="A3294" t="str">
            <v>CODIGO</v>
          </cell>
          <cell r="B3294" t="str">
            <v>RECURSOS</v>
          </cell>
          <cell r="C3294" t="str">
            <v>UNIDAD</v>
          </cell>
          <cell r="D3294" t="str">
            <v>CANT.</v>
          </cell>
        </row>
        <row r="3295">
          <cell r="B3295" t="str">
            <v>MATERIALES</v>
          </cell>
        </row>
        <row r="3296">
          <cell r="B3296">
            <v>0</v>
          </cell>
          <cell r="C3296">
            <v>0</v>
          </cell>
        </row>
        <row r="3297">
          <cell r="B3297">
            <v>0</v>
          </cell>
          <cell r="C3297">
            <v>0</v>
          </cell>
        </row>
        <row r="3298">
          <cell r="B3298">
            <v>0</v>
          </cell>
          <cell r="C3298">
            <v>0</v>
          </cell>
        </row>
        <row r="3299">
          <cell r="B3299">
            <v>0</v>
          </cell>
          <cell r="C3299">
            <v>0</v>
          </cell>
        </row>
        <row r="3301">
          <cell r="B3301" t="str">
            <v>EQUIPO</v>
          </cell>
        </row>
        <row r="3302">
          <cell r="B3302" t="str">
            <v>HTA MENOR (5% de M. de O.)</v>
          </cell>
        </row>
        <row r="3303">
          <cell r="A3303">
            <v>0</v>
          </cell>
          <cell r="B3303">
            <v>0</v>
          </cell>
          <cell r="C3303">
            <v>0</v>
          </cell>
        </row>
        <row r="3304">
          <cell r="A3304">
            <v>0</v>
          </cell>
          <cell r="B3304">
            <v>0</v>
          </cell>
          <cell r="C3304">
            <v>0</v>
          </cell>
        </row>
        <row r="3305">
          <cell r="A3305">
            <v>0</v>
          </cell>
          <cell r="B3305">
            <v>0</v>
          </cell>
          <cell r="C3305">
            <v>0</v>
          </cell>
        </row>
        <row r="3307">
          <cell r="B3307" t="str">
            <v>MANO DE OBRA</v>
          </cell>
        </row>
        <row r="3308">
          <cell r="B3308">
            <v>0</v>
          </cell>
          <cell r="C3308">
            <v>0</v>
          </cell>
        </row>
        <row r="3309">
          <cell r="A3309">
            <v>0</v>
          </cell>
          <cell r="B3309">
            <v>0</v>
          </cell>
          <cell r="C3309">
            <v>0</v>
          </cell>
        </row>
        <row r="3310">
          <cell r="A3310">
            <v>0</v>
          </cell>
          <cell r="B3310">
            <v>0</v>
          </cell>
          <cell r="C3310">
            <v>0</v>
          </cell>
        </row>
        <row r="3311">
          <cell r="A3311">
            <v>0</v>
          </cell>
          <cell r="B3311">
            <v>0</v>
          </cell>
          <cell r="C3311">
            <v>0</v>
          </cell>
        </row>
        <row r="3313">
          <cell r="B3313" t="str">
            <v>TRANSPORTE</v>
          </cell>
        </row>
        <row r="3315">
          <cell r="A3315">
            <v>0</v>
          </cell>
          <cell r="B3315">
            <v>0</v>
          </cell>
          <cell r="C3315">
            <v>0</v>
          </cell>
        </row>
        <row r="3316">
          <cell r="A3316">
            <v>0</v>
          </cell>
          <cell r="B3316">
            <v>0</v>
          </cell>
          <cell r="C3316">
            <v>0</v>
          </cell>
        </row>
        <row r="3317">
          <cell r="A3317">
            <v>0</v>
          </cell>
          <cell r="B3317">
            <v>0</v>
          </cell>
          <cell r="C3317">
            <v>0</v>
          </cell>
        </row>
        <row r="3322">
          <cell r="A3322" t="str">
            <v>CODIGO</v>
          </cell>
          <cell r="B3322" t="str">
            <v>ITEM</v>
          </cell>
          <cell r="C3322" t="str">
            <v>UNIDAD</v>
          </cell>
        </row>
        <row r="3323">
          <cell r="D3323">
            <v>0</v>
          </cell>
        </row>
        <row r="3324">
          <cell r="B3324" t="str">
            <v>CODIGO</v>
          </cell>
        </row>
        <row r="3325">
          <cell r="A3325" t="str">
            <v>CODIGO</v>
          </cell>
          <cell r="B3325" t="str">
            <v>RECURSOS</v>
          </cell>
          <cell r="C3325" t="str">
            <v>UNIDAD</v>
          </cell>
          <cell r="D3325" t="str">
            <v>CANT.</v>
          </cell>
        </row>
        <row r="3326">
          <cell r="B3326" t="str">
            <v>MATERIALES</v>
          </cell>
        </row>
        <row r="3327">
          <cell r="B3327">
            <v>0</v>
          </cell>
          <cell r="C3327">
            <v>0</v>
          </cell>
        </row>
        <row r="3328">
          <cell r="B3328">
            <v>0</v>
          </cell>
          <cell r="C3328">
            <v>0</v>
          </cell>
        </row>
        <row r="3329">
          <cell r="B3329">
            <v>0</v>
          </cell>
          <cell r="C3329">
            <v>0</v>
          </cell>
        </row>
        <row r="3330">
          <cell r="B3330">
            <v>0</v>
          </cell>
          <cell r="C3330">
            <v>0</v>
          </cell>
        </row>
        <row r="3332">
          <cell r="B3332" t="str">
            <v>EQUIPO</v>
          </cell>
        </row>
        <row r="3333">
          <cell r="B3333" t="str">
            <v>HTA MENOR (5% de M. de O.)</v>
          </cell>
        </row>
        <row r="3334">
          <cell r="A3334">
            <v>0</v>
          </cell>
          <cell r="B3334">
            <v>0</v>
          </cell>
          <cell r="C3334">
            <v>0</v>
          </cell>
        </row>
        <row r="3335">
          <cell r="A3335">
            <v>0</v>
          </cell>
          <cell r="B3335">
            <v>0</v>
          </cell>
          <cell r="C3335">
            <v>0</v>
          </cell>
        </row>
        <row r="3336">
          <cell r="A3336">
            <v>0</v>
          </cell>
          <cell r="B3336">
            <v>0</v>
          </cell>
          <cell r="C3336">
            <v>0</v>
          </cell>
        </row>
        <row r="3338">
          <cell r="B3338" t="str">
            <v>MANO DE OBRA</v>
          </cell>
        </row>
        <row r="3339">
          <cell r="B3339">
            <v>0</v>
          </cell>
          <cell r="C3339">
            <v>0</v>
          </cell>
        </row>
        <row r="3340">
          <cell r="A3340">
            <v>0</v>
          </cell>
          <cell r="B3340">
            <v>0</v>
          </cell>
          <cell r="C3340">
            <v>0</v>
          </cell>
        </row>
        <row r="3341">
          <cell r="A3341">
            <v>0</v>
          </cell>
          <cell r="B3341">
            <v>0</v>
          </cell>
          <cell r="C3341">
            <v>0</v>
          </cell>
        </row>
        <row r="3342">
          <cell r="A3342">
            <v>0</v>
          </cell>
          <cell r="B3342">
            <v>0</v>
          </cell>
          <cell r="C3342">
            <v>0</v>
          </cell>
        </row>
        <row r="3344">
          <cell r="B3344" t="str">
            <v>TRANSPORTE</v>
          </cell>
        </row>
        <row r="3346">
          <cell r="A3346">
            <v>0</v>
          </cell>
          <cell r="B3346">
            <v>0</v>
          </cell>
          <cell r="C3346">
            <v>0</v>
          </cell>
        </row>
        <row r="3347">
          <cell r="A3347">
            <v>0</v>
          </cell>
          <cell r="B3347">
            <v>0</v>
          </cell>
          <cell r="C3347">
            <v>0</v>
          </cell>
        </row>
        <row r="3348">
          <cell r="A3348">
            <v>0</v>
          </cell>
          <cell r="B3348">
            <v>0</v>
          </cell>
          <cell r="C3348">
            <v>0</v>
          </cell>
        </row>
        <row r="3353">
          <cell r="A3353" t="str">
            <v>CODIGO</v>
          </cell>
          <cell r="B3353" t="str">
            <v>ITEM</v>
          </cell>
          <cell r="C3353" t="str">
            <v>UNIDAD</v>
          </cell>
        </row>
        <row r="3354">
          <cell r="D3354">
            <v>0</v>
          </cell>
        </row>
        <row r="3355">
          <cell r="B3355" t="str">
            <v>CODIGO</v>
          </cell>
        </row>
        <row r="3356">
          <cell r="A3356" t="str">
            <v>CODIGO</v>
          </cell>
          <cell r="B3356" t="str">
            <v>RECURSOS</v>
          </cell>
          <cell r="C3356" t="str">
            <v>UNIDAD</v>
          </cell>
          <cell r="D3356" t="str">
            <v>CANT.</v>
          </cell>
        </row>
        <row r="3357">
          <cell r="B3357" t="str">
            <v>MATERIALES</v>
          </cell>
        </row>
        <row r="3358">
          <cell r="B3358">
            <v>0</v>
          </cell>
          <cell r="C3358">
            <v>0</v>
          </cell>
        </row>
        <row r="3359">
          <cell r="B3359">
            <v>0</v>
          </cell>
          <cell r="C3359">
            <v>0</v>
          </cell>
        </row>
        <row r="3360">
          <cell r="B3360">
            <v>0</v>
          </cell>
          <cell r="C3360">
            <v>0</v>
          </cell>
        </row>
        <row r="3361">
          <cell r="B3361">
            <v>0</v>
          </cell>
          <cell r="C3361">
            <v>0</v>
          </cell>
        </row>
        <row r="3363">
          <cell r="B3363" t="str">
            <v>EQUIPO</v>
          </cell>
        </row>
        <row r="3364">
          <cell r="B3364" t="str">
            <v>HTA MENOR (5% de M. de O.)</v>
          </cell>
        </row>
        <row r="3365">
          <cell r="A3365">
            <v>0</v>
          </cell>
          <cell r="B3365">
            <v>0</v>
          </cell>
          <cell r="C3365">
            <v>0</v>
          </cell>
        </row>
        <row r="3366">
          <cell r="A3366">
            <v>0</v>
          </cell>
          <cell r="B3366">
            <v>0</v>
          </cell>
          <cell r="C3366">
            <v>0</v>
          </cell>
        </row>
        <row r="3367">
          <cell r="A3367">
            <v>0</v>
          </cell>
          <cell r="B3367">
            <v>0</v>
          </cell>
          <cell r="C3367">
            <v>0</v>
          </cell>
        </row>
        <row r="3369">
          <cell r="B3369" t="str">
            <v>MANO DE OBRA</v>
          </cell>
        </row>
        <row r="3370">
          <cell r="B3370">
            <v>0</v>
          </cell>
          <cell r="C3370">
            <v>0</v>
          </cell>
        </row>
        <row r="3371">
          <cell r="A3371">
            <v>0</v>
          </cell>
          <cell r="B3371">
            <v>0</v>
          </cell>
          <cell r="C3371">
            <v>0</v>
          </cell>
        </row>
        <row r="3372">
          <cell r="A3372">
            <v>0</v>
          </cell>
          <cell r="B3372">
            <v>0</v>
          </cell>
          <cell r="C3372">
            <v>0</v>
          </cell>
        </row>
        <row r="3373">
          <cell r="A3373">
            <v>0</v>
          </cell>
          <cell r="B3373">
            <v>0</v>
          </cell>
          <cell r="C3373">
            <v>0</v>
          </cell>
        </row>
        <row r="3375">
          <cell r="B3375" t="str">
            <v>TRANSPORTE</v>
          </cell>
        </row>
        <row r="3377">
          <cell r="A3377">
            <v>0</v>
          </cell>
          <cell r="B3377">
            <v>0</v>
          </cell>
          <cell r="C3377">
            <v>0</v>
          </cell>
        </row>
        <row r="3378">
          <cell r="A3378">
            <v>0</v>
          </cell>
          <cell r="B3378">
            <v>0</v>
          </cell>
          <cell r="C3378">
            <v>0</v>
          </cell>
        </row>
        <row r="3379">
          <cell r="A3379">
            <v>0</v>
          </cell>
          <cell r="B3379">
            <v>0</v>
          </cell>
          <cell r="C3379">
            <v>0</v>
          </cell>
        </row>
        <row r="3384">
          <cell r="A3384" t="str">
            <v>CODIGO</v>
          </cell>
          <cell r="B3384" t="str">
            <v>ITEM</v>
          </cell>
          <cell r="C3384" t="str">
            <v>UNIDAD</v>
          </cell>
        </row>
        <row r="3385">
          <cell r="D3385">
            <v>0</v>
          </cell>
        </row>
        <row r="3386">
          <cell r="B3386" t="str">
            <v>CODIGO</v>
          </cell>
        </row>
        <row r="3387">
          <cell r="A3387" t="str">
            <v>CODIGO</v>
          </cell>
          <cell r="B3387" t="str">
            <v>RECURSOS</v>
          </cell>
          <cell r="C3387" t="str">
            <v>UNIDAD</v>
          </cell>
          <cell r="D3387" t="str">
            <v>CANT.</v>
          </cell>
        </row>
        <row r="3388">
          <cell r="B3388" t="str">
            <v>MATERIALES</v>
          </cell>
        </row>
        <row r="3389">
          <cell r="B3389">
            <v>0</v>
          </cell>
          <cell r="C3389">
            <v>0</v>
          </cell>
        </row>
        <row r="3390">
          <cell r="B3390">
            <v>0</v>
          </cell>
          <cell r="C3390">
            <v>0</v>
          </cell>
        </row>
        <row r="3391">
          <cell r="B3391">
            <v>0</v>
          </cell>
          <cell r="C3391">
            <v>0</v>
          </cell>
        </row>
        <row r="3392">
          <cell r="B3392">
            <v>0</v>
          </cell>
          <cell r="C3392">
            <v>0</v>
          </cell>
        </row>
        <row r="3394">
          <cell r="B3394" t="str">
            <v>EQUIPO</v>
          </cell>
        </row>
        <row r="3395">
          <cell r="B3395" t="str">
            <v>HTA MENOR (5% de M. de O.)</v>
          </cell>
        </row>
        <row r="3396">
          <cell r="A3396">
            <v>0</v>
          </cell>
          <cell r="B3396">
            <v>0</v>
          </cell>
          <cell r="C3396">
            <v>0</v>
          </cell>
        </row>
        <row r="3397">
          <cell r="A3397">
            <v>0</v>
          </cell>
          <cell r="B3397">
            <v>0</v>
          </cell>
          <cell r="C3397">
            <v>0</v>
          </cell>
        </row>
        <row r="3398">
          <cell r="A3398">
            <v>0</v>
          </cell>
          <cell r="B3398">
            <v>0</v>
          </cell>
          <cell r="C3398">
            <v>0</v>
          </cell>
        </row>
        <row r="3400">
          <cell r="B3400" t="str">
            <v>MANO DE OBRA</v>
          </cell>
        </row>
        <row r="3401">
          <cell r="B3401">
            <v>0</v>
          </cell>
          <cell r="C3401">
            <v>0</v>
          </cell>
        </row>
        <row r="3402">
          <cell r="A3402">
            <v>0</v>
          </cell>
          <cell r="B3402">
            <v>0</v>
          </cell>
          <cell r="C3402">
            <v>0</v>
          </cell>
        </row>
        <row r="3403">
          <cell r="A3403">
            <v>0</v>
          </cell>
          <cell r="B3403">
            <v>0</v>
          </cell>
          <cell r="C3403">
            <v>0</v>
          </cell>
        </row>
        <row r="3404">
          <cell r="A3404">
            <v>0</v>
          </cell>
          <cell r="B3404">
            <v>0</v>
          </cell>
          <cell r="C3404">
            <v>0</v>
          </cell>
        </row>
        <row r="3406">
          <cell r="B3406" t="str">
            <v>TRANSPORTE</v>
          </cell>
        </row>
        <row r="3408">
          <cell r="A3408">
            <v>0</v>
          </cell>
          <cell r="B3408">
            <v>0</v>
          </cell>
          <cell r="C3408">
            <v>0</v>
          </cell>
        </row>
        <row r="3409">
          <cell r="A3409">
            <v>0</v>
          </cell>
          <cell r="B3409">
            <v>0</v>
          </cell>
          <cell r="C3409">
            <v>0</v>
          </cell>
        </row>
        <row r="3410">
          <cell r="A3410">
            <v>0</v>
          </cell>
          <cell r="B3410">
            <v>0</v>
          </cell>
          <cell r="C3410">
            <v>0</v>
          </cell>
        </row>
        <row r="3415">
          <cell r="A3415" t="str">
            <v>CODIGO</v>
          </cell>
          <cell r="B3415" t="str">
            <v>ITEM</v>
          </cell>
          <cell r="C3415" t="str">
            <v>UNIDAD</v>
          </cell>
        </row>
        <row r="3416">
          <cell r="D3416">
            <v>0</v>
          </cell>
        </row>
        <row r="3417">
          <cell r="B3417" t="str">
            <v>CODIGO</v>
          </cell>
        </row>
        <row r="3418">
          <cell r="A3418" t="str">
            <v>CODIGO</v>
          </cell>
          <cell r="B3418" t="str">
            <v>RECURSOS</v>
          </cell>
          <cell r="C3418" t="str">
            <v>UNIDAD</v>
          </cell>
          <cell r="D3418" t="str">
            <v>CANT.</v>
          </cell>
        </row>
        <row r="3419">
          <cell r="B3419" t="str">
            <v>MATERIALES</v>
          </cell>
        </row>
        <row r="3420">
          <cell r="B3420">
            <v>0</v>
          </cell>
          <cell r="C3420">
            <v>0</v>
          </cell>
        </row>
        <row r="3421">
          <cell r="B3421">
            <v>0</v>
          </cell>
          <cell r="C3421">
            <v>0</v>
          </cell>
        </row>
        <row r="3422">
          <cell r="B3422">
            <v>0</v>
          </cell>
          <cell r="C3422">
            <v>0</v>
          </cell>
        </row>
        <row r="3423">
          <cell r="B3423">
            <v>0</v>
          </cell>
          <cell r="C3423">
            <v>0</v>
          </cell>
        </row>
        <row r="3425">
          <cell r="B3425" t="str">
            <v>EQUIPO</v>
          </cell>
        </row>
        <row r="3426">
          <cell r="B3426" t="str">
            <v>HTA MENOR (5% de M. de O.)</v>
          </cell>
        </row>
        <row r="3427">
          <cell r="A3427">
            <v>0</v>
          </cell>
          <cell r="B3427">
            <v>0</v>
          </cell>
          <cell r="C3427">
            <v>0</v>
          </cell>
        </row>
        <row r="3428">
          <cell r="A3428">
            <v>0</v>
          </cell>
          <cell r="B3428">
            <v>0</v>
          </cell>
          <cell r="C3428">
            <v>0</v>
          </cell>
        </row>
        <row r="3429">
          <cell r="A3429">
            <v>0</v>
          </cell>
          <cell r="B3429">
            <v>0</v>
          </cell>
          <cell r="C3429">
            <v>0</v>
          </cell>
        </row>
        <row r="3431">
          <cell r="B3431" t="str">
            <v>MANO DE OBRA</v>
          </cell>
        </row>
        <row r="3432">
          <cell r="B3432">
            <v>0</v>
          </cell>
          <cell r="C3432">
            <v>0</v>
          </cell>
        </row>
        <row r="3433">
          <cell r="A3433">
            <v>0</v>
          </cell>
          <cell r="B3433">
            <v>0</v>
          </cell>
          <cell r="C3433">
            <v>0</v>
          </cell>
        </row>
        <row r="3434">
          <cell r="A3434">
            <v>0</v>
          </cell>
          <cell r="B3434">
            <v>0</v>
          </cell>
          <cell r="C3434">
            <v>0</v>
          </cell>
        </row>
        <row r="3435">
          <cell r="A3435">
            <v>0</v>
          </cell>
          <cell r="B3435">
            <v>0</v>
          </cell>
          <cell r="C3435">
            <v>0</v>
          </cell>
        </row>
        <row r="3437">
          <cell r="B3437" t="str">
            <v>TRANSPORTE</v>
          </cell>
        </row>
        <row r="3439">
          <cell r="A3439">
            <v>0</v>
          </cell>
          <cell r="B3439">
            <v>0</v>
          </cell>
          <cell r="C3439">
            <v>0</v>
          </cell>
        </row>
        <row r="3440">
          <cell r="A3440">
            <v>0</v>
          </cell>
          <cell r="B3440">
            <v>0</v>
          </cell>
          <cell r="C3440">
            <v>0</v>
          </cell>
        </row>
        <row r="3441">
          <cell r="A3441">
            <v>0</v>
          </cell>
          <cell r="B3441">
            <v>0</v>
          </cell>
          <cell r="C3441">
            <v>0</v>
          </cell>
        </row>
        <row r="3446">
          <cell r="A3446" t="str">
            <v>CODIGO</v>
          </cell>
          <cell r="B3446" t="str">
            <v>ITEM</v>
          </cell>
          <cell r="C3446" t="str">
            <v>UNIDAD</v>
          </cell>
        </row>
        <row r="3447">
          <cell r="D3447">
            <v>0</v>
          </cell>
        </row>
        <row r="3448">
          <cell r="B3448" t="str">
            <v>CODIGO</v>
          </cell>
        </row>
        <row r="3449">
          <cell r="A3449" t="str">
            <v>CODIGO</v>
          </cell>
          <cell r="B3449" t="str">
            <v>RECURSOS</v>
          </cell>
          <cell r="C3449" t="str">
            <v>UNIDAD</v>
          </cell>
          <cell r="D3449" t="str">
            <v>CANT.</v>
          </cell>
        </row>
        <row r="3450">
          <cell r="B3450" t="str">
            <v>MATERIALES</v>
          </cell>
        </row>
        <row r="3451">
          <cell r="B3451">
            <v>0</v>
          </cell>
          <cell r="C3451">
            <v>0</v>
          </cell>
        </row>
        <row r="3452">
          <cell r="B3452">
            <v>0</v>
          </cell>
          <cell r="C3452">
            <v>0</v>
          </cell>
        </row>
        <row r="3453">
          <cell r="B3453">
            <v>0</v>
          </cell>
          <cell r="C3453">
            <v>0</v>
          </cell>
        </row>
        <row r="3454">
          <cell r="B3454">
            <v>0</v>
          </cell>
          <cell r="C3454">
            <v>0</v>
          </cell>
        </row>
        <row r="3456">
          <cell r="B3456" t="str">
            <v>EQUIPO</v>
          </cell>
        </row>
        <row r="3457">
          <cell r="B3457" t="str">
            <v>HTA MENOR (5% de M. de O.)</v>
          </cell>
        </row>
        <row r="3458">
          <cell r="A3458">
            <v>0</v>
          </cell>
          <cell r="B3458">
            <v>0</v>
          </cell>
          <cell r="C3458">
            <v>0</v>
          </cell>
        </row>
        <row r="3459">
          <cell r="A3459">
            <v>0</v>
          </cell>
          <cell r="B3459">
            <v>0</v>
          </cell>
          <cell r="C3459">
            <v>0</v>
          </cell>
        </row>
        <row r="3460">
          <cell r="A3460">
            <v>0</v>
          </cell>
          <cell r="B3460">
            <v>0</v>
          </cell>
          <cell r="C3460">
            <v>0</v>
          </cell>
        </row>
        <row r="3462">
          <cell r="B3462" t="str">
            <v>MANO DE OBRA</v>
          </cell>
        </row>
        <row r="3463">
          <cell r="B3463">
            <v>0</v>
          </cell>
          <cell r="C3463">
            <v>0</v>
          </cell>
        </row>
        <row r="3464">
          <cell r="A3464">
            <v>0</v>
          </cell>
          <cell r="B3464">
            <v>0</v>
          </cell>
          <cell r="C3464">
            <v>0</v>
          </cell>
        </row>
        <row r="3465">
          <cell r="A3465">
            <v>0</v>
          </cell>
          <cell r="B3465">
            <v>0</v>
          </cell>
          <cell r="C3465">
            <v>0</v>
          </cell>
        </row>
        <row r="3466">
          <cell r="A3466">
            <v>0</v>
          </cell>
          <cell r="B3466">
            <v>0</v>
          </cell>
          <cell r="C3466">
            <v>0</v>
          </cell>
        </row>
        <row r="3468">
          <cell r="B3468" t="str">
            <v>TRANSPORTE</v>
          </cell>
        </row>
        <row r="3470">
          <cell r="A3470">
            <v>0</v>
          </cell>
          <cell r="B3470">
            <v>0</v>
          </cell>
          <cell r="C3470">
            <v>0</v>
          </cell>
        </row>
        <row r="3471">
          <cell r="A3471">
            <v>0</v>
          </cell>
          <cell r="B3471">
            <v>0</v>
          </cell>
          <cell r="C3471">
            <v>0</v>
          </cell>
        </row>
        <row r="3472">
          <cell r="A3472">
            <v>0</v>
          </cell>
          <cell r="B3472">
            <v>0</v>
          </cell>
          <cell r="C3472">
            <v>0</v>
          </cell>
        </row>
        <row r="3477">
          <cell r="A3477" t="str">
            <v>CODIGO</v>
          </cell>
          <cell r="B3477" t="str">
            <v>ITEM</v>
          </cell>
          <cell r="C3477" t="str">
            <v>UNIDAD</v>
          </cell>
        </row>
        <row r="3478">
          <cell r="D3478">
            <v>0</v>
          </cell>
        </row>
        <row r="3479">
          <cell r="B3479" t="str">
            <v>CODIGO</v>
          </cell>
        </row>
        <row r="3480">
          <cell r="A3480" t="str">
            <v>CODIGO</v>
          </cell>
          <cell r="B3480" t="str">
            <v>RECURSOS</v>
          </cell>
          <cell r="C3480" t="str">
            <v>UNIDAD</v>
          </cell>
          <cell r="D3480" t="str">
            <v>CANT.</v>
          </cell>
        </row>
        <row r="3481">
          <cell r="B3481" t="str">
            <v>MATERIALES</v>
          </cell>
        </row>
        <row r="3482">
          <cell r="B3482">
            <v>0</v>
          </cell>
          <cell r="C3482">
            <v>0</v>
          </cell>
        </row>
        <row r="3483">
          <cell r="B3483">
            <v>0</v>
          </cell>
          <cell r="C3483">
            <v>0</v>
          </cell>
        </row>
        <row r="3484">
          <cell r="B3484">
            <v>0</v>
          </cell>
          <cell r="C3484">
            <v>0</v>
          </cell>
        </row>
        <row r="3485">
          <cell r="B3485">
            <v>0</v>
          </cell>
          <cell r="C3485">
            <v>0</v>
          </cell>
        </row>
        <row r="3487">
          <cell r="B3487" t="str">
            <v>EQUIPO</v>
          </cell>
        </row>
        <row r="3488">
          <cell r="B3488" t="str">
            <v>HTA MENOR (5% de M. de O.)</v>
          </cell>
        </row>
        <row r="3489">
          <cell r="A3489">
            <v>0</v>
          </cell>
          <cell r="B3489">
            <v>0</v>
          </cell>
          <cell r="C3489">
            <v>0</v>
          </cell>
        </row>
        <row r="3490">
          <cell r="A3490">
            <v>0</v>
          </cell>
          <cell r="B3490">
            <v>0</v>
          </cell>
          <cell r="C3490">
            <v>0</v>
          </cell>
        </row>
        <row r="3491">
          <cell r="A3491">
            <v>0</v>
          </cell>
          <cell r="B3491">
            <v>0</v>
          </cell>
          <cell r="C3491">
            <v>0</v>
          </cell>
        </row>
        <row r="3493">
          <cell r="B3493" t="str">
            <v>MANO DE OBRA</v>
          </cell>
        </row>
        <row r="3494">
          <cell r="B3494">
            <v>0</v>
          </cell>
          <cell r="C3494">
            <v>0</v>
          </cell>
        </row>
        <row r="3495">
          <cell r="A3495">
            <v>0</v>
          </cell>
          <cell r="B3495">
            <v>0</v>
          </cell>
          <cell r="C3495">
            <v>0</v>
          </cell>
        </row>
        <row r="3496">
          <cell r="A3496">
            <v>0</v>
          </cell>
          <cell r="B3496">
            <v>0</v>
          </cell>
          <cell r="C3496">
            <v>0</v>
          </cell>
        </row>
        <row r="3497">
          <cell r="A3497">
            <v>0</v>
          </cell>
          <cell r="B3497">
            <v>0</v>
          </cell>
          <cell r="C3497">
            <v>0</v>
          </cell>
        </row>
        <row r="3499">
          <cell r="B3499" t="str">
            <v>TRANSPORTE</v>
          </cell>
        </row>
        <row r="3501">
          <cell r="A3501">
            <v>0</v>
          </cell>
          <cell r="B3501">
            <v>0</v>
          </cell>
          <cell r="C3501">
            <v>0</v>
          </cell>
        </row>
        <row r="3502">
          <cell r="A3502">
            <v>0</v>
          </cell>
          <cell r="B3502">
            <v>0</v>
          </cell>
          <cell r="C3502">
            <v>0</v>
          </cell>
        </row>
        <row r="3503">
          <cell r="A3503">
            <v>0</v>
          </cell>
          <cell r="B3503">
            <v>0</v>
          </cell>
          <cell r="C3503">
            <v>0</v>
          </cell>
        </row>
        <row r="3508">
          <cell r="A3508" t="str">
            <v>CODIGO</v>
          </cell>
          <cell r="B3508" t="str">
            <v>ITEM</v>
          </cell>
          <cell r="C3508" t="str">
            <v>UNIDAD</v>
          </cell>
        </row>
        <row r="3509">
          <cell r="D3509">
            <v>0</v>
          </cell>
        </row>
        <row r="3510">
          <cell r="B3510" t="str">
            <v>CODIGO</v>
          </cell>
        </row>
        <row r="3511">
          <cell r="A3511" t="str">
            <v>CODIGO</v>
          </cell>
          <cell r="B3511" t="str">
            <v>RECURSOS</v>
          </cell>
          <cell r="C3511" t="str">
            <v>UNIDAD</v>
          </cell>
          <cell r="D3511" t="str">
            <v>CANT.</v>
          </cell>
        </row>
        <row r="3512">
          <cell r="B3512" t="str">
            <v>MATERIALES</v>
          </cell>
        </row>
        <row r="3513">
          <cell r="B3513">
            <v>0</v>
          </cell>
          <cell r="C3513">
            <v>0</v>
          </cell>
        </row>
        <row r="3514">
          <cell r="B3514">
            <v>0</v>
          </cell>
          <cell r="C3514">
            <v>0</v>
          </cell>
        </row>
        <row r="3515">
          <cell r="B3515">
            <v>0</v>
          </cell>
          <cell r="C3515">
            <v>0</v>
          </cell>
        </row>
        <row r="3516">
          <cell r="B3516">
            <v>0</v>
          </cell>
          <cell r="C3516">
            <v>0</v>
          </cell>
        </row>
        <row r="3518">
          <cell r="B3518" t="str">
            <v>EQUIPO</v>
          </cell>
        </row>
        <row r="3519">
          <cell r="B3519" t="str">
            <v>HTA MENOR (5% de M. de O.)</v>
          </cell>
        </row>
        <row r="3520">
          <cell r="A3520">
            <v>0</v>
          </cell>
          <cell r="B3520">
            <v>0</v>
          </cell>
          <cell r="C3520">
            <v>0</v>
          </cell>
        </row>
        <row r="3521">
          <cell r="A3521">
            <v>0</v>
          </cell>
          <cell r="B3521">
            <v>0</v>
          </cell>
          <cell r="C3521">
            <v>0</v>
          </cell>
        </row>
        <row r="3522">
          <cell r="A3522">
            <v>0</v>
          </cell>
          <cell r="B3522">
            <v>0</v>
          </cell>
          <cell r="C3522">
            <v>0</v>
          </cell>
        </row>
        <row r="3524">
          <cell r="B3524" t="str">
            <v>MANO DE OBRA</v>
          </cell>
        </row>
        <row r="3525">
          <cell r="B3525">
            <v>0</v>
          </cell>
          <cell r="C3525">
            <v>0</v>
          </cell>
        </row>
        <row r="3526">
          <cell r="A3526">
            <v>0</v>
          </cell>
          <cell r="B3526">
            <v>0</v>
          </cell>
          <cell r="C3526">
            <v>0</v>
          </cell>
        </row>
        <row r="3527">
          <cell r="A3527">
            <v>0</v>
          </cell>
          <cell r="B3527">
            <v>0</v>
          </cell>
          <cell r="C3527">
            <v>0</v>
          </cell>
        </row>
        <row r="3528">
          <cell r="A3528">
            <v>0</v>
          </cell>
          <cell r="B3528">
            <v>0</v>
          </cell>
          <cell r="C3528">
            <v>0</v>
          </cell>
        </row>
        <row r="3530">
          <cell r="B3530" t="str">
            <v>TRANSPORTE</v>
          </cell>
        </row>
        <row r="3532">
          <cell r="A3532">
            <v>0</v>
          </cell>
          <cell r="B3532">
            <v>0</v>
          </cell>
          <cell r="C3532">
            <v>0</v>
          </cell>
        </row>
        <row r="3533">
          <cell r="A3533">
            <v>0</v>
          </cell>
          <cell r="B3533">
            <v>0</v>
          </cell>
          <cell r="C3533">
            <v>0</v>
          </cell>
        </row>
        <row r="3534">
          <cell r="A3534">
            <v>0</v>
          </cell>
          <cell r="B3534">
            <v>0</v>
          </cell>
          <cell r="C3534">
            <v>0</v>
          </cell>
        </row>
        <row r="3539">
          <cell r="A3539" t="str">
            <v>CODIGO</v>
          </cell>
          <cell r="B3539" t="str">
            <v>ITEM</v>
          </cell>
          <cell r="C3539" t="str">
            <v>UNIDAD</v>
          </cell>
        </row>
        <row r="3540">
          <cell r="D3540">
            <v>0</v>
          </cell>
        </row>
        <row r="3541">
          <cell r="B3541" t="str">
            <v>CODIGO</v>
          </cell>
        </row>
        <row r="3542">
          <cell r="A3542" t="str">
            <v>CODIGO</v>
          </cell>
          <cell r="B3542" t="str">
            <v>RECURSOS</v>
          </cell>
          <cell r="C3542" t="str">
            <v>UNIDAD</v>
          </cell>
          <cell r="D3542" t="str">
            <v>CANT.</v>
          </cell>
        </row>
        <row r="3543">
          <cell r="B3543" t="str">
            <v>MATERIALES</v>
          </cell>
        </row>
        <row r="3544">
          <cell r="B3544">
            <v>0</v>
          </cell>
          <cell r="C3544">
            <v>0</v>
          </cell>
        </row>
        <row r="3545">
          <cell r="B3545">
            <v>0</v>
          </cell>
          <cell r="C3545">
            <v>0</v>
          </cell>
        </row>
        <row r="3546">
          <cell r="B3546">
            <v>0</v>
          </cell>
          <cell r="C3546">
            <v>0</v>
          </cell>
        </row>
        <row r="3547">
          <cell r="B3547">
            <v>0</v>
          </cell>
          <cell r="C3547">
            <v>0</v>
          </cell>
        </row>
        <row r="3549">
          <cell r="B3549" t="str">
            <v>EQUIPO</v>
          </cell>
        </row>
        <row r="3550">
          <cell r="B3550" t="str">
            <v>HTA MENOR (5% de M. de O.)</v>
          </cell>
        </row>
        <row r="3551">
          <cell r="A3551">
            <v>0</v>
          </cell>
          <cell r="B3551">
            <v>0</v>
          </cell>
          <cell r="C3551">
            <v>0</v>
          </cell>
        </row>
        <row r="3552">
          <cell r="A3552">
            <v>0</v>
          </cell>
          <cell r="B3552">
            <v>0</v>
          </cell>
          <cell r="C3552">
            <v>0</v>
          </cell>
        </row>
        <row r="3553">
          <cell r="A3553">
            <v>0</v>
          </cell>
          <cell r="B3553">
            <v>0</v>
          </cell>
          <cell r="C3553">
            <v>0</v>
          </cell>
        </row>
        <row r="3555">
          <cell r="B3555" t="str">
            <v>MANO DE OBRA</v>
          </cell>
        </row>
        <row r="3556">
          <cell r="B3556">
            <v>0</v>
          </cell>
          <cell r="C3556">
            <v>0</v>
          </cell>
        </row>
        <row r="3557">
          <cell r="A3557">
            <v>0</v>
          </cell>
          <cell r="B3557">
            <v>0</v>
          </cell>
          <cell r="C3557">
            <v>0</v>
          </cell>
        </row>
        <row r="3558">
          <cell r="A3558">
            <v>0</v>
          </cell>
          <cell r="B3558">
            <v>0</v>
          </cell>
          <cell r="C3558">
            <v>0</v>
          </cell>
        </row>
        <row r="3559">
          <cell r="A3559">
            <v>0</v>
          </cell>
          <cell r="B3559">
            <v>0</v>
          </cell>
          <cell r="C3559">
            <v>0</v>
          </cell>
        </row>
        <row r="3561">
          <cell r="B3561" t="str">
            <v>TRANSPORTE</v>
          </cell>
        </row>
        <row r="3563">
          <cell r="A3563">
            <v>0</v>
          </cell>
          <cell r="B3563">
            <v>0</v>
          </cell>
          <cell r="C3563">
            <v>0</v>
          </cell>
        </row>
        <row r="3564">
          <cell r="A3564">
            <v>0</v>
          </cell>
          <cell r="B3564">
            <v>0</v>
          </cell>
          <cell r="C3564">
            <v>0</v>
          </cell>
        </row>
        <row r="3565">
          <cell r="A3565">
            <v>0</v>
          </cell>
          <cell r="B3565">
            <v>0</v>
          </cell>
          <cell r="C3565">
            <v>0</v>
          </cell>
        </row>
        <row r="3571">
          <cell r="A3571" t="str">
            <v>CODIGO</v>
          </cell>
          <cell r="B3571" t="str">
            <v>ITEM</v>
          </cell>
          <cell r="C3571" t="str">
            <v>UNIDAD</v>
          </cell>
        </row>
        <row r="3572">
          <cell r="D3572">
            <v>0</v>
          </cell>
        </row>
        <row r="3573">
          <cell r="B3573" t="str">
            <v>CODIGO</v>
          </cell>
        </row>
        <row r="3574">
          <cell r="A3574" t="str">
            <v>CODIGO</v>
          </cell>
          <cell r="B3574" t="str">
            <v>RECURSOS</v>
          </cell>
          <cell r="C3574" t="str">
            <v>UNIDAD</v>
          </cell>
          <cell r="D3574" t="str">
            <v>CANT.</v>
          </cell>
        </row>
        <row r="3575">
          <cell r="B3575" t="str">
            <v>MATERIALES</v>
          </cell>
        </row>
        <row r="3576">
          <cell r="B3576">
            <v>0</v>
          </cell>
          <cell r="C3576">
            <v>0</v>
          </cell>
        </row>
        <row r="3577">
          <cell r="B3577">
            <v>0</v>
          </cell>
          <cell r="C3577">
            <v>0</v>
          </cell>
        </row>
        <row r="3578">
          <cell r="B3578">
            <v>0</v>
          </cell>
          <cell r="C3578">
            <v>0</v>
          </cell>
        </row>
        <row r="3579">
          <cell r="B3579">
            <v>0</v>
          </cell>
          <cell r="C3579">
            <v>0</v>
          </cell>
        </row>
        <row r="3581">
          <cell r="B3581" t="str">
            <v>EQUIPO</v>
          </cell>
        </row>
        <row r="3582">
          <cell r="B3582" t="str">
            <v>HTA MENOR (5% de M. de O.)</v>
          </cell>
        </row>
        <row r="3583">
          <cell r="A3583">
            <v>0</v>
          </cell>
          <cell r="B3583">
            <v>0</v>
          </cell>
          <cell r="C3583">
            <v>0</v>
          </cell>
        </row>
        <row r="3584">
          <cell r="A3584">
            <v>0</v>
          </cell>
          <cell r="B3584">
            <v>0</v>
          </cell>
          <cell r="C3584">
            <v>0</v>
          </cell>
        </row>
        <row r="3585">
          <cell r="A3585">
            <v>0</v>
          </cell>
          <cell r="B3585">
            <v>0</v>
          </cell>
          <cell r="C3585">
            <v>0</v>
          </cell>
        </row>
        <row r="3587">
          <cell r="B3587" t="str">
            <v>MANO DE OBRA</v>
          </cell>
        </row>
        <row r="3588">
          <cell r="B3588">
            <v>0</v>
          </cell>
          <cell r="C3588">
            <v>0</v>
          </cell>
        </row>
        <row r="3589">
          <cell r="A3589">
            <v>0</v>
          </cell>
          <cell r="B3589">
            <v>0</v>
          </cell>
          <cell r="C3589">
            <v>0</v>
          </cell>
        </row>
        <row r="3590">
          <cell r="A3590">
            <v>0</v>
          </cell>
          <cell r="B3590">
            <v>0</v>
          </cell>
          <cell r="C3590">
            <v>0</v>
          </cell>
        </row>
        <row r="3591">
          <cell r="A3591">
            <v>0</v>
          </cell>
          <cell r="B3591">
            <v>0</v>
          </cell>
          <cell r="C3591">
            <v>0</v>
          </cell>
        </row>
        <row r="3593">
          <cell r="B3593" t="str">
            <v>TRANSPORTE</v>
          </cell>
        </row>
        <row r="3595">
          <cell r="A3595">
            <v>0</v>
          </cell>
          <cell r="B3595">
            <v>0</v>
          </cell>
          <cell r="C3595">
            <v>0</v>
          </cell>
        </row>
        <row r="3596">
          <cell r="A3596">
            <v>0</v>
          </cell>
          <cell r="B3596">
            <v>0</v>
          </cell>
          <cell r="C3596">
            <v>0</v>
          </cell>
        </row>
        <row r="3597">
          <cell r="A3597">
            <v>0</v>
          </cell>
          <cell r="B3597">
            <v>0</v>
          </cell>
          <cell r="C3597">
            <v>0</v>
          </cell>
        </row>
        <row r="3602">
          <cell r="A3602" t="str">
            <v>CODIGO</v>
          </cell>
          <cell r="B3602" t="str">
            <v>ITEM</v>
          </cell>
          <cell r="C3602" t="str">
            <v>UNIDAD</v>
          </cell>
        </row>
        <row r="3603">
          <cell r="D3603">
            <v>0</v>
          </cell>
        </row>
        <row r="3604">
          <cell r="B3604" t="str">
            <v>CODIGO</v>
          </cell>
        </row>
        <row r="3605">
          <cell r="A3605" t="str">
            <v>CODIGO</v>
          </cell>
          <cell r="B3605" t="str">
            <v>RECURSOS</v>
          </cell>
          <cell r="C3605" t="str">
            <v>UNIDAD</v>
          </cell>
          <cell r="D3605" t="str">
            <v>CANT.</v>
          </cell>
        </row>
        <row r="3606">
          <cell r="B3606" t="str">
            <v>MATERIALES</v>
          </cell>
        </row>
        <row r="3607">
          <cell r="B3607">
            <v>0</v>
          </cell>
          <cell r="C3607">
            <v>0</v>
          </cell>
        </row>
        <row r="3608">
          <cell r="B3608">
            <v>0</v>
          </cell>
          <cell r="C3608">
            <v>0</v>
          </cell>
        </row>
        <row r="3609">
          <cell r="B3609">
            <v>0</v>
          </cell>
          <cell r="C3609">
            <v>0</v>
          </cell>
        </row>
        <row r="3610">
          <cell r="B3610">
            <v>0</v>
          </cell>
          <cell r="C3610">
            <v>0</v>
          </cell>
        </row>
        <row r="3612">
          <cell r="B3612" t="str">
            <v>EQUIPO</v>
          </cell>
        </row>
        <row r="3613">
          <cell r="B3613" t="str">
            <v>HTA MENOR (5% de M. de O.)</v>
          </cell>
        </row>
        <row r="3614">
          <cell r="A3614">
            <v>0</v>
          </cell>
          <cell r="B3614">
            <v>0</v>
          </cell>
          <cell r="C3614">
            <v>0</v>
          </cell>
        </row>
        <row r="3615">
          <cell r="A3615">
            <v>0</v>
          </cell>
          <cell r="B3615">
            <v>0</v>
          </cell>
          <cell r="C3615">
            <v>0</v>
          </cell>
        </row>
        <row r="3616">
          <cell r="A3616">
            <v>0</v>
          </cell>
          <cell r="B3616">
            <v>0</v>
          </cell>
          <cell r="C3616">
            <v>0</v>
          </cell>
        </row>
        <row r="3618">
          <cell r="B3618" t="str">
            <v>MANO DE OBRA</v>
          </cell>
        </row>
        <row r="3619">
          <cell r="B3619">
            <v>0</v>
          </cell>
          <cell r="C3619">
            <v>0</v>
          </cell>
        </row>
        <row r="3620">
          <cell r="A3620">
            <v>0</v>
          </cell>
          <cell r="B3620">
            <v>0</v>
          </cell>
          <cell r="C3620">
            <v>0</v>
          </cell>
        </row>
        <row r="3621">
          <cell r="A3621">
            <v>0</v>
          </cell>
          <cell r="B3621">
            <v>0</v>
          </cell>
          <cell r="C3621">
            <v>0</v>
          </cell>
        </row>
        <row r="3622">
          <cell r="A3622">
            <v>0</v>
          </cell>
          <cell r="B3622">
            <v>0</v>
          </cell>
          <cell r="C3622">
            <v>0</v>
          </cell>
        </row>
        <row r="3624">
          <cell r="B3624" t="str">
            <v>TRANSPORTE</v>
          </cell>
        </row>
        <row r="3626">
          <cell r="A3626">
            <v>0</v>
          </cell>
          <cell r="B3626">
            <v>0</v>
          </cell>
          <cell r="C3626">
            <v>0</v>
          </cell>
        </row>
        <row r="3627">
          <cell r="A3627">
            <v>0</v>
          </cell>
          <cell r="B3627">
            <v>0</v>
          </cell>
          <cell r="C3627">
            <v>0</v>
          </cell>
        </row>
        <row r="3628">
          <cell r="A3628">
            <v>0</v>
          </cell>
          <cell r="B3628">
            <v>0</v>
          </cell>
          <cell r="C3628">
            <v>0</v>
          </cell>
        </row>
        <row r="3633">
          <cell r="A3633" t="str">
            <v>CODIGO</v>
          </cell>
          <cell r="B3633" t="str">
            <v>ITEM</v>
          </cell>
          <cell r="C3633" t="str">
            <v>UNIDAD</v>
          </cell>
        </row>
        <row r="3634">
          <cell r="D3634">
            <v>0</v>
          </cell>
        </row>
        <row r="3635">
          <cell r="B3635" t="str">
            <v>CODIGO</v>
          </cell>
        </row>
        <row r="3636">
          <cell r="A3636" t="str">
            <v>CODIGO</v>
          </cell>
          <cell r="B3636" t="str">
            <v>RECURSOS</v>
          </cell>
          <cell r="C3636" t="str">
            <v>UNIDAD</v>
          </cell>
          <cell r="D3636" t="str">
            <v>CANT.</v>
          </cell>
        </row>
        <row r="3637">
          <cell r="B3637" t="str">
            <v>MATERIALES</v>
          </cell>
        </row>
        <row r="3638">
          <cell r="B3638">
            <v>0</v>
          </cell>
          <cell r="C3638">
            <v>0</v>
          </cell>
        </row>
        <row r="3639">
          <cell r="B3639">
            <v>0</v>
          </cell>
          <cell r="C3639">
            <v>0</v>
          </cell>
        </row>
        <row r="3640">
          <cell r="B3640">
            <v>0</v>
          </cell>
          <cell r="C3640">
            <v>0</v>
          </cell>
        </row>
        <row r="3641">
          <cell r="B3641">
            <v>0</v>
          </cell>
          <cell r="C3641">
            <v>0</v>
          </cell>
        </row>
        <row r="3643">
          <cell r="B3643" t="str">
            <v>EQUIPO</v>
          </cell>
        </row>
        <row r="3644">
          <cell r="B3644" t="str">
            <v>HTA MENOR (5% de M. de O.)</v>
          </cell>
        </row>
        <row r="3645">
          <cell r="A3645">
            <v>0</v>
          </cell>
          <cell r="B3645">
            <v>0</v>
          </cell>
          <cell r="C3645">
            <v>0</v>
          </cell>
        </row>
        <row r="3646">
          <cell r="A3646">
            <v>0</v>
          </cell>
          <cell r="B3646">
            <v>0</v>
          </cell>
          <cell r="C3646">
            <v>0</v>
          </cell>
        </row>
        <row r="3647">
          <cell r="A3647">
            <v>0</v>
          </cell>
          <cell r="B3647">
            <v>0</v>
          </cell>
          <cell r="C3647">
            <v>0</v>
          </cell>
        </row>
        <row r="3649">
          <cell r="B3649" t="str">
            <v>MANO DE OBRA</v>
          </cell>
        </row>
        <row r="3650">
          <cell r="B3650">
            <v>0</v>
          </cell>
          <cell r="C3650">
            <v>0</v>
          </cell>
        </row>
        <row r="3651">
          <cell r="A3651">
            <v>0</v>
          </cell>
          <cell r="B3651">
            <v>0</v>
          </cell>
          <cell r="C3651">
            <v>0</v>
          </cell>
        </row>
        <row r="3652">
          <cell r="A3652">
            <v>0</v>
          </cell>
          <cell r="B3652">
            <v>0</v>
          </cell>
          <cell r="C3652">
            <v>0</v>
          </cell>
        </row>
        <row r="3653">
          <cell r="A3653">
            <v>0</v>
          </cell>
          <cell r="B3653">
            <v>0</v>
          </cell>
          <cell r="C3653">
            <v>0</v>
          </cell>
        </row>
        <row r="3655">
          <cell r="B3655" t="str">
            <v>TRANSPORTE</v>
          </cell>
        </row>
        <row r="3657">
          <cell r="A3657">
            <v>0</v>
          </cell>
          <cell r="B3657">
            <v>0</v>
          </cell>
          <cell r="C3657">
            <v>0</v>
          </cell>
        </row>
        <row r="3658">
          <cell r="A3658">
            <v>0</v>
          </cell>
          <cell r="B3658">
            <v>0</v>
          </cell>
          <cell r="C3658">
            <v>0</v>
          </cell>
        </row>
        <row r="3659">
          <cell r="A3659">
            <v>0</v>
          </cell>
          <cell r="B3659">
            <v>0</v>
          </cell>
          <cell r="C3659">
            <v>0</v>
          </cell>
        </row>
        <row r="3664">
          <cell r="A3664" t="str">
            <v>CODIGO</v>
          </cell>
          <cell r="B3664" t="str">
            <v>ITEM</v>
          </cell>
          <cell r="C3664" t="str">
            <v>UNIDAD</v>
          </cell>
        </row>
        <row r="3665">
          <cell r="D3665">
            <v>0</v>
          </cell>
        </row>
        <row r="3666">
          <cell r="B3666" t="str">
            <v>CODIGO</v>
          </cell>
        </row>
        <row r="3667">
          <cell r="A3667" t="str">
            <v>CODIGO</v>
          </cell>
          <cell r="B3667" t="str">
            <v>RECURSOS</v>
          </cell>
          <cell r="C3667" t="str">
            <v>UNIDAD</v>
          </cell>
          <cell r="D3667" t="str">
            <v>CANT.</v>
          </cell>
        </row>
        <row r="3668">
          <cell r="B3668" t="str">
            <v>MATERIALES</v>
          </cell>
        </row>
        <row r="3669">
          <cell r="B3669">
            <v>0</v>
          </cell>
          <cell r="C3669">
            <v>0</v>
          </cell>
        </row>
        <row r="3670">
          <cell r="B3670">
            <v>0</v>
          </cell>
          <cell r="C3670">
            <v>0</v>
          </cell>
        </row>
        <row r="3671">
          <cell r="B3671">
            <v>0</v>
          </cell>
          <cell r="C3671">
            <v>0</v>
          </cell>
        </row>
        <row r="3672">
          <cell r="B3672">
            <v>0</v>
          </cell>
          <cell r="C3672">
            <v>0</v>
          </cell>
        </row>
        <row r="3674">
          <cell r="B3674" t="str">
            <v>EQUIPO</v>
          </cell>
        </row>
        <row r="3675">
          <cell r="B3675" t="str">
            <v>HTA MENOR (5% de M. de O.)</v>
          </cell>
        </row>
        <row r="3676">
          <cell r="A3676">
            <v>0</v>
          </cell>
          <cell r="B3676">
            <v>0</v>
          </cell>
          <cell r="C3676">
            <v>0</v>
          </cell>
        </row>
        <row r="3677">
          <cell r="A3677">
            <v>0</v>
          </cell>
          <cell r="B3677">
            <v>0</v>
          </cell>
          <cell r="C3677">
            <v>0</v>
          </cell>
        </row>
        <row r="3678">
          <cell r="A3678">
            <v>0</v>
          </cell>
          <cell r="B3678">
            <v>0</v>
          </cell>
          <cell r="C3678">
            <v>0</v>
          </cell>
        </row>
        <row r="3680">
          <cell r="B3680" t="str">
            <v>MANO DE OBRA</v>
          </cell>
        </row>
        <row r="3681">
          <cell r="B3681">
            <v>0</v>
          </cell>
          <cell r="C3681">
            <v>0</v>
          </cell>
        </row>
        <row r="3682">
          <cell r="A3682">
            <v>0</v>
          </cell>
          <cell r="B3682">
            <v>0</v>
          </cell>
          <cell r="C3682">
            <v>0</v>
          </cell>
        </row>
        <row r="3683">
          <cell r="A3683">
            <v>0</v>
          </cell>
          <cell r="B3683">
            <v>0</v>
          </cell>
          <cell r="C3683">
            <v>0</v>
          </cell>
        </row>
        <row r="3684">
          <cell r="A3684">
            <v>0</v>
          </cell>
          <cell r="B3684">
            <v>0</v>
          </cell>
          <cell r="C3684">
            <v>0</v>
          </cell>
        </row>
        <row r="3686">
          <cell r="B3686" t="str">
            <v>TRANSPORTE</v>
          </cell>
        </row>
        <row r="3688">
          <cell r="A3688">
            <v>0</v>
          </cell>
          <cell r="B3688">
            <v>0</v>
          </cell>
          <cell r="C3688">
            <v>0</v>
          </cell>
        </row>
        <row r="3689">
          <cell r="A3689">
            <v>0</v>
          </cell>
          <cell r="B3689">
            <v>0</v>
          </cell>
          <cell r="C3689">
            <v>0</v>
          </cell>
        </row>
        <row r="3690">
          <cell r="A3690">
            <v>0</v>
          </cell>
          <cell r="B3690">
            <v>0</v>
          </cell>
          <cell r="C3690">
            <v>0</v>
          </cell>
        </row>
        <row r="3695">
          <cell r="A3695" t="str">
            <v>CODIGO</v>
          </cell>
          <cell r="B3695" t="str">
            <v>ITEM</v>
          </cell>
          <cell r="C3695" t="str">
            <v>UNIDAD</v>
          </cell>
        </row>
        <row r="3696">
          <cell r="D3696">
            <v>0</v>
          </cell>
        </row>
        <row r="3697">
          <cell r="B3697" t="str">
            <v>CODIGO</v>
          </cell>
        </row>
        <row r="3698">
          <cell r="A3698" t="str">
            <v>CODIGO</v>
          </cell>
          <cell r="B3698" t="str">
            <v>RECURSOS</v>
          </cell>
          <cell r="C3698" t="str">
            <v>UNIDAD</v>
          </cell>
          <cell r="D3698" t="str">
            <v>CANT.</v>
          </cell>
        </row>
        <row r="3699">
          <cell r="B3699" t="str">
            <v>MATERIALES</v>
          </cell>
        </row>
        <row r="3700">
          <cell r="B3700">
            <v>0</v>
          </cell>
          <cell r="C3700">
            <v>0</v>
          </cell>
        </row>
        <row r="3701">
          <cell r="B3701">
            <v>0</v>
          </cell>
          <cell r="C3701">
            <v>0</v>
          </cell>
        </row>
        <row r="3702">
          <cell r="B3702">
            <v>0</v>
          </cell>
          <cell r="C3702">
            <v>0</v>
          </cell>
        </row>
        <row r="3703">
          <cell r="B3703">
            <v>0</v>
          </cell>
          <cell r="C3703">
            <v>0</v>
          </cell>
        </row>
        <row r="3705">
          <cell r="B3705" t="str">
            <v>EQUIPO</v>
          </cell>
        </row>
        <row r="3706">
          <cell r="B3706" t="str">
            <v>HTA MENOR (5% de M. de O.)</v>
          </cell>
        </row>
        <row r="3707">
          <cell r="A3707">
            <v>0</v>
          </cell>
          <cell r="B3707">
            <v>0</v>
          </cell>
          <cell r="C3707">
            <v>0</v>
          </cell>
        </row>
        <row r="3708">
          <cell r="A3708">
            <v>0</v>
          </cell>
          <cell r="B3708">
            <v>0</v>
          </cell>
          <cell r="C3708">
            <v>0</v>
          </cell>
        </row>
        <row r="3709">
          <cell r="A3709">
            <v>0</v>
          </cell>
          <cell r="B3709">
            <v>0</v>
          </cell>
          <cell r="C3709">
            <v>0</v>
          </cell>
        </row>
        <row r="3711">
          <cell r="B3711" t="str">
            <v>MANO DE OBRA</v>
          </cell>
        </row>
        <row r="3712">
          <cell r="B3712">
            <v>0</v>
          </cell>
          <cell r="C3712">
            <v>0</v>
          </cell>
        </row>
        <row r="3713">
          <cell r="A3713">
            <v>0</v>
          </cell>
          <cell r="B3713">
            <v>0</v>
          </cell>
          <cell r="C3713">
            <v>0</v>
          </cell>
        </row>
        <row r="3714">
          <cell r="A3714">
            <v>0</v>
          </cell>
          <cell r="B3714">
            <v>0</v>
          </cell>
          <cell r="C3714">
            <v>0</v>
          </cell>
        </row>
        <row r="3715">
          <cell r="A3715">
            <v>0</v>
          </cell>
          <cell r="B3715">
            <v>0</v>
          </cell>
          <cell r="C3715">
            <v>0</v>
          </cell>
        </row>
        <row r="3717">
          <cell r="B3717" t="str">
            <v>TRANSPORTE</v>
          </cell>
        </row>
        <row r="3719">
          <cell r="A3719">
            <v>0</v>
          </cell>
          <cell r="B3719">
            <v>0</v>
          </cell>
          <cell r="C3719">
            <v>0</v>
          </cell>
        </row>
        <row r="3720">
          <cell r="A3720">
            <v>0</v>
          </cell>
          <cell r="B3720">
            <v>0</v>
          </cell>
          <cell r="C3720">
            <v>0</v>
          </cell>
        </row>
        <row r="3721">
          <cell r="A3721">
            <v>0</v>
          </cell>
          <cell r="B3721">
            <v>0</v>
          </cell>
          <cell r="C3721">
            <v>0</v>
          </cell>
        </row>
        <row r="3726">
          <cell r="A3726" t="str">
            <v>CODIGO</v>
          </cell>
          <cell r="B3726" t="str">
            <v>ITEM</v>
          </cell>
          <cell r="C3726" t="str">
            <v>UNIDAD</v>
          </cell>
        </row>
        <row r="3727">
          <cell r="D3727">
            <v>0</v>
          </cell>
        </row>
        <row r="3728">
          <cell r="B3728" t="str">
            <v>CODIGO</v>
          </cell>
        </row>
        <row r="3729">
          <cell r="A3729" t="str">
            <v>CODIGO</v>
          </cell>
          <cell r="B3729" t="str">
            <v>RECURSOS</v>
          </cell>
          <cell r="C3729" t="str">
            <v>UNIDAD</v>
          </cell>
          <cell r="D3729" t="str">
            <v>CANT.</v>
          </cell>
        </row>
        <row r="3730">
          <cell r="B3730" t="str">
            <v>MATERIALES</v>
          </cell>
        </row>
        <row r="3731">
          <cell r="B3731">
            <v>0</v>
          </cell>
          <cell r="C3731">
            <v>0</v>
          </cell>
        </row>
        <row r="3732">
          <cell r="B3732">
            <v>0</v>
          </cell>
          <cell r="C3732">
            <v>0</v>
          </cell>
        </row>
        <row r="3733">
          <cell r="B3733">
            <v>0</v>
          </cell>
          <cell r="C3733">
            <v>0</v>
          </cell>
        </row>
        <row r="3734">
          <cell r="B3734">
            <v>0</v>
          </cell>
          <cell r="C3734">
            <v>0</v>
          </cell>
        </row>
        <row r="3736">
          <cell r="B3736" t="str">
            <v>EQUIPO</v>
          </cell>
        </row>
        <row r="3737">
          <cell r="B3737" t="str">
            <v>HTA MENOR (5% de M. de O.)</v>
          </cell>
        </row>
        <row r="3738">
          <cell r="A3738">
            <v>0</v>
          </cell>
          <cell r="B3738">
            <v>0</v>
          </cell>
          <cell r="C3738">
            <v>0</v>
          </cell>
        </row>
        <row r="3739">
          <cell r="A3739">
            <v>0</v>
          </cell>
          <cell r="B3739">
            <v>0</v>
          </cell>
          <cell r="C3739">
            <v>0</v>
          </cell>
        </row>
        <row r="3740">
          <cell r="A3740">
            <v>0</v>
          </cell>
          <cell r="B3740">
            <v>0</v>
          </cell>
          <cell r="C3740">
            <v>0</v>
          </cell>
        </row>
        <row r="3742">
          <cell r="B3742" t="str">
            <v>MANO DE OBRA</v>
          </cell>
        </row>
        <row r="3743">
          <cell r="B3743">
            <v>0</v>
          </cell>
          <cell r="C3743">
            <v>0</v>
          </cell>
        </row>
        <row r="3744">
          <cell r="A3744">
            <v>0</v>
          </cell>
          <cell r="B3744">
            <v>0</v>
          </cell>
          <cell r="C3744">
            <v>0</v>
          </cell>
        </row>
        <row r="3745">
          <cell r="A3745">
            <v>0</v>
          </cell>
          <cell r="B3745">
            <v>0</v>
          </cell>
          <cell r="C3745">
            <v>0</v>
          </cell>
        </row>
        <row r="3746">
          <cell r="A3746">
            <v>0</v>
          </cell>
          <cell r="B3746">
            <v>0</v>
          </cell>
          <cell r="C3746">
            <v>0</v>
          </cell>
        </row>
        <row r="3748">
          <cell r="B3748" t="str">
            <v>TRANSPORTE</v>
          </cell>
        </row>
        <row r="3750">
          <cell r="A3750">
            <v>0</v>
          </cell>
          <cell r="B3750">
            <v>0</v>
          </cell>
          <cell r="C3750">
            <v>0</v>
          </cell>
        </row>
        <row r="3751">
          <cell r="A3751">
            <v>0</v>
          </cell>
          <cell r="B3751">
            <v>0</v>
          </cell>
          <cell r="C3751">
            <v>0</v>
          </cell>
        </row>
        <row r="3752">
          <cell r="A3752">
            <v>0</v>
          </cell>
          <cell r="B3752">
            <v>0</v>
          </cell>
          <cell r="C3752">
            <v>0</v>
          </cell>
        </row>
        <row r="3757">
          <cell r="A3757" t="str">
            <v>CODIGO</v>
          </cell>
          <cell r="B3757" t="str">
            <v>ITEM</v>
          </cell>
          <cell r="C3757" t="str">
            <v>UNIDAD</v>
          </cell>
        </row>
        <row r="3758">
          <cell r="D3758">
            <v>0</v>
          </cell>
        </row>
        <row r="3759">
          <cell r="B3759" t="str">
            <v>CODIGO</v>
          </cell>
        </row>
        <row r="3760">
          <cell r="A3760" t="str">
            <v>CODIGO</v>
          </cell>
          <cell r="B3760" t="str">
            <v>RECURSOS</v>
          </cell>
          <cell r="C3760" t="str">
            <v>UNIDAD</v>
          </cell>
          <cell r="D3760" t="str">
            <v>CANT.</v>
          </cell>
        </row>
        <row r="3761">
          <cell r="B3761" t="str">
            <v>MATERIALES</v>
          </cell>
        </row>
        <row r="3762">
          <cell r="B3762">
            <v>0</v>
          </cell>
          <cell r="C3762">
            <v>0</v>
          </cell>
        </row>
        <row r="3763">
          <cell r="B3763">
            <v>0</v>
          </cell>
          <cell r="C3763">
            <v>0</v>
          </cell>
        </row>
        <row r="3764">
          <cell r="B3764">
            <v>0</v>
          </cell>
          <cell r="C3764">
            <v>0</v>
          </cell>
        </row>
        <row r="3765">
          <cell r="B3765">
            <v>0</v>
          </cell>
          <cell r="C3765">
            <v>0</v>
          </cell>
        </row>
        <row r="3767">
          <cell r="B3767" t="str">
            <v>EQUIPO</v>
          </cell>
        </row>
        <row r="3768">
          <cell r="B3768" t="str">
            <v>HTA MENOR (5% de M. de O.)</v>
          </cell>
        </row>
        <row r="3769">
          <cell r="A3769">
            <v>0</v>
          </cell>
          <cell r="B3769">
            <v>0</v>
          </cell>
          <cell r="C3769">
            <v>0</v>
          </cell>
        </row>
        <row r="3770">
          <cell r="A3770">
            <v>0</v>
          </cell>
          <cell r="B3770">
            <v>0</v>
          </cell>
          <cell r="C3770">
            <v>0</v>
          </cell>
        </row>
        <row r="3771">
          <cell r="A3771">
            <v>0</v>
          </cell>
          <cell r="B3771">
            <v>0</v>
          </cell>
          <cell r="C3771">
            <v>0</v>
          </cell>
        </row>
        <row r="3773">
          <cell r="B3773" t="str">
            <v>MANO DE OBRA</v>
          </cell>
        </row>
        <row r="3774">
          <cell r="B3774">
            <v>0</v>
          </cell>
          <cell r="C3774">
            <v>0</v>
          </cell>
        </row>
        <row r="3775">
          <cell r="A3775">
            <v>0</v>
          </cell>
          <cell r="B3775">
            <v>0</v>
          </cell>
          <cell r="C3775">
            <v>0</v>
          </cell>
        </row>
        <row r="3776">
          <cell r="A3776">
            <v>0</v>
          </cell>
          <cell r="B3776">
            <v>0</v>
          </cell>
          <cell r="C3776">
            <v>0</v>
          </cell>
        </row>
        <row r="3777">
          <cell r="A3777">
            <v>0</v>
          </cell>
          <cell r="B3777">
            <v>0</v>
          </cell>
          <cell r="C3777">
            <v>0</v>
          </cell>
        </row>
        <row r="3779">
          <cell r="B3779" t="str">
            <v>TRANSPORTE</v>
          </cell>
        </row>
        <row r="3781">
          <cell r="A3781">
            <v>0</v>
          </cell>
          <cell r="B3781">
            <v>0</v>
          </cell>
          <cell r="C3781">
            <v>0</v>
          </cell>
        </row>
        <row r="3782">
          <cell r="A3782">
            <v>0</v>
          </cell>
          <cell r="B3782">
            <v>0</v>
          </cell>
          <cell r="C3782">
            <v>0</v>
          </cell>
        </row>
        <row r="3783">
          <cell r="A3783">
            <v>0</v>
          </cell>
          <cell r="B3783">
            <v>0</v>
          </cell>
          <cell r="C3783">
            <v>0</v>
          </cell>
        </row>
        <row r="3788">
          <cell r="A3788" t="str">
            <v>CODIGO</v>
          </cell>
          <cell r="B3788" t="str">
            <v>ITEM</v>
          </cell>
          <cell r="C3788" t="str">
            <v>UNIDAD</v>
          </cell>
        </row>
        <row r="3789">
          <cell r="D3789">
            <v>0</v>
          </cell>
        </row>
        <row r="3790">
          <cell r="B3790" t="str">
            <v>CODIGO</v>
          </cell>
        </row>
        <row r="3791">
          <cell r="A3791" t="str">
            <v>CODIGO</v>
          </cell>
          <cell r="B3791" t="str">
            <v>RECURSOS</v>
          </cell>
          <cell r="C3791" t="str">
            <v>UNIDAD</v>
          </cell>
          <cell r="D3791" t="str">
            <v>CANT.</v>
          </cell>
        </row>
        <row r="3792">
          <cell r="B3792" t="str">
            <v>MATERIALES</v>
          </cell>
        </row>
        <row r="3793">
          <cell r="B3793">
            <v>0</v>
          </cell>
          <cell r="C3793">
            <v>0</v>
          </cell>
        </row>
        <row r="3794">
          <cell r="B3794">
            <v>0</v>
          </cell>
          <cell r="C3794">
            <v>0</v>
          </cell>
        </row>
        <row r="3795">
          <cell r="B3795">
            <v>0</v>
          </cell>
          <cell r="C3795">
            <v>0</v>
          </cell>
        </row>
        <row r="3796">
          <cell r="B3796">
            <v>0</v>
          </cell>
          <cell r="C3796">
            <v>0</v>
          </cell>
        </row>
        <row r="3798">
          <cell r="B3798" t="str">
            <v>EQUIPO</v>
          </cell>
        </row>
        <row r="3799">
          <cell r="B3799" t="str">
            <v>HTA MENOR (5% de M. de O.)</v>
          </cell>
        </row>
        <row r="3800">
          <cell r="A3800">
            <v>0</v>
          </cell>
          <cell r="B3800">
            <v>0</v>
          </cell>
          <cell r="C3800">
            <v>0</v>
          </cell>
        </row>
        <row r="3801">
          <cell r="A3801">
            <v>0</v>
          </cell>
          <cell r="B3801">
            <v>0</v>
          </cell>
          <cell r="C3801">
            <v>0</v>
          </cell>
        </row>
        <row r="3802">
          <cell r="A3802">
            <v>0</v>
          </cell>
          <cell r="B3802">
            <v>0</v>
          </cell>
          <cell r="C3802">
            <v>0</v>
          </cell>
        </row>
        <row r="3804">
          <cell r="B3804" t="str">
            <v>MANO DE OBRA</v>
          </cell>
        </row>
        <row r="3805">
          <cell r="B3805">
            <v>0</v>
          </cell>
          <cell r="C3805">
            <v>0</v>
          </cell>
        </row>
        <row r="3806">
          <cell r="A3806">
            <v>0</v>
          </cell>
          <cell r="B3806">
            <v>0</v>
          </cell>
          <cell r="C3806">
            <v>0</v>
          </cell>
        </row>
        <row r="3807">
          <cell r="A3807">
            <v>0</v>
          </cell>
          <cell r="B3807">
            <v>0</v>
          </cell>
          <cell r="C3807">
            <v>0</v>
          </cell>
        </row>
        <row r="3808">
          <cell r="A3808">
            <v>0</v>
          </cell>
          <cell r="B3808">
            <v>0</v>
          </cell>
          <cell r="C3808">
            <v>0</v>
          </cell>
        </row>
        <row r="3810">
          <cell r="B3810" t="str">
            <v>TRANSPORTE</v>
          </cell>
        </row>
        <row r="3812">
          <cell r="A3812">
            <v>0</v>
          </cell>
          <cell r="B3812">
            <v>0</v>
          </cell>
          <cell r="C3812">
            <v>0</v>
          </cell>
        </row>
        <row r="3813">
          <cell r="A3813">
            <v>0</v>
          </cell>
          <cell r="B3813">
            <v>0</v>
          </cell>
          <cell r="C3813">
            <v>0</v>
          </cell>
        </row>
        <row r="3814">
          <cell r="A3814">
            <v>0</v>
          </cell>
          <cell r="B3814">
            <v>0</v>
          </cell>
          <cell r="C3814">
            <v>0</v>
          </cell>
        </row>
        <row r="3819">
          <cell r="A3819" t="str">
            <v>CODIGO</v>
          </cell>
          <cell r="B3819" t="str">
            <v>ITEM</v>
          </cell>
          <cell r="C3819" t="str">
            <v>UNIDAD</v>
          </cell>
        </row>
        <row r="3820">
          <cell r="D3820">
            <v>0</v>
          </cell>
        </row>
        <row r="3821">
          <cell r="B3821" t="str">
            <v>CODIGO</v>
          </cell>
        </row>
        <row r="3822">
          <cell r="A3822" t="str">
            <v>CODIGO</v>
          </cell>
          <cell r="B3822" t="str">
            <v>RECURSOS</v>
          </cell>
          <cell r="C3822" t="str">
            <v>UNIDAD</v>
          </cell>
          <cell r="D3822" t="str">
            <v>CANT.</v>
          </cell>
        </row>
        <row r="3823">
          <cell r="B3823" t="str">
            <v>MATERIALES</v>
          </cell>
        </row>
        <row r="3824">
          <cell r="B3824">
            <v>0</v>
          </cell>
          <cell r="C3824">
            <v>0</v>
          </cell>
        </row>
        <row r="3825">
          <cell r="B3825">
            <v>0</v>
          </cell>
          <cell r="C3825">
            <v>0</v>
          </cell>
        </row>
        <row r="3826">
          <cell r="B3826">
            <v>0</v>
          </cell>
          <cell r="C3826">
            <v>0</v>
          </cell>
        </row>
        <row r="3827">
          <cell r="B3827">
            <v>0</v>
          </cell>
          <cell r="C3827">
            <v>0</v>
          </cell>
        </row>
        <row r="3829">
          <cell r="B3829" t="str">
            <v>EQUIPO</v>
          </cell>
        </row>
        <row r="3830">
          <cell r="B3830" t="str">
            <v>HTA MENOR (5% de M. de O.)</v>
          </cell>
        </row>
        <row r="3831">
          <cell r="A3831">
            <v>0</v>
          </cell>
          <cell r="B3831">
            <v>0</v>
          </cell>
          <cell r="C3831">
            <v>0</v>
          </cell>
        </row>
        <row r="3832">
          <cell r="A3832">
            <v>0</v>
          </cell>
          <cell r="B3832">
            <v>0</v>
          </cell>
          <cell r="C3832">
            <v>0</v>
          </cell>
        </row>
        <row r="3833">
          <cell r="A3833">
            <v>0</v>
          </cell>
          <cell r="B3833">
            <v>0</v>
          </cell>
          <cell r="C3833">
            <v>0</v>
          </cell>
        </row>
        <row r="3835">
          <cell r="B3835" t="str">
            <v>MANO DE OBRA</v>
          </cell>
        </row>
        <row r="3836">
          <cell r="B3836">
            <v>0</v>
          </cell>
          <cell r="C3836">
            <v>0</v>
          </cell>
        </row>
        <row r="3837">
          <cell r="A3837">
            <v>0</v>
          </cell>
          <cell r="B3837">
            <v>0</v>
          </cell>
          <cell r="C3837">
            <v>0</v>
          </cell>
        </row>
        <row r="3838">
          <cell r="A3838">
            <v>0</v>
          </cell>
          <cell r="B3838">
            <v>0</v>
          </cell>
          <cell r="C3838">
            <v>0</v>
          </cell>
        </row>
        <row r="3839">
          <cell r="A3839">
            <v>0</v>
          </cell>
          <cell r="B3839">
            <v>0</v>
          </cell>
          <cell r="C3839">
            <v>0</v>
          </cell>
        </row>
        <row r="3841">
          <cell r="B3841" t="str">
            <v>TRANSPORTE</v>
          </cell>
        </row>
        <row r="3843">
          <cell r="A3843">
            <v>0</v>
          </cell>
          <cell r="B3843">
            <v>0</v>
          </cell>
          <cell r="C3843">
            <v>0</v>
          </cell>
        </row>
        <row r="3844">
          <cell r="A3844">
            <v>0</v>
          </cell>
          <cell r="B3844">
            <v>0</v>
          </cell>
          <cell r="C3844">
            <v>0</v>
          </cell>
        </row>
        <row r="3845">
          <cell r="A3845">
            <v>0</v>
          </cell>
          <cell r="B3845">
            <v>0</v>
          </cell>
          <cell r="C3845">
            <v>0</v>
          </cell>
        </row>
        <row r="3850">
          <cell r="A3850" t="str">
            <v>CODIGO</v>
          </cell>
          <cell r="B3850" t="str">
            <v>ITEM</v>
          </cell>
          <cell r="C3850" t="str">
            <v>UNIDAD</v>
          </cell>
        </row>
        <row r="3851">
          <cell r="D3851">
            <v>0</v>
          </cell>
        </row>
        <row r="3852">
          <cell r="B3852" t="str">
            <v>CODIGO</v>
          </cell>
        </row>
        <row r="3853">
          <cell r="A3853" t="str">
            <v>CODIGO</v>
          </cell>
          <cell r="B3853" t="str">
            <v>RECURSOS</v>
          </cell>
          <cell r="C3853" t="str">
            <v>UNIDAD</v>
          </cell>
          <cell r="D3853" t="str">
            <v>CANT.</v>
          </cell>
        </row>
        <row r="3854">
          <cell r="B3854" t="str">
            <v>MATERIALES</v>
          </cell>
        </row>
        <row r="3855">
          <cell r="B3855">
            <v>0</v>
          </cell>
          <cell r="C3855">
            <v>0</v>
          </cell>
        </row>
        <row r="3856">
          <cell r="B3856">
            <v>0</v>
          </cell>
          <cell r="C3856">
            <v>0</v>
          </cell>
        </row>
        <row r="3857">
          <cell r="B3857">
            <v>0</v>
          </cell>
          <cell r="C3857">
            <v>0</v>
          </cell>
        </row>
        <row r="3858">
          <cell r="B3858">
            <v>0</v>
          </cell>
          <cell r="C3858">
            <v>0</v>
          </cell>
        </row>
        <row r="3860">
          <cell r="B3860" t="str">
            <v>EQUIPO</v>
          </cell>
        </row>
        <row r="3861">
          <cell r="B3861" t="str">
            <v>HTA MENOR (5% de M. de O.)</v>
          </cell>
        </row>
        <row r="3862">
          <cell r="A3862">
            <v>0</v>
          </cell>
          <cell r="B3862">
            <v>0</v>
          </cell>
          <cell r="C3862">
            <v>0</v>
          </cell>
        </row>
        <row r="3863">
          <cell r="A3863">
            <v>0</v>
          </cell>
          <cell r="B3863">
            <v>0</v>
          </cell>
          <cell r="C3863">
            <v>0</v>
          </cell>
        </row>
        <row r="3864">
          <cell r="A3864">
            <v>0</v>
          </cell>
          <cell r="B3864">
            <v>0</v>
          </cell>
          <cell r="C3864">
            <v>0</v>
          </cell>
        </row>
        <row r="3866">
          <cell r="B3866" t="str">
            <v>MANO DE OBRA</v>
          </cell>
        </row>
        <row r="3867">
          <cell r="B3867">
            <v>0</v>
          </cell>
          <cell r="C3867">
            <v>0</v>
          </cell>
        </row>
        <row r="3868">
          <cell r="A3868">
            <v>0</v>
          </cell>
          <cell r="B3868">
            <v>0</v>
          </cell>
          <cell r="C3868">
            <v>0</v>
          </cell>
        </row>
        <row r="3869">
          <cell r="A3869">
            <v>0</v>
          </cell>
          <cell r="B3869">
            <v>0</v>
          </cell>
          <cell r="C3869">
            <v>0</v>
          </cell>
        </row>
        <row r="3870">
          <cell r="A3870">
            <v>0</v>
          </cell>
          <cell r="B3870">
            <v>0</v>
          </cell>
          <cell r="C3870">
            <v>0</v>
          </cell>
        </row>
        <row r="3872">
          <cell r="B3872" t="str">
            <v>TRANSPORTE</v>
          </cell>
        </row>
        <row r="3874">
          <cell r="A3874">
            <v>0</v>
          </cell>
          <cell r="B3874">
            <v>0</v>
          </cell>
          <cell r="C3874">
            <v>0</v>
          </cell>
        </row>
        <row r="3875">
          <cell r="A3875">
            <v>0</v>
          </cell>
          <cell r="B3875">
            <v>0</v>
          </cell>
          <cell r="C3875">
            <v>0</v>
          </cell>
        </row>
        <row r="3876">
          <cell r="A3876">
            <v>0</v>
          </cell>
          <cell r="B3876">
            <v>0</v>
          </cell>
          <cell r="C3876">
            <v>0</v>
          </cell>
        </row>
        <row r="3881">
          <cell r="A3881" t="str">
            <v>CODIGO</v>
          </cell>
          <cell r="B3881" t="str">
            <v>ITEM</v>
          </cell>
          <cell r="C3881" t="str">
            <v>UNIDAD</v>
          </cell>
        </row>
        <row r="3882">
          <cell r="D3882">
            <v>0</v>
          </cell>
        </row>
        <row r="3883">
          <cell r="B3883" t="str">
            <v>CODIGO</v>
          </cell>
        </row>
        <row r="3884">
          <cell r="A3884" t="str">
            <v>CODIGO</v>
          </cell>
          <cell r="B3884" t="str">
            <v>RECURSOS</v>
          </cell>
          <cell r="C3884" t="str">
            <v>UNIDAD</v>
          </cell>
          <cell r="D3884" t="str">
            <v>CANT.</v>
          </cell>
        </row>
        <row r="3885">
          <cell r="B3885" t="str">
            <v>MATERIALES</v>
          </cell>
        </row>
        <row r="3886">
          <cell r="B3886">
            <v>0</v>
          </cell>
          <cell r="C3886">
            <v>0</v>
          </cell>
        </row>
        <row r="3887">
          <cell r="B3887">
            <v>0</v>
          </cell>
          <cell r="C3887">
            <v>0</v>
          </cell>
        </row>
        <row r="3888">
          <cell r="B3888">
            <v>0</v>
          </cell>
          <cell r="C3888">
            <v>0</v>
          </cell>
        </row>
        <row r="3889">
          <cell r="B3889">
            <v>0</v>
          </cell>
          <cell r="C3889">
            <v>0</v>
          </cell>
        </row>
        <row r="3891">
          <cell r="B3891" t="str">
            <v>EQUIPO</v>
          </cell>
        </row>
        <row r="3892">
          <cell r="B3892" t="str">
            <v>HTA MENOR (5% de M. de O.)</v>
          </cell>
        </row>
        <row r="3893">
          <cell r="A3893">
            <v>0</v>
          </cell>
          <cell r="B3893">
            <v>0</v>
          </cell>
          <cell r="C3893">
            <v>0</v>
          </cell>
        </row>
        <row r="3894">
          <cell r="A3894">
            <v>0</v>
          </cell>
          <cell r="B3894">
            <v>0</v>
          </cell>
          <cell r="C3894">
            <v>0</v>
          </cell>
        </row>
        <row r="3895">
          <cell r="A3895">
            <v>0</v>
          </cell>
          <cell r="B3895">
            <v>0</v>
          </cell>
          <cell r="C3895">
            <v>0</v>
          </cell>
        </row>
        <row r="3897">
          <cell r="B3897" t="str">
            <v>MANO DE OBRA</v>
          </cell>
        </row>
        <row r="3898">
          <cell r="B3898">
            <v>0</v>
          </cell>
          <cell r="C3898">
            <v>0</v>
          </cell>
        </row>
        <row r="3899">
          <cell r="A3899">
            <v>0</v>
          </cell>
          <cell r="B3899">
            <v>0</v>
          </cell>
          <cell r="C3899">
            <v>0</v>
          </cell>
        </row>
        <row r="3900">
          <cell r="A3900">
            <v>0</v>
          </cell>
          <cell r="B3900">
            <v>0</v>
          </cell>
          <cell r="C3900">
            <v>0</v>
          </cell>
        </row>
        <row r="3901">
          <cell r="A3901">
            <v>0</v>
          </cell>
          <cell r="B3901">
            <v>0</v>
          </cell>
          <cell r="C3901">
            <v>0</v>
          </cell>
        </row>
        <row r="3903">
          <cell r="B3903" t="str">
            <v>TRANSPORTE</v>
          </cell>
        </row>
        <row r="3905">
          <cell r="A3905">
            <v>0</v>
          </cell>
          <cell r="B3905">
            <v>0</v>
          </cell>
          <cell r="C3905">
            <v>0</v>
          </cell>
        </row>
        <row r="3906">
          <cell r="A3906">
            <v>0</v>
          </cell>
          <cell r="B3906">
            <v>0</v>
          </cell>
          <cell r="C3906">
            <v>0</v>
          </cell>
        </row>
        <row r="3907">
          <cell r="A3907">
            <v>0</v>
          </cell>
          <cell r="B3907">
            <v>0</v>
          </cell>
          <cell r="C3907">
            <v>0</v>
          </cell>
        </row>
        <row r="3912">
          <cell r="A3912" t="str">
            <v>CODIGO</v>
          </cell>
          <cell r="B3912" t="str">
            <v>ITEM</v>
          </cell>
          <cell r="C3912" t="str">
            <v>UNIDAD</v>
          </cell>
        </row>
        <row r="3913">
          <cell r="D3913">
            <v>0</v>
          </cell>
        </row>
        <row r="3914">
          <cell r="B3914" t="str">
            <v>CODIGO</v>
          </cell>
        </row>
        <row r="3915">
          <cell r="A3915" t="str">
            <v>CODIGO</v>
          </cell>
          <cell r="B3915" t="str">
            <v>RECURSOS</v>
          </cell>
          <cell r="C3915" t="str">
            <v>UNIDAD</v>
          </cell>
          <cell r="D3915" t="str">
            <v>CANT.</v>
          </cell>
        </row>
        <row r="3916">
          <cell r="B3916" t="str">
            <v>MATERIALES</v>
          </cell>
        </row>
        <row r="3917">
          <cell r="B3917">
            <v>0</v>
          </cell>
          <cell r="C3917">
            <v>0</v>
          </cell>
        </row>
        <row r="3918">
          <cell r="B3918">
            <v>0</v>
          </cell>
          <cell r="C3918">
            <v>0</v>
          </cell>
        </row>
        <row r="3919">
          <cell r="B3919">
            <v>0</v>
          </cell>
          <cell r="C3919">
            <v>0</v>
          </cell>
        </row>
        <row r="3920">
          <cell r="B3920">
            <v>0</v>
          </cell>
          <cell r="C3920">
            <v>0</v>
          </cell>
        </row>
        <row r="3922">
          <cell r="B3922" t="str">
            <v>EQUIPO</v>
          </cell>
        </row>
        <row r="3923">
          <cell r="B3923" t="str">
            <v>HTA MENOR (5% de M. de O.)</v>
          </cell>
        </row>
        <row r="3924">
          <cell r="A3924">
            <v>0</v>
          </cell>
          <cell r="B3924">
            <v>0</v>
          </cell>
          <cell r="C3924">
            <v>0</v>
          </cell>
        </row>
        <row r="3925">
          <cell r="A3925">
            <v>0</v>
          </cell>
          <cell r="B3925">
            <v>0</v>
          </cell>
          <cell r="C3925">
            <v>0</v>
          </cell>
        </row>
        <row r="3926">
          <cell r="A3926">
            <v>0</v>
          </cell>
          <cell r="B3926">
            <v>0</v>
          </cell>
          <cell r="C3926">
            <v>0</v>
          </cell>
        </row>
        <row r="3928">
          <cell r="B3928" t="str">
            <v>MANO DE OBRA</v>
          </cell>
        </row>
        <row r="3929">
          <cell r="B3929">
            <v>0</v>
          </cell>
          <cell r="C3929">
            <v>0</v>
          </cell>
        </row>
        <row r="3930">
          <cell r="A3930">
            <v>0</v>
          </cell>
          <cell r="B3930">
            <v>0</v>
          </cell>
          <cell r="C3930">
            <v>0</v>
          </cell>
        </row>
        <row r="3931">
          <cell r="A3931">
            <v>0</v>
          </cell>
          <cell r="B3931">
            <v>0</v>
          </cell>
          <cell r="C3931">
            <v>0</v>
          </cell>
        </row>
        <row r="3932">
          <cell r="A3932">
            <v>0</v>
          </cell>
          <cell r="B3932">
            <v>0</v>
          </cell>
          <cell r="C3932">
            <v>0</v>
          </cell>
        </row>
        <row r="3934">
          <cell r="B3934" t="str">
            <v>TRANSPORTE</v>
          </cell>
        </row>
        <row r="3936">
          <cell r="A3936">
            <v>0</v>
          </cell>
          <cell r="B3936">
            <v>0</v>
          </cell>
          <cell r="C3936">
            <v>0</v>
          </cell>
        </row>
        <row r="3937">
          <cell r="A3937">
            <v>0</v>
          </cell>
          <cell r="B3937">
            <v>0</v>
          </cell>
          <cell r="C3937">
            <v>0</v>
          </cell>
        </row>
        <row r="3938">
          <cell r="A3938">
            <v>0</v>
          </cell>
          <cell r="B3938">
            <v>0</v>
          </cell>
          <cell r="C3938">
            <v>0</v>
          </cell>
        </row>
        <row r="3944">
          <cell r="A3944" t="str">
            <v>CODIGO</v>
          </cell>
          <cell r="B3944" t="str">
            <v>ITEM</v>
          </cell>
          <cell r="C3944" t="str">
            <v>UNIDAD</v>
          </cell>
        </row>
        <row r="3945">
          <cell r="D3945">
            <v>0</v>
          </cell>
        </row>
        <row r="3946">
          <cell r="B3946" t="str">
            <v>CODIGO</v>
          </cell>
        </row>
        <row r="3947">
          <cell r="A3947" t="str">
            <v>CODIGO</v>
          </cell>
          <cell r="B3947" t="str">
            <v>RECURSOS</v>
          </cell>
          <cell r="C3947" t="str">
            <v>UNIDAD</v>
          </cell>
          <cell r="D3947" t="str">
            <v>CANT.</v>
          </cell>
        </row>
        <row r="3948">
          <cell r="B3948" t="str">
            <v>MATERIALES</v>
          </cell>
        </row>
        <row r="3949">
          <cell r="B3949">
            <v>0</v>
          </cell>
          <cell r="C3949">
            <v>0</v>
          </cell>
        </row>
        <row r="3950">
          <cell r="B3950">
            <v>0</v>
          </cell>
          <cell r="C3950">
            <v>0</v>
          </cell>
        </row>
        <row r="3951">
          <cell r="B3951">
            <v>0</v>
          </cell>
          <cell r="C3951">
            <v>0</v>
          </cell>
        </row>
        <row r="3952">
          <cell r="B3952">
            <v>0</v>
          </cell>
          <cell r="C3952">
            <v>0</v>
          </cell>
        </row>
        <row r="3954">
          <cell r="B3954" t="str">
            <v>EQUIPO</v>
          </cell>
        </row>
        <row r="3955">
          <cell r="B3955" t="str">
            <v>HTA MENOR (5% de M. de O.)</v>
          </cell>
        </row>
        <row r="3956">
          <cell r="A3956">
            <v>0</v>
          </cell>
          <cell r="B3956">
            <v>0</v>
          </cell>
          <cell r="C3956">
            <v>0</v>
          </cell>
        </row>
        <row r="3957">
          <cell r="A3957">
            <v>0</v>
          </cell>
          <cell r="B3957">
            <v>0</v>
          </cell>
          <cell r="C3957">
            <v>0</v>
          </cell>
        </row>
        <row r="3958">
          <cell r="A3958">
            <v>0</v>
          </cell>
          <cell r="B3958">
            <v>0</v>
          </cell>
          <cell r="C3958">
            <v>0</v>
          </cell>
        </row>
        <row r="3960">
          <cell r="B3960" t="str">
            <v>MANO DE OBRA</v>
          </cell>
        </row>
        <row r="3961">
          <cell r="B3961">
            <v>0</v>
          </cell>
          <cell r="C3961">
            <v>0</v>
          </cell>
        </row>
        <row r="3962">
          <cell r="A3962">
            <v>0</v>
          </cell>
          <cell r="B3962">
            <v>0</v>
          </cell>
          <cell r="C3962">
            <v>0</v>
          </cell>
        </row>
        <row r="3963">
          <cell r="A3963">
            <v>0</v>
          </cell>
          <cell r="B3963">
            <v>0</v>
          </cell>
          <cell r="C3963">
            <v>0</v>
          </cell>
        </row>
        <row r="3964">
          <cell r="A3964">
            <v>0</v>
          </cell>
          <cell r="B3964">
            <v>0</v>
          </cell>
          <cell r="C3964">
            <v>0</v>
          </cell>
        </row>
        <row r="3966">
          <cell r="B3966" t="str">
            <v>TRANSPORTE</v>
          </cell>
        </row>
        <row r="3968">
          <cell r="A3968">
            <v>0</v>
          </cell>
          <cell r="B3968">
            <v>0</v>
          </cell>
          <cell r="C3968">
            <v>0</v>
          </cell>
        </row>
        <row r="3969">
          <cell r="A3969">
            <v>0</v>
          </cell>
          <cell r="B3969">
            <v>0</v>
          </cell>
          <cell r="C3969">
            <v>0</v>
          </cell>
        </row>
        <row r="3970">
          <cell r="A3970">
            <v>0</v>
          </cell>
          <cell r="B3970">
            <v>0</v>
          </cell>
          <cell r="C3970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>
        <row r="60">
          <cell r="F60">
            <v>80591.125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Hoja1"/>
      <sheetName val="Hoja2"/>
      <sheetName val="Hoja3"/>
      <sheetName val="Evaluación"/>
      <sheetName val="Evaluación (2)"/>
      <sheetName val="Evaluación (3)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PU"/>
      <sheetName val="AUI"/>
      <sheetName val="C.FIN."/>
      <sheetName val="P.INV"/>
      <sheetName val="P.S."/>
      <sheetName val="P.INV.ANTIC."/>
      <sheetName val="PRESUPUESTO LICITACIÓN SRN 001"/>
      <sheetName val="SRN_005"/>
      <sheetName val="TABLA DE EE"/>
      <sheetName val="Tabla dinámica"/>
      <sheetName val="Tabla maestra"/>
      <sheetName val="CC 5090"/>
      <sheetName val="CC 5091-92-93"/>
      <sheetName val="CC 5095"/>
      <sheetName val="CC 5094"/>
      <sheetName val="CC 5098"/>
      <sheetName val="TABLA AUXILIAR CC 5094"/>
      <sheetName val="PROGRAMA TANQUES"/>
      <sheetName val="Areas Tanques"/>
      <sheetName val="Pintura"/>
      <sheetName val="CA-2909"/>
      <sheetName val="CA-3029"/>
      <sheetName val="CA-2919"/>
      <sheetName val="CA-3033"/>
      <sheetName val="Consumibles"/>
      <sheetName val="InfoTKs"/>
      <sheetName val="COSTOS UNITARIOS"/>
      <sheetName val="5090-2003"/>
      <sheetName val="5091-2003"/>
      <sheetName val="5092-2003"/>
      <sheetName val="5093-2003"/>
      <sheetName val="5094-2003"/>
      <sheetName val="5095-2003"/>
      <sheetName val="5098-2003"/>
      <sheetName val="BUSPLA02-07"/>
      <sheetName val="Tarifas"/>
      <sheetName val="Reajustes Estimados"/>
      <sheetName val="M.Obra"/>
      <sheetName val="Eq. loc."/>
      <sheetName val="Eq. perm."/>
      <sheetName val="A.P.U. Loc."/>
      <sheetName val="A.P.U. Mant."/>
      <sheetName val="Anexo  - Tarifas"/>
      <sheetName val="Cantidades Estimadas"/>
      <sheetName val="Prestaciones y AIU"/>
      <sheetName val="CANTIDADES"/>
      <sheetName val="PRESUPUESTO FINAL"/>
      <sheetName val="Cantidades de obra"/>
      <sheetName val="LOCAL Y REPLANT "/>
      <sheetName val="EXCAVACION"/>
      <sheetName val="CONCRETO 2500 PSI POSTES"/>
      <sheetName val="CONCRETO 2500 PSI MALLA"/>
      <sheetName val="RETIRO MALLA"/>
      <sheetName val="ASEO Y LIMPIEZA FINAL"/>
      <sheetName val="MANO DE OBRA CIVIL"/>
      <sheetName val="REV (ENERO 28-99)"/>
      <sheetName val="Materiales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723 L Flex"/>
      <sheetName val="2121 L Flex"/>
      <sheetName val="Cant Flex SS-99"/>
      <sheetName val="2590 L Gas Vte"/>
      <sheetName val="Cant 2590 L Gas Vte"/>
      <sheetName val="2192 Cv"/>
      <sheetName val="Cant 2192 Cv"/>
      <sheetName val="2231 Cv"/>
      <sheetName val="Cant 2231 Cv"/>
      <sheetName val="2250 L Flex"/>
      <sheetName val="2251 L Flex"/>
      <sheetName val="2253 L Flex"/>
      <sheetName val="Cant Flex SS-95B"/>
      <sheetName val="2231 L Flex"/>
      <sheetName val="2231 Cant Flex"/>
      <sheetName val="2368 Cv"/>
      <sheetName val="Cant 2368 Cv"/>
      <sheetName val="2368 L Flex"/>
      <sheetName val="2368 Cant Flex"/>
      <sheetName val="Cant Flex SS-88"/>
      <sheetName val="2369 Cv"/>
      <sheetName val="Cant 2369 Cv"/>
      <sheetName val="2369 L Flex"/>
      <sheetName val="2369 Cant Flex"/>
      <sheetName val="2370 Cv"/>
      <sheetName val="Cant 2370 Cv"/>
      <sheetName val="2370 L Flex"/>
      <sheetName val="2370 Cant Flex"/>
      <sheetName val="2394 Cv"/>
      <sheetName val="Cant 2394 Cv"/>
      <sheetName val="2394 L Flex"/>
      <sheetName val="2394 Cant Flex"/>
      <sheetName val="2459 Cv"/>
      <sheetName val="Cant 2459 Cv"/>
      <sheetName val="2459 L Flex"/>
      <sheetName val="2459 Cant Flex"/>
      <sheetName val="Cant Flex SS-88 F"/>
      <sheetName val="2461 L Flex"/>
      <sheetName val="2476 Cv"/>
      <sheetName val="Cant 2476 Cv"/>
      <sheetName val="2476 L Flex"/>
      <sheetName val="Cant 2476"/>
      <sheetName val="2604 Cv"/>
      <sheetName val="Cant 2604 Cv"/>
      <sheetName val="2604 L Flex"/>
      <sheetName val="2604 Cant Flex"/>
      <sheetName val="2658 Cv"/>
      <sheetName val="Cant 2658 Cv"/>
      <sheetName val="2658 L"/>
      <sheetName val="Cant 2658"/>
      <sheetName val="2659 Cv"/>
      <sheetName val="Cant 2659 Cv"/>
      <sheetName val="2659 L Flex"/>
      <sheetName val="2659 Cant Flex"/>
      <sheetName val="2661 Cv"/>
      <sheetName val="Cant 2661 Cv"/>
      <sheetName val="2661 L Flex"/>
      <sheetName val="2661 Cant Flex"/>
      <sheetName val="2918 L Flex"/>
      <sheetName val="2919 L Flex"/>
      <sheetName val="2919 Cant Flex"/>
      <sheetName val="2933 L Flex"/>
      <sheetName val="Cant Flex SS-77A"/>
      <sheetName val="Est.02 Cheque Wemco"/>
      <sheetName val="via carrilera"/>
      <sheetName val="Ht Lin Trf E3 E2"/>
      <sheetName val="1U"/>
      <sheetName val="509"/>
      <sheetName val="2213"/>
      <sheetName val="2324"/>
      <sheetName val="C2PP3"/>
      <sheetName val="161 L"/>
      <sheetName val="183 Desm"/>
      <sheetName val="371 Desm Gas"/>
      <sheetName val="436 L"/>
      <sheetName val="448 L"/>
      <sheetName val="467 Desm"/>
      <sheetName val="473 Cv"/>
      <sheetName val="473 L"/>
      <sheetName val="486 Cv"/>
      <sheetName val="486 Flex"/>
      <sheetName val="718 Desm"/>
      <sheetName val="755 Cv y F"/>
      <sheetName val="755 L"/>
      <sheetName val="764 Cv"/>
      <sheetName val="769 L"/>
      <sheetName val="794 Cv"/>
      <sheetName val="794 Flex"/>
      <sheetName val="890 Cv"/>
      <sheetName val="890 L"/>
      <sheetName val="926 Rep Desm"/>
      <sheetName val="1023 L"/>
      <sheetName val="1047 L Saldo"/>
      <sheetName val="1054 Desm"/>
      <sheetName val="1056 Desm"/>
      <sheetName val="1056 Flex"/>
      <sheetName val="1126 Desm"/>
      <sheetName val="1124 Desm"/>
      <sheetName val="1140 Desm"/>
      <sheetName val="1216 L Vte"/>
      <sheetName val="1216 Desm"/>
      <sheetName val="1256 L"/>
      <sheetName val="1481 Cv"/>
      <sheetName val="1481 L"/>
      <sheetName val="1494 Cv"/>
      <sheetName val="1494 L"/>
      <sheetName val="1674 L"/>
      <sheetName val="1676 Desm"/>
      <sheetName val="1884 Desm"/>
      <sheetName val="2076 Desm"/>
      <sheetName val="2094 Desm"/>
      <sheetName val="2097 Cv"/>
      <sheetName val="2097 Flex"/>
      <sheetName val="2085 Desm"/>
      <sheetName val="2100 Vte"/>
      <sheetName val="2102 Desm"/>
      <sheetName val="2167 Cv y F"/>
      <sheetName val="2167 Cv"/>
      <sheetName val="2167 L"/>
      <sheetName val="2181 Desm"/>
      <sheetName val="2183 Desm"/>
      <sheetName val="2206 Cv"/>
      <sheetName val="2206 L"/>
      <sheetName val="2207 Cv"/>
      <sheetName val="2209 Desm"/>
      <sheetName val="2324 Cv"/>
      <sheetName val="2332 Desm"/>
      <sheetName val="2351 L"/>
      <sheetName val="2351 Flex"/>
      <sheetName val="2381 Desm"/>
      <sheetName val="2399 Flex"/>
      <sheetName val="2576 L"/>
      <sheetName val="2637 Cv"/>
      <sheetName val="2797 Cv"/>
      <sheetName val="2797 L"/>
      <sheetName val="155 L"/>
      <sheetName val="88 Ph"/>
      <sheetName val="318 Ph"/>
      <sheetName val="515 Ph"/>
      <sheetName val="740 Ph"/>
      <sheetName val="917 Ph"/>
      <sheetName val="926 Ph"/>
      <sheetName val="998  Vte Ph"/>
      <sheetName val="1689 Ph"/>
      <sheetName val="Total"/>
      <sheetName val="SABANA L CRUDO DIC 387002"/>
      <sheetName val="1u Cv Mod"/>
      <sheetName val="AVISOS"/>
      <sheetName val="88 L"/>
      <sheetName val="105 Desm"/>
      <sheetName val="118 Cv"/>
      <sheetName val="118 L Flex"/>
      <sheetName val="119 L Flex"/>
      <sheetName val="183 Cv"/>
      <sheetName val="183 L"/>
      <sheetName val="189 Cv"/>
      <sheetName val="189 L Flex"/>
      <sheetName val="190 Desm"/>
      <sheetName val="271 Cv"/>
      <sheetName val="271 L Flex"/>
      <sheetName val="287 pintura marco H"/>
      <sheetName val="454 Desm"/>
      <sheetName val="466 Cv"/>
      <sheetName val="480 pintura marco H"/>
      <sheetName val="509 pintura marco H"/>
      <sheetName val="527 pintura marco H"/>
      <sheetName val="555 Cv"/>
      <sheetName val="563 Cv"/>
      <sheetName val="563 L"/>
      <sheetName val="571 Cv"/>
      <sheetName val="571 L"/>
      <sheetName val="590 pintura marco H"/>
      <sheetName val="617 pintura marco H"/>
      <sheetName val="637 pintura marco H"/>
      <sheetName val="652 Cv Desm y M"/>
      <sheetName val="718 Cv"/>
      <sheetName val="718 L Flex"/>
      <sheetName val="724 Desm"/>
      <sheetName val="740 L Flex"/>
      <sheetName val="748 Desm"/>
      <sheetName val="810 Flush"/>
      <sheetName val="820 Desm"/>
      <sheetName val="842 Desm"/>
      <sheetName val="889 Desm"/>
      <sheetName val="1066 Cv"/>
      <sheetName val="1066 L Flex"/>
      <sheetName val="1084 Cv"/>
      <sheetName val="1084 L"/>
      <sheetName val="1198 Cv"/>
      <sheetName val="1199 L sald"/>
      <sheetName val="1508 Cv"/>
      <sheetName val="1508 Vte"/>
      <sheetName val="1636 L Flex Rep"/>
      <sheetName val="1655 L Flex"/>
      <sheetName val="1666 Desm"/>
      <sheetName val="1679 Cv"/>
      <sheetName val="1837 Desm"/>
      <sheetName val="1839 Desm"/>
      <sheetName val="2026 Cv"/>
      <sheetName val="2026 L sald"/>
      <sheetName val="2034 pintura marco H"/>
      <sheetName val="2108 L Flex"/>
      <sheetName val="2109 L Flex"/>
      <sheetName val="2145 Pintura marco H"/>
      <sheetName val="2153 L Flex"/>
      <sheetName val="2157 L Flex"/>
      <sheetName val="2161 pintura marco H"/>
      <sheetName val="2320 Cv"/>
      <sheetName val="2320 L Flex Rep"/>
      <sheetName val="2327 pintura marco H"/>
      <sheetName val="2586 Cv"/>
      <sheetName val="2598 Cv"/>
      <sheetName val="2601 Cv"/>
      <sheetName val="2602 Cv"/>
      <sheetName val="2636 Cv"/>
      <sheetName val="2738 Cv"/>
      <sheetName val="2738 L Flex"/>
      <sheetName val="4IJ2 pintura marco H"/>
      <sheetName val="blanco (5)"/>
      <sheetName val="1u Cv"/>
      <sheetName val="Flex blanco"/>
      <sheetName val="SABANA AGO CRUDO 997306"/>
      <sheetName val="SABANA AGO CRUDO 397019"/>
      <sheetName val="SABANA AGO CRUDO 397024"/>
      <sheetName val="2100 L Flex"/>
      <sheetName val="2226 Rep Flex"/>
      <sheetName val="856 Desm"/>
      <sheetName val="856 L Vte"/>
      <sheetName val="2617 Desm"/>
      <sheetName val="2617 L Flex"/>
      <sheetName val="2628 L Flex"/>
      <sheetName val="2629 Desm"/>
      <sheetName val="2629 L Flex"/>
      <sheetName val="2617"/>
      <sheetName val="772 L Rep"/>
      <sheetName val="789 Desm Casing"/>
      <sheetName val="2109 Rep Flex"/>
      <sheetName val="2139 Cv"/>
      <sheetName val="2139 Conex Flex"/>
      <sheetName val="2145 Clampon"/>
      <sheetName val="2153 Rep Flex"/>
      <sheetName val="2194 L Fex"/>
      <sheetName val="2283 Cv"/>
      <sheetName val="2283 L Flex Conex"/>
      <sheetName val="2289 Cv"/>
      <sheetName val="2289 L Flex Conex"/>
      <sheetName val="2520 Cv"/>
      <sheetName val="2520 L Flex Conex"/>
      <sheetName val="2521 Cv"/>
      <sheetName val="2521 L Flex Conex"/>
      <sheetName val="2583 L Flex"/>
      <sheetName val="2598 Rep"/>
      <sheetName val="2600 Rep"/>
      <sheetName val="2603 L Flex"/>
      <sheetName val="2605 L Flex"/>
      <sheetName val="2623 L Flex"/>
      <sheetName val="2644 L Flex"/>
      <sheetName val="2649 L Flex"/>
      <sheetName val="2663 L Flex"/>
      <sheetName val="2670 L Flex"/>
      <sheetName val="2672 Cv"/>
      <sheetName val="2672 L Flex Conex"/>
      <sheetName val="2734 Cv"/>
      <sheetName val="2734 L Flex Conex"/>
      <sheetName val="2889 Cv"/>
      <sheetName val="2889 L Flex Conex"/>
      <sheetName val="2900 L Flex"/>
      <sheetName val="2901 L Flex"/>
      <sheetName val="2903 L Flex"/>
      <sheetName val="2905 L Flex"/>
      <sheetName val="Cant 2100 L Flex"/>
      <sheetName val="2100 Conex Flex"/>
      <sheetName val="2139"/>
      <sheetName val="2194 (2)"/>
      <sheetName val="2283"/>
      <sheetName val="2289"/>
      <sheetName val="2520"/>
      <sheetName val="2521"/>
      <sheetName val="2603"/>
      <sheetName val="2604 (2)"/>
      <sheetName val="2617 B"/>
      <sheetName val="2628"/>
      <sheetName val="2629"/>
      <sheetName val="2644"/>
      <sheetName val="2672"/>
      <sheetName val="2734"/>
      <sheetName val="2889"/>
      <sheetName val="SABANA PLTA DESH MAYO AFE477006"/>
      <sheetName val="Descargue Tratador"/>
      <sheetName val="Transp Pta Desh"/>
      <sheetName val="SABANA Bomba MAYO AFE47"/>
      <sheetName val="bomba P-215c Est2"/>
      <sheetName val="SS 34 Lg 6"/>
      <sheetName val="SS 34 Lm 3"/>
      <sheetName val="SS 34 Str"/>
      <sheetName val="SS 38 Lg 6"/>
      <sheetName val="SS 38a Lg 4"/>
      <sheetName val="SS 38a Lm 3"/>
      <sheetName val="SS 38a Str"/>
      <sheetName val="SS 42 Str Ampl"/>
      <sheetName val="SS 42 Str Ampl (2)"/>
      <sheetName val="SS 45 Lg 6"/>
      <sheetName val="SS 45 Lm 3"/>
      <sheetName val="SS 45 Str"/>
      <sheetName val="SS 49 Lg 4"/>
      <sheetName val="SS 49 Lm 3"/>
      <sheetName val="SS 49 Str"/>
      <sheetName val="SS 77A Lg 4"/>
      <sheetName val="SS 77A Lm 2"/>
      <sheetName val="SS 77A Str"/>
      <sheetName val="SS 88B Str"/>
      <sheetName val="SS 88B Lg 6"/>
      <sheetName val="SS 88B Lm"/>
      <sheetName val="SS 98A Lg 6"/>
      <sheetName val="SS 98a Lm 3"/>
      <sheetName val="SS 140 Lg"/>
      <sheetName val="SS 140 Lm"/>
      <sheetName val="SS 140 Str"/>
      <sheetName val="SS 575 Lg 6"/>
      <sheetName val="SS 575 Lm 3"/>
      <sheetName val="SS 575 Str"/>
      <sheetName val="SS 49 Lg 3"/>
      <sheetName val="CARGUE MAT SATURADO"/>
      <sheetName val="ANDAMIOS"/>
      <sheetName val="ANDAMIOS (2)"/>
      <sheetName val="ANDAMIOS (3)"/>
      <sheetName val="Cant Transp Mat Saturado"/>
      <sheetName val="ANDAMIOS DEFINITIVO"/>
      <sheetName val="Resumen por AFE 397019"/>
      <sheetName val="4IJ2 L Flex"/>
      <sheetName val="PESOS"/>
      <sheetName val="PROPUESTA"/>
      <sheetName val="DATA BASE"/>
      <sheetName val="INFORME"/>
      <sheetName val="RES.1"/>
      <sheetName val="FORMATO 1"/>
      <sheetName val="RES.2"/>
      <sheetName val="FORMATO 2"/>
      <sheetName val="RES.3"/>
      <sheetName val="FORMATO 3"/>
      <sheetName val="RES.4"/>
      <sheetName val="FORMATO 4"/>
      <sheetName val="RES.5"/>
      <sheetName val="FORMATO 5"/>
      <sheetName val="RES.6"/>
      <sheetName val="FORMATO 6"/>
      <sheetName val="RES.7"/>
      <sheetName val="FORMATO 7"/>
      <sheetName val="RES.8"/>
      <sheetName val="FORMATO 8"/>
      <sheetName val="RES.9"/>
      <sheetName val="FORMATO 9"/>
      <sheetName val="RES.10"/>
      <sheetName val="FORMATO 10"/>
      <sheetName val="SABANA L CRUDO SEPT 387002"/>
      <sheetName val="SABANA PIA SEPT 477004"/>
      <sheetName val="Hot tap planta 5"/>
      <sheetName val="Hot tap pia 5"/>
      <sheetName val="1U L"/>
      <sheetName val="Oleoducto Reparac"/>
      <sheetName val="Paleteros"/>
      <sheetName val="Paleteros (2)"/>
      <sheetName val="43  F y Cv"/>
      <sheetName val="94 Desm"/>
      <sheetName val="107 L"/>
      <sheetName val="113  Cv"/>
      <sheetName val="113 L"/>
      <sheetName val="119 Desm"/>
      <sheetName val="121  Cv"/>
      <sheetName val="121 L"/>
      <sheetName val="141 Cv"/>
      <sheetName val="141 L Conex Temp"/>
      <sheetName val="271 Desm"/>
      <sheetName val="305 Desm"/>
      <sheetName val="318  Cv"/>
      <sheetName val="318 L"/>
      <sheetName val="333 L Desm"/>
      <sheetName val="341 L"/>
      <sheetName val="341 L Flex"/>
      <sheetName val="342 Pintura"/>
      <sheetName val="357 Desm"/>
      <sheetName val="362 L Desm"/>
      <sheetName val="421 Pintura"/>
      <sheetName val="458 Desm"/>
      <sheetName val="473 Desm"/>
      <sheetName val="476 Desm"/>
      <sheetName val="509 Cv"/>
      <sheetName val="515 Cv"/>
      <sheetName val="515 L"/>
      <sheetName val="551 Pintura"/>
      <sheetName val="563 L Desm"/>
      <sheetName val="588 Cv"/>
      <sheetName val="588 L"/>
      <sheetName val="730 emerg"/>
      <sheetName val="744 Desm"/>
      <sheetName val="765 L"/>
      <sheetName val="797 L"/>
      <sheetName val="836 Cv"/>
      <sheetName val="836 L"/>
      <sheetName val="865 Cv"/>
      <sheetName val="865 Ly Col"/>
      <sheetName val="876 Cv"/>
      <sheetName val="884 L Flex"/>
      <sheetName val="890 Desm"/>
      <sheetName val="902 marco H"/>
      <sheetName val="916 L"/>
      <sheetName val="917 Cv"/>
      <sheetName val="917 F"/>
      <sheetName val="926 Cv"/>
      <sheetName val="926 L"/>
      <sheetName val="998 L"/>
      <sheetName val="998-466 Col y Desm"/>
      <sheetName val="1025 Cv"/>
      <sheetName val="1025 L y Colect"/>
      <sheetName val="1056 L Flex"/>
      <sheetName val="1061 Desm"/>
      <sheetName val="1070 Cv"/>
      <sheetName val="1070 L"/>
      <sheetName val="1124 L Flex"/>
      <sheetName val="1140 L Flex"/>
      <sheetName val="1194 Cv"/>
      <sheetName val="1200 Cv"/>
      <sheetName val="1216 Cv Pint"/>
      <sheetName val="1332 Cv"/>
      <sheetName val="1332 L"/>
      <sheetName val="1344  Cv y F"/>
      <sheetName val="1494 Desm"/>
      <sheetName val="1673 L"/>
      <sheetName val="1686 Cv"/>
      <sheetName val="1686 L Flex"/>
      <sheetName val="1689  Cv"/>
      <sheetName val="1689 L"/>
      <sheetName val="1720  Cv"/>
      <sheetName val="1720 L"/>
      <sheetName val="1746 Desm"/>
      <sheetName val="1794 Desm"/>
      <sheetName val="1884 L Flex"/>
      <sheetName val="2026 L"/>
      <sheetName val="2048 L Desm"/>
      <sheetName val="2054 Cv"/>
      <sheetName val="2054 L Flex"/>
      <sheetName val="2066 L Desm"/>
      <sheetName val="2094 L Flex"/>
      <sheetName val="2102 L Flex"/>
      <sheetName val="2105 Cv"/>
      <sheetName val="2105 LF"/>
      <sheetName val="2112 L Desm"/>
      <sheetName val="2149 Desm"/>
      <sheetName val="2167 L Flex"/>
      <sheetName val="2181 Trenton"/>
      <sheetName val="2182 Cv"/>
      <sheetName val="2182  Flex 2"/>
      <sheetName val="2183 L Flex"/>
      <sheetName val="2206 Reparac Flex"/>
      <sheetName val="2208 Cv"/>
      <sheetName val="2208 L Flex"/>
      <sheetName val="2212 L Desm"/>
      <sheetName val="2213 Cv"/>
      <sheetName val="2213 L"/>
      <sheetName val="2324 L"/>
      <sheetName val="2328 Cv"/>
      <sheetName val="2328 L"/>
      <sheetName val="2330 L Desm"/>
      <sheetName val="2331 Cv"/>
      <sheetName val="2332 L Flex"/>
      <sheetName val="2339 L Desm"/>
      <sheetName val="2377 L Flex"/>
      <sheetName val="2379 Cv"/>
      <sheetName val="2379 L Flex"/>
      <sheetName val="2400 Cv"/>
      <sheetName val="2400 L Flex"/>
      <sheetName val="2637 L Flex"/>
      <sheetName val="Informe (2)"/>
      <sheetName val="AZU3sadeven"/>
      <sheetName val="Datos"/>
      <sheetName val="HHp3"/>
      <sheetName val="AvanceP3"/>
      <sheetName val="horas lluvia"/>
      <sheetName val="modelo"/>
      <sheetName val="precios"/>
      <sheetName val="LISTA"/>
      <sheetName val="Programacion"/>
      <sheetName val="PUC"/>
      <sheetName val="PAGOS"/>
      <sheetName val="F.C. NEXEN"/>
      <sheetName val="Flujo Caja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AIU"/>
      <sheetName val="SALARIO"/>
      <sheetName val="EQUIPO"/>
      <sheetName val="Poliza"/>
      <sheetName val="Anexo 1"/>
      <sheetName val="FOR.5"/>
      <sheetName val="ANEXO C"/>
      <sheetName val="Hoja4"/>
      <sheetName val="CUADRO 3"/>
      <sheetName val="6.7 comercial"/>
      <sheetName val="MAQ-VICPAR"/>
      <sheetName val="RESUMEN CUENTAS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saco suelo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Trinchos"/>
      <sheetName val="APU SUBBASE "/>
      <sheetName val="APU iluminacion"/>
      <sheetName val="APU Moviydesmovi"/>
      <sheetName val="prog.loc+via"/>
      <sheetName val="Prog Locac"/>
      <sheetName val="Prog Vía acc"/>
      <sheetName val="Cuadro1"/>
      <sheetName val="VIA PRADO"/>
      <sheetName val="CUADRO  (5)"/>
      <sheetName val="Hoja5"/>
      <sheetName val="Anexo 2"/>
      <sheetName val="Acta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Gaviones"/>
      <sheetName val="Rellenos"/>
      <sheetName val="Cargue"/>
      <sheetName val="Biomanto"/>
      <sheetName val="XXXXX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INCID. SALARIAL"/>
      <sheetName val="data"/>
      <sheetName val="ESTRUCTURAS"/>
      <sheetName val="LN5-CHC.4-7-SS7"/>
      <sheetName val="1,1"/>
      <sheetName val="1,2,1"/>
      <sheetName val="1,2,2"/>
      <sheetName val="1,2,3"/>
      <sheetName val="1,2,4"/>
      <sheetName val="1,2,5"/>
      <sheetName val="1,3,1"/>
      <sheetName val="1,3,2"/>
      <sheetName val="1,3,3,1"/>
      <sheetName val="1,3,3,2"/>
      <sheetName val="1,3,3,3"/>
      <sheetName val="1,3,4"/>
      <sheetName val="1,3,5"/>
      <sheetName val="1,3,6,1"/>
      <sheetName val="1,3,6,2"/>
      <sheetName val="1,3,7"/>
      <sheetName val="1,3,8,1"/>
      <sheetName val="1,3,8,2"/>
      <sheetName val="2,1"/>
      <sheetName val="2,2"/>
      <sheetName val="2,3"/>
      <sheetName val="2,4"/>
      <sheetName val="2,5"/>
      <sheetName val="2,6"/>
      <sheetName val="2,7"/>
      <sheetName val="2,8"/>
      <sheetName val="2,9"/>
      <sheetName val="2,10"/>
      <sheetName val="2,11"/>
      <sheetName val="2,12"/>
      <sheetName val="2,13"/>
      <sheetName val="2,14"/>
      <sheetName val="2,15,1"/>
      <sheetName val="2,15,2"/>
      <sheetName val="2,15,3"/>
      <sheetName val="2,16"/>
      <sheetName val="2,17"/>
      <sheetName val="2,18"/>
      <sheetName val="2,19"/>
      <sheetName val="2,20"/>
      <sheetName val="3,1"/>
      <sheetName val="3,2"/>
      <sheetName val="3,3"/>
      <sheetName val="3,4"/>
      <sheetName val="3,5"/>
      <sheetName val="3,6"/>
      <sheetName val="3,7"/>
      <sheetName val="3,8"/>
      <sheetName val="3,9"/>
      <sheetName val="3,10"/>
      <sheetName val="3,11"/>
      <sheetName val="3,12"/>
      <sheetName val="3,13"/>
      <sheetName val="3,14"/>
      <sheetName val="3,15"/>
      <sheetName val="3,16"/>
      <sheetName val="105 KG"/>
      <sheetName val="210 KG"/>
      <sheetName val="4SALAR1"/>
      <sheetName val="ANALISIS AIU"/>
      <sheetName val="OFERTA"/>
      <sheetName val="3,17"/>
      <sheetName val="3,18"/>
      <sheetName val="3,19"/>
      <sheetName val="3,20"/>
      <sheetName val="3,21"/>
      <sheetName val="3,22"/>
      <sheetName val="3,23"/>
      <sheetName val="3,24"/>
      <sheetName val="3,25"/>
      <sheetName val="3,26"/>
      <sheetName val="3,27"/>
      <sheetName val="3,30"/>
      <sheetName val="3,31"/>
      <sheetName val="3,32"/>
      <sheetName val="3,33"/>
      <sheetName val="3,34"/>
      <sheetName val="3,35"/>
      <sheetName val="3,36"/>
      <sheetName val="3,37"/>
      <sheetName val="3,38"/>
      <sheetName val="3,39"/>
      <sheetName val="3,40"/>
      <sheetName val="3,41"/>
      <sheetName val="3,42"/>
      <sheetName val="3,43"/>
      <sheetName val="3,44"/>
      <sheetName val="3,45"/>
      <sheetName val="3,46"/>
      <sheetName val="3,47"/>
      <sheetName val="3,48"/>
      <sheetName val="3,49"/>
      <sheetName val="3,50"/>
      <sheetName val="3,51"/>
      <sheetName val="3,52"/>
      <sheetName val="3,53"/>
      <sheetName val="3,54"/>
      <sheetName val="3,55"/>
      <sheetName val="3,56"/>
      <sheetName val="4,1"/>
      <sheetName val="4,2"/>
      <sheetName val="5,1"/>
      <sheetName val="5,2"/>
      <sheetName val="5,3"/>
      <sheetName val="5,4"/>
      <sheetName val="5,5"/>
      <sheetName val="5,6"/>
      <sheetName val="5,7"/>
      <sheetName val="EQP"/>
      <sheetName val="Poliza Aprox"/>
      <sheetName val="MAQUINARIA"/>
      <sheetName val="Acta ADICIONALE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Anclajes"/>
      <sheetName val="OTROS"/>
      <sheetName val="Piscinadelodos"/>
      <sheetName val="filtropiscinaN2"/>
      <sheetName val="Taludsuroriental"/>
      <sheetName val="Bulldozer"/>
      <sheetName val="1raPruebaSismicaVSP"/>
      <sheetName val="RellenoVSPN2"/>
      <sheetName val="VSPN3"/>
      <sheetName val="sacos sc"/>
      <sheetName val="Varios"/>
      <sheetName val="APU Filtro de 6"/>
      <sheetName val="APU 20 mills"/>
      <sheetName val="APUdesmontec.a.p."/>
      <sheetName val="APU desmonte Nesl"/>
      <sheetName val="APU desmonte de trinchos"/>
      <sheetName val="APU corta corrientes"/>
      <sheetName val="APUestructuraen madera"/>
      <sheetName val="CE2_PE"/>
      <sheetName val="CASE2LOC"/>
      <sheetName val="CASE2VIA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FRENTES"/>
      <sheetName val="CUADRO RESUMEN."/>
      <sheetName val="MATRIZ"/>
      <sheetName val="Transporte por cobrar"/>
      <sheetName val="MATERIAL TRANSPORTADO"/>
      <sheetName val="MATERIAL TRANSPORTADO POR PLACA"/>
      <sheetName val="VIAJES CORTOS"/>
      <sheetName val="CARROTANQUES"/>
      <sheetName val="VOLQUETAS POR DIAS"/>
      <sheetName val="INF-SEM-INT"/>
      <sheetName val="DATOS SEMANALES"/>
      <sheetName val="CONTRATO EST_TEC"/>
      <sheetName val="Form. Inf. Semanal"/>
      <sheetName val="Curva S "/>
      <sheetName val="Registro Fotográfico"/>
      <sheetName val="Relacion Trabajadores"/>
      <sheetName val="PROPUESTA UN AÑO 2012"/>
      <sheetName val="DOS  OPERADORES"/>
      <sheetName val="AAP"/>
      <sheetName val="Lista de Chequeo Facturación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EQUIPOS"/>
      <sheetName val="REPORTE SEMANAL OXY"/>
      <sheetName val="cuadrillas de mayo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FACTOR PREST."/>
      <sheetName val="DESGLOSE DE PERSONAL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AMC"/>
      <sheetName val="Basico"/>
      <sheetName val="Iva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a  aaInformación"/>
      <sheetName val="A MInformes M"/>
      <sheetName val="VínculoExternoRecuperado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  <sheetData sheetId="48"/>
      <sheetData sheetId="49" refreshError="1"/>
      <sheetData sheetId="50" refreshError="1"/>
      <sheetData sheetId="51" refreshError="1"/>
      <sheetData sheetId="52" refreshError="1"/>
      <sheetData sheetId="53"/>
      <sheetData sheetId="54" refreshError="1"/>
      <sheetData sheetId="55" refreshError="1"/>
      <sheetData sheetId="56"/>
      <sheetData sheetId="57"/>
      <sheetData sheetId="58" refreshError="1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>
        <row r="2">
          <cell r="C2" t="str">
            <v>Montaje de tubería</v>
          </cell>
        </row>
      </sheetData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 refreshError="1"/>
      <sheetData sheetId="133"/>
      <sheetData sheetId="134"/>
      <sheetData sheetId="135"/>
      <sheetData sheetId="136"/>
      <sheetData sheetId="137"/>
      <sheetData sheetId="138" refreshError="1"/>
      <sheetData sheetId="139"/>
      <sheetData sheetId="140"/>
      <sheetData sheetId="141"/>
      <sheetData sheetId="142"/>
      <sheetData sheetId="143" refreshError="1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/>
      <sheetData sheetId="168" refreshError="1"/>
      <sheetData sheetId="169">
        <row r="2">
          <cell r="C2" t="str">
            <v>Montaje de tubería</v>
          </cell>
        </row>
      </sheetData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>
        <row r="3">
          <cell r="C3" t="str">
            <v>ACOPLE ROSCADO P/ TUBERÍA  FLEX</v>
          </cell>
        </row>
      </sheetData>
      <sheetData sheetId="192"/>
      <sheetData sheetId="193"/>
      <sheetData sheetId="194"/>
      <sheetData sheetId="195"/>
      <sheetData sheetId="196"/>
      <sheetData sheetId="197"/>
      <sheetData sheetId="198"/>
      <sheetData sheetId="199">
        <row r="6">
          <cell r="B6">
            <v>38355</v>
          </cell>
        </row>
      </sheetData>
      <sheetData sheetId="200"/>
      <sheetData sheetId="201"/>
      <sheetData sheetId="202" refreshError="1"/>
      <sheetData sheetId="203"/>
      <sheetData sheetId="204"/>
      <sheetData sheetId="205"/>
      <sheetData sheetId="206"/>
      <sheetData sheetId="207"/>
      <sheetData sheetId="208" refreshError="1"/>
      <sheetData sheetId="209"/>
      <sheetData sheetId="210"/>
      <sheetData sheetId="211" refreshError="1"/>
      <sheetData sheetId="212"/>
      <sheetData sheetId="213" refreshError="1"/>
      <sheetData sheetId="214"/>
      <sheetData sheetId="215" refreshError="1"/>
      <sheetData sheetId="216"/>
      <sheetData sheetId="217" refreshError="1"/>
      <sheetData sheetId="218"/>
      <sheetData sheetId="219">
        <row r="3">
          <cell r="A3">
            <v>4.0999999999999996</v>
          </cell>
        </row>
      </sheetData>
      <sheetData sheetId="220">
        <row r="3">
          <cell r="A3">
            <v>5.0999999999999996</v>
          </cell>
        </row>
      </sheetData>
      <sheetData sheetId="221" refreshError="1"/>
      <sheetData sheetId="222"/>
      <sheetData sheetId="223" refreshError="1"/>
      <sheetData sheetId="224">
        <row r="1">
          <cell r="A1" t="str">
            <v>MEZCLA PARA CONCRETOS</v>
          </cell>
        </row>
      </sheetData>
      <sheetData sheetId="225" refreshError="1"/>
      <sheetData sheetId="226"/>
      <sheetData sheetId="227" refreshError="1"/>
      <sheetData sheetId="228" refreshError="1"/>
      <sheetData sheetId="229"/>
      <sheetData sheetId="230" refreshError="1"/>
      <sheetData sheetId="231"/>
      <sheetData sheetId="232" refreshError="1"/>
      <sheetData sheetId="233"/>
      <sheetData sheetId="234" refreshError="1"/>
      <sheetData sheetId="235">
        <row r="7">
          <cell r="D7" t="str">
            <v>V/UNITARIO COSTO DIRECTO</v>
          </cell>
        </row>
      </sheetData>
      <sheetData sheetId="236" refreshError="1"/>
      <sheetData sheetId="237"/>
      <sheetData sheetId="238" refreshError="1"/>
      <sheetData sheetId="239"/>
      <sheetData sheetId="240" refreshError="1"/>
      <sheetData sheetId="241"/>
      <sheetData sheetId="242" refreshError="1"/>
      <sheetData sheetId="243"/>
      <sheetData sheetId="244" refreshError="1"/>
      <sheetData sheetId="245" refreshError="1"/>
      <sheetData sheetId="246"/>
      <sheetData sheetId="247"/>
      <sheetData sheetId="248" refreshError="1"/>
      <sheetData sheetId="249"/>
      <sheetData sheetId="250" refreshError="1"/>
      <sheetData sheetId="251"/>
      <sheetData sheetId="252" refreshError="1"/>
      <sheetData sheetId="253"/>
      <sheetData sheetId="254" refreshError="1"/>
      <sheetData sheetId="255"/>
      <sheetData sheetId="256" refreshError="1"/>
      <sheetData sheetId="257"/>
      <sheetData sheetId="258" refreshError="1"/>
      <sheetData sheetId="259"/>
      <sheetData sheetId="260" refreshError="1"/>
      <sheetData sheetId="261"/>
      <sheetData sheetId="262" refreshError="1"/>
      <sheetData sheetId="263"/>
      <sheetData sheetId="264" refreshError="1"/>
      <sheetData sheetId="265"/>
      <sheetData sheetId="266" refreshError="1"/>
      <sheetData sheetId="267"/>
      <sheetData sheetId="268"/>
      <sheetData sheetId="269" refreshError="1"/>
      <sheetData sheetId="270"/>
      <sheetData sheetId="271" refreshError="1"/>
      <sheetData sheetId="272"/>
      <sheetData sheetId="273"/>
      <sheetData sheetId="274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>
        <row r="3">
          <cell r="A3">
            <v>4.0999999999999996</v>
          </cell>
        </row>
      </sheetData>
      <sheetData sheetId="376">
        <row r="3">
          <cell r="A3">
            <v>5.0999999999999996</v>
          </cell>
        </row>
      </sheetData>
      <sheetData sheetId="377"/>
      <sheetData sheetId="378"/>
      <sheetData sheetId="379"/>
      <sheetData sheetId="380">
        <row r="1">
          <cell r="A1" t="str">
            <v>MEZCLA PARA CONCRETOS</v>
          </cell>
        </row>
      </sheetData>
      <sheetData sheetId="381"/>
      <sheetData sheetId="382"/>
      <sheetData sheetId="383"/>
      <sheetData sheetId="384"/>
      <sheetData sheetId="385">
        <row r="3">
          <cell r="C3" t="str">
            <v>ACOPLE ROSCADO P/ TUBERÍA  FLEX</v>
          </cell>
        </row>
      </sheetData>
      <sheetData sheetId="386"/>
      <sheetData sheetId="387"/>
      <sheetData sheetId="388"/>
      <sheetData sheetId="389"/>
      <sheetData sheetId="390">
        <row r="7">
          <cell r="D7" t="str">
            <v>V/UNITARIO COSTO DIRECTO</v>
          </cell>
        </row>
      </sheetData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>
        <row r="6">
          <cell r="B6">
            <v>38355</v>
          </cell>
        </row>
      </sheetData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>
        <row r="3">
          <cell r="A3">
            <v>4.0999999999999996</v>
          </cell>
        </row>
      </sheetData>
      <sheetData sheetId="421">
        <row r="3">
          <cell r="A3">
            <v>5.0999999999999996</v>
          </cell>
        </row>
      </sheetData>
      <sheetData sheetId="422"/>
      <sheetData sheetId="423"/>
      <sheetData sheetId="424"/>
      <sheetData sheetId="425">
        <row r="1">
          <cell r="A1" t="str">
            <v>MEZCLA PARA CONCRETOS</v>
          </cell>
        </row>
      </sheetData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 refreshError="1"/>
      <sheetData sheetId="439" refreshError="1"/>
      <sheetData sheetId="440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 refreshError="1"/>
      <sheetData sheetId="543"/>
      <sheetData sheetId="544"/>
      <sheetData sheetId="545"/>
      <sheetData sheetId="546"/>
      <sheetData sheetId="547"/>
      <sheetData sheetId="548"/>
      <sheetData sheetId="549"/>
      <sheetData sheetId="550" refreshError="1"/>
      <sheetData sheetId="551"/>
      <sheetData sheetId="552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>
        <row r="3">
          <cell r="A3">
            <v>4.0999999999999996</v>
          </cell>
        </row>
      </sheetData>
      <sheetData sheetId="646">
        <row r="3">
          <cell r="A3">
            <v>5.0999999999999996</v>
          </cell>
        </row>
      </sheetData>
      <sheetData sheetId="647"/>
      <sheetData sheetId="648"/>
      <sheetData sheetId="649"/>
      <sheetData sheetId="650">
        <row r="1">
          <cell r="A1" t="str">
            <v>MEZCLA PARA CONCRETOS</v>
          </cell>
        </row>
      </sheetData>
      <sheetData sheetId="651"/>
      <sheetData sheetId="652"/>
      <sheetData sheetId="653"/>
      <sheetData sheetId="654"/>
      <sheetData sheetId="655">
        <row r="3">
          <cell r="C3" t="str">
            <v>ACOPLE ROSCADO P/ TUBERÍA  FLEX</v>
          </cell>
        </row>
      </sheetData>
      <sheetData sheetId="656"/>
      <sheetData sheetId="657"/>
      <sheetData sheetId="658">
        <row r="3">
          <cell r="A3">
            <v>4.0999999999999996</v>
          </cell>
        </row>
      </sheetData>
      <sheetData sheetId="659">
        <row r="3">
          <cell r="A3">
            <v>5.0999999999999996</v>
          </cell>
        </row>
      </sheetData>
      <sheetData sheetId="660" refreshError="1"/>
      <sheetData sheetId="661"/>
      <sheetData sheetId="662">
        <row r="1">
          <cell r="A1" t="str">
            <v>MEZCLA PARA CONCRETOS</v>
          </cell>
        </row>
      </sheetData>
      <sheetData sheetId="663"/>
      <sheetData sheetId="664"/>
      <sheetData sheetId="665"/>
      <sheetData sheetId="666"/>
      <sheetData sheetId="667">
        <row r="3">
          <cell r="C3" t="str">
            <v>ACOPLE ROSCADO P/ TUBERÍA  FLEX</v>
          </cell>
        </row>
      </sheetData>
      <sheetData sheetId="668"/>
      <sheetData sheetId="669"/>
      <sheetData sheetId="670"/>
      <sheetData sheetId="671"/>
      <sheetData sheetId="672">
        <row r="7">
          <cell r="D7" t="str">
            <v>V/UNITARIO COSTO DIRECTO</v>
          </cell>
        </row>
      </sheetData>
      <sheetData sheetId="673"/>
      <sheetData sheetId="674">
        <row r="3">
          <cell r="C3" t="str">
            <v>ACOPLE ROSCADO P/ TUBERÍA  FLEX</v>
          </cell>
        </row>
      </sheetData>
      <sheetData sheetId="675"/>
      <sheetData sheetId="676"/>
      <sheetData sheetId="677"/>
      <sheetData sheetId="678"/>
      <sheetData sheetId="679"/>
      <sheetData sheetId="680"/>
      <sheetData sheetId="681"/>
      <sheetData sheetId="682">
        <row r="6">
          <cell r="B6">
            <v>38355</v>
          </cell>
        </row>
      </sheetData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>
        <row r="3">
          <cell r="A3">
            <v>4.0999999999999996</v>
          </cell>
        </row>
      </sheetData>
      <sheetData sheetId="702">
        <row r="3">
          <cell r="A3">
            <v>5.0999999999999996</v>
          </cell>
        </row>
      </sheetData>
      <sheetData sheetId="703"/>
      <sheetData sheetId="704"/>
      <sheetData sheetId="705"/>
      <sheetData sheetId="706">
        <row r="1">
          <cell r="A1" t="str">
            <v>MEZCLA PARA CONCRETOS</v>
          </cell>
        </row>
      </sheetData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>
        <row r="7">
          <cell r="D7" t="str">
            <v>V/UNITARIO COSTO DIRECTO</v>
          </cell>
        </row>
      </sheetData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/>
      <sheetData sheetId="1655"/>
      <sheetData sheetId="1656"/>
      <sheetData sheetId="1657"/>
      <sheetData sheetId="1658" refreshError="1"/>
      <sheetData sheetId="1659" refreshError="1"/>
      <sheetData sheetId="1660" refreshError="1"/>
      <sheetData sheetId="1661" refreshError="1"/>
      <sheetData sheetId="1662"/>
      <sheetData sheetId="1663"/>
      <sheetData sheetId="1664"/>
      <sheetData sheetId="1665" refreshError="1"/>
      <sheetData sheetId="1666" refreshError="1"/>
      <sheetData sheetId="1667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 refreshError="1"/>
      <sheetData sheetId="1779" refreshError="1"/>
      <sheetData sheetId="1780" refreshError="1"/>
      <sheetData sheetId="1781"/>
      <sheetData sheetId="1782"/>
      <sheetData sheetId="1783"/>
      <sheetData sheetId="1784">
        <row r="1">
          <cell r="A1" t="str">
            <v>ITEM</v>
          </cell>
        </row>
      </sheetData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 refreshError="1"/>
      <sheetData sheetId="2113" refreshError="1"/>
      <sheetData sheetId="2114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Datos"/>
      <sheetName val="PUNITARIOS PARA 241201 2S"/>
      <sheetName val="items"/>
      <sheetName val="PR 1"/>
      <sheetName val="ESTADO RED TEC"/>
      <sheetName val="Hoja1"/>
      <sheetName val="A.P.U"/>
      <sheetName val="A-HOR"/>
      <sheetName val="INSUMOS"/>
      <sheetName val="BANCOS"/>
      <sheetName val="CARGOS"/>
      <sheetName val="EPS"/>
      <sheetName val="PENSIONES"/>
      <sheetName val="PREACTA 10"/>
      <sheetName val="PREACTA 9"/>
      <sheetName val="Res-Accide-10"/>
      <sheetName val="TARIFAS"/>
      <sheetName val="PRECIOS"/>
      <sheetName val="PREACTA 6"/>
      <sheetName val="TABLA 2008"/>
      <sheetName val="TRANSPORTE"/>
      <sheetName val="ESTADO_RED_TEC1"/>
      <sheetName val="PR_11"/>
      <sheetName val="PUNITARIOS_PARA_241201_2S1"/>
      <sheetName val="PREACTA_101"/>
      <sheetName val="PREACTA_91"/>
      <sheetName val="ESTADO_RED_TEC"/>
      <sheetName val="PR_1"/>
      <sheetName val="PUNITARIOS_PARA_241201_2S"/>
      <sheetName val="PREACTA_10"/>
      <sheetName val="PREACTA_9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TRAPMO"/>
      <sheetName val="UNITARIOS"/>
      <sheetName val="THE"/>
      <sheetName val="ATHE"/>
      <sheetName val="PUNITARIOS_PARA_241201_2S10"/>
      <sheetName val="PR_110"/>
      <sheetName val="ESTADO_RED_TEC10"/>
      <sheetName val="PREACTA_1010"/>
      <sheetName val="PREACTA_910"/>
      <sheetName val="PRESUPUESTO"/>
      <sheetName val="ESTADO VÍA-CRIT.TECNICO"/>
      <sheetName val="Insum"/>
      <sheetName val="Excavación Mat. Común Estacione"/>
      <sheetName val="Demolición Pavimento"/>
      <sheetName val="SUB APU"/>
      <sheetName val="Lp"/>
      <sheetName val="Listas"/>
      <sheetName val="5. ELECTRICO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No.1"/>
      <sheetName val="GASTOS"/>
      <sheetName val="Mat c. Esc"/>
      <sheetName val="PLANEACION"/>
      <sheetName val="MEMORIAS DE CALCULO"/>
      <sheetName val="PPTO MMNo1"/>
      <sheetName val="APU No Previstos"/>
      <sheetName val="PPTO INICIAL"/>
      <sheetName val="EVAL INICIAL"/>
      <sheetName val="Cant Total Mat"/>
      <sheetName val="Activid"/>
      <sheetName val="Equipos"/>
      <sheetName val="Materiales"/>
      <sheetName val="1"/>
      <sheetName val="3"/>
      <sheetName val="4"/>
      <sheetName val="5"/>
      <sheetName val="6"/>
      <sheetName val="10"/>
      <sheetName val="11"/>
      <sheetName val="12"/>
      <sheetName val="13"/>
      <sheetName val="14"/>
      <sheetName val="16"/>
      <sheetName val="17"/>
      <sheetName val="18"/>
      <sheetName val="19"/>
      <sheetName val="23"/>
      <sheetName val="27"/>
      <sheetName val="28"/>
      <sheetName val="29"/>
      <sheetName val="AUX"/>
      <sheetName val="EVALUACION AU"/>
    </sheetNames>
    <sheetDataSet>
      <sheetData sheetId="0" refreshError="1"/>
      <sheetData sheetId="1" refreshError="1"/>
      <sheetData sheetId="2" refreshError="1"/>
      <sheetData sheetId="3" refreshError="1">
        <row r="291">
          <cell r="L291" t="str">
            <v>Maestro de Obra</v>
          </cell>
        </row>
        <row r="292">
          <cell r="O292">
            <v>1</v>
          </cell>
        </row>
        <row r="293">
          <cell r="O293">
            <v>2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morias"/>
      <sheetName val="PRESUPUESTO"/>
      <sheetName val="1"/>
      <sheetName val="2"/>
      <sheetName val="3"/>
      <sheetName val="4"/>
      <sheetName val="5"/>
      <sheetName val="6"/>
      <sheetName val="7"/>
      <sheetName val="8"/>
      <sheetName val="8(1)"/>
      <sheetName val="9"/>
      <sheetName val="AUX"/>
    </sheetNames>
    <sheetDataSet>
      <sheetData sheetId="0"/>
      <sheetData sheetId="1">
        <row r="8">
          <cell r="B8" t="str">
            <v>ADECUACIÓN DE LA CANCHA DE FUTBOL EN EL CORREGIMIENTO SAN MIGUEL DEL TIGRE DEL MUNICIPIO YONDÓ, ANTIOQUIA, OCCIDENTE</v>
          </cell>
        </row>
      </sheetData>
      <sheetData sheetId="2"/>
      <sheetData sheetId="3"/>
      <sheetData sheetId="4">
        <row r="596">
          <cell r="F596">
            <v>383715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RVENTORIA"/>
      <sheetName val="Factor Multiplicador"/>
    </sheetNames>
    <sheetDataSet>
      <sheetData sheetId="0" refreshError="1"/>
      <sheetData sheetId="1" refreshError="1">
        <row r="62">
          <cell r="I62">
            <v>2.0096333333333334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_rels/sheet10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3.bin"/></Relationships>
</file>

<file path=xl/worksheets/_rels/sheet10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4.bin"/></Relationships>
</file>

<file path=xl/worksheets/_rels/sheet10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5.bin"/></Relationships>
</file>

<file path=xl/worksheets/_rels/sheet10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6.bin"/></Relationships>
</file>

<file path=xl/worksheets/_rels/sheet10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7.bin"/></Relationships>
</file>

<file path=xl/worksheets/_rels/sheet10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8.bin"/></Relationships>
</file>

<file path=xl/worksheets/_rels/sheet10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9.bin"/></Relationships>
</file>

<file path=xl/worksheets/_rels/sheet1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0.bin"/></Relationships>
</file>

<file path=xl/worksheets/_rels/sheet1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1.bin"/></Relationships>
</file>

<file path=xl/worksheets/_rels/sheet1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2.bin"/></Relationships>
</file>

<file path=xl/worksheets/_rels/sheet1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3.bin"/></Relationships>
</file>

<file path=xl/worksheets/_rels/sheet1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4.bin"/></Relationships>
</file>

<file path=xl/worksheets/_rels/sheet1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5.bin"/></Relationships>
</file>

<file path=xl/worksheets/_rels/sheet1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B2:F131"/>
  <sheetViews>
    <sheetView view="pageBreakPreview" zoomScaleNormal="100" zoomScaleSheetLayoutView="100" workbookViewId="0">
      <selection activeCell="C16" sqref="C16"/>
    </sheetView>
  </sheetViews>
  <sheetFormatPr baseColWidth="10" defaultColWidth="11.42578125" defaultRowHeight="15"/>
  <cols>
    <col min="1" max="1" width="3.5703125" style="711" customWidth="1"/>
    <col min="2" max="2" width="4.5703125" style="711" customWidth="1"/>
    <col min="3" max="3" width="55.140625" style="711" customWidth="1"/>
    <col min="4" max="4" width="9.85546875" style="712" customWidth="1"/>
    <col min="5" max="5" width="18" style="712" customWidth="1"/>
    <col min="6" max="7" width="11.42578125" style="711"/>
    <col min="8" max="8" width="13.7109375" style="711" bestFit="1" customWidth="1"/>
    <col min="9" max="16384" width="11.42578125" style="711"/>
  </cols>
  <sheetData>
    <row r="2" spans="2:6">
      <c r="B2" s="1064" t="s">
        <v>557</v>
      </c>
      <c r="C2" s="1064"/>
      <c r="D2" s="1064"/>
      <c r="E2" s="1064"/>
    </row>
    <row r="3" spans="2:6" ht="36.75" customHeight="1">
      <c r="B3" s="1065"/>
      <c r="C3" s="1065"/>
      <c r="D3" s="1065"/>
      <c r="E3" s="1065"/>
    </row>
    <row r="4" spans="2:6" ht="1.5" customHeight="1"/>
    <row r="5" spans="2:6">
      <c r="B5" s="713" t="s">
        <v>558</v>
      </c>
      <c r="C5" s="713" t="s">
        <v>559</v>
      </c>
      <c r="D5" s="713" t="s">
        <v>3</v>
      </c>
      <c r="E5" s="713" t="s">
        <v>560</v>
      </c>
      <c r="F5" s="714"/>
    </row>
    <row r="6" spans="2:6">
      <c r="B6" s="715">
        <v>1</v>
      </c>
      <c r="C6" s="716" t="s">
        <v>26</v>
      </c>
      <c r="D6" s="717" t="s">
        <v>561</v>
      </c>
      <c r="E6" s="718">
        <v>870</v>
      </c>
    </row>
    <row r="7" spans="2:6">
      <c r="B7" s="719">
        <f>B6+1</f>
        <v>2</v>
      </c>
      <c r="C7" s="716" t="s">
        <v>74</v>
      </c>
      <c r="D7" s="717" t="s">
        <v>562</v>
      </c>
      <c r="E7" s="720">
        <v>2800</v>
      </c>
    </row>
    <row r="8" spans="2:6" s="722" customFormat="1">
      <c r="B8" s="719">
        <f t="shared" ref="B8:B71" si="0">B7+1</f>
        <v>3</v>
      </c>
      <c r="C8" s="721" t="s">
        <v>563</v>
      </c>
      <c r="D8" s="717" t="s">
        <v>561</v>
      </c>
      <c r="E8" s="718">
        <v>4500</v>
      </c>
    </row>
    <row r="9" spans="2:6" s="722" customFormat="1">
      <c r="B9" s="719">
        <f t="shared" si="0"/>
        <v>4</v>
      </c>
      <c r="C9" s="721" t="s">
        <v>238</v>
      </c>
      <c r="D9" s="717" t="s">
        <v>562</v>
      </c>
      <c r="E9" s="718">
        <v>3000</v>
      </c>
    </row>
    <row r="10" spans="2:6">
      <c r="B10" s="719">
        <f t="shared" si="0"/>
        <v>5</v>
      </c>
      <c r="C10" s="721" t="s">
        <v>564</v>
      </c>
      <c r="D10" s="717" t="s">
        <v>1</v>
      </c>
      <c r="E10" s="718">
        <v>416235</v>
      </c>
    </row>
    <row r="11" spans="2:6">
      <c r="B11" s="719">
        <f t="shared" si="0"/>
        <v>6</v>
      </c>
      <c r="C11" s="721" t="s">
        <v>565</v>
      </c>
      <c r="D11" s="717" t="s">
        <v>122</v>
      </c>
      <c r="E11" s="718">
        <v>3500</v>
      </c>
    </row>
    <row r="12" spans="2:6">
      <c r="B12" s="719">
        <f t="shared" si="0"/>
        <v>7</v>
      </c>
      <c r="C12" s="721" t="s">
        <v>566</v>
      </c>
      <c r="D12" s="717" t="s">
        <v>1</v>
      </c>
      <c r="E12" s="718">
        <v>20000</v>
      </c>
    </row>
    <row r="13" spans="2:6">
      <c r="B13" s="719">
        <f t="shared" si="0"/>
        <v>8</v>
      </c>
      <c r="C13" s="721" t="s">
        <v>254</v>
      </c>
      <c r="D13" s="717" t="s">
        <v>1</v>
      </c>
      <c r="E13" s="718">
        <v>115000</v>
      </c>
    </row>
    <row r="14" spans="2:6">
      <c r="B14" s="719">
        <f t="shared" si="0"/>
        <v>9</v>
      </c>
      <c r="C14" s="716" t="s">
        <v>45</v>
      </c>
      <c r="D14" s="717" t="s">
        <v>46</v>
      </c>
      <c r="E14" s="718">
        <v>80</v>
      </c>
    </row>
    <row r="15" spans="2:6" s="722" customFormat="1">
      <c r="B15" s="719">
        <f t="shared" si="0"/>
        <v>10</v>
      </c>
      <c r="C15" s="721" t="s">
        <v>567</v>
      </c>
      <c r="D15" s="717" t="s">
        <v>1</v>
      </c>
      <c r="E15" s="718">
        <v>410017</v>
      </c>
    </row>
    <row r="16" spans="2:6">
      <c r="B16" s="719">
        <f t="shared" si="0"/>
        <v>11</v>
      </c>
      <c r="C16" s="716" t="s">
        <v>568</v>
      </c>
      <c r="D16" s="717" t="s">
        <v>2</v>
      </c>
      <c r="E16" s="718">
        <v>7500</v>
      </c>
    </row>
    <row r="17" spans="2:5">
      <c r="B17" s="719">
        <f t="shared" si="0"/>
        <v>12</v>
      </c>
      <c r="C17" s="723" t="s">
        <v>569</v>
      </c>
      <c r="D17" s="717" t="s">
        <v>570</v>
      </c>
      <c r="E17" s="718">
        <v>4691</v>
      </c>
    </row>
    <row r="18" spans="2:5">
      <c r="B18" s="719">
        <f t="shared" si="0"/>
        <v>13</v>
      </c>
      <c r="C18" s="721" t="s">
        <v>571</v>
      </c>
      <c r="D18" s="717" t="s">
        <v>1</v>
      </c>
      <c r="E18" s="718">
        <v>449980</v>
      </c>
    </row>
    <row r="19" spans="2:5">
      <c r="B19" s="719">
        <f t="shared" si="0"/>
        <v>14</v>
      </c>
      <c r="C19" s="716" t="s">
        <v>572</v>
      </c>
      <c r="D19" s="717" t="s">
        <v>570</v>
      </c>
      <c r="E19" s="718">
        <v>2800</v>
      </c>
    </row>
    <row r="20" spans="2:5">
      <c r="B20" s="719">
        <f t="shared" si="0"/>
        <v>15</v>
      </c>
      <c r="C20" s="721" t="s">
        <v>238</v>
      </c>
      <c r="D20" s="717" t="s">
        <v>562</v>
      </c>
      <c r="E20" s="718">
        <v>3600</v>
      </c>
    </row>
    <row r="21" spans="2:5">
      <c r="B21" s="719">
        <f t="shared" si="0"/>
        <v>16</v>
      </c>
      <c r="C21" s="723" t="s">
        <v>573</v>
      </c>
      <c r="D21" s="717" t="s">
        <v>122</v>
      </c>
      <c r="E21" s="718">
        <v>4500</v>
      </c>
    </row>
    <row r="22" spans="2:5">
      <c r="B22" s="719">
        <f t="shared" si="0"/>
        <v>17</v>
      </c>
      <c r="C22" s="721" t="s">
        <v>574</v>
      </c>
      <c r="D22" s="717" t="s">
        <v>1</v>
      </c>
      <c r="E22" s="718">
        <f>'[50]3'!$F$596</f>
        <v>383715</v>
      </c>
    </row>
    <row r="23" spans="2:5">
      <c r="B23" s="719">
        <f t="shared" si="0"/>
        <v>18</v>
      </c>
      <c r="C23" s="723" t="s">
        <v>575</v>
      </c>
      <c r="D23" s="717" t="s">
        <v>1</v>
      </c>
      <c r="E23" s="718">
        <v>140000</v>
      </c>
    </row>
    <row r="24" spans="2:5">
      <c r="B24" s="719">
        <f t="shared" si="0"/>
        <v>19</v>
      </c>
      <c r="C24" s="723" t="s">
        <v>576</v>
      </c>
      <c r="D24" s="717" t="s">
        <v>561</v>
      </c>
      <c r="E24" s="718">
        <v>12000</v>
      </c>
    </row>
    <row r="25" spans="2:5">
      <c r="B25" s="719">
        <f t="shared" si="0"/>
        <v>20</v>
      </c>
      <c r="C25" s="716" t="s">
        <v>577</v>
      </c>
      <c r="D25" s="717" t="s">
        <v>561</v>
      </c>
      <c r="E25" s="718">
        <v>1250</v>
      </c>
    </row>
    <row r="26" spans="2:5">
      <c r="B26" s="719">
        <f t="shared" si="0"/>
        <v>21</v>
      </c>
      <c r="C26" s="716" t="s">
        <v>578</v>
      </c>
      <c r="D26" s="717" t="s">
        <v>570</v>
      </c>
      <c r="E26" s="718">
        <v>15000</v>
      </c>
    </row>
    <row r="27" spans="2:5">
      <c r="B27" s="719">
        <f t="shared" si="0"/>
        <v>22</v>
      </c>
      <c r="C27" s="716" t="s">
        <v>579</v>
      </c>
      <c r="D27" s="717" t="s">
        <v>561</v>
      </c>
      <c r="E27" s="718">
        <v>1150</v>
      </c>
    </row>
    <row r="28" spans="2:5">
      <c r="B28" s="719">
        <f t="shared" si="0"/>
        <v>23</v>
      </c>
      <c r="C28" s="721" t="s">
        <v>580</v>
      </c>
      <c r="D28" s="717" t="s">
        <v>581</v>
      </c>
      <c r="E28" s="718">
        <v>75000</v>
      </c>
    </row>
    <row r="29" spans="2:5" hidden="1">
      <c r="B29" s="719">
        <f t="shared" si="0"/>
        <v>24</v>
      </c>
      <c r="C29" s="721" t="s">
        <v>582</v>
      </c>
      <c r="D29" s="717" t="s">
        <v>570</v>
      </c>
      <c r="E29" s="718">
        <v>1500</v>
      </c>
    </row>
    <row r="30" spans="2:5" hidden="1">
      <c r="B30" s="719">
        <f t="shared" si="0"/>
        <v>25</v>
      </c>
      <c r="C30" s="721" t="s">
        <v>583</v>
      </c>
      <c r="D30" s="717" t="s">
        <v>2</v>
      </c>
      <c r="E30" s="718">
        <v>26000</v>
      </c>
    </row>
    <row r="31" spans="2:5" hidden="1">
      <c r="B31" s="719">
        <f t="shared" si="0"/>
        <v>26</v>
      </c>
      <c r="C31" s="721" t="s">
        <v>584</v>
      </c>
      <c r="D31" s="717" t="s">
        <v>122</v>
      </c>
      <c r="E31" s="718">
        <v>5800</v>
      </c>
    </row>
    <row r="32" spans="2:5" hidden="1">
      <c r="B32" s="719">
        <f t="shared" si="0"/>
        <v>27</v>
      </c>
      <c r="C32" s="721" t="s">
        <v>585</v>
      </c>
      <c r="D32" s="717" t="s">
        <v>122</v>
      </c>
      <c r="E32" s="718">
        <v>2850</v>
      </c>
    </row>
    <row r="33" spans="2:5" hidden="1">
      <c r="B33" s="719">
        <f t="shared" si="0"/>
        <v>28</v>
      </c>
      <c r="C33" s="721" t="s">
        <v>586</v>
      </c>
      <c r="D33" s="717" t="s">
        <v>561</v>
      </c>
      <c r="E33" s="718">
        <v>160</v>
      </c>
    </row>
    <row r="34" spans="2:5" hidden="1">
      <c r="B34" s="719">
        <f t="shared" si="0"/>
        <v>29</v>
      </c>
      <c r="C34" s="721" t="s">
        <v>587</v>
      </c>
      <c r="D34" s="717" t="s">
        <v>316</v>
      </c>
      <c r="E34" s="718">
        <v>5647</v>
      </c>
    </row>
    <row r="35" spans="2:5" hidden="1">
      <c r="B35" s="719">
        <f t="shared" si="0"/>
        <v>30</v>
      </c>
      <c r="C35" s="721" t="s">
        <v>588</v>
      </c>
      <c r="D35" s="717" t="s">
        <v>561</v>
      </c>
      <c r="E35" s="718">
        <v>1161276</v>
      </c>
    </row>
    <row r="36" spans="2:5" hidden="1">
      <c r="B36" s="719">
        <f t="shared" si="0"/>
        <v>31</v>
      </c>
      <c r="C36" s="721" t="s">
        <v>589</v>
      </c>
      <c r="D36" s="717" t="s">
        <v>561</v>
      </c>
      <c r="E36" s="718">
        <v>7197</v>
      </c>
    </row>
    <row r="37" spans="2:5" hidden="1">
      <c r="B37" s="719">
        <f t="shared" si="0"/>
        <v>32</v>
      </c>
      <c r="C37" s="721" t="s">
        <v>590</v>
      </c>
      <c r="D37" s="717" t="s">
        <v>561</v>
      </c>
      <c r="E37" s="718">
        <v>35165</v>
      </c>
    </row>
    <row r="38" spans="2:5" hidden="1">
      <c r="B38" s="719">
        <f t="shared" si="0"/>
        <v>33</v>
      </c>
      <c r="C38" s="721" t="s">
        <v>591</v>
      </c>
      <c r="D38" s="717" t="s">
        <v>561</v>
      </c>
      <c r="E38" s="718">
        <v>8342</v>
      </c>
    </row>
    <row r="39" spans="2:5" hidden="1">
      <c r="B39" s="719">
        <f t="shared" si="0"/>
        <v>34</v>
      </c>
      <c r="C39" s="721" t="s">
        <v>592</v>
      </c>
      <c r="D39" s="717" t="s">
        <v>122</v>
      </c>
      <c r="E39" s="718">
        <v>10141</v>
      </c>
    </row>
    <row r="40" spans="2:5" hidden="1">
      <c r="B40" s="719">
        <f t="shared" si="0"/>
        <v>35</v>
      </c>
      <c r="C40" s="721" t="s">
        <v>593</v>
      </c>
      <c r="D40" s="717" t="s">
        <v>561</v>
      </c>
      <c r="E40" s="718">
        <v>1636</v>
      </c>
    </row>
    <row r="41" spans="2:5" hidden="1">
      <c r="B41" s="719">
        <f t="shared" si="0"/>
        <v>36</v>
      </c>
      <c r="C41" s="721" t="s">
        <v>594</v>
      </c>
      <c r="D41" s="717" t="s">
        <v>122</v>
      </c>
      <c r="E41" s="718">
        <v>8178</v>
      </c>
    </row>
    <row r="42" spans="2:5" hidden="1">
      <c r="B42" s="719">
        <f t="shared" si="0"/>
        <v>37</v>
      </c>
      <c r="C42" s="721" t="s">
        <v>595</v>
      </c>
      <c r="D42" s="717" t="s">
        <v>561</v>
      </c>
      <c r="E42" s="718">
        <v>31076</v>
      </c>
    </row>
    <row r="43" spans="2:5" hidden="1">
      <c r="B43" s="719">
        <f t="shared" si="0"/>
        <v>38</v>
      </c>
      <c r="C43" s="721" t="s">
        <v>596</v>
      </c>
      <c r="D43" s="717" t="s">
        <v>561</v>
      </c>
      <c r="E43" s="718">
        <v>8178</v>
      </c>
    </row>
    <row r="44" spans="2:5" hidden="1">
      <c r="B44" s="719">
        <f t="shared" si="0"/>
        <v>39</v>
      </c>
      <c r="C44" s="721" t="s">
        <v>597</v>
      </c>
      <c r="D44" s="717" t="s">
        <v>122</v>
      </c>
      <c r="E44" s="718">
        <v>4544</v>
      </c>
    </row>
    <row r="45" spans="2:5" hidden="1">
      <c r="B45" s="719">
        <f t="shared" si="0"/>
        <v>40</v>
      </c>
      <c r="C45" s="721" t="s">
        <v>598</v>
      </c>
      <c r="D45" s="717" t="s">
        <v>561</v>
      </c>
      <c r="E45" s="718">
        <v>130848</v>
      </c>
    </row>
    <row r="46" spans="2:5" hidden="1">
      <c r="B46" s="719">
        <f t="shared" si="0"/>
        <v>41</v>
      </c>
      <c r="C46" s="721" t="s">
        <v>599</v>
      </c>
      <c r="D46" s="717" t="s">
        <v>561</v>
      </c>
      <c r="E46" s="718">
        <v>8996</v>
      </c>
    </row>
    <row r="47" spans="2:5" hidden="1">
      <c r="B47" s="719">
        <f t="shared" si="0"/>
        <v>42</v>
      </c>
      <c r="C47" s="721" t="s">
        <v>600</v>
      </c>
      <c r="D47" s="717" t="s">
        <v>561</v>
      </c>
      <c r="E47" s="718">
        <v>19627</v>
      </c>
    </row>
    <row r="48" spans="2:5" hidden="1">
      <c r="B48" s="719">
        <f t="shared" si="0"/>
        <v>43</v>
      </c>
      <c r="C48" s="721" t="s">
        <v>601</v>
      </c>
      <c r="D48" s="717" t="s">
        <v>122</v>
      </c>
      <c r="E48" s="718">
        <v>8342</v>
      </c>
    </row>
    <row r="49" spans="2:5" hidden="1">
      <c r="B49" s="719">
        <f t="shared" si="0"/>
        <v>44</v>
      </c>
      <c r="C49" s="721" t="s">
        <v>602</v>
      </c>
      <c r="D49" s="717" t="s">
        <v>561</v>
      </c>
      <c r="E49" s="718">
        <v>515</v>
      </c>
    </row>
    <row r="50" spans="2:5" hidden="1">
      <c r="B50" s="719">
        <f t="shared" si="0"/>
        <v>45</v>
      </c>
      <c r="C50" s="721" t="s">
        <v>603</v>
      </c>
      <c r="D50" s="717" t="s">
        <v>561</v>
      </c>
      <c r="E50" s="718">
        <v>7197</v>
      </c>
    </row>
    <row r="51" spans="2:5" hidden="1">
      <c r="B51" s="719">
        <f t="shared" si="0"/>
        <v>46</v>
      </c>
      <c r="C51" s="721" t="s">
        <v>604</v>
      </c>
      <c r="D51" s="717" t="s">
        <v>122</v>
      </c>
      <c r="E51" s="718">
        <v>12650</v>
      </c>
    </row>
    <row r="52" spans="2:5" hidden="1">
      <c r="B52" s="719">
        <f t="shared" si="0"/>
        <v>47</v>
      </c>
      <c r="C52" s="721" t="s">
        <v>605</v>
      </c>
      <c r="D52" s="717" t="s">
        <v>561</v>
      </c>
      <c r="E52" s="718">
        <v>11760</v>
      </c>
    </row>
    <row r="53" spans="2:5" hidden="1">
      <c r="B53" s="719">
        <f t="shared" si="0"/>
        <v>48</v>
      </c>
      <c r="C53" s="721" t="s">
        <v>606</v>
      </c>
      <c r="D53" s="717" t="s">
        <v>561</v>
      </c>
      <c r="E53" s="718">
        <v>5880</v>
      </c>
    </row>
    <row r="54" spans="2:5" hidden="1">
      <c r="B54" s="719">
        <f t="shared" si="0"/>
        <v>49</v>
      </c>
      <c r="C54" s="721" t="s">
        <v>607</v>
      </c>
      <c r="D54" s="717" t="s">
        <v>561</v>
      </c>
      <c r="E54" s="718">
        <v>52920</v>
      </c>
    </row>
    <row r="55" spans="2:5" hidden="1">
      <c r="B55" s="719">
        <f t="shared" si="0"/>
        <v>50</v>
      </c>
      <c r="C55" s="721" t="s">
        <v>608</v>
      </c>
      <c r="D55" s="717" t="s">
        <v>561</v>
      </c>
      <c r="E55" s="718">
        <v>421400</v>
      </c>
    </row>
    <row r="56" spans="2:5" hidden="1">
      <c r="B56" s="719">
        <f t="shared" si="0"/>
        <v>51</v>
      </c>
      <c r="C56" s="721" t="s">
        <v>609</v>
      </c>
      <c r="D56" s="717" t="s">
        <v>561</v>
      </c>
      <c r="E56" s="718">
        <v>7840</v>
      </c>
    </row>
    <row r="57" spans="2:5" hidden="1">
      <c r="B57" s="719">
        <f t="shared" si="0"/>
        <v>52</v>
      </c>
      <c r="C57" s="721" t="s">
        <v>610</v>
      </c>
      <c r="D57" s="717" t="s">
        <v>561</v>
      </c>
      <c r="E57" s="718">
        <v>9800</v>
      </c>
    </row>
    <row r="58" spans="2:5" hidden="1">
      <c r="B58" s="719">
        <f t="shared" si="0"/>
        <v>53</v>
      </c>
      <c r="C58" s="721" t="s">
        <v>611</v>
      </c>
      <c r="D58" s="717" t="s">
        <v>561</v>
      </c>
      <c r="E58" s="718">
        <v>141000</v>
      </c>
    </row>
    <row r="59" spans="2:5" hidden="1">
      <c r="B59" s="719">
        <f t="shared" si="0"/>
        <v>54</v>
      </c>
      <c r="C59" s="721" t="s">
        <v>612</v>
      </c>
      <c r="D59" s="717" t="s">
        <v>561</v>
      </c>
      <c r="E59" s="718">
        <v>7403</v>
      </c>
    </row>
    <row r="60" spans="2:5" hidden="1">
      <c r="B60" s="719">
        <f t="shared" si="0"/>
        <v>55</v>
      </c>
      <c r="C60" s="721" t="s">
        <v>613</v>
      </c>
      <c r="D60" s="717" t="s">
        <v>561</v>
      </c>
      <c r="E60" s="718">
        <v>11844</v>
      </c>
    </row>
    <row r="61" spans="2:5" hidden="1">
      <c r="B61" s="719">
        <f t="shared" si="0"/>
        <v>56</v>
      </c>
      <c r="C61" s="721" t="s">
        <v>614</v>
      </c>
      <c r="D61" s="717" t="s">
        <v>561</v>
      </c>
      <c r="E61" s="718">
        <v>98229</v>
      </c>
    </row>
    <row r="62" spans="2:5" hidden="1">
      <c r="B62" s="719">
        <f t="shared" si="0"/>
        <v>57</v>
      </c>
      <c r="C62" s="721" t="s">
        <v>615</v>
      </c>
      <c r="D62" s="717" t="s">
        <v>561</v>
      </c>
      <c r="E62" s="718">
        <v>172345</v>
      </c>
    </row>
    <row r="63" spans="2:5" ht="22.5" hidden="1">
      <c r="B63" s="719">
        <f t="shared" si="0"/>
        <v>58</v>
      </c>
      <c r="C63" s="721" t="s">
        <v>616</v>
      </c>
      <c r="D63" s="717" t="s">
        <v>561</v>
      </c>
      <c r="E63" s="718">
        <v>6937200</v>
      </c>
    </row>
    <row r="64" spans="2:5" ht="22.5" hidden="1">
      <c r="B64" s="719">
        <f t="shared" si="0"/>
        <v>59</v>
      </c>
      <c r="C64" s="721" t="s">
        <v>617</v>
      </c>
      <c r="D64" s="717" t="s">
        <v>561</v>
      </c>
      <c r="E64" s="718">
        <v>63450</v>
      </c>
    </row>
    <row r="65" spans="2:5" hidden="1">
      <c r="B65" s="719">
        <f t="shared" si="0"/>
        <v>60</v>
      </c>
      <c r="C65" s="721" t="s">
        <v>592</v>
      </c>
      <c r="D65" s="717" t="s">
        <v>122</v>
      </c>
      <c r="E65" s="718">
        <v>8342</v>
      </c>
    </row>
    <row r="66" spans="2:5" hidden="1">
      <c r="B66" s="719">
        <f t="shared" si="0"/>
        <v>61</v>
      </c>
      <c r="C66" s="721" t="s">
        <v>618</v>
      </c>
      <c r="D66" s="717" t="s">
        <v>122</v>
      </c>
      <c r="E66" s="718">
        <v>8014</v>
      </c>
    </row>
    <row r="67" spans="2:5" hidden="1">
      <c r="B67" s="719">
        <f t="shared" si="0"/>
        <v>62</v>
      </c>
      <c r="C67" s="721" t="s">
        <v>619</v>
      </c>
      <c r="D67" s="717" t="s">
        <v>561</v>
      </c>
      <c r="E67" s="718">
        <v>19627</v>
      </c>
    </row>
    <row r="68" spans="2:5" hidden="1">
      <c r="B68" s="719">
        <f t="shared" si="0"/>
        <v>63</v>
      </c>
      <c r="C68" s="721" t="s">
        <v>620</v>
      </c>
      <c r="D68" s="717" t="s">
        <v>561</v>
      </c>
      <c r="E68" s="718">
        <v>2453</v>
      </c>
    </row>
    <row r="69" spans="2:5" hidden="1">
      <c r="B69" s="719">
        <f t="shared" si="0"/>
        <v>64</v>
      </c>
      <c r="C69" s="721" t="s">
        <v>621</v>
      </c>
      <c r="D69" s="717" t="s">
        <v>561</v>
      </c>
      <c r="E69" s="718">
        <v>142410</v>
      </c>
    </row>
    <row r="70" spans="2:5" hidden="1">
      <c r="B70" s="719">
        <f t="shared" si="0"/>
        <v>65</v>
      </c>
      <c r="C70" s="721" t="s">
        <v>622</v>
      </c>
      <c r="D70" s="717" t="s">
        <v>561</v>
      </c>
      <c r="E70" s="718">
        <v>2944</v>
      </c>
    </row>
    <row r="71" spans="2:5" hidden="1">
      <c r="B71" s="719">
        <f t="shared" si="0"/>
        <v>66</v>
      </c>
      <c r="C71" s="721" t="s">
        <v>623</v>
      </c>
      <c r="D71" s="717" t="s">
        <v>561</v>
      </c>
      <c r="E71" s="718">
        <v>40890</v>
      </c>
    </row>
    <row r="72" spans="2:5" hidden="1">
      <c r="B72" s="719">
        <f t="shared" ref="B72:B126" si="1">B71+1</f>
        <v>67</v>
      </c>
      <c r="C72" s="721" t="s">
        <v>607</v>
      </c>
      <c r="D72" s="717" t="s">
        <v>561</v>
      </c>
      <c r="E72" s="718">
        <v>35983</v>
      </c>
    </row>
    <row r="73" spans="2:5" hidden="1">
      <c r="B73" s="719">
        <f t="shared" si="1"/>
        <v>68</v>
      </c>
      <c r="C73" s="721" t="s">
        <v>624</v>
      </c>
      <c r="D73" s="717" t="s">
        <v>561</v>
      </c>
      <c r="E73" s="718">
        <v>6909</v>
      </c>
    </row>
    <row r="74" spans="2:5" hidden="1">
      <c r="B74" s="719">
        <f t="shared" si="1"/>
        <v>69</v>
      </c>
      <c r="C74" s="721" t="s">
        <v>608</v>
      </c>
      <c r="D74" s="717" t="s">
        <v>561</v>
      </c>
      <c r="E74" s="718">
        <v>359832</v>
      </c>
    </row>
    <row r="75" spans="2:5" hidden="1">
      <c r="B75" s="719">
        <f t="shared" si="1"/>
        <v>70</v>
      </c>
      <c r="C75" s="721" t="s">
        <v>625</v>
      </c>
      <c r="D75" s="717" t="s">
        <v>561</v>
      </c>
      <c r="E75" s="718">
        <v>6542</v>
      </c>
    </row>
    <row r="76" spans="2:5" hidden="1">
      <c r="B76" s="719">
        <f t="shared" si="1"/>
        <v>71</v>
      </c>
      <c r="C76" s="721" t="s">
        <v>591</v>
      </c>
      <c r="D76" s="717" t="s">
        <v>561</v>
      </c>
      <c r="E76" s="718">
        <v>6215</v>
      </c>
    </row>
    <row r="77" spans="2:5" hidden="1">
      <c r="B77" s="719">
        <f t="shared" si="1"/>
        <v>72</v>
      </c>
      <c r="C77" s="721" t="s">
        <v>626</v>
      </c>
      <c r="D77" s="717" t="s">
        <v>561</v>
      </c>
      <c r="E77" s="718">
        <v>212628</v>
      </c>
    </row>
    <row r="78" spans="2:5" hidden="1">
      <c r="B78" s="719">
        <f t="shared" si="1"/>
        <v>73</v>
      </c>
      <c r="C78" s="721" t="s">
        <v>627</v>
      </c>
      <c r="D78" s="717" t="s">
        <v>561</v>
      </c>
      <c r="E78" s="718">
        <v>9977</v>
      </c>
    </row>
    <row r="79" spans="2:5" hidden="1">
      <c r="B79" s="719">
        <f t="shared" si="1"/>
        <v>74</v>
      </c>
      <c r="C79" s="721" t="s">
        <v>628</v>
      </c>
      <c r="D79" s="717" t="s">
        <v>561</v>
      </c>
      <c r="E79" s="718">
        <v>5083050</v>
      </c>
    </row>
    <row r="80" spans="2:5" hidden="1">
      <c r="B80" s="719">
        <f t="shared" si="1"/>
        <v>75</v>
      </c>
      <c r="C80" s="721" t="s">
        <v>629</v>
      </c>
      <c r="D80" s="717" t="s">
        <v>561</v>
      </c>
      <c r="E80" s="718">
        <v>40890</v>
      </c>
    </row>
    <row r="81" spans="2:5" hidden="1">
      <c r="B81" s="719">
        <f t="shared" si="1"/>
        <v>76</v>
      </c>
      <c r="C81" s="721" t="s">
        <v>630</v>
      </c>
      <c r="D81" s="717" t="s">
        <v>561</v>
      </c>
      <c r="E81" s="718">
        <v>419041</v>
      </c>
    </row>
    <row r="82" spans="2:5" hidden="1">
      <c r="B82" s="719">
        <f t="shared" si="1"/>
        <v>77</v>
      </c>
      <c r="C82" s="721" t="s">
        <v>631</v>
      </c>
      <c r="D82" s="717" t="s">
        <v>561</v>
      </c>
      <c r="E82" s="718">
        <v>245340</v>
      </c>
    </row>
    <row r="83" spans="2:5" hidden="1">
      <c r="B83" s="719">
        <f t="shared" si="1"/>
        <v>78</v>
      </c>
      <c r="C83" s="721" t="s">
        <v>632</v>
      </c>
      <c r="D83" s="717" t="s">
        <v>561</v>
      </c>
      <c r="E83" s="718">
        <v>467782</v>
      </c>
    </row>
    <row r="84" spans="2:5" hidden="1">
      <c r="B84" s="719">
        <f t="shared" si="1"/>
        <v>79</v>
      </c>
      <c r="C84" s="721" t="s">
        <v>633</v>
      </c>
      <c r="D84" s="717" t="s">
        <v>122</v>
      </c>
      <c r="E84" s="718">
        <v>2318</v>
      </c>
    </row>
    <row r="85" spans="2:5" hidden="1">
      <c r="B85" s="719">
        <f t="shared" si="1"/>
        <v>80</v>
      </c>
      <c r="C85" s="721" t="s">
        <v>634</v>
      </c>
      <c r="D85" s="717" t="s">
        <v>561</v>
      </c>
      <c r="E85" s="718">
        <v>687</v>
      </c>
    </row>
    <row r="86" spans="2:5" hidden="1">
      <c r="B86" s="719">
        <f t="shared" si="1"/>
        <v>81</v>
      </c>
      <c r="C86" s="721" t="s">
        <v>635</v>
      </c>
      <c r="D86" s="717" t="s">
        <v>561</v>
      </c>
      <c r="E86" s="718">
        <v>818</v>
      </c>
    </row>
    <row r="87" spans="2:5" hidden="1">
      <c r="B87" s="719">
        <f t="shared" si="1"/>
        <v>82</v>
      </c>
      <c r="C87" s="721" t="s">
        <v>636</v>
      </c>
      <c r="D87" s="717" t="s">
        <v>561</v>
      </c>
      <c r="E87" s="718">
        <v>1308</v>
      </c>
    </row>
    <row r="88" spans="2:5" hidden="1">
      <c r="B88" s="719">
        <f t="shared" si="1"/>
        <v>83</v>
      </c>
      <c r="C88" s="721" t="s">
        <v>637</v>
      </c>
      <c r="D88" s="717" t="s">
        <v>122</v>
      </c>
      <c r="E88" s="718">
        <v>31450</v>
      </c>
    </row>
    <row r="89" spans="2:5" hidden="1">
      <c r="B89" s="719">
        <f t="shared" si="1"/>
        <v>84</v>
      </c>
      <c r="C89" s="721" t="s">
        <v>638</v>
      </c>
      <c r="D89" s="717" t="s">
        <v>122</v>
      </c>
      <c r="E89" s="718">
        <v>25423</v>
      </c>
    </row>
    <row r="90" spans="2:5" hidden="1">
      <c r="B90" s="719">
        <f t="shared" si="1"/>
        <v>85</v>
      </c>
      <c r="C90" s="721" t="s">
        <v>639</v>
      </c>
      <c r="D90" s="717" t="s">
        <v>561</v>
      </c>
      <c r="E90" s="718">
        <v>12178</v>
      </c>
    </row>
    <row r="91" spans="2:5" hidden="1">
      <c r="B91" s="719">
        <f t="shared" si="1"/>
        <v>86</v>
      </c>
      <c r="C91" s="721" t="s">
        <v>640</v>
      </c>
      <c r="D91" s="717" t="s">
        <v>561</v>
      </c>
      <c r="E91" s="718">
        <v>22028</v>
      </c>
    </row>
    <row r="92" spans="2:5" hidden="1">
      <c r="B92" s="719">
        <f t="shared" si="1"/>
        <v>87</v>
      </c>
      <c r="C92" s="721" t="s">
        <v>641</v>
      </c>
      <c r="D92" s="717" t="s">
        <v>561</v>
      </c>
      <c r="E92" s="718">
        <v>109559</v>
      </c>
    </row>
    <row r="93" spans="2:5" hidden="1">
      <c r="B93" s="719">
        <f t="shared" si="1"/>
        <v>88</v>
      </c>
      <c r="C93" s="721" t="s">
        <v>642</v>
      </c>
      <c r="D93" s="717" t="s">
        <v>122</v>
      </c>
      <c r="E93" s="718">
        <v>35979</v>
      </c>
    </row>
    <row r="94" spans="2:5" hidden="1">
      <c r="B94" s="719">
        <f t="shared" si="1"/>
        <v>89</v>
      </c>
      <c r="C94" s="721" t="s">
        <v>643</v>
      </c>
      <c r="D94" s="717" t="s">
        <v>561</v>
      </c>
      <c r="E94" s="718">
        <v>6424</v>
      </c>
    </row>
    <row r="95" spans="2:5" hidden="1">
      <c r="B95" s="719">
        <f t="shared" si="1"/>
        <v>90</v>
      </c>
      <c r="C95" s="721" t="s">
        <v>644</v>
      </c>
      <c r="D95" s="717" t="s">
        <v>122</v>
      </c>
      <c r="E95" s="718">
        <v>51780</v>
      </c>
    </row>
    <row r="96" spans="2:5" hidden="1">
      <c r="B96" s="719">
        <f t="shared" si="1"/>
        <v>91</v>
      </c>
      <c r="C96" s="721" t="s">
        <v>645</v>
      </c>
      <c r="D96" s="717" t="s">
        <v>561</v>
      </c>
      <c r="E96" s="718">
        <v>18178</v>
      </c>
    </row>
    <row r="97" spans="2:5" hidden="1">
      <c r="B97" s="719">
        <f t="shared" si="1"/>
        <v>92</v>
      </c>
      <c r="C97" s="721" t="s">
        <v>646</v>
      </c>
      <c r="D97" s="717" t="s">
        <v>122</v>
      </c>
      <c r="E97" s="718">
        <v>76115</v>
      </c>
    </row>
    <row r="98" spans="2:5" hidden="1">
      <c r="B98" s="719">
        <f t="shared" si="1"/>
        <v>93</v>
      </c>
      <c r="C98" s="721" t="s">
        <v>647</v>
      </c>
      <c r="D98" s="717" t="s">
        <v>561</v>
      </c>
      <c r="E98" s="718">
        <v>23531</v>
      </c>
    </row>
    <row r="99" spans="2:5" hidden="1">
      <c r="B99" s="719">
        <f t="shared" si="1"/>
        <v>94</v>
      </c>
      <c r="C99" s="716" t="s">
        <v>648</v>
      </c>
      <c r="D99" s="717" t="s">
        <v>122</v>
      </c>
      <c r="E99" s="718">
        <v>71500</v>
      </c>
    </row>
    <row r="100" spans="2:5" hidden="1">
      <c r="B100" s="719">
        <f t="shared" si="1"/>
        <v>95</v>
      </c>
      <c r="C100" s="716" t="s">
        <v>649</v>
      </c>
      <c r="D100" s="717" t="s">
        <v>122</v>
      </c>
      <c r="E100" s="718">
        <v>55000</v>
      </c>
    </row>
    <row r="101" spans="2:5" hidden="1">
      <c r="B101" s="719">
        <f t="shared" si="1"/>
        <v>96</v>
      </c>
      <c r="C101" s="716" t="s">
        <v>650</v>
      </c>
      <c r="D101" s="717" t="s">
        <v>122</v>
      </c>
      <c r="E101" s="718">
        <v>30800</v>
      </c>
    </row>
    <row r="102" spans="2:5">
      <c r="B102" s="719">
        <f t="shared" si="1"/>
        <v>97</v>
      </c>
      <c r="C102" s="716" t="s">
        <v>651</v>
      </c>
      <c r="D102" s="717" t="s">
        <v>570</v>
      </c>
      <c r="E102" s="718">
        <v>3500</v>
      </c>
    </row>
    <row r="103" spans="2:5">
      <c r="B103" s="719">
        <f t="shared" si="1"/>
        <v>98</v>
      </c>
      <c r="C103" s="716" t="s">
        <v>652</v>
      </c>
      <c r="D103" s="717" t="s">
        <v>581</v>
      </c>
      <c r="E103" s="718">
        <v>37000</v>
      </c>
    </row>
    <row r="104" spans="2:5">
      <c r="B104" s="719">
        <f t="shared" si="1"/>
        <v>99</v>
      </c>
      <c r="C104" s="716" t="s">
        <v>653</v>
      </c>
      <c r="D104" s="717" t="s">
        <v>581</v>
      </c>
      <c r="E104" s="718">
        <v>105000</v>
      </c>
    </row>
    <row r="105" spans="2:5">
      <c r="B105" s="719">
        <f t="shared" si="1"/>
        <v>100</v>
      </c>
      <c r="C105" s="716" t="s">
        <v>654</v>
      </c>
      <c r="D105" s="717" t="s">
        <v>570</v>
      </c>
      <c r="E105" s="718">
        <v>8100</v>
      </c>
    </row>
    <row r="106" spans="2:5">
      <c r="B106" s="719">
        <f t="shared" si="1"/>
        <v>101</v>
      </c>
      <c r="C106" s="716" t="s">
        <v>655</v>
      </c>
      <c r="D106" s="717" t="s">
        <v>2</v>
      </c>
      <c r="E106" s="718">
        <v>30454</v>
      </c>
    </row>
    <row r="107" spans="2:5">
      <c r="B107" s="719">
        <f t="shared" si="1"/>
        <v>102</v>
      </c>
      <c r="C107" s="716" t="s">
        <v>656</v>
      </c>
      <c r="D107" s="717" t="s">
        <v>122</v>
      </c>
      <c r="E107" s="718">
        <v>11000</v>
      </c>
    </row>
    <row r="108" spans="2:5">
      <c r="B108" s="719">
        <f t="shared" si="1"/>
        <v>103</v>
      </c>
      <c r="C108" s="716" t="s">
        <v>657</v>
      </c>
      <c r="D108" s="717" t="s">
        <v>122</v>
      </c>
      <c r="E108" s="718">
        <v>1500</v>
      </c>
    </row>
    <row r="109" spans="2:5">
      <c r="B109" s="719">
        <f t="shared" si="1"/>
        <v>104</v>
      </c>
      <c r="C109" s="716" t="s">
        <v>658</v>
      </c>
      <c r="D109" s="717" t="s">
        <v>122</v>
      </c>
      <c r="E109" s="718">
        <v>800</v>
      </c>
    </row>
    <row r="110" spans="2:5">
      <c r="B110" s="719">
        <f t="shared" si="1"/>
        <v>105</v>
      </c>
      <c r="C110" s="716" t="s">
        <v>659</v>
      </c>
      <c r="D110" s="717" t="s">
        <v>2</v>
      </c>
      <c r="E110" s="718">
        <v>200000</v>
      </c>
    </row>
    <row r="111" spans="2:5">
      <c r="B111" s="719">
        <f t="shared" si="1"/>
        <v>106</v>
      </c>
      <c r="C111" s="716" t="s">
        <v>660</v>
      </c>
      <c r="D111" s="717" t="s">
        <v>2</v>
      </c>
      <c r="E111" s="718">
        <v>135000</v>
      </c>
    </row>
    <row r="112" spans="2:5">
      <c r="B112" s="719">
        <f t="shared" si="1"/>
        <v>107</v>
      </c>
      <c r="C112" s="716" t="s">
        <v>661</v>
      </c>
      <c r="D112" s="717" t="s">
        <v>561</v>
      </c>
      <c r="E112" s="718">
        <v>300000</v>
      </c>
    </row>
    <row r="113" spans="2:5">
      <c r="B113" s="719">
        <f t="shared" si="1"/>
        <v>108</v>
      </c>
      <c r="C113" s="716" t="s">
        <v>662</v>
      </c>
      <c r="D113" s="717" t="s">
        <v>561</v>
      </c>
      <c r="E113" s="718">
        <v>65000</v>
      </c>
    </row>
    <row r="114" spans="2:5">
      <c r="B114" s="719">
        <f t="shared" si="1"/>
        <v>109</v>
      </c>
      <c r="C114" s="716" t="s">
        <v>663</v>
      </c>
      <c r="D114" s="717" t="s">
        <v>561</v>
      </c>
      <c r="E114" s="718">
        <v>23000</v>
      </c>
    </row>
    <row r="115" spans="2:5">
      <c r="B115" s="719">
        <f t="shared" si="1"/>
        <v>110</v>
      </c>
      <c r="C115" s="716" t="s">
        <v>664</v>
      </c>
      <c r="D115" s="717" t="s">
        <v>2</v>
      </c>
      <c r="E115" s="718">
        <v>55000</v>
      </c>
    </row>
    <row r="116" spans="2:5">
      <c r="B116" s="719">
        <f t="shared" si="1"/>
        <v>111</v>
      </c>
      <c r="C116" s="716" t="s">
        <v>665</v>
      </c>
      <c r="D116" s="717" t="s">
        <v>561</v>
      </c>
      <c r="E116" s="718">
        <v>2000</v>
      </c>
    </row>
    <row r="117" spans="2:5">
      <c r="B117" s="719">
        <f t="shared" si="1"/>
        <v>112</v>
      </c>
      <c r="C117" s="716" t="s">
        <v>666</v>
      </c>
      <c r="D117" s="717" t="s">
        <v>122</v>
      </c>
      <c r="E117" s="718">
        <v>1000</v>
      </c>
    </row>
    <row r="118" spans="2:5">
      <c r="B118" s="719">
        <f t="shared" si="1"/>
        <v>113</v>
      </c>
      <c r="C118" s="716" t="s">
        <v>667</v>
      </c>
      <c r="D118" s="717" t="s">
        <v>668</v>
      </c>
      <c r="E118" s="718">
        <v>5000</v>
      </c>
    </row>
    <row r="119" spans="2:5">
      <c r="B119" s="719">
        <f t="shared" si="1"/>
        <v>114</v>
      </c>
      <c r="C119" s="716" t="s">
        <v>669</v>
      </c>
      <c r="D119" s="717" t="s">
        <v>122</v>
      </c>
      <c r="E119" s="718">
        <v>49167</v>
      </c>
    </row>
    <row r="120" spans="2:5">
      <c r="B120" s="719">
        <f t="shared" si="1"/>
        <v>115</v>
      </c>
      <c r="C120" s="716" t="s">
        <v>302</v>
      </c>
      <c r="D120" s="717" t="s">
        <v>122</v>
      </c>
      <c r="E120" s="718">
        <v>25833</v>
      </c>
    </row>
    <row r="121" spans="2:5">
      <c r="B121" s="719">
        <f t="shared" si="1"/>
        <v>116</v>
      </c>
      <c r="C121" s="716" t="s">
        <v>670</v>
      </c>
      <c r="D121" s="717" t="s">
        <v>122</v>
      </c>
      <c r="E121" s="718">
        <v>350000</v>
      </c>
    </row>
    <row r="122" spans="2:5">
      <c r="B122" s="719">
        <f t="shared" si="1"/>
        <v>117</v>
      </c>
      <c r="C122" s="716" t="s">
        <v>671</v>
      </c>
      <c r="D122" s="717" t="s">
        <v>122</v>
      </c>
      <c r="E122" s="718">
        <v>450000</v>
      </c>
    </row>
    <row r="123" spans="2:5">
      <c r="B123" s="719">
        <f t="shared" si="1"/>
        <v>118</v>
      </c>
      <c r="C123" s="716" t="s">
        <v>672</v>
      </c>
      <c r="D123" s="717" t="s">
        <v>122</v>
      </c>
      <c r="E123" s="718">
        <v>410017</v>
      </c>
    </row>
    <row r="124" spans="2:5">
      <c r="B124" s="719">
        <f t="shared" si="1"/>
        <v>119</v>
      </c>
      <c r="C124" s="716" t="s">
        <v>63</v>
      </c>
      <c r="D124" s="717" t="s">
        <v>1</v>
      </c>
      <c r="E124" s="718">
        <v>65000</v>
      </c>
    </row>
    <row r="125" spans="2:5">
      <c r="B125" s="719">
        <f t="shared" si="1"/>
        <v>120</v>
      </c>
      <c r="C125" s="716" t="s">
        <v>64</v>
      </c>
      <c r="D125" s="717" t="s">
        <v>53</v>
      </c>
      <c r="E125" s="718">
        <v>568</v>
      </c>
    </row>
    <row r="126" spans="2:5">
      <c r="B126" s="719">
        <f t="shared" si="1"/>
        <v>121</v>
      </c>
      <c r="C126" s="716" t="s">
        <v>65</v>
      </c>
      <c r="D126" s="717" t="s">
        <v>1</v>
      </c>
      <c r="E126" s="718">
        <v>85000</v>
      </c>
    </row>
    <row r="127" spans="2:5" ht="4.5" customHeight="1"/>
    <row r="128" spans="2:5" ht="4.5" customHeight="1">
      <c r="C128" s="724"/>
    </row>
    <row r="129" spans="3:3" ht="10.5" customHeight="1">
      <c r="C129" s="725"/>
    </row>
    <row r="130" spans="3:3" ht="10.5" customHeight="1">
      <c r="C130" s="726"/>
    </row>
    <row r="131" spans="3:3" ht="10.5" customHeight="1">
      <c r="C131" s="726"/>
    </row>
  </sheetData>
  <mergeCells count="2">
    <mergeCell ref="B2:E2"/>
    <mergeCell ref="B3:E3"/>
  </mergeCells>
  <printOptions horizontalCentered="1"/>
  <pageMargins left="0.70866141732283472" right="0.70866141732283472" top="0.74803149606299213" bottom="0.74803149606299213" header="0.31496062992125984" footer="0.31496062992125984"/>
  <pageSetup scale="8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6"/>
  <dimension ref="B2:J23"/>
  <sheetViews>
    <sheetView view="pageBreakPreview" zoomScale="115" zoomScaleNormal="100" zoomScaleSheetLayoutView="115" workbookViewId="0">
      <selection activeCell="C21" sqref="C21:C23"/>
    </sheetView>
  </sheetViews>
  <sheetFormatPr baseColWidth="10" defaultColWidth="11.42578125" defaultRowHeight="15"/>
  <cols>
    <col min="1" max="2" width="5" style="711" customWidth="1"/>
    <col min="3" max="3" width="45.28515625" style="711" bestFit="1" customWidth="1"/>
    <col min="4" max="4" width="9.28515625" style="711" customWidth="1"/>
    <col min="5" max="5" width="16" style="711" customWidth="1"/>
    <col min="6" max="6" width="11.42578125" style="711"/>
    <col min="7" max="7" width="12.42578125" style="711" bestFit="1" customWidth="1"/>
    <col min="8" max="9" width="11.42578125" style="711"/>
    <col min="10" max="10" width="12.5703125" style="711" bestFit="1" customWidth="1"/>
    <col min="11" max="16384" width="11.42578125" style="711"/>
  </cols>
  <sheetData>
    <row r="2" spans="2:10" ht="21" customHeight="1">
      <c r="B2" s="1064" t="s">
        <v>673</v>
      </c>
      <c r="C2" s="1064"/>
      <c r="D2" s="1064"/>
      <c r="E2" s="1064"/>
    </row>
    <row r="3" spans="2:10" ht="47.25" customHeight="1">
      <c r="B3" s="1066">
        <f>M!B3</f>
        <v>0</v>
      </c>
      <c r="C3" s="1066"/>
      <c r="D3" s="1066"/>
      <c r="E3" s="1066"/>
    </row>
    <row r="5" spans="2:10" ht="15" customHeight="1">
      <c r="B5" s="727" t="s">
        <v>558</v>
      </c>
      <c r="C5" s="727" t="s">
        <v>674</v>
      </c>
      <c r="D5" s="727" t="s">
        <v>3</v>
      </c>
      <c r="E5" s="727" t="s">
        <v>19</v>
      </c>
      <c r="I5" s="712"/>
      <c r="J5" s="728"/>
    </row>
    <row r="6" spans="2:10" ht="15" customHeight="1">
      <c r="B6" s="719">
        <v>1</v>
      </c>
      <c r="C6" s="729" t="s">
        <v>675</v>
      </c>
      <c r="D6" s="719" t="s">
        <v>253</v>
      </c>
      <c r="E6" s="730">
        <v>2500000</v>
      </c>
      <c r="I6" s="712"/>
      <c r="J6" s="728"/>
    </row>
    <row r="7" spans="2:10" ht="15" customHeight="1">
      <c r="B7" s="719">
        <f>B6+1</f>
        <v>2</v>
      </c>
      <c r="C7" s="729" t="s">
        <v>676</v>
      </c>
      <c r="D7" s="719" t="s">
        <v>253</v>
      </c>
      <c r="E7" s="730">
        <v>1200000</v>
      </c>
      <c r="I7" s="712"/>
      <c r="J7" s="728"/>
    </row>
    <row r="8" spans="2:10" ht="15" customHeight="1">
      <c r="B8" s="719">
        <f t="shared" ref="B8:B18" si="0">B7+1</f>
        <v>3</v>
      </c>
      <c r="C8" s="729" t="s">
        <v>677</v>
      </c>
      <c r="D8" s="719" t="s">
        <v>253</v>
      </c>
      <c r="E8" s="730">
        <v>100000</v>
      </c>
      <c r="I8" s="712"/>
      <c r="J8" s="728"/>
    </row>
    <row r="9" spans="2:10" ht="15" customHeight="1">
      <c r="B9" s="719">
        <f t="shared" si="0"/>
        <v>4</v>
      </c>
      <c r="C9" s="729" t="s">
        <v>678</v>
      </c>
      <c r="D9" s="719" t="s">
        <v>679</v>
      </c>
      <c r="E9" s="730">
        <v>120000</v>
      </c>
      <c r="I9" s="712"/>
      <c r="J9" s="728"/>
    </row>
    <row r="10" spans="2:10" ht="15" customHeight="1">
      <c r="B10" s="719">
        <f t="shared" si="0"/>
        <v>5</v>
      </c>
      <c r="C10" s="729" t="s">
        <v>80</v>
      </c>
      <c r="D10" s="719" t="s">
        <v>679</v>
      </c>
      <c r="E10" s="730">
        <v>160000</v>
      </c>
      <c r="I10" s="712"/>
      <c r="J10" s="728"/>
    </row>
    <row r="11" spans="2:10" ht="15" customHeight="1">
      <c r="B11" s="719">
        <f t="shared" si="0"/>
        <v>6</v>
      </c>
      <c r="C11" s="729" t="s">
        <v>81</v>
      </c>
      <c r="D11" s="719" t="s">
        <v>679</v>
      </c>
      <c r="E11" s="730">
        <v>120000</v>
      </c>
      <c r="I11" s="712"/>
      <c r="J11" s="728"/>
    </row>
    <row r="12" spans="2:10" ht="15" customHeight="1">
      <c r="B12" s="719">
        <f t="shared" si="0"/>
        <v>7</v>
      </c>
      <c r="C12" s="729" t="s">
        <v>82</v>
      </c>
      <c r="D12" s="719" t="s">
        <v>679</v>
      </c>
      <c r="E12" s="730">
        <v>75000</v>
      </c>
      <c r="I12" s="712"/>
      <c r="J12" s="728"/>
    </row>
    <row r="13" spans="2:10" ht="15" customHeight="1">
      <c r="B13" s="719">
        <f t="shared" si="0"/>
        <v>8</v>
      </c>
      <c r="C13" s="729" t="s">
        <v>680</v>
      </c>
      <c r="D13" s="719" t="s">
        <v>253</v>
      </c>
      <c r="E13" s="730">
        <v>90000</v>
      </c>
      <c r="I13" s="712"/>
      <c r="J13" s="728"/>
    </row>
    <row r="14" spans="2:10" ht="15" customHeight="1">
      <c r="B14" s="719">
        <f t="shared" si="0"/>
        <v>9</v>
      </c>
      <c r="C14" s="729" t="s">
        <v>681</v>
      </c>
      <c r="D14" s="719" t="s">
        <v>253</v>
      </c>
      <c r="E14" s="730">
        <v>77907</v>
      </c>
      <c r="I14" s="712"/>
      <c r="J14" s="728"/>
    </row>
    <row r="15" spans="2:10" ht="15" customHeight="1">
      <c r="B15" s="719">
        <f t="shared" si="0"/>
        <v>10</v>
      </c>
      <c r="C15" s="729" t="s">
        <v>61</v>
      </c>
      <c r="D15" s="719" t="s">
        <v>253</v>
      </c>
      <c r="E15" s="730">
        <v>85000</v>
      </c>
      <c r="I15" s="712"/>
      <c r="J15" s="728"/>
    </row>
    <row r="16" spans="2:10" ht="15" customHeight="1">
      <c r="B16" s="719">
        <f t="shared" si="0"/>
        <v>11</v>
      </c>
      <c r="C16" s="729" t="s">
        <v>682</v>
      </c>
      <c r="D16" s="719" t="s">
        <v>253</v>
      </c>
      <c r="E16" s="730">
        <v>5960</v>
      </c>
      <c r="I16" s="712"/>
      <c r="J16" s="728"/>
    </row>
    <row r="17" spans="2:10" ht="15" customHeight="1">
      <c r="B17" s="719">
        <f t="shared" si="0"/>
        <v>12</v>
      </c>
      <c r="C17" s="729" t="s">
        <v>683</v>
      </c>
      <c r="D17" s="719" t="s">
        <v>561</v>
      </c>
      <c r="E17" s="730">
        <v>2200</v>
      </c>
      <c r="I17" s="712"/>
      <c r="J17" s="728"/>
    </row>
    <row r="18" spans="2:10" ht="15" customHeight="1">
      <c r="B18" s="719">
        <f t="shared" si="0"/>
        <v>13</v>
      </c>
      <c r="C18" s="729" t="s">
        <v>684</v>
      </c>
      <c r="D18" s="719" t="s">
        <v>253</v>
      </c>
      <c r="E18" s="730">
        <v>100000</v>
      </c>
      <c r="I18" s="712"/>
      <c r="J18" s="728"/>
    </row>
    <row r="20" spans="2:10" ht="20.25">
      <c r="C20" s="218"/>
    </row>
    <row r="21" spans="2:10">
      <c r="C21" s="731"/>
    </row>
    <row r="22" spans="2:10">
      <c r="C22" s="732"/>
    </row>
    <row r="23" spans="2:10">
      <c r="C23" s="732"/>
    </row>
  </sheetData>
  <mergeCells count="2">
    <mergeCell ref="B2:E2"/>
    <mergeCell ref="B3:E3"/>
  </mergeCells>
  <printOptions horizontalCentered="1"/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Hoja53">
    <tabColor rgb="FF00B0F0"/>
  </sheetPr>
  <dimension ref="B1:Q69"/>
  <sheetViews>
    <sheetView view="pageBreakPreview" topLeftCell="A5" zoomScaleNormal="85" zoomScaleSheetLayoutView="100" workbookViewId="0">
      <selection activeCell="D9" sqref="D9"/>
    </sheetView>
  </sheetViews>
  <sheetFormatPr baseColWidth="10" defaultColWidth="11.42578125" defaultRowHeight="15"/>
  <cols>
    <col min="1" max="1" width="1.7109375" style="518" customWidth="1"/>
    <col min="2" max="2" width="39.42578125" style="518" customWidth="1"/>
    <col min="3" max="3" width="5.5703125" style="518" bestFit="1" customWidth="1"/>
    <col min="4" max="4" width="16.5703125" style="518" bestFit="1" customWidth="1"/>
    <col min="5" max="5" width="7.28515625" style="518" bestFit="1" customWidth="1"/>
    <col min="6" max="6" width="11.85546875" style="518" bestFit="1" customWidth="1"/>
    <col min="7" max="7" width="8.140625" style="518" customWidth="1"/>
    <col min="8" max="8" width="7.28515625" style="518" bestFit="1" customWidth="1"/>
    <col min="9" max="9" width="17.7109375" style="518" customWidth="1"/>
    <col min="10" max="10" width="10.28515625" style="518" bestFit="1" customWidth="1"/>
    <col min="11" max="12" width="18.28515625" style="518" bestFit="1" customWidth="1"/>
    <col min="13" max="13" width="21.5703125" style="518" customWidth="1"/>
    <col min="14" max="14" width="18" style="518" customWidth="1"/>
    <col min="15" max="15" width="18" style="518" bestFit="1" customWidth="1"/>
    <col min="16" max="16" width="11.5703125" style="518" bestFit="1" customWidth="1"/>
    <col min="17" max="17" width="16.28515625" style="518" bestFit="1" customWidth="1"/>
    <col min="18" max="16384" width="11.42578125" style="518"/>
  </cols>
  <sheetData>
    <row r="1" spans="2:17" ht="15" customHeight="1">
      <c r="B1" s="1083" t="str">
        <f>PPTO!$D$3</f>
        <v>PRESUPUESTO
MUNICIPIO EL BAGRE (ANTIOQUIA).</v>
      </c>
      <c r="C1" s="1084"/>
      <c r="D1" s="1084"/>
      <c r="E1" s="1084"/>
      <c r="F1" s="1084"/>
      <c r="G1" s="1084"/>
      <c r="H1" s="1084"/>
      <c r="I1" s="1084"/>
      <c r="J1" s="1084"/>
      <c r="K1" s="1085"/>
    </row>
    <row r="2" spans="2:17" ht="15" customHeight="1" thickBot="1">
      <c r="B2" s="1086"/>
      <c r="C2" s="1087"/>
      <c r="D2" s="1087"/>
      <c r="E2" s="1087"/>
      <c r="F2" s="1087"/>
      <c r="G2" s="1087"/>
      <c r="H2" s="1087"/>
      <c r="I2" s="1087"/>
      <c r="J2" s="1087"/>
      <c r="K2" s="1088"/>
    </row>
    <row r="3" spans="2:17" ht="8.25" customHeight="1">
      <c r="B3" s="1089" t="s">
        <v>385</v>
      </c>
      <c r="C3" s="1090"/>
      <c r="D3" s="1090"/>
      <c r="E3" s="1090"/>
      <c r="F3" s="1090"/>
      <c r="G3" s="1091"/>
      <c r="H3" s="1095" t="s">
        <v>1040</v>
      </c>
      <c r="I3" s="1096"/>
      <c r="J3" s="1096"/>
      <c r="K3" s="1097"/>
    </row>
    <row r="4" spans="2:17" ht="8.25" customHeight="1" thickBot="1">
      <c r="B4" s="1092"/>
      <c r="C4" s="1093"/>
      <c r="D4" s="1093"/>
      <c r="E4" s="1093"/>
      <c r="F4" s="1093"/>
      <c r="G4" s="1094"/>
      <c r="H4" s="1098"/>
      <c r="I4" s="1099"/>
      <c r="J4" s="1099"/>
      <c r="K4" s="1100"/>
    </row>
    <row r="5" spans="2:17" ht="14.45" customHeight="1">
      <c r="B5" s="1101" t="str">
        <f>PPTO!$D$5</f>
        <v>PROYECTO DE MEJORAMIENTO VIAL, ESPACIO PUBLICO Y OBRAS COMPLEMENTARIAS DE LA AVENIDA LA JUVENTUD Y TRAMOS ADYACENTES Y PRIORITARIOS DEL SECTOR URBANO EN EL MUNICIPIO EL BAGRE ANTIOQUIA.</v>
      </c>
      <c r="C5" s="1102"/>
      <c r="D5" s="1102"/>
      <c r="E5" s="1102"/>
      <c r="F5" s="1102"/>
      <c r="G5" s="1102"/>
      <c r="H5" s="1102"/>
      <c r="I5" s="1102"/>
      <c r="J5" s="1102"/>
      <c r="K5" s="1103"/>
    </row>
    <row r="6" spans="2:17" ht="32.25" customHeight="1" thickBot="1">
      <c r="B6" s="1104"/>
      <c r="C6" s="1105"/>
      <c r="D6" s="1105"/>
      <c r="E6" s="1105"/>
      <c r="F6" s="1105"/>
      <c r="G6" s="1105"/>
      <c r="H6" s="1105"/>
      <c r="I6" s="1105"/>
      <c r="J6" s="1105"/>
      <c r="K6" s="1106"/>
    </row>
    <row r="7" spans="2:17" ht="8.25" customHeight="1">
      <c r="B7" s="574"/>
      <c r="C7" s="574"/>
      <c r="D7" s="574"/>
      <c r="E7" s="574"/>
      <c r="F7" s="574"/>
      <c r="G7" s="574"/>
      <c r="H7" s="574"/>
      <c r="I7" s="574"/>
      <c r="J7" s="574"/>
      <c r="K7" s="574"/>
    </row>
    <row r="8" spans="2:17">
      <c r="B8" s="576" t="s">
        <v>384</v>
      </c>
      <c r="C8" s="576"/>
      <c r="D8" s="694">
        <f>PPTO!$I$124</f>
        <v>10714220439</v>
      </c>
      <c r="E8" s="954"/>
      <c r="F8" s="954"/>
      <c r="G8" s="574"/>
      <c r="H8" s="574"/>
      <c r="I8" s="574" t="s">
        <v>383</v>
      </c>
      <c r="J8" s="574"/>
      <c r="K8" s="575">
        <f>J56</f>
        <v>0.26</v>
      </c>
    </row>
    <row r="9" spans="2:17">
      <c r="B9" s="576" t="s">
        <v>382</v>
      </c>
      <c r="C9" s="576"/>
      <c r="D9" s="694">
        <f>PPTO!I126</f>
        <v>14035628775</v>
      </c>
      <c r="E9" s="954"/>
      <c r="F9" s="954"/>
      <c r="G9" s="574"/>
      <c r="H9" s="574"/>
      <c r="I9" s="574"/>
      <c r="J9" s="574"/>
      <c r="K9" s="575"/>
    </row>
    <row r="10" spans="2:17" ht="7.5" customHeight="1" thickBot="1">
      <c r="B10" s="574"/>
      <c r="C10" s="574"/>
      <c r="D10" s="574"/>
      <c r="E10" s="574"/>
      <c r="F10" s="574"/>
      <c r="G10" s="574"/>
      <c r="H10" s="574"/>
      <c r="I10" s="574"/>
      <c r="J10" s="574"/>
      <c r="K10" s="574"/>
    </row>
    <row r="11" spans="2:17" ht="30">
      <c r="B11" s="573" t="s">
        <v>381</v>
      </c>
      <c r="C11" s="572"/>
      <c r="D11" s="571" t="s">
        <v>89</v>
      </c>
      <c r="E11" s="571" t="s">
        <v>1210</v>
      </c>
      <c r="F11" s="570" t="s">
        <v>1211</v>
      </c>
      <c r="G11" s="570" t="s">
        <v>380</v>
      </c>
      <c r="H11" s="570" t="s">
        <v>379</v>
      </c>
      <c r="I11" s="571" t="s">
        <v>378</v>
      </c>
      <c r="J11" s="570" t="s">
        <v>377</v>
      </c>
      <c r="K11" s="569" t="s">
        <v>376</v>
      </c>
    </row>
    <row r="12" spans="2:17" ht="14.45" customHeight="1">
      <c r="B12" s="1107" t="s">
        <v>375</v>
      </c>
      <c r="C12" s="568"/>
      <c r="D12" s="1109">
        <f>SUM(D14:D24)</f>
        <v>62525200</v>
      </c>
      <c r="E12" s="1113"/>
      <c r="F12" s="1113"/>
      <c r="G12" s="1110"/>
      <c r="H12" s="1110"/>
      <c r="I12" s="1109">
        <f>SUM(I14:I24)</f>
        <v>877985440</v>
      </c>
      <c r="J12" s="1111">
        <f>ROUND(SUM(J14:J24),4)</f>
        <v>8.1799999999999998E-2</v>
      </c>
      <c r="K12" s="1112">
        <f>+J12*CD</f>
        <v>876423231.90999997</v>
      </c>
      <c r="O12" s="1063">
        <v>877985440</v>
      </c>
      <c r="P12" s="687">
        <v>0.08</v>
      </c>
      <c r="Q12" s="1063">
        <v>876423231.90999997</v>
      </c>
    </row>
    <row r="13" spans="2:17">
      <c r="B13" s="1108"/>
      <c r="C13" s="567" t="s">
        <v>369</v>
      </c>
      <c r="D13" s="1109"/>
      <c r="E13" s="1114"/>
      <c r="F13" s="1114"/>
      <c r="G13" s="1110"/>
      <c r="H13" s="1110"/>
      <c r="I13" s="1109"/>
      <c r="J13" s="1110"/>
      <c r="K13" s="1112"/>
      <c r="L13" s="566" t="s">
        <v>374</v>
      </c>
      <c r="M13" s="565" t="s">
        <v>373</v>
      </c>
      <c r="O13" s="1063"/>
      <c r="P13" s="1063"/>
      <c r="Q13" s="1063"/>
    </row>
    <row r="14" spans="2:17">
      <c r="B14" s="557" t="s">
        <v>372</v>
      </c>
      <c r="C14" s="556">
        <v>1</v>
      </c>
      <c r="D14" s="694">
        <f t="shared" ref="D14:D24" si="0">+M14*(1+L14)</f>
        <v>12340500</v>
      </c>
      <c r="E14" s="957">
        <f>L14</f>
        <v>0.64539999999999997</v>
      </c>
      <c r="F14" s="694">
        <f>M14</f>
        <v>7500000</v>
      </c>
      <c r="G14" s="560">
        <v>1</v>
      </c>
      <c r="H14" s="559">
        <v>8</v>
      </c>
      <c r="I14" s="695">
        <f>C14*D14*G14*H14</f>
        <v>98724000</v>
      </c>
      <c r="J14" s="536">
        <f t="shared" ref="J14:J24" si="1">+I14/CD</f>
        <v>9.1999999999999998E-3</v>
      </c>
      <c r="K14" s="696">
        <f t="shared" ref="K14:K24" si="2">+I14</f>
        <v>98724000</v>
      </c>
      <c r="L14" s="565">
        <f>ffpp</f>
        <v>0.64539999999999997</v>
      </c>
      <c r="M14" s="564">
        <v>7500000</v>
      </c>
    </row>
    <row r="15" spans="2:17">
      <c r="B15" s="557" t="s">
        <v>371</v>
      </c>
      <c r="C15" s="556">
        <v>3</v>
      </c>
      <c r="D15" s="694">
        <f t="shared" si="0"/>
        <v>6581600</v>
      </c>
      <c r="E15" s="957">
        <f t="shared" ref="E15:E24" si="3">L15</f>
        <v>0.64539999999999997</v>
      </c>
      <c r="F15" s="694">
        <f t="shared" ref="F15:F24" si="4">M15</f>
        <v>4000000</v>
      </c>
      <c r="G15" s="560">
        <v>1</v>
      </c>
      <c r="H15" s="559">
        <f>$H$14</f>
        <v>8</v>
      </c>
      <c r="I15" s="695">
        <f t="shared" ref="I15:I24" si="5">C15*D15*G15*H15</f>
        <v>157958400</v>
      </c>
      <c r="J15" s="536">
        <f t="shared" si="1"/>
        <v>1.47E-2</v>
      </c>
      <c r="K15" s="696">
        <f t="shared" si="2"/>
        <v>157958400</v>
      </c>
      <c r="L15" s="565">
        <f>L14</f>
        <v>0.64539999999999997</v>
      </c>
      <c r="M15" s="564">
        <v>4000000</v>
      </c>
    </row>
    <row r="16" spans="2:17">
      <c r="B16" s="987" t="s">
        <v>1260</v>
      </c>
      <c r="C16" s="556">
        <v>2</v>
      </c>
      <c r="D16" s="694">
        <f t="shared" ref="D16" si="6">+M16*(1+L16)</f>
        <v>6252520</v>
      </c>
      <c r="E16" s="957">
        <f t="shared" ref="E16" si="7">L16</f>
        <v>0.64539999999999997</v>
      </c>
      <c r="F16" s="694">
        <f t="shared" ref="F16" si="8">M16</f>
        <v>3800000</v>
      </c>
      <c r="G16" s="560">
        <v>1</v>
      </c>
      <c r="H16" s="559">
        <f>$H$14</f>
        <v>8</v>
      </c>
      <c r="I16" s="695">
        <f t="shared" si="5"/>
        <v>100040320</v>
      </c>
      <c r="J16" s="536">
        <f t="shared" ref="J16" si="9">+I16/CD</f>
        <v>9.2999999999999992E-3</v>
      </c>
      <c r="K16" s="696">
        <f t="shared" ref="K16" si="10">+I16</f>
        <v>100040320</v>
      </c>
      <c r="L16" s="565">
        <f>L15</f>
        <v>0.64539999999999997</v>
      </c>
      <c r="M16" s="564">
        <v>3800000</v>
      </c>
    </row>
    <row r="17" spans="2:17">
      <c r="B17" s="557" t="s">
        <v>347</v>
      </c>
      <c r="C17" s="556">
        <v>1</v>
      </c>
      <c r="D17" s="694">
        <f t="shared" si="0"/>
        <v>9872400</v>
      </c>
      <c r="E17" s="957">
        <f t="shared" si="3"/>
        <v>0.64539999999999997</v>
      </c>
      <c r="F17" s="694">
        <f t="shared" si="4"/>
        <v>6000000</v>
      </c>
      <c r="G17" s="560">
        <v>1</v>
      </c>
      <c r="H17" s="559">
        <f t="shared" ref="H17:H24" si="11">$H$14</f>
        <v>8</v>
      </c>
      <c r="I17" s="695">
        <f t="shared" si="5"/>
        <v>78979200</v>
      </c>
      <c r="J17" s="536">
        <f t="shared" si="1"/>
        <v>7.4000000000000003E-3</v>
      </c>
      <c r="K17" s="696">
        <f t="shared" si="2"/>
        <v>78979200</v>
      </c>
      <c r="L17" s="565">
        <f>L15</f>
        <v>0.64539999999999997</v>
      </c>
      <c r="M17" s="564">
        <v>6000000</v>
      </c>
    </row>
    <row r="18" spans="2:17">
      <c r="B18" s="557" t="s">
        <v>348</v>
      </c>
      <c r="C18" s="556">
        <v>3</v>
      </c>
      <c r="D18" s="694">
        <f t="shared" si="0"/>
        <v>5758900</v>
      </c>
      <c r="E18" s="957">
        <f t="shared" si="3"/>
        <v>0.64539999999999997</v>
      </c>
      <c r="F18" s="694">
        <f t="shared" si="4"/>
        <v>3500000</v>
      </c>
      <c r="G18" s="560">
        <v>1</v>
      </c>
      <c r="H18" s="559">
        <f t="shared" si="11"/>
        <v>8</v>
      </c>
      <c r="I18" s="695">
        <f t="shared" si="5"/>
        <v>138213600</v>
      </c>
      <c r="J18" s="536">
        <f t="shared" si="1"/>
        <v>1.29E-2</v>
      </c>
      <c r="K18" s="696">
        <f t="shared" si="2"/>
        <v>138213600</v>
      </c>
      <c r="L18" s="565">
        <f t="shared" ref="L18:L24" si="12">L17</f>
        <v>0.64539999999999997</v>
      </c>
      <c r="M18" s="564">
        <v>3500000</v>
      </c>
    </row>
    <row r="19" spans="2:17">
      <c r="B19" s="557" t="s">
        <v>501</v>
      </c>
      <c r="C19" s="556">
        <v>2</v>
      </c>
      <c r="D19" s="694">
        <f t="shared" si="0"/>
        <v>4113500</v>
      </c>
      <c r="E19" s="957">
        <f t="shared" si="3"/>
        <v>0.64539999999999997</v>
      </c>
      <c r="F19" s="694">
        <f t="shared" si="4"/>
        <v>2500000</v>
      </c>
      <c r="G19" s="560">
        <v>1</v>
      </c>
      <c r="H19" s="559">
        <f t="shared" si="11"/>
        <v>8</v>
      </c>
      <c r="I19" s="695">
        <f t="shared" si="5"/>
        <v>65816000</v>
      </c>
      <c r="J19" s="536">
        <f t="shared" si="1"/>
        <v>6.1000000000000004E-3</v>
      </c>
      <c r="K19" s="696">
        <f t="shared" si="2"/>
        <v>65816000</v>
      </c>
      <c r="L19" s="565">
        <f t="shared" si="12"/>
        <v>0.64539999999999997</v>
      </c>
      <c r="M19" s="564">
        <v>2500000</v>
      </c>
    </row>
    <row r="20" spans="2:17">
      <c r="B20" s="557" t="s">
        <v>349</v>
      </c>
      <c r="C20" s="556">
        <v>1</v>
      </c>
      <c r="D20" s="694">
        <f t="shared" si="0"/>
        <v>5758900</v>
      </c>
      <c r="E20" s="957">
        <f t="shared" si="3"/>
        <v>0.64539999999999997</v>
      </c>
      <c r="F20" s="694">
        <f t="shared" si="4"/>
        <v>3500000</v>
      </c>
      <c r="G20" s="560">
        <v>1</v>
      </c>
      <c r="H20" s="559">
        <v>8</v>
      </c>
      <c r="I20" s="695">
        <f t="shared" si="5"/>
        <v>46071200</v>
      </c>
      <c r="J20" s="536">
        <f t="shared" si="1"/>
        <v>4.3E-3</v>
      </c>
      <c r="K20" s="696">
        <f t="shared" si="2"/>
        <v>46071200</v>
      </c>
      <c r="L20" s="565">
        <f t="shared" si="12"/>
        <v>0.64539999999999997</v>
      </c>
      <c r="M20" s="564">
        <v>3500000</v>
      </c>
    </row>
    <row r="21" spans="2:17">
      <c r="B21" s="557" t="s">
        <v>350</v>
      </c>
      <c r="C21" s="556">
        <v>2</v>
      </c>
      <c r="D21" s="694">
        <f t="shared" si="0"/>
        <v>3290800</v>
      </c>
      <c r="E21" s="957">
        <f t="shared" si="3"/>
        <v>0.64539999999999997</v>
      </c>
      <c r="F21" s="694">
        <f t="shared" si="4"/>
        <v>2000000</v>
      </c>
      <c r="G21" s="560">
        <v>1</v>
      </c>
      <c r="H21" s="559">
        <f t="shared" si="11"/>
        <v>8</v>
      </c>
      <c r="I21" s="695">
        <f t="shared" si="5"/>
        <v>52652800</v>
      </c>
      <c r="J21" s="536">
        <f t="shared" si="1"/>
        <v>4.8999999999999998E-3</v>
      </c>
      <c r="K21" s="696">
        <f t="shared" si="2"/>
        <v>52652800</v>
      </c>
      <c r="L21" s="565">
        <f t="shared" si="12"/>
        <v>0.64539999999999997</v>
      </c>
      <c r="M21" s="564">
        <v>2000000</v>
      </c>
    </row>
    <row r="22" spans="2:17">
      <c r="B22" s="557" t="s">
        <v>351</v>
      </c>
      <c r="C22" s="556">
        <v>1</v>
      </c>
      <c r="D22" s="694">
        <f t="shared" si="0"/>
        <v>2632640</v>
      </c>
      <c r="E22" s="957">
        <f t="shared" si="3"/>
        <v>0.64539999999999997</v>
      </c>
      <c r="F22" s="694">
        <f t="shared" si="4"/>
        <v>1600000</v>
      </c>
      <c r="G22" s="560">
        <v>1</v>
      </c>
      <c r="H22" s="559">
        <f t="shared" si="11"/>
        <v>8</v>
      </c>
      <c r="I22" s="695">
        <f t="shared" si="5"/>
        <v>21061120</v>
      </c>
      <c r="J22" s="536">
        <f t="shared" si="1"/>
        <v>2E-3</v>
      </c>
      <c r="K22" s="696">
        <f t="shared" si="2"/>
        <v>21061120</v>
      </c>
      <c r="L22" s="565">
        <f t="shared" si="12"/>
        <v>0.64539999999999997</v>
      </c>
      <c r="M22" s="564">
        <v>1600000</v>
      </c>
    </row>
    <row r="23" spans="2:17">
      <c r="B23" s="557" t="s">
        <v>352</v>
      </c>
      <c r="C23" s="556">
        <v>2</v>
      </c>
      <c r="D23" s="694">
        <f t="shared" si="0"/>
        <v>2961720</v>
      </c>
      <c r="E23" s="957">
        <f t="shared" si="3"/>
        <v>0.64539999999999997</v>
      </c>
      <c r="F23" s="694">
        <f t="shared" si="4"/>
        <v>1800000</v>
      </c>
      <c r="G23" s="560">
        <v>1</v>
      </c>
      <c r="H23" s="559">
        <f t="shared" si="11"/>
        <v>8</v>
      </c>
      <c r="I23" s="695">
        <f t="shared" si="5"/>
        <v>47387520</v>
      </c>
      <c r="J23" s="536">
        <f t="shared" si="1"/>
        <v>4.4000000000000003E-3</v>
      </c>
      <c r="K23" s="696">
        <f t="shared" si="2"/>
        <v>47387520</v>
      </c>
      <c r="L23" s="565">
        <f t="shared" si="12"/>
        <v>0.64539999999999997</v>
      </c>
      <c r="M23" s="564">
        <v>1800000</v>
      </c>
    </row>
    <row r="24" spans="2:17">
      <c r="B24" s="557" t="s">
        <v>353</v>
      </c>
      <c r="C24" s="556">
        <v>3</v>
      </c>
      <c r="D24" s="694">
        <f t="shared" si="0"/>
        <v>2961720</v>
      </c>
      <c r="E24" s="957">
        <f t="shared" si="3"/>
        <v>0.64539999999999997</v>
      </c>
      <c r="F24" s="694">
        <f t="shared" si="4"/>
        <v>1800000</v>
      </c>
      <c r="G24" s="560">
        <v>1</v>
      </c>
      <c r="H24" s="559">
        <f t="shared" si="11"/>
        <v>8</v>
      </c>
      <c r="I24" s="695">
        <f t="shared" si="5"/>
        <v>71081280</v>
      </c>
      <c r="J24" s="536">
        <f t="shared" si="1"/>
        <v>6.6E-3</v>
      </c>
      <c r="K24" s="696">
        <f t="shared" si="2"/>
        <v>71081280</v>
      </c>
      <c r="L24" s="565">
        <f t="shared" si="12"/>
        <v>0.64539999999999997</v>
      </c>
      <c r="M24" s="564">
        <v>1800000</v>
      </c>
    </row>
    <row r="25" spans="2:17" ht="24.75" customHeight="1">
      <c r="B25" s="563" t="s">
        <v>370</v>
      </c>
      <c r="C25" s="562" t="s">
        <v>369</v>
      </c>
      <c r="D25" s="546"/>
      <c r="E25" s="546"/>
      <c r="F25" s="546"/>
      <c r="G25" s="547" t="s">
        <v>368</v>
      </c>
      <c r="H25" s="547" t="s">
        <v>367</v>
      </c>
      <c r="I25" s="561">
        <f>SUM(I26:I41)</f>
        <v>122254452</v>
      </c>
      <c r="J25" s="545">
        <f>ROUND(SUM(J26:J41),4)</f>
        <v>1.1299999999999999E-2</v>
      </c>
      <c r="K25" s="535">
        <f>+J25*CD</f>
        <v>121070690.95999999</v>
      </c>
      <c r="O25" s="1063">
        <v>122254452</v>
      </c>
      <c r="P25" s="687">
        <v>0.01</v>
      </c>
      <c r="Q25" s="1063">
        <v>121070690.95999999</v>
      </c>
    </row>
    <row r="26" spans="2:17" ht="30">
      <c r="B26" s="555" t="s">
        <v>366</v>
      </c>
      <c r="C26" s="554">
        <v>1</v>
      </c>
      <c r="D26" s="694">
        <f>+L26*$M$26</f>
        <v>1401245</v>
      </c>
      <c r="E26" s="694"/>
      <c r="F26" s="694"/>
      <c r="G26" s="560">
        <v>1</v>
      </c>
      <c r="H26" s="559">
        <f>H14</f>
        <v>8</v>
      </c>
      <c r="I26" s="695">
        <f t="shared" ref="I26:I40" si="13">+C26*D26*G26*H26</f>
        <v>11209960</v>
      </c>
      <c r="J26" s="536">
        <f t="shared" ref="J26:J41" si="14">+I26/CD</f>
        <v>1E-3</v>
      </c>
      <c r="K26" s="696">
        <f t="shared" ref="K26:K41" si="15">I26</f>
        <v>11209960</v>
      </c>
      <c r="L26" s="518">
        <v>1283081</v>
      </c>
      <c r="M26" s="518">
        <v>1.0920937500000001</v>
      </c>
    </row>
    <row r="27" spans="2:17">
      <c r="B27" s="555" t="s">
        <v>365</v>
      </c>
      <c r="C27" s="554">
        <v>1</v>
      </c>
      <c r="D27" s="694">
        <f t="shared" ref="D27:D30" si="16">+L27*$M$26</f>
        <v>1401245</v>
      </c>
      <c r="E27" s="694"/>
      <c r="F27" s="694"/>
      <c r="G27" s="560">
        <v>1</v>
      </c>
      <c r="H27" s="559">
        <f>H26</f>
        <v>8</v>
      </c>
      <c r="I27" s="695">
        <f t="shared" si="13"/>
        <v>11209960</v>
      </c>
      <c r="J27" s="536">
        <f t="shared" si="14"/>
        <v>1E-3</v>
      </c>
      <c r="K27" s="696">
        <f t="shared" si="15"/>
        <v>11209960</v>
      </c>
      <c r="L27" s="518">
        <v>1283081</v>
      </c>
    </row>
    <row r="28" spans="2:17">
      <c r="B28" s="544" t="s">
        <v>364</v>
      </c>
      <c r="C28" s="543">
        <v>1</v>
      </c>
      <c r="D28" s="694">
        <f t="shared" si="16"/>
        <v>336298</v>
      </c>
      <c r="E28" s="694"/>
      <c r="F28" s="694"/>
      <c r="G28" s="560">
        <v>1</v>
      </c>
      <c r="H28" s="559">
        <f>H27</f>
        <v>8</v>
      </c>
      <c r="I28" s="695">
        <f t="shared" si="13"/>
        <v>2690384</v>
      </c>
      <c r="J28" s="536">
        <f t="shared" si="14"/>
        <v>2.9999999999999997E-4</v>
      </c>
      <c r="K28" s="696">
        <f t="shared" si="15"/>
        <v>2690384</v>
      </c>
      <c r="L28" s="518">
        <v>307939</v>
      </c>
    </row>
    <row r="29" spans="2:17" ht="31.5" customHeight="1">
      <c r="B29" s="544" t="s">
        <v>363</v>
      </c>
      <c r="C29" s="543">
        <f>SUM(C14:C19)</f>
        <v>12</v>
      </c>
      <c r="D29" s="694">
        <v>128447</v>
      </c>
      <c r="E29" s="694"/>
      <c r="F29" s="694"/>
      <c r="G29" s="560">
        <v>1</v>
      </c>
      <c r="H29" s="559">
        <f>H28</f>
        <v>8</v>
      </c>
      <c r="I29" s="695">
        <f t="shared" si="13"/>
        <v>12330912</v>
      </c>
      <c r="J29" s="536">
        <f t="shared" si="14"/>
        <v>1.1999999999999999E-3</v>
      </c>
      <c r="K29" s="696">
        <f t="shared" si="15"/>
        <v>12330912</v>
      </c>
      <c r="L29" s="518">
        <v>128308</v>
      </c>
    </row>
    <row r="30" spans="2:17" ht="31.5" customHeight="1">
      <c r="B30" s="958" t="s">
        <v>1212</v>
      </c>
      <c r="C30" s="543">
        <v>1</v>
      </c>
      <c r="D30" s="694">
        <f t="shared" si="16"/>
        <v>1401245</v>
      </c>
      <c r="E30" s="694"/>
      <c r="F30" s="694"/>
      <c r="G30" s="560">
        <v>1</v>
      </c>
      <c r="H30" s="559">
        <f>H29</f>
        <v>8</v>
      </c>
      <c r="I30" s="695">
        <f t="shared" si="13"/>
        <v>11209960</v>
      </c>
      <c r="J30" s="536">
        <f t="shared" si="14"/>
        <v>1E-3</v>
      </c>
      <c r="K30" s="696">
        <f t="shared" si="15"/>
        <v>11209960</v>
      </c>
      <c r="L30" s="518">
        <v>1283081</v>
      </c>
    </row>
    <row r="31" spans="2:17">
      <c r="B31" s="888" t="s">
        <v>711</v>
      </c>
      <c r="C31" s="889"/>
      <c r="D31" s="889"/>
      <c r="E31" s="889"/>
      <c r="F31" s="889"/>
      <c r="G31" s="889"/>
      <c r="H31" s="889"/>
      <c r="I31" s="889"/>
      <c r="J31" s="889"/>
      <c r="K31" s="890"/>
    </row>
    <row r="32" spans="2:17" ht="30">
      <c r="B32" s="755" t="s">
        <v>339</v>
      </c>
      <c r="C32" s="543">
        <v>19</v>
      </c>
      <c r="D32" s="694">
        <v>52406</v>
      </c>
      <c r="E32" s="694"/>
      <c r="F32" s="694"/>
      <c r="G32" s="560"/>
      <c r="H32" s="559"/>
      <c r="I32" s="695">
        <f>C32*D32</f>
        <v>995714</v>
      </c>
      <c r="J32" s="536">
        <f t="shared" si="14"/>
        <v>1E-4</v>
      </c>
      <c r="K32" s="696">
        <f t="shared" si="15"/>
        <v>995714</v>
      </c>
      <c r="L32" s="518">
        <v>47987</v>
      </c>
    </row>
    <row r="33" spans="2:15" ht="30">
      <c r="B33" s="755" t="s">
        <v>340</v>
      </c>
      <c r="C33" s="543">
        <v>19</v>
      </c>
      <c r="D33" s="694">
        <v>49323</v>
      </c>
      <c r="E33" s="694"/>
      <c r="F33" s="694"/>
      <c r="G33" s="560"/>
      <c r="H33" s="559"/>
      <c r="I33" s="695">
        <f t="shared" ref="I33:I38" si="17">C33*D33</f>
        <v>937137</v>
      </c>
      <c r="J33" s="536">
        <f t="shared" si="14"/>
        <v>1E-4</v>
      </c>
      <c r="K33" s="696">
        <f t="shared" si="15"/>
        <v>937137</v>
      </c>
      <c r="L33" s="518">
        <v>45164</v>
      </c>
    </row>
    <row r="34" spans="2:15" ht="45">
      <c r="B34" s="755" t="s">
        <v>341</v>
      </c>
      <c r="C34" s="543">
        <v>19</v>
      </c>
      <c r="D34" s="694">
        <v>255027</v>
      </c>
      <c r="E34" s="694"/>
      <c r="F34" s="694"/>
      <c r="G34" s="560"/>
      <c r="H34" s="559"/>
      <c r="I34" s="695">
        <f t="shared" si="17"/>
        <v>4845513</v>
      </c>
      <c r="J34" s="536">
        <f t="shared" si="14"/>
        <v>5.0000000000000001E-4</v>
      </c>
      <c r="K34" s="696">
        <f t="shared" si="15"/>
        <v>4845513</v>
      </c>
      <c r="L34" s="518">
        <v>233521</v>
      </c>
    </row>
    <row r="35" spans="2:15" ht="60">
      <c r="B35" s="755" t="s">
        <v>342</v>
      </c>
      <c r="C35" s="543">
        <v>50</v>
      </c>
      <c r="D35" s="694">
        <v>196174</v>
      </c>
      <c r="E35" s="694"/>
      <c r="F35" s="694"/>
      <c r="G35" s="560"/>
      <c r="H35" s="559"/>
      <c r="I35" s="695">
        <f t="shared" si="17"/>
        <v>9808700</v>
      </c>
      <c r="J35" s="536">
        <f t="shared" si="14"/>
        <v>8.9999999999999998E-4</v>
      </c>
      <c r="K35" s="696">
        <f t="shared" si="15"/>
        <v>9808700</v>
      </c>
      <c r="L35" s="518">
        <v>179631</v>
      </c>
    </row>
    <row r="36" spans="2:15" ht="75">
      <c r="B36" s="755" t="s">
        <v>343</v>
      </c>
      <c r="C36" s="543">
        <v>100</v>
      </c>
      <c r="D36" s="694">
        <v>14013</v>
      </c>
      <c r="E36" s="694"/>
      <c r="F36" s="694"/>
      <c r="G36" s="560"/>
      <c r="H36" s="559"/>
      <c r="I36" s="695">
        <f t="shared" si="17"/>
        <v>1401300</v>
      </c>
      <c r="J36" s="536">
        <f t="shared" si="14"/>
        <v>1E-4</v>
      </c>
      <c r="K36" s="696">
        <f t="shared" si="15"/>
        <v>1401300</v>
      </c>
      <c r="L36" s="518">
        <v>12831</v>
      </c>
    </row>
    <row r="37" spans="2:15" ht="45">
      <c r="B37" s="755" t="s">
        <v>344</v>
      </c>
      <c r="C37" s="543">
        <v>62</v>
      </c>
      <c r="D37" s="694">
        <v>84075</v>
      </c>
      <c r="E37" s="694"/>
      <c r="F37" s="694"/>
      <c r="G37" s="560"/>
      <c r="H37" s="559"/>
      <c r="I37" s="695">
        <f t="shared" si="17"/>
        <v>5212650</v>
      </c>
      <c r="J37" s="536">
        <f t="shared" si="14"/>
        <v>5.0000000000000001E-4</v>
      </c>
      <c r="K37" s="696">
        <f t="shared" si="15"/>
        <v>5212650</v>
      </c>
      <c r="L37" s="518">
        <v>76985</v>
      </c>
    </row>
    <row r="38" spans="2:15" ht="31.5" customHeight="1">
      <c r="B38" s="958" t="s">
        <v>1213</v>
      </c>
      <c r="C38" s="543">
        <v>50</v>
      </c>
      <c r="D38" s="694">
        <v>22645</v>
      </c>
      <c r="E38" s="694"/>
      <c r="F38" s="694"/>
      <c r="G38" s="560"/>
      <c r="H38" s="559"/>
      <c r="I38" s="695">
        <f t="shared" si="17"/>
        <v>1132250</v>
      </c>
      <c r="J38" s="536">
        <f t="shared" si="14"/>
        <v>1E-4</v>
      </c>
      <c r="K38" s="696">
        <f t="shared" si="15"/>
        <v>1132250</v>
      </c>
      <c r="L38" s="518">
        <v>20735</v>
      </c>
    </row>
    <row r="39" spans="2:15" ht="30">
      <c r="B39" s="544" t="s">
        <v>362</v>
      </c>
      <c r="C39" s="543">
        <v>1</v>
      </c>
      <c r="D39" s="694">
        <v>3643236</v>
      </c>
      <c r="E39" s="694"/>
      <c r="F39" s="694"/>
      <c r="G39" s="560">
        <v>1</v>
      </c>
      <c r="H39" s="559">
        <f>H29</f>
        <v>8</v>
      </c>
      <c r="I39" s="695">
        <f t="shared" si="13"/>
        <v>29145888</v>
      </c>
      <c r="J39" s="536">
        <f t="shared" si="14"/>
        <v>2.7000000000000001E-3</v>
      </c>
      <c r="K39" s="696">
        <f t="shared" si="15"/>
        <v>29145888</v>
      </c>
      <c r="L39" s="518">
        <v>3336010</v>
      </c>
    </row>
    <row r="40" spans="2:15" ht="30">
      <c r="B40" s="544" t="s">
        <v>502</v>
      </c>
      <c r="C40" s="543">
        <v>1</v>
      </c>
      <c r="D40" s="694">
        <v>2183462</v>
      </c>
      <c r="E40" s="694"/>
      <c r="F40" s="694"/>
      <c r="G40" s="560">
        <v>1</v>
      </c>
      <c r="H40" s="559">
        <f>H30</f>
        <v>8</v>
      </c>
      <c r="I40" s="695">
        <f t="shared" si="13"/>
        <v>17467696</v>
      </c>
      <c r="J40" s="536">
        <f t="shared" si="14"/>
        <v>1.6000000000000001E-3</v>
      </c>
      <c r="K40" s="696">
        <f t="shared" si="15"/>
        <v>17467696</v>
      </c>
      <c r="L40" s="518">
        <v>1999336</v>
      </c>
    </row>
    <row r="41" spans="2:15" ht="60">
      <c r="B41" s="544" t="s">
        <v>361</v>
      </c>
      <c r="C41" s="543">
        <v>2</v>
      </c>
      <c r="D41" s="694">
        <v>1328214</v>
      </c>
      <c r="E41" s="694"/>
      <c r="F41" s="694"/>
      <c r="G41" s="560"/>
      <c r="H41" s="559"/>
      <c r="I41" s="695">
        <f>C41*D41</f>
        <v>2656428</v>
      </c>
      <c r="J41" s="536">
        <f t="shared" si="14"/>
        <v>2.0000000000000001E-4</v>
      </c>
      <c r="K41" s="696">
        <f t="shared" si="15"/>
        <v>2656428</v>
      </c>
      <c r="L41" s="518">
        <v>1216209</v>
      </c>
    </row>
    <row r="42" spans="2:15" ht="5.25" customHeight="1">
      <c r="B42" s="553"/>
      <c r="C42" s="552"/>
      <c r="D42" s="552"/>
      <c r="E42" s="552"/>
      <c r="F42" s="552"/>
      <c r="G42" s="552"/>
      <c r="H42" s="552"/>
      <c r="I42" s="552"/>
      <c r="J42" s="552"/>
      <c r="K42" s="551"/>
    </row>
    <row r="43" spans="2:15" ht="31.5" customHeight="1">
      <c r="B43" s="549" t="s">
        <v>727</v>
      </c>
      <c r="C43" s="548"/>
      <c r="D43" s="547"/>
      <c r="E43" s="917"/>
      <c r="F43" s="917"/>
      <c r="G43" s="558"/>
      <c r="H43" s="545"/>
      <c r="I43" s="546"/>
      <c r="J43" s="545">
        <v>0.16689999999999999</v>
      </c>
      <c r="K43" s="535">
        <f>+J43*CD</f>
        <v>1788203391.27</v>
      </c>
      <c r="M43" s="550"/>
    </row>
    <row r="44" spans="2:15" ht="15" customHeight="1">
      <c r="B44" s="553"/>
      <c r="C44" s="552"/>
      <c r="D44" s="552"/>
      <c r="E44" s="552"/>
      <c r="F44" s="552"/>
      <c r="G44" s="552"/>
      <c r="H44" s="552"/>
      <c r="I44" s="552"/>
      <c r="J44" s="552"/>
      <c r="K44" s="551"/>
      <c r="M44" s="521"/>
      <c r="N44" s="521"/>
      <c r="O44" s="550"/>
    </row>
    <row r="45" spans="2:15">
      <c r="B45" s="549" t="s">
        <v>1254</v>
      </c>
      <c r="C45" s="548"/>
      <c r="D45" s="547"/>
      <c r="E45" s="918"/>
      <c r="F45" s="918"/>
      <c r="G45" s="1069" t="s">
        <v>360</v>
      </c>
      <c r="H45" s="1070"/>
      <c r="I45" s="685" t="s">
        <v>1262</v>
      </c>
      <c r="J45" s="545"/>
      <c r="K45" s="535"/>
      <c r="M45" s="534"/>
    </row>
    <row r="46" spans="2:15">
      <c r="B46" s="541" t="s">
        <v>1255</v>
      </c>
      <c r="C46" s="540"/>
      <c r="D46" s="542"/>
      <c r="E46" s="955"/>
      <c r="F46" s="955">
        <v>2.7000000000000001E-3</v>
      </c>
      <c r="G46" s="1067"/>
      <c r="H46" s="1068"/>
      <c r="I46" s="694">
        <f>+F46*CD</f>
        <v>28928395</v>
      </c>
      <c r="J46" s="536"/>
      <c r="K46" s="697"/>
      <c r="L46" s="688" t="e">
        <f>SUM(L47:L49)</f>
        <v>#REF!</v>
      </c>
      <c r="M46" s="684"/>
    </row>
    <row r="47" spans="2:15">
      <c r="B47" s="541" t="s">
        <v>1256</v>
      </c>
      <c r="C47" s="540"/>
      <c r="D47" s="537"/>
      <c r="E47" s="956"/>
      <c r="F47" s="956">
        <v>2E-3</v>
      </c>
      <c r="G47" s="1067"/>
      <c r="H47" s="1068"/>
      <c r="I47" s="694">
        <f>+F47*CD</f>
        <v>21428441</v>
      </c>
      <c r="J47" s="536"/>
      <c r="K47" s="698"/>
      <c r="L47" s="686" t="e">
        <f>PPTO!#REF!</f>
        <v>#REF!</v>
      </c>
    </row>
    <row r="48" spans="2:15">
      <c r="B48" s="539" t="s">
        <v>1257</v>
      </c>
      <c r="C48" s="538"/>
      <c r="D48" s="537"/>
      <c r="E48" s="956"/>
      <c r="F48" s="956">
        <v>1.1999999999999999E-3</v>
      </c>
      <c r="G48" s="1067"/>
      <c r="H48" s="1068"/>
      <c r="I48" s="694">
        <f>+F48*CD</f>
        <v>12857065</v>
      </c>
      <c r="J48" s="536"/>
      <c r="K48" s="696"/>
      <c r="L48" s="687" t="e">
        <f>PPTO!#REF!</f>
        <v>#REF!</v>
      </c>
    </row>
    <row r="49" spans="2:15">
      <c r="B49" s="541" t="s">
        <v>1258</v>
      </c>
      <c r="C49" s="540"/>
      <c r="D49" s="537"/>
      <c r="E49" s="956"/>
      <c r="F49" s="956">
        <v>1.2999999999999999E-3</v>
      </c>
      <c r="G49" s="1067"/>
      <c r="H49" s="1068"/>
      <c r="I49" s="694">
        <f>+F49*CD</f>
        <v>13928487</v>
      </c>
      <c r="J49" s="536"/>
      <c r="K49" s="698"/>
      <c r="L49" s="686" t="e">
        <f>PPTO!#REF!</f>
        <v>#REF!</v>
      </c>
    </row>
    <row r="50" spans="2:15">
      <c r="B50" s="539" t="s">
        <v>1259</v>
      </c>
      <c r="C50" s="538"/>
      <c r="D50" s="537"/>
      <c r="E50" s="956"/>
      <c r="F50" s="956">
        <v>4.7000000000000002E-3</v>
      </c>
      <c r="G50" s="1067"/>
      <c r="H50" s="1068"/>
      <c r="I50" s="694">
        <f>+F50*CD</f>
        <v>50356836</v>
      </c>
      <c r="J50" s="536"/>
      <c r="K50" s="696"/>
    </row>
    <row r="51" spans="2:15" ht="4.5" customHeight="1">
      <c r="B51" s="553"/>
      <c r="C51" s="552"/>
      <c r="D51" s="552"/>
      <c r="E51" s="552"/>
      <c r="F51" s="552"/>
      <c r="G51" s="552"/>
      <c r="H51" s="552"/>
      <c r="I51" s="552"/>
      <c r="J51" s="552"/>
      <c r="K51" s="551"/>
      <c r="M51" s="521"/>
      <c r="N51" s="521"/>
      <c r="O51" s="550"/>
    </row>
    <row r="52" spans="2:15">
      <c r="B52" s="549" t="s">
        <v>1261</v>
      </c>
      <c r="C52" s="548"/>
      <c r="D52" s="984"/>
      <c r="E52" s="986"/>
      <c r="F52" s="988">
        <v>0.16</v>
      </c>
      <c r="G52" s="1069" t="s">
        <v>360</v>
      </c>
      <c r="H52" s="1070"/>
      <c r="I52" s="685">
        <f>+F52*CD</f>
        <v>1714275270.24</v>
      </c>
      <c r="J52" s="985"/>
      <c r="K52" s="535"/>
      <c r="M52" s="534"/>
    </row>
    <row r="53" spans="2:15" ht="9" customHeight="1">
      <c r="B53" s="539"/>
      <c r="C53" s="538"/>
      <c r="D53" s="537"/>
      <c r="E53" s="956"/>
      <c r="F53" s="956"/>
      <c r="G53" s="766"/>
      <c r="H53" s="767"/>
      <c r="I53" s="694"/>
      <c r="J53" s="536"/>
      <c r="K53" s="696"/>
    </row>
    <row r="54" spans="2:15" ht="15.75" thickBot="1">
      <c r="B54" s="1077" t="s">
        <v>359</v>
      </c>
      <c r="C54" s="1078"/>
      <c r="D54" s="1079"/>
      <c r="E54" s="1079"/>
      <c r="F54" s="1079"/>
      <c r="G54" s="1079"/>
      <c r="H54" s="1079"/>
      <c r="I54" s="1079"/>
      <c r="J54" s="1079"/>
      <c r="K54" s="535">
        <f>K43+K25+K12</f>
        <v>2785697314.1399999</v>
      </c>
    </row>
    <row r="55" spans="2:15" ht="15.75" thickBot="1">
      <c r="B55" s="1080" t="s">
        <v>358</v>
      </c>
      <c r="C55" s="1081"/>
      <c r="D55" s="1081"/>
      <c r="E55" s="1081"/>
      <c r="F55" s="1081"/>
      <c r="G55" s="1081"/>
      <c r="H55" s="1081"/>
      <c r="I55" s="1081"/>
      <c r="J55" s="1081"/>
      <c r="K55" s="1082"/>
      <c r="M55" s="534"/>
      <c r="N55" s="533"/>
    </row>
    <row r="56" spans="2:15" ht="15.75" thickBot="1">
      <c r="B56" s="1080" t="s">
        <v>357</v>
      </c>
      <c r="C56" s="1081"/>
      <c r="D56" s="1081"/>
      <c r="E56" s="1081"/>
      <c r="F56" s="1081"/>
      <c r="G56" s="1081"/>
      <c r="H56" s="1081"/>
      <c r="I56" s="1082"/>
      <c r="J56" s="522">
        <f>+J45+SUM(J43)+J25+J12</f>
        <v>0.26</v>
      </c>
      <c r="K56" s="690">
        <f>+K54</f>
        <v>2785697314</v>
      </c>
      <c r="L56" s="691" t="e">
        <f>PPTO!#REF!</f>
        <v>#REF!</v>
      </c>
      <c r="M56" s="521" t="e">
        <f>K56-L56</f>
        <v>#REF!</v>
      </c>
      <c r="N56" s="521" t="e">
        <f>M56/2</f>
        <v>#REF!</v>
      </c>
      <c r="O56" s="532"/>
    </row>
    <row r="57" spans="2:15" ht="15.75" thickBot="1">
      <c r="B57" s="531" t="s">
        <v>356</v>
      </c>
      <c r="C57" s="530"/>
      <c r="D57" s="529"/>
      <c r="E57" s="529"/>
      <c r="F57" s="529"/>
      <c r="G57" s="529"/>
      <c r="H57" s="529"/>
      <c r="I57" s="529"/>
      <c r="J57" s="529"/>
      <c r="K57" s="528"/>
      <c r="L57" s="691"/>
      <c r="M57" s="684" t="e">
        <f>-M56</f>
        <v>#REF!</v>
      </c>
    </row>
    <row r="58" spans="2:15" ht="19.5" customHeight="1" thickBot="1">
      <c r="B58" s="1071" t="s">
        <v>504</v>
      </c>
      <c r="C58" s="1072"/>
      <c r="D58" s="1073"/>
      <c r="E58" s="1073"/>
      <c r="F58" s="1073"/>
      <c r="G58" s="1073"/>
      <c r="H58" s="1073"/>
      <c r="I58" s="1074"/>
      <c r="J58" s="699">
        <v>0.02</v>
      </c>
      <c r="K58" s="689">
        <f>+J58*CD</f>
        <v>214284409</v>
      </c>
      <c r="L58" s="691" t="e">
        <f>PPTO!#REF!</f>
        <v>#REF!</v>
      </c>
      <c r="M58" s="521"/>
      <c r="N58" s="521"/>
    </row>
    <row r="59" spans="2:15" s="523" customFormat="1" ht="15.75" thickBot="1">
      <c r="B59" s="527" t="s">
        <v>355</v>
      </c>
      <c r="C59" s="526"/>
      <c r="D59" s="526"/>
      <c r="E59" s="526"/>
      <c r="F59" s="526"/>
      <c r="G59" s="526"/>
      <c r="H59" s="526"/>
      <c r="I59" s="526"/>
      <c r="J59" s="525"/>
      <c r="K59" s="524"/>
      <c r="L59" s="692"/>
    </row>
    <row r="60" spans="2:15" ht="19.5" customHeight="1" thickBot="1">
      <c r="B60" s="1071" t="s">
        <v>503</v>
      </c>
      <c r="C60" s="1072"/>
      <c r="D60" s="1073"/>
      <c r="E60" s="1073"/>
      <c r="F60" s="1073"/>
      <c r="G60" s="1073"/>
      <c r="H60" s="1073"/>
      <c r="I60" s="1074"/>
      <c r="J60" s="699">
        <v>0.03</v>
      </c>
      <c r="K60" s="689">
        <f>J60*CD</f>
        <v>321426613</v>
      </c>
      <c r="L60" s="691" t="e">
        <f>PPTO!#REF!</f>
        <v>#REF!</v>
      </c>
      <c r="M60" s="521"/>
      <c r="N60" s="521"/>
    </row>
    <row r="61" spans="2:15" s="523" customFormat="1">
      <c r="B61" s="527"/>
      <c r="C61" s="526"/>
      <c r="D61" s="526"/>
      <c r="E61" s="526"/>
      <c r="F61" s="526"/>
      <c r="G61" s="526"/>
      <c r="H61" s="526"/>
      <c r="I61" s="526"/>
      <c r="J61" s="525"/>
      <c r="K61" s="524"/>
      <c r="L61" s="692"/>
    </row>
    <row r="62" spans="2:15" s="523" customFormat="1">
      <c r="B62" s="527"/>
      <c r="C62" s="526"/>
      <c r="D62" s="526"/>
      <c r="E62" s="526"/>
      <c r="F62" s="526"/>
      <c r="G62" s="526"/>
      <c r="H62" s="526"/>
      <c r="I62" s="526"/>
      <c r="J62" s="525"/>
      <c r="K62" s="524"/>
      <c r="L62" s="692"/>
    </row>
    <row r="63" spans="2:15" s="523" customFormat="1" ht="15.75" thickBot="1">
      <c r="B63" s="527"/>
      <c r="C63" s="526"/>
      <c r="D63" s="526"/>
      <c r="E63" s="526"/>
      <c r="F63" s="526"/>
      <c r="G63" s="526"/>
      <c r="H63" s="526"/>
      <c r="I63" s="526"/>
      <c r="J63" s="525"/>
      <c r="K63" s="524"/>
      <c r="L63" s="692"/>
    </row>
    <row r="64" spans="2:15" ht="19.5" thickBot="1">
      <c r="B64" s="1075" t="s">
        <v>1253</v>
      </c>
      <c r="C64" s="1076"/>
      <c r="D64" s="1076"/>
      <c r="E64" s="1076"/>
      <c r="F64" s="1076"/>
      <c r="G64" s="1076"/>
      <c r="H64" s="1076"/>
      <c r="I64" s="1076"/>
      <c r="J64" s="522">
        <f>J56+J58+J60</f>
        <v>0.31</v>
      </c>
      <c r="K64" s="689">
        <f>+K60+K56+K58</f>
        <v>3321408336</v>
      </c>
      <c r="L64" s="693" t="e">
        <f>SUM(L56:L60)</f>
        <v>#REF!</v>
      </c>
      <c r="M64" s="521" t="e">
        <f>K64-L64</f>
        <v>#REF!</v>
      </c>
      <c r="N64" s="521"/>
    </row>
    <row r="65" spans="2:13" ht="21" thickBot="1">
      <c r="B65" s="218"/>
      <c r="K65" s="518" t="s">
        <v>354</v>
      </c>
      <c r="M65" s="523"/>
    </row>
    <row r="66" spans="2:13" ht="21" thickBot="1">
      <c r="B66" s="218"/>
      <c r="K66" s="1044">
        <v>3321408336</v>
      </c>
    </row>
    <row r="67" spans="2:13" ht="18">
      <c r="B67" s="284"/>
      <c r="C67" s="520"/>
    </row>
    <row r="68" spans="2:13" ht="15.75">
      <c r="B68" s="736" t="s">
        <v>685</v>
      </c>
      <c r="C68" s="519"/>
      <c r="K68" s="691">
        <f>+K66-K64</f>
        <v>0</v>
      </c>
    </row>
    <row r="69" spans="2:13" ht="15.75">
      <c r="B69" s="736" t="s">
        <v>686</v>
      </c>
      <c r="C69" s="519"/>
    </row>
  </sheetData>
  <mergeCells count="26">
    <mergeCell ref="B1:K2"/>
    <mergeCell ref="B3:G4"/>
    <mergeCell ref="H3:K4"/>
    <mergeCell ref="B5:K6"/>
    <mergeCell ref="B12:B13"/>
    <mergeCell ref="D12:D13"/>
    <mergeCell ref="G12:G13"/>
    <mergeCell ref="H12:H13"/>
    <mergeCell ref="I12:I13"/>
    <mergeCell ref="J12:J13"/>
    <mergeCell ref="K12:K13"/>
    <mergeCell ref="E12:E13"/>
    <mergeCell ref="F12:F13"/>
    <mergeCell ref="B60:I60"/>
    <mergeCell ref="B64:I64"/>
    <mergeCell ref="G49:H49"/>
    <mergeCell ref="G50:H50"/>
    <mergeCell ref="B54:J54"/>
    <mergeCell ref="B55:K55"/>
    <mergeCell ref="B56:I56"/>
    <mergeCell ref="G52:H52"/>
    <mergeCell ref="G48:H48"/>
    <mergeCell ref="G45:H45"/>
    <mergeCell ref="G46:H46"/>
    <mergeCell ref="G47:H47"/>
    <mergeCell ref="B58:I58"/>
  </mergeCells>
  <pageMargins left="0.7" right="0.7" top="0.75" bottom="0.75" header="0.3" footer="0.3"/>
  <pageSetup scale="64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>
    <tabColor rgb="FF7030A0"/>
  </sheetPr>
  <dimension ref="A1:AI161"/>
  <sheetViews>
    <sheetView view="pageBreakPreview" topLeftCell="E128" zoomScaleNormal="100" zoomScaleSheetLayoutView="100" workbookViewId="0">
      <selection activeCell="F140" sqref="F140"/>
    </sheetView>
  </sheetViews>
  <sheetFormatPr baseColWidth="10" defaultColWidth="11.42578125" defaultRowHeight="14.25"/>
  <cols>
    <col min="1" max="1" width="2.85546875" style="121" hidden="1" customWidth="1"/>
    <col min="2" max="2" width="10" style="121" hidden="1" customWidth="1"/>
    <col min="3" max="3" width="13.28515625" style="121" hidden="1" customWidth="1"/>
    <col min="4" max="4" width="13.85546875" style="121" customWidth="1"/>
    <col min="5" max="5" width="64.42578125" style="121" customWidth="1"/>
    <col min="6" max="6" width="13.28515625" style="121" customWidth="1"/>
    <col min="7" max="7" width="16" style="121" bestFit="1" customWidth="1"/>
    <col min="8" max="8" width="20.7109375" style="121" customWidth="1"/>
    <col min="9" max="9" width="28" style="121" customWidth="1"/>
    <col min="10" max="10" width="28" style="121" hidden="1" customWidth="1"/>
    <col min="11" max="11" width="4.28515625" style="21" customWidth="1"/>
    <col min="12" max="12" width="3.28515625" style="21" customWidth="1"/>
    <col min="13" max="13" width="4.5703125" style="21" bestFit="1" customWidth="1"/>
    <col min="14" max="14" width="3.28515625" style="21" customWidth="1"/>
    <col min="15" max="20" width="23.42578125" style="21" customWidth="1"/>
    <col min="21" max="24" width="23.42578125" style="121" customWidth="1"/>
    <col min="25" max="25" width="7.5703125" style="121" customWidth="1"/>
    <col min="26" max="28" width="11.42578125" style="121"/>
    <col min="29" max="29" width="6.42578125" style="121" customWidth="1"/>
    <col min="30" max="16384" width="11.42578125" style="121"/>
  </cols>
  <sheetData>
    <row r="1" spans="2:33" ht="6.75" customHeight="1"/>
    <row r="2" spans="2:33" ht="7.5" customHeight="1"/>
    <row r="3" spans="2:33" ht="26.25" customHeight="1">
      <c r="D3" s="1116" t="s">
        <v>1042</v>
      </c>
      <c r="E3" s="1117"/>
      <c r="F3" s="1117"/>
      <c r="G3" s="1117"/>
      <c r="H3" s="1117"/>
      <c r="I3" s="1117"/>
      <c r="J3" s="1043"/>
    </row>
    <row r="4" spans="2:33" ht="51" customHeight="1">
      <c r="D4" s="1118"/>
      <c r="E4" s="1118"/>
      <c r="F4" s="1118"/>
      <c r="G4" s="1118"/>
      <c r="H4" s="1118"/>
      <c r="I4" s="1118"/>
      <c r="J4" s="1047"/>
      <c r="K4" s="22"/>
      <c r="L4" s="22"/>
      <c r="M4" s="22"/>
      <c r="N4" s="22"/>
      <c r="O4" s="23"/>
      <c r="P4" s="23"/>
      <c r="Q4" s="23"/>
      <c r="R4" s="23"/>
      <c r="S4" s="23"/>
      <c r="U4" s="22"/>
      <c r="V4" s="120"/>
      <c r="W4" s="120"/>
    </row>
    <row r="5" spans="2:33" ht="13.5" customHeight="1">
      <c r="D5" s="1119" t="s">
        <v>729</v>
      </c>
      <c r="E5" s="1119"/>
      <c r="F5" s="1119"/>
      <c r="G5" s="1119"/>
      <c r="H5" s="1119"/>
      <c r="I5" s="1119"/>
      <c r="J5" s="1048"/>
      <c r="K5" s="215"/>
      <c r="L5" s="1138" t="s">
        <v>271</v>
      </c>
      <c r="M5" s="1138" t="s">
        <v>272</v>
      </c>
      <c r="N5" s="1138" t="s">
        <v>273</v>
      </c>
      <c r="O5" s="1123" t="s">
        <v>275</v>
      </c>
      <c r="P5" s="1124"/>
      <c r="Q5" s="1124"/>
      <c r="R5" s="1124"/>
      <c r="S5" s="1124"/>
      <c r="T5" s="1124"/>
      <c r="U5" s="1124"/>
      <c r="V5" s="1124"/>
      <c r="W5" s="1124"/>
      <c r="X5" s="1125"/>
    </row>
    <row r="6" spans="2:33" ht="13.5" customHeight="1">
      <c r="D6" s="1119"/>
      <c r="E6" s="1119"/>
      <c r="F6" s="1119"/>
      <c r="G6" s="1119"/>
      <c r="H6" s="1119"/>
      <c r="I6" s="1119"/>
      <c r="J6" s="1048"/>
      <c r="K6" s="215"/>
      <c r="L6" s="1138"/>
      <c r="M6" s="1138"/>
      <c r="N6" s="1138"/>
      <c r="O6" s="1126"/>
      <c r="P6" s="1127"/>
      <c r="Q6" s="1127"/>
      <c r="R6" s="1127"/>
      <c r="S6" s="1127"/>
      <c r="T6" s="1127"/>
      <c r="U6" s="1127"/>
      <c r="V6" s="1127"/>
      <c r="W6" s="1127"/>
      <c r="X6" s="1128"/>
    </row>
    <row r="7" spans="2:33" ht="13.5" customHeight="1">
      <c r="D7" s="1119"/>
      <c r="E7" s="1119"/>
      <c r="F7" s="1119"/>
      <c r="G7" s="1119"/>
      <c r="H7" s="1119"/>
      <c r="I7" s="1119"/>
      <c r="J7" s="1048"/>
      <c r="K7" s="216"/>
      <c r="L7" s="1138"/>
      <c r="M7" s="1138"/>
      <c r="N7" s="1138"/>
      <c r="O7" s="1126"/>
      <c r="P7" s="1127"/>
      <c r="Q7" s="1127"/>
      <c r="R7" s="1127"/>
      <c r="S7" s="1127"/>
      <c r="T7" s="1127"/>
      <c r="U7" s="1127"/>
      <c r="V7" s="1127"/>
      <c r="W7" s="1127"/>
      <c r="X7" s="1128"/>
    </row>
    <row r="8" spans="2:33" ht="13.5" customHeight="1">
      <c r="D8" s="1119"/>
      <c r="E8" s="1119"/>
      <c r="F8" s="1119"/>
      <c r="G8" s="1119"/>
      <c r="H8" s="1119"/>
      <c r="I8" s="1119"/>
      <c r="J8" s="1048"/>
      <c r="K8" s="217"/>
      <c r="L8" s="1138"/>
      <c r="M8" s="1138"/>
      <c r="N8" s="1138"/>
      <c r="O8" s="1129"/>
      <c r="P8" s="1130"/>
      <c r="Q8" s="1130"/>
      <c r="R8" s="1130"/>
      <c r="S8" s="1130"/>
      <c r="T8" s="1130"/>
      <c r="U8" s="1130"/>
      <c r="V8" s="1130"/>
      <c r="W8" s="1130"/>
      <c r="X8" s="1131"/>
    </row>
    <row r="9" spans="2:33" ht="40.5">
      <c r="B9" s="1135" t="s">
        <v>136</v>
      </c>
      <c r="C9" s="1136"/>
      <c r="D9" s="258" t="s">
        <v>10</v>
      </c>
      <c r="E9" s="259" t="s">
        <v>5</v>
      </c>
      <c r="F9" s="260" t="s">
        <v>3</v>
      </c>
      <c r="G9" s="260" t="s">
        <v>4</v>
      </c>
      <c r="H9" s="261" t="s">
        <v>11</v>
      </c>
      <c r="I9" s="261" t="s">
        <v>12</v>
      </c>
      <c r="J9" s="1049"/>
      <c r="K9" s="209"/>
      <c r="L9" s="1138"/>
      <c r="M9" s="1138"/>
      <c r="N9" s="1138"/>
      <c r="O9" s="479">
        <v>1</v>
      </c>
      <c r="P9" s="479">
        <v>2</v>
      </c>
      <c r="Q9" s="479">
        <v>3</v>
      </c>
      <c r="R9" s="479">
        <v>4</v>
      </c>
      <c r="S9" s="479">
        <v>5</v>
      </c>
      <c r="T9" s="479">
        <v>6</v>
      </c>
      <c r="U9" s="479">
        <v>7</v>
      </c>
      <c r="V9" s="479">
        <v>8</v>
      </c>
      <c r="W9" s="479">
        <v>9</v>
      </c>
      <c r="X9" s="479">
        <v>10</v>
      </c>
      <c r="Y9" s="122"/>
      <c r="Z9" s="122"/>
      <c r="AA9" s="122"/>
      <c r="AB9" s="122"/>
      <c r="AC9" s="122"/>
      <c r="AD9" s="122"/>
      <c r="AE9" s="122"/>
      <c r="AF9" s="122"/>
      <c r="AG9" s="122"/>
    </row>
    <row r="10" spans="2:33" ht="20.25" customHeight="1">
      <c r="B10" s="281" t="s">
        <v>5</v>
      </c>
      <c r="C10" s="277" t="s">
        <v>158</v>
      </c>
      <c r="D10" s="262">
        <v>1</v>
      </c>
      <c r="E10" s="762" t="s">
        <v>9</v>
      </c>
      <c r="F10" s="762"/>
      <c r="G10" s="762"/>
      <c r="H10" s="762"/>
      <c r="I10" s="762"/>
      <c r="J10" s="1050"/>
      <c r="K10" s="209"/>
      <c r="L10" s="481"/>
      <c r="M10" s="481"/>
      <c r="N10" s="481"/>
      <c r="O10" s="210" t="s">
        <v>274</v>
      </c>
      <c r="P10" s="211"/>
      <c r="Q10" s="211"/>
      <c r="R10" s="211"/>
      <c r="S10" s="211"/>
      <c r="T10" s="190"/>
      <c r="U10" s="122"/>
      <c r="V10" s="1120"/>
      <c r="W10" s="1120"/>
      <c r="X10" s="1120"/>
      <c r="Y10" s="122"/>
      <c r="Z10" s="1120"/>
      <c r="AA10" s="1120"/>
      <c r="AB10" s="1120"/>
      <c r="AC10" s="122"/>
      <c r="AD10" s="122"/>
      <c r="AE10" s="122"/>
      <c r="AF10" s="122"/>
      <c r="AG10" s="122"/>
    </row>
    <row r="11" spans="2:33" ht="48" customHeight="1">
      <c r="B11" s="282"/>
      <c r="C11" s="279"/>
      <c r="D11" s="262">
        <f>D10+0.1</f>
        <v>1.1000000000000001</v>
      </c>
      <c r="E11" s="263" t="s">
        <v>235</v>
      </c>
      <c r="F11" s="271" t="s">
        <v>122</v>
      </c>
      <c r="G11" s="341">
        <f>MC!C203</f>
        <v>5882.58</v>
      </c>
      <c r="H11" s="272">
        <f>'1.1'!G42</f>
        <v>2862</v>
      </c>
      <c r="I11" s="272">
        <f>+G11*H11</f>
        <v>16835944</v>
      </c>
      <c r="J11" s="1051"/>
      <c r="K11" s="483">
        <v>2</v>
      </c>
      <c r="L11" s="60">
        <v>1</v>
      </c>
      <c r="M11" s="480">
        <v>1</v>
      </c>
      <c r="N11" s="60">
        <f t="shared" ref="N11:N84" si="0">IF(L11="","",M11+L11-1)</f>
        <v>1</v>
      </c>
      <c r="O11" s="482">
        <f t="shared" ref="O11:X20" si="1">IF($L11="","",IF(OR(O$9&lt;$M11,O$9&gt;$N11),"",IF($K11=1,IF((O$9/$M11)=1,($I11/1000)/(($L11)*2)*$L11*1.3,IF((O$9/$M11)&gt;1,($I11/1000)/(($L11)*2)*$L11*(0.7/($L11-1)))),IF($K11=2,($I11/1000)/$L11,IF($K11=3,IF((O$9/$N11)=1,($I11/1000)/(($L11)*2)*$L11*1.3,IF((O$9/$N11)&lt;1,($I11/1000)/(($L11)*2)*$L11*(0.7/($L11-1)))))))))</f>
        <v>16836</v>
      </c>
      <c r="P11" s="482" t="str">
        <f t="shared" si="1"/>
        <v/>
      </c>
      <c r="Q11" s="482" t="str">
        <f t="shared" si="1"/>
        <v/>
      </c>
      <c r="R11" s="482" t="str">
        <f t="shared" si="1"/>
        <v/>
      </c>
      <c r="S11" s="482" t="str">
        <f t="shared" si="1"/>
        <v/>
      </c>
      <c r="T11" s="482" t="str">
        <f t="shared" si="1"/>
        <v/>
      </c>
      <c r="U11" s="482" t="str">
        <f t="shared" si="1"/>
        <v/>
      </c>
      <c r="V11" s="482" t="str">
        <f t="shared" si="1"/>
        <v/>
      </c>
      <c r="W11" s="482" t="str">
        <f t="shared" si="1"/>
        <v/>
      </c>
      <c r="X11" s="482" t="str">
        <f t="shared" si="1"/>
        <v/>
      </c>
      <c r="Y11" s="122"/>
      <c r="Z11" s="345"/>
      <c r="AA11" s="345"/>
      <c r="AB11" s="345"/>
      <c r="AC11" s="126"/>
      <c r="AD11" s="122"/>
      <c r="AE11" s="122"/>
      <c r="AF11" s="122"/>
      <c r="AG11" s="122"/>
    </row>
    <row r="12" spans="2:33" ht="60.75">
      <c r="B12" s="282"/>
      <c r="C12" s="279"/>
      <c r="D12" s="262">
        <f>D11+0.1</f>
        <v>1.2</v>
      </c>
      <c r="E12" s="263" t="s">
        <v>1201</v>
      </c>
      <c r="F12" s="271" t="s">
        <v>72</v>
      </c>
      <c r="G12" s="341">
        <f>MC!C213</f>
        <v>27916.18</v>
      </c>
      <c r="H12" s="272">
        <f>'1.2'!G42</f>
        <v>7002</v>
      </c>
      <c r="I12" s="272">
        <f>+G12*H12</f>
        <v>195469092</v>
      </c>
      <c r="J12" s="1051"/>
      <c r="K12" s="483">
        <v>2</v>
      </c>
      <c r="L12" s="60">
        <v>1</v>
      </c>
      <c r="M12" s="480">
        <v>1</v>
      </c>
      <c r="N12" s="60">
        <f t="shared" ref="N12" si="2">IF(L12="","",M12+L12-1)</f>
        <v>1</v>
      </c>
      <c r="O12" s="482">
        <f t="shared" si="1"/>
        <v>195469</v>
      </c>
      <c r="P12" s="482" t="str">
        <f t="shared" si="1"/>
        <v/>
      </c>
      <c r="Q12" s="482" t="str">
        <f t="shared" si="1"/>
        <v/>
      </c>
      <c r="R12" s="482" t="str">
        <f t="shared" si="1"/>
        <v/>
      </c>
      <c r="S12" s="482" t="str">
        <f t="shared" si="1"/>
        <v/>
      </c>
      <c r="T12" s="482" t="str">
        <f t="shared" si="1"/>
        <v/>
      </c>
      <c r="U12" s="482" t="str">
        <f t="shared" si="1"/>
        <v/>
      </c>
      <c r="V12" s="482" t="str">
        <f t="shared" si="1"/>
        <v/>
      </c>
      <c r="W12" s="482" t="str">
        <f t="shared" si="1"/>
        <v/>
      </c>
      <c r="X12" s="482" t="str">
        <f t="shared" si="1"/>
        <v/>
      </c>
      <c r="Y12" s="122"/>
      <c r="Z12" s="916"/>
      <c r="AA12" s="916"/>
      <c r="AB12" s="916"/>
      <c r="AC12" s="126"/>
      <c r="AD12" s="122"/>
      <c r="AE12" s="122"/>
      <c r="AF12" s="122"/>
      <c r="AG12" s="122"/>
    </row>
    <row r="13" spans="2:33" ht="20.25">
      <c r="B13" s="283"/>
      <c r="C13" s="278"/>
      <c r="D13" s="497" t="str">
        <f>CONCATENATE("SUBTOTAL  ",E10)</f>
        <v>SUBTOTAL  TRABAJOS PRELIMINARES</v>
      </c>
      <c r="E13" s="498"/>
      <c r="F13" s="498"/>
      <c r="G13" s="498"/>
      <c r="H13" s="499"/>
      <c r="I13" s="269">
        <f>SUM(I11:I12)</f>
        <v>212305036</v>
      </c>
      <c r="J13" s="1052"/>
      <c r="K13" s="483">
        <v>2</v>
      </c>
      <c r="L13" s="60"/>
      <c r="M13" s="480"/>
      <c r="N13" s="60" t="str">
        <f t="shared" si="0"/>
        <v/>
      </c>
      <c r="O13" s="482" t="str">
        <f t="shared" si="1"/>
        <v/>
      </c>
      <c r="P13" s="482" t="str">
        <f t="shared" si="1"/>
        <v/>
      </c>
      <c r="Q13" s="482" t="str">
        <f t="shared" si="1"/>
        <v/>
      </c>
      <c r="R13" s="482" t="str">
        <f t="shared" si="1"/>
        <v/>
      </c>
      <c r="S13" s="482" t="str">
        <f t="shared" si="1"/>
        <v/>
      </c>
      <c r="T13" s="482" t="str">
        <f t="shared" si="1"/>
        <v/>
      </c>
      <c r="U13" s="482" t="str">
        <f t="shared" si="1"/>
        <v/>
      </c>
      <c r="V13" s="482" t="str">
        <f t="shared" si="1"/>
        <v/>
      </c>
      <c r="W13" s="482" t="str">
        <f t="shared" si="1"/>
        <v/>
      </c>
      <c r="X13" s="482" t="str">
        <f t="shared" si="1"/>
        <v/>
      </c>
      <c r="Y13" s="122"/>
      <c r="Z13" s="127"/>
      <c r="AA13" s="128"/>
      <c r="AB13" s="128"/>
      <c r="AC13" s="126"/>
      <c r="AD13" s="122"/>
      <c r="AE13" s="122"/>
      <c r="AF13" s="122"/>
      <c r="AG13" s="122"/>
    </row>
    <row r="14" spans="2:33" ht="20.25" customHeight="1">
      <c r="B14" s="282"/>
      <c r="C14" s="277"/>
      <c r="D14" s="262">
        <v>2</v>
      </c>
      <c r="E14" s="763" t="s">
        <v>106</v>
      </c>
      <c r="F14" s="763"/>
      <c r="G14" s="763"/>
      <c r="H14" s="763"/>
      <c r="I14" s="763"/>
      <c r="J14" s="1053"/>
      <c r="K14" s="483">
        <v>2</v>
      </c>
      <c r="L14" s="60"/>
      <c r="M14" s="480"/>
      <c r="N14" s="60" t="str">
        <f t="shared" si="0"/>
        <v/>
      </c>
      <c r="O14" s="482" t="str">
        <f t="shared" si="1"/>
        <v/>
      </c>
      <c r="P14" s="482" t="str">
        <f t="shared" si="1"/>
        <v/>
      </c>
      <c r="Q14" s="482" t="str">
        <f t="shared" si="1"/>
        <v/>
      </c>
      <c r="R14" s="482" t="str">
        <f t="shared" si="1"/>
        <v/>
      </c>
      <c r="S14" s="482" t="str">
        <f t="shared" si="1"/>
        <v/>
      </c>
      <c r="T14" s="482" t="str">
        <f t="shared" si="1"/>
        <v/>
      </c>
      <c r="U14" s="482" t="str">
        <f t="shared" si="1"/>
        <v/>
      </c>
      <c r="V14" s="482" t="str">
        <f t="shared" si="1"/>
        <v/>
      </c>
      <c r="W14" s="482" t="str">
        <f t="shared" si="1"/>
        <v/>
      </c>
      <c r="X14" s="482" t="str">
        <f t="shared" si="1"/>
        <v/>
      </c>
      <c r="Y14" s="122"/>
      <c r="Z14" s="1120"/>
      <c r="AA14" s="1120"/>
      <c r="AB14" s="1120"/>
      <c r="AC14" s="122"/>
      <c r="AD14" s="122"/>
      <c r="AE14" s="122"/>
      <c r="AF14" s="122"/>
      <c r="AG14" s="122"/>
    </row>
    <row r="15" spans="2:33" ht="60.75">
      <c r="B15" s="282" t="s">
        <v>164</v>
      </c>
      <c r="C15" s="277" t="s">
        <v>165</v>
      </c>
      <c r="D15" s="262">
        <f t="shared" ref="D15:D21" si="3">D14+0.1</f>
        <v>2.1</v>
      </c>
      <c r="E15" s="263" t="s">
        <v>177</v>
      </c>
      <c r="F15" s="271" t="s">
        <v>44</v>
      </c>
      <c r="G15" s="341">
        <f>ROUND(MC!$C$229,2)</f>
        <v>984.71</v>
      </c>
      <c r="H15" s="272">
        <f>+'2.1'!G43</f>
        <v>25284</v>
      </c>
      <c r="I15" s="272">
        <f t="shared" ref="I15:I18" si="4">+G15*H15</f>
        <v>24897408</v>
      </c>
      <c r="J15" s="1051"/>
      <c r="K15" s="483">
        <v>2</v>
      </c>
      <c r="L15" s="60">
        <v>1</v>
      </c>
      <c r="M15" s="480">
        <v>1</v>
      </c>
      <c r="N15" s="60">
        <f t="shared" si="0"/>
        <v>1</v>
      </c>
      <c r="O15" s="482">
        <f t="shared" si="1"/>
        <v>24897</v>
      </c>
      <c r="P15" s="482" t="str">
        <f t="shared" si="1"/>
        <v/>
      </c>
      <c r="Q15" s="482" t="str">
        <f t="shared" si="1"/>
        <v/>
      </c>
      <c r="R15" s="482" t="str">
        <f t="shared" si="1"/>
        <v/>
      </c>
      <c r="S15" s="482" t="str">
        <f t="shared" si="1"/>
        <v/>
      </c>
      <c r="T15" s="482" t="str">
        <f t="shared" si="1"/>
        <v/>
      </c>
      <c r="U15" s="482" t="str">
        <f t="shared" si="1"/>
        <v/>
      </c>
      <c r="V15" s="482" t="str">
        <f t="shared" si="1"/>
        <v/>
      </c>
      <c r="W15" s="482" t="str">
        <f t="shared" si="1"/>
        <v/>
      </c>
      <c r="X15" s="482" t="str">
        <f t="shared" si="1"/>
        <v/>
      </c>
      <c r="Y15" s="122"/>
      <c r="Z15" s="124"/>
      <c r="AA15" s="124"/>
      <c r="AB15" s="124"/>
      <c r="AC15" s="126"/>
      <c r="AD15" s="122"/>
      <c r="AE15" s="122"/>
      <c r="AF15" s="122"/>
      <c r="AG15" s="122"/>
    </row>
    <row r="16" spans="2:33" ht="43.5" customHeight="1">
      <c r="B16" s="282" t="s">
        <v>144</v>
      </c>
      <c r="C16" s="277" t="s">
        <v>138</v>
      </c>
      <c r="D16" s="262">
        <f t="shared" si="3"/>
        <v>2.2000000000000002</v>
      </c>
      <c r="E16" s="263" t="s">
        <v>799</v>
      </c>
      <c r="F16" s="271" t="s">
        <v>44</v>
      </c>
      <c r="G16" s="341">
        <f>ROUND(MC!$C$268,2)</f>
        <v>25831.599999999999</v>
      </c>
      <c r="H16" s="272">
        <f>+'2.2'!G43</f>
        <v>24213</v>
      </c>
      <c r="I16" s="272">
        <f>+G16*H16</f>
        <v>625460531</v>
      </c>
      <c r="J16" s="1051"/>
      <c r="K16" s="483">
        <v>2</v>
      </c>
      <c r="L16" s="60">
        <v>1</v>
      </c>
      <c r="M16" s="480">
        <v>1</v>
      </c>
      <c r="N16" s="60">
        <f t="shared" si="0"/>
        <v>1</v>
      </c>
      <c r="O16" s="482">
        <f t="shared" si="1"/>
        <v>625461</v>
      </c>
      <c r="P16" s="482" t="str">
        <f t="shared" si="1"/>
        <v/>
      </c>
      <c r="Q16" s="482" t="str">
        <f t="shared" si="1"/>
        <v/>
      </c>
      <c r="R16" s="482" t="str">
        <f t="shared" si="1"/>
        <v/>
      </c>
      <c r="S16" s="482" t="str">
        <f t="shared" si="1"/>
        <v/>
      </c>
      <c r="T16" s="482" t="str">
        <f t="shared" si="1"/>
        <v/>
      </c>
      <c r="U16" s="482" t="str">
        <f t="shared" si="1"/>
        <v/>
      </c>
      <c r="V16" s="482" t="str">
        <f t="shared" si="1"/>
        <v/>
      </c>
      <c r="W16" s="482" t="str">
        <f t="shared" si="1"/>
        <v/>
      </c>
      <c r="X16" s="482" t="str">
        <f t="shared" si="1"/>
        <v/>
      </c>
      <c r="Y16" s="122"/>
      <c r="Z16" s="124"/>
      <c r="AA16" s="124"/>
      <c r="AB16" s="124"/>
      <c r="AC16" s="126"/>
      <c r="AD16" s="122"/>
      <c r="AE16" s="122"/>
      <c r="AF16" s="122"/>
      <c r="AG16" s="122"/>
    </row>
    <row r="17" spans="2:35" ht="39" customHeight="1">
      <c r="B17" s="365" t="s">
        <v>145</v>
      </c>
      <c r="C17" s="277">
        <v>900.1</v>
      </c>
      <c r="D17" s="262">
        <f t="shared" si="3"/>
        <v>2.2999999999999998</v>
      </c>
      <c r="E17" s="263" t="s">
        <v>834</v>
      </c>
      <c r="F17" s="271" t="s">
        <v>191</v>
      </c>
      <c r="G17" s="341">
        <f>ROUND(MC!$C$285,2)</f>
        <v>89286.75</v>
      </c>
      <c r="H17" s="272">
        <f>+'2.3'!G43</f>
        <v>1283</v>
      </c>
      <c r="I17" s="272">
        <f t="shared" si="4"/>
        <v>114554900</v>
      </c>
      <c r="J17" s="1051"/>
      <c r="K17" s="483">
        <v>1</v>
      </c>
      <c r="L17" s="60">
        <v>2</v>
      </c>
      <c r="M17" s="480">
        <v>1</v>
      </c>
      <c r="N17" s="60">
        <f t="shared" si="0"/>
        <v>2</v>
      </c>
      <c r="O17" s="482">
        <f t="shared" si="1"/>
        <v>74461</v>
      </c>
      <c r="P17" s="482">
        <f t="shared" si="1"/>
        <v>40094</v>
      </c>
      <c r="Q17" s="482" t="str">
        <f t="shared" si="1"/>
        <v/>
      </c>
      <c r="R17" s="482" t="str">
        <f t="shared" si="1"/>
        <v/>
      </c>
      <c r="S17" s="482" t="str">
        <f t="shared" si="1"/>
        <v/>
      </c>
      <c r="T17" s="482" t="str">
        <f t="shared" si="1"/>
        <v/>
      </c>
      <c r="U17" s="482" t="str">
        <f t="shared" si="1"/>
        <v/>
      </c>
      <c r="V17" s="482" t="str">
        <f t="shared" si="1"/>
        <v/>
      </c>
      <c r="W17" s="482" t="str">
        <f t="shared" si="1"/>
        <v/>
      </c>
      <c r="X17" s="482" t="str">
        <f t="shared" si="1"/>
        <v/>
      </c>
      <c r="Y17" s="122"/>
      <c r="Z17" s="124"/>
      <c r="AA17" s="124"/>
      <c r="AB17" s="124"/>
      <c r="AC17" s="126"/>
      <c r="AD17" s="122"/>
      <c r="AE17" s="122"/>
      <c r="AF17" s="122"/>
      <c r="AG17" s="122"/>
    </row>
    <row r="18" spans="2:35" ht="52.5">
      <c r="B18" s="282" t="s">
        <v>146</v>
      </c>
      <c r="C18" s="277">
        <v>610.20000000000005</v>
      </c>
      <c r="D18" s="262">
        <f t="shared" si="3"/>
        <v>2.4</v>
      </c>
      <c r="E18" s="263" t="s">
        <v>186</v>
      </c>
      <c r="F18" s="271" t="s">
        <v>44</v>
      </c>
      <c r="G18" s="341">
        <f>+ROUND(MC!$C$297,2)</f>
        <v>10065.120000000001</v>
      </c>
      <c r="H18" s="272">
        <f>+'2.4'!G43</f>
        <v>51655</v>
      </c>
      <c r="I18" s="272">
        <f t="shared" si="4"/>
        <v>519913774</v>
      </c>
      <c r="J18" s="1051"/>
      <c r="K18" s="483">
        <v>3</v>
      </c>
      <c r="L18" s="60">
        <v>2</v>
      </c>
      <c r="M18" s="480">
        <v>1</v>
      </c>
      <c r="N18" s="60">
        <f t="shared" si="0"/>
        <v>2</v>
      </c>
      <c r="O18" s="482">
        <f t="shared" si="1"/>
        <v>181970</v>
      </c>
      <c r="P18" s="482">
        <f t="shared" si="1"/>
        <v>337944</v>
      </c>
      <c r="Q18" s="482" t="str">
        <f t="shared" si="1"/>
        <v/>
      </c>
      <c r="R18" s="482" t="str">
        <f t="shared" si="1"/>
        <v/>
      </c>
      <c r="S18" s="482" t="str">
        <f t="shared" si="1"/>
        <v/>
      </c>
      <c r="T18" s="482" t="str">
        <f t="shared" si="1"/>
        <v/>
      </c>
      <c r="U18" s="482" t="str">
        <f t="shared" si="1"/>
        <v/>
      </c>
      <c r="V18" s="482" t="str">
        <f t="shared" si="1"/>
        <v/>
      </c>
      <c r="W18" s="482" t="str">
        <f t="shared" si="1"/>
        <v/>
      </c>
      <c r="X18" s="482" t="str">
        <f t="shared" si="1"/>
        <v/>
      </c>
      <c r="Y18" s="122"/>
      <c r="Z18" s="124"/>
      <c r="AA18" s="124"/>
      <c r="AB18" s="124"/>
      <c r="AC18" s="126"/>
      <c r="AD18" s="122"/>
      <c r="AE18" s="122"/>
      <c r="AF18" s="122"/>
      <c r="AG18" s="122"/>
    </row>
    <row r="19" spans="2:35" ht="67.5" customHeight="1">
      <c r="B19" s="282"/>
      <c r="C19" s="279"/>
      <c r="D19" s="262">
        <f t="shared" si="3"/>
        <v>2.5</v>
      </c>
      <c r="E19" s="270" t="s">
        <v>1205</v>
      </c>
      <c r="F19" s="271" t="s">
        <v>44</v>
      </c>
      <c r="G19" s="341">
        <f>ROUND(MC!$C$312,2)</f>
        <v>2988.23</v>
      </c>
      <c r="H19" s="272">
        <f>'2.5'!G43</f>
        <v>21318</v>
      </c>
      <c r="I19" s="273">
        <f t="shared" ref="I19" si="5">G19*H19</f>
        <v>63703087</v>
      </c>
      <c r="J19" s="1054"/>
      <c r="K19" s="483">
        <v>1</v>
      </c>
      <c r="L19" s="60">
        <v>2</v>
      </c>
      <c r="M19" s="480">
        <v>2</v>
      </c>
      <c r="N19" s="60">
        <f t="shared" si="0"/>
        <v>3</v>
      </c>
      <c r="O19" s="482" t="str">
        <f t="shared" si="1"/>
        <v/>
      </c>
      <c r="P19" s="482">
        <f t="shared" si="1"/>
        <v>41407</v>
      </c>
      <c r="Q19" s="482">
        <f t="shared" si="1"/>
        <v>22296</v>
      </c>
      <c r="R19" s="482" t="str">
        <f t="shared" si="1"/>
        <v/>
      </c>
      <c r="S19" s="482" t="str">
        <f t="shared" si="1"/>
        <v/>
      </c>
      <c r="T19" s="482" t="str">
        <f t="shared" si="1"/>
        <v/>
      </c>
      <c r="U19" s="482" t="str">
        <f t="shared" si="1"/>
        <v/>
      </c>
      <c r="V19" s="482" t="str">
        <f t="shared" si="1"/>
        <v/>
      </c>
      <c r="W19" s="482" t="str">
        <f t="shared" si="1"/>
        <v/>
      </c>
      <c r="X19" s="482" t="str">
        <f t="shared" si="1"/>
        <v/>
      </c>
      <c r="Y19" s="131"/>
      <c r="Z19" s="122"/>
      <c r="AA19" s="122"/>
      <c r="AB19" s="122"/>
      <c r="AC19" s="126"/>
      <c r="AD19" s="122"/>
      <c r="AE19" s="122"/>
      <c r="AF19" s="122"/>
      <c r="AG19" s="122"/>
      <c r="AH19" s="122"/>
      <c r="AI19" s="122"/>
    </row>
    <row r="20" spans="2:35" ht="67.5" customHeight="1">
      <c r="B20" s="282"/>
      <c r="C20" s="279"/>
      <c r="D20" s="262">
        <f t="shared" si="3"/>
        <v>2.6</v>
      </c>
      <c r="E20" s="270" t="s">
        <v>196</v>
      </c>
      <c r="F20" s="271" t="s">
        <v>44</v>
      </c>
      <c r="G20" s="341">
        <f>ROUND(MC!$C$320,2)</f>
        <v>1270.17</v>
      </c>
      <c r="H20" s="272">
        <f>'2.6'!G43</f>
        <v>65532</v>
      </c>
      <c r="I20" s="273">
        <f t="shared" ref="I20" si="6">G20*H20</f>
        <v>83236780</v>
      </c>
      <c r="J20" s="1054"/>
      <c r="K20" s="483">
        <v>2</v>
      </c>
      <c r="L20" s="60">
        <v>2</v>
      </c>
      <c r="M20" s="480">
        <v>2</v>
      </c>
      <c r="N20" s="60">
        <f t="shared" si="0"/>
        <v>3</v>
      </c>
      <c r="O20" s="482" t="str">
        <f t="shared" si="1"/>
        <v/>
      </c>
      <c r="P20" s="482">
        <f t="shared" si="1"/>
        <v>41618</v>
      </c>
      <c r="Q20" s="482">
        <f t="shared" si="1"/>
        <v>41618</v>
      </c>
      <c r="R20" s="482" t="str">
        <f t="shared" si="1"/>
        <v/>
      </c>
      <c r="S20" s="482" t="str">
        <f t="shared" si="1"/>
        <v/>
      </c>
      <c r="T20" s="482" t="str">
        <f t="shared" si="1"/>
        <v/>
      </c>
      <c r="U20" s="482" t="str">
        <f t="shared" si="1"/>
        <v/>
      </c>
      <c r="V20" s="482" t="str">
        <f t="shared" si="1"/>
        <v/>
      </c>
      <c r="W20" s="482" t="str">
        <f t="shared" si="1"/>
        <v/>
      </c>
      <c r="X20" s="482" t="str">
        <f t="shared" si="1"/>
        <v/>
      </c>
      <c r="Y20" s="131"/>
      <c r="Z20" s="122"/>
      <c r="AA20" s="122"/>
      <c r="AB20" s="122"/>
      <c r="AC20" s="126"/>
      <c r="AD20" s="122"/>
      <c r="AE20" s="122"/>
      <c r="AF20" s="122"/>
      <c r="AG20" s="122"/>
      <c r="AH20" s="122"/>
      <c r="AI20" s="122"/>
    </row>
    <row r="21" spans="2:35" ht="86.25" hidden="1" customHeight="1">
      <c r="B21" s="282"/>
      <c r="C21" s="279"/>
      <c r="D21" s="262">
        <f t="shared" si="3"/>
        <v>2.7</v>
      </c>
      <c r="E21" s="270" t="s">
        <v>299</v>
      </c>
      <c r="F21" s="271" t="s">
        <v>72</v>
      </c>
      <c r="G21" s="341">
        <f>MC!C326</f>
        <v>0</v>
      </c>
      <c r="H21" s="272">
        <f>'2.7'!G43</f>
        <v>50971</v>
      </c>
      <c r="I21" s="273">
        <f t="shared" ref="I21" si="7">G21*H21</f>
        <v>0</v>
      </c>
      <c r="J21" s="1054"/>
      <c r="K21" s="483">
        <v>2</v>
      </c>
      <c r="L21" s="60">
        <v>2</v>
      </c>
      <c r="M21" s="480">
        <v>2</v>
      </c>
      <c r="N21" s="60">
        <f t="shared" ref="N21" si="8">IF(L21="","",M21+L21-1)</f>
        <v>3</v>
      </c>
      <c r="O21" s="482" t="str">
        <f t="shared" ref="O21:X26" si="9">IF($L21="","",IF(OR(O$9&lt;$M21,O$9&gt;$N21),"",IF($K21=1,IF((O$9/$M21)=1,($I21/1000)/(($L21)*2)*$L21*1.3,IF((O$9/$M21)&gt;1,($I21/1000)/(($L21)*2)*$L21*(0.7/($L21-1)))),IF($K21=2,($I21/1000)/$L21,IF($K21=3,IF((O$9/$N21)=1,($I21/1000)/(($L21)*2)*$L21*1.3,IF((O$9/$N21)&lt;1,($I21/1000)/(($L21)*2)*$L21*(0.7/($L21-1)))))))))</f>
        <v/>
      </c>
      <c r="P21" s="482">
        <f t="shared" si="9"/>
        <v>0</v>
      </c>
      <c r="Q21" s="482">
        <f t="shared" si="9"/>
        <v>0</v>
      </c>
      <c r="R21" s="482" t="str">
        <f t="shared" si="9"/>
        <v/>
      </c>
      <c r="S21" s="482" t="str">
        <f t="shared" si="9"/>
        <v/>
      </c>
      <c r="T21" s="482" t="str">
        <f t="shared" si="9"/>
        <v/>
      </c>
      <c r="U21" s="482" t="str">
        <f t="shared" si="9"/>
        <v/>
      </c>
      <c r="V21" s="482" t="str">
        <f t="shared" si="9"/>
        <v/>
      </c>
      <c r="W21" s="482" t="str">
        <f t="shared" si="9"/>
        <v/>
      </c>
      <c r="X21" s="482" t="str">
        <f t="shared" si="9"/>
        <v/>
      </c>
      <c r="Y21" s="131"/>
      <c r="Z21" s="122"/>
      <c r="AA21" s="122"/>
      <c r="AB21" s="122"/>
      <c r="AC21" s="126"/>
      <c r="AD21" s="122"/>
      <c r="AE21" s="122"/>
      <c r="AF21" s="122"/>
      <c r="AG21" s="122"/>
      <c r="AH21" s="122"/>
      <c r="AI21" s="122"/>
    </row>
    <row r="22" spans="2:35" ht="20.25" customHeight="1">
      <c r="B22" s="283"/>
      <c r="C22" s="278"/>
      <c r="D22" s="497" t="str">
        <f>CONCATENATE("SUBTOTAL  ",E14)</f>
        <v>SUBTOTAL  MOVIMIENTOS DE TIERRA Y ADECUACIONES</v>
      </c>
      <c r="E22" s="498"/>
      <c r="F22" s="498"/>
      <c r="G22" s="498"/>
      <c r="H22" s="499"/>
      <c r="I22" s="288">
        <f>SUM(I15:I21)</f>
        <v>1431766480</v>
      </c>
      <c r="J22" s="1055"/>
      <c r="K22" s="483">
        <v>2</v>
      </c>
      <c r="L22" s="60"/>
      <c r="M22" s="480"/>
      <c r="N22" s="60" t="str">
        <f t="shared" si="0"/>
        <v/>
      </c>
      <c r="O22" s="482" t="str">
        <f t="shared" si="9"/>
        <v/>
      </c>
      <c r="P22" s="482" t="str">
        <f t="shared" si="9"/>
        <v/>
      </c>
      <c r="Q22" s="482" t="str">
        <f t="shared" si="9"/>
        <v/>
      </c>
      <c r="R22" s="482" t="str">
        <f t="shared" si="9"/>
        <v/>
      </c>
      <c r="S22" s="482" t="str">
        <f t="shared" si="9"/>
        <v/>
      </c>
      <c r="T22" s="482" t="str">
        <f t="shared" si="9"/>
        <v/>
      </c>
      <c r="U22" s="482" t="str">
        <f t="shared" si="9"/>
        <v/>
      </c>
      <c r="V22" s="482" t="str">
        <f t="shared" si="9"/>
        <v/>
      </c>
      <c r="W22" s="482" t="str">
        <f t="shared" si="9"/>
        <v/>
      </c>
      <c r="X22" s="482" t="str">
        <f t="shared" si="9"/>
        <v/>
      </c>
      <c r="Y22" s="129"/>
      <c r="Z22" s="124"/>
      <c r="AA22" s="125"/>
      <c r="AB22" s="123"/>
      <c r="AC22" s="130"/>
      <c r="AD22" s="122"/>
      <c r="AE22" s="122"/>
      <c r="AF22" s="122"/>
      <c r="AG22" s="122"/>
      <c r="AH22" s="122"/>
      <c r="AI22" s="122"/>
    </row>
    <row r="23" spans="2:35" ht="24.75" customHeight="1">
      <c r="B23" s="282"/>
      <c r="C23" s="277"/>
      <c r="D23" s="262">
        <v>3</v>
      </c>
      <c r="E23" s="763" t="s">
        <v>14</v>
      </c>
      <c r="F23" s="763"/>
      <c r="G23" s="763"/>
      <c r="H23" s="763"/>
      <c r="I23" s="763"/>
      <c r="J23" s="1053"/>
      <c r="K23" s="483">
        <v>2</v>
      </c>
      <c r="L23" s="60"/>
      <c r="M23" s="480"/>
      <c r="N23" s="60" t="str">
        <f t="shared" si="0"/>
        <v/>
      </c>
      <c r="O23" s="482" t="str">
        <f t="shared" si="9"/>
        <v/>
      </c>
      <c r="P23" s="482" t="str">
        <f t="shared" si="9"/>
        <v/>
      </c>
      <c r="Q23" s="482" t="str">
        <f t="shared" si="9"/>
        <v/>
      </c>
      <c r="R23" s="482" t="str">
        <f t="shared" si="9"/>
        <v/>
      </c>
      <c r="S23" s="482" t="str">
        <f t="shared" si="9"/>
        <v/>
      </c>
      <c r="T23" s="482" t="str">
        <f t="shared" si="9"/>
        <v/>
      </c>
      <c r="U23" s="482" t="str">
        <f t="shared" si="9"/>
        <v/>
      </c>
      <c r="V23" s="482" t="str">
        <f t="shared" si="9"/>
        <v/>
      </c>
      <c r="W23" s="482" t="str">
        <f t="shared" si="9"/>
        <v/>
      </c>
      <c r="X23" s="482" t="str">
        <f t="shared" si="9"/>
        <v/>
      </c>
      <c r="Y23" s="122"/>
      <c r="Z23" s="1120"/>
      <c r="AA23" s="1120"/>
      <c r="AB23" s="1120"/>
      <c r="AC23" s="122"/>
      <c r="AD23" s="122"/>
      <c r="AE23" s="122"/>
      <c r="AF23" s="122"/>
      <c r="AG23" s="122"/>
    </row>
    <row r="24" spans="2:35" ht="45.75" customHeight="1">
      <c r="B24" s="282" t="s">
        <v>147</v>
      </c>
      <c r="C24" s="279" t="s">
        <v>139</v>
      </c>
      <c r="D24" s="262">
        <f t="shared" ref="D24:D26" si="10">D23+0.1</f>
        <v>3.1</v>
      </c>
      <c r="E24" s="270" t="s">
        <v>15</v>
      </c>
      <c r="F24" s="271" t="s">
        <v>44</v>
      </c>
      <c r="G24" s="341">
        <f>ROUND(MC!$C$332,2)</f>
        <v>5295.1</v>
      </c>
      <c r="H24" s="272">
        <f>+'3.1'!G42</f>
        <v>135474</v>
      </c>
      <c r="I24" s="273">
        <f>G24*H24</f>
        <v>717348377</v>
      </c>
      <c r="J24" s="1054"/>
      <c r="K24" s="483">
        <v>1</v>
      </c>
      <c r="L24" s="60">
        <v>5</v>
      </c>
      <c r="M24" s="480">
        <v>3</v>
      </c>
      <c r="N24" s="60">
        <f t="shared" si="0"/>
        <v>7</v>
      </c>
      <c r="O24" s="482" t="str">
        <f t="shared" si="9"/>
        <v/>
      </c>
      <c r="P24" s="482" t="str">
        <f t="shared" si="9"/>
        <v/>
      </c>
      <c r="Q24" s="482">
        <f t="shared" si="9"/>
        <v>466276</v>
      </c>
      <c r="R24" s="482">
        <f t="shared" si="9"/>
        <v>62768</v>
      </c>
      <c r="S24" s="482">
        <f t="shared" si="9"/>
        <v>62768</v>
      </c>
      <c r="T24" s="482">
        <f t="shared" si="9"/>
        <v>62768</v>
      </c>
      <c r="U24" s="482">
        <f t="shared" si="9"/>
        <v>62768</v>
      </c>
      <c r="V24" s="482" t="str">
        <f t="shared" si="9"/>
        <v/>
      </c>
      <c r="W24" s="482" t="str">
        <f t="shared" si="9"/>
        <v/>
      </c>
      <c r="X24" s="482" t="str">
        <f t="shared" si="9"/>
        <v/>
      </c>
      <c r="Y24" s="131"/>
      <c r="Z24" s="122"/>
      <c r="AA24" s="122"/>
      <c r="AB24" s="122"/>
      <c r="AC24" s="126"/>
      <c r="AD24" s="122"/>
      <c r="AE24" s="122"/>
      <c r="AF24" s="122"/>
      <c r="AG24" s="122"/>
      <c r="AH24" s="122"/>
      <c r="AI24" s="122"/>
    </row>
    <row r="25" spans="2:35" ht="45.75" hidden="1" customHeight="1">
      <c r="B25" s="282" t="s">
        <v>147</v>
      </c>
      <c r="C25" s="279" t="s">
        <v>139</v>
      </c>
      <c r="D25" s="262">
        <f t="shared" si="10"/>
        <v>3.2</v>
      </c>
      <c r="E25" s="270" t="s">
        <v>187</v>
      </c>
      <c r="F25" s="271" t="s">
        <v>44</v>
      </c>
      <c r="G25" s="341">
        <f>ROUND(MC!$C$337,2)</f>
        <v>0</v>
      </c>
      <c r="H25" s="272">
        <f>'3.2'!G42</f>
        <v>135474</v>
      </c>
      <c r="I25" s="273">
        <f>G25*H25</f>
        <v>0</v>
      </c>
      <c r="J25" s="1054"/>
      <c r="K25" s="483">
        <v>1</v>
      </c>
      <c r="L25" s="60">
        <v>5</v>
      </c>
      <c r="M25" s="480">
        <v>4</v>
      </c>
      <c r="N25" s="60">
        <f t="shared" si="0"/>
        <v>8</v>
      </c>
      <c r="O25" s="482" t="str">
        <f t="shared" si="9"/>
        <v/>
      </c>
      <c r="P25" s="482" t="str">
        <f t="shared" si="9"/>
        <v/>
      </c>
      <c r="Q25" s="482" t="str">
        <f t="shared" si="9"/>
        <v/>
      </c>
      <c r="R25" s="482">
        <f t="shared" si="9"/>
        <v>0</v>
      </c>
      <c r="S25" s="482">
        <f t="shared" si="9"/>
        <v>0</v>
      </c>
      <c r="T25" s="482">
        <f t="shared" si="9"/>
        <v>0</v>
      </c>
      <c r="U25" s="482">
        <f t="shared" si="9"/>
        <v>0</v>
      </c>
      <c r="V25" s="482">
        <f t="shared" si="9"/>
        <v>0</v>
      </c>
      <c r="W25" s="482" t="str">
        <f t="shared" si="9"/>
        <v/>
      </c>
      <c r="X25" s="482" t="str">
        <f t="shared" si="9"/>
        <v/>
      </c>
      <c r="Y25" s="131"/>
      <c r="Z25" s="122"/>
      <c r="AA25" s="122"/>
      <c r="AB25" s="122"/>
      <c r="AC25" s="126"/>
      <c r="AD25" s="122"/>
      <c r="AE25" s="122"/>
      <c r="AF25" s="122"/>
      <c r="AG25" s="122"/>
      <c r="AH25" s="122"/>
      <c r="AI25" s="122"/>
    </row>
    <row r="26" spans="2:35" ht="63">
      <c r="B26" s="282" t="s">
        <v>147</v>
      </c>
      <c r="C26" s="279" t="s">
        <v>139</v>
      </c>
      <c r="D26" s="262">
        <f t="shared" si="10"/>
        <v>3.3</v>
      </c>
      <c r="E26" s="270" t="s">
        <v>802</v>
      </c>
      <c r="F26" s="271" t="s">
        <v>72</v>
      </c>
      <c r="G26" s="341">
        <f>ROUND(MC!$C$342,2)</f>
        <v>26475.5</v>
      </c>
      <c r="H26" s="272">
        <f>'3.3'!G43</f>
        <v>135566</v>
      </c>
      <c r="I26" s="273">
        <f t="shared" ref="I26:I28" si="11">G26*H26</f>
        <v>3589177633</v>
      </c>
      <c r="J26" s="1054"/>
      <c r="K26" s="483">
        <v>2</v>
      </c>
      <c r="L26" s="60">
        <v>2</v>
      </c>
      <c r="M26" s="480">
        <v>7</v>
      </c>
      <c r="N26" s="60">
        <f t="shared" si="0"/>
        <v>8</v>
      </c>
      <c r="O26" s="482" t="str">
        <f t="shared" si="9"/>
        <v/>
      </c>
      <c r="P26" s="482" t="str">
        <f t="shared" si="9"/>
        <v/>
      </c>
      <c r="Q26" s="482" t="str">
        <f t="shared" si="9"/>
        <v/>
      </c>
      <c r="R26" s="482" t="str">
        <f t="shared" si="9"/>
        <v/>
      </c>
      <c r="S26" s="482" t="str">
        <f t="shared" si="9"/>
        <v/>
      </c>
      <c r="T26" s="482" t="str">
        <f t="shared" si="9"/>
        <v/>
      </c>
      <c r="U26" s="482">
        <f t="shared" si="9"/>
        <v>1794589</v>
      </c>
      <c r="V26" s="482">
        <f t="shared" si="9"/>
        <v>1794589</v>
      </c>
      <c r="W26" s="482" t="str">
        <f t="shared" si="9"/>
        <v/>
      </c>
      <c r="X26" s="482" t="str">
        <f t="shared" si="9"/>
        <v/>
      </c>
      <c r="Y26" s="131"/>
      <c r="Z26" s="122"/>
      <c r="AA26" s="122"/>
      <c r="AB26" s="122"/>
      <c r="AC26" s="126"/>
      <c r="AD26" s="122"/>
      <c r="AE26" s="122"/>
      <c r="AF26" s="122"/>
      <c r="AG26" s="122"/>
      <c r="AH26" s="122"/>
      <c r="AI26" s="122"/>
    </row>
    <row r="27" spans="2:35" ht="51" customHeight="1">
      <c r="B27" s="282"/>
      <c r="C27" s="279"/>
      <c r="D27" s="262">
        <v>3.4</v>
      </c>
      <c r="E27" s="270" t="s">
        <v>851</v>
      </c>
      <c r="F27" s="271" t="s">
        <v>122</v>
      </c>
      <c r="G27" s="341">
        <f>ROUND(MC!$C$349,2)</f>
        <v>5700.38</v>
      </c>
      <c r="H27" s="272">
        <f>'3.4'!G43</f>
        <v>8528</v>
      </c>
      <c r="I27" s="273">
        <f t="shared" si="11"/>
        <v>48612841</v>
      </c>
      <c r="J27" s="1054"/>
      <c r="K27" s="483"/>
      <c r="L27" s="60"/>
      <c r="M27" s="480"/>
      <c r="N27" s="60"/>
      <c r="O27" s="482"/>
      <c r="P27" s="482"/>
      <c r="Q27" s="482"/>
      <c r="R27" s="482"/>
      <c r="S27" s="482"/>
      <c r="T27" s="482"/>
      <c r="U27" s="482"/>
      <c r="V27" s="482"/>
      <c r="W27" s="482"/>
      <c r="X27" s="482"/>
      <c r="Y27" s="131"/>
      <c r="Z27" s="122"/>
      <c r="AA27" s="122"/>
      <c r="AB27" s="122"/>
      <c r="AC27" s="126"/>
      <c r="AD27" s="122"/>
      <c r="AE27" s="122"/>
      <c r="AF27" s="122"/>
      <c r="AG27" s="122"/>
      <c r="AH27" s="122"/>
      <c r="AI27" s="122"/>
    </row>
    <row r="28" spans="2:35" ht="40.5">
      <c r="B28" s="282"/>
      <c r="C28" s="279"/>
      <c r="D28" s="262">
        <v>3.5</v>
      </c>
      <c r="E28" s="270" t="s">
        <v>852</v>
      </c>
      <c r="F28" s="271" t="s">
        <v>570</v>
      </c>
      <c r="G28" s="341">
        <f>ROUND(MC!$C$357,2)</f>
        <v>46067.37</v>
      </c>
      <c r="H28" s="272">
        <f>'3.5'!G45</f>
        <v>6864</v>
      </c>
      <c r="I28" s="273">
        <f t="shared" si="11"/>
        <v>316206428</v>
      </c>
      <c r="J28" s="1054"/>
      <c r="K28" s="483"/>
      <c r="L28" s="60"/>
      <c r="M28" s="480"/>
      <c r="N28" s="60"/>
      <c r="O28" s="482"/>
      <c r="P28" s="482"/>
      <c r="Q28" s="482"/>
      <c r="R28" s="482"/>
      <c r="S28" s="482"/>
      <c r="T28" s="482"/>
      <c r="U28" s="482"/>
      <c r="V28" s="482"/>
      <c r="W28" s="482"/>
      <c r="X28" s="482"/>
      <c r="Y28" s="131"/>
      <c r="Z28" s="122"/>
      <c r="AA28" s="122"/>
      <c r="AB28" s="122"/>
      <c r="AC28" s="126"/>
      <c r="AD28" s="122"/>
      <c r="AE28" s="122"/>
      <c r="AF28" s="122"/>
      <c r="AG28" s="122"/>
      <c r="AH28" s="122"/>
      <c r="AI28" s="122"/>
    </row>
    <row r="29" spans="2:35" ht="20.25" customHeight="1">
      <c r="B29" s="283"/>
      <c r="C29" s="278"/>
      <c r="D29" s="497" t="str">
        <f>CONCATENATE("SUBTOTAL  ",E23)</f>
        <v>SUBTOTAL  ESTRUCTURA DE PAVIMENTO</v>
      </c>
      <c r="E29" s="498"/>
      <c r="F29" s="498"/>
      <c r="G29" s="498"/>
      <c r="H29" s="499"/>
      <c r="I29" s="269">
        <f>SUM(I24:I28)</f>
        <v>4671345279</v>
      </c>
      <c r="J29" s="1052"/>
      <c r="K29" s="483">
        <v>2</v>
      </c>
      <c r="L29" s="60"/>
      <c r="M29" s="480"/>
      <c r="N29" s="60" t="str">
        <f t="shared" si="0"/>
        <v/>
      </c>
      <c r="O29" s="482" t="str">
        <f t="shared" ref="O29:X38" si="12">IF($L29="","",IF(OR(O$9&lt;$M29,O$9&gt;$N29),"",IF($K29=1,IF((O$9/$M29)=1,($I29/1000)/(($L29)*2)*$L29*1.3,IF((O$9/$M29)&gt;1,($I29/1000)/(($L29)*2)*$L29*(0.7/($L29-1)))),IF($K29=2,($I29/1000)/$L29,IF($K29=3,IF((O$9/$N29)=1,($I29/1000)/(($L29)*2)*$L29*1.3,IF((O$9/$N29)&lt;1,($I29/1000)/(($L29)*2)*$L29*(0.7/($L29-1)))))))))</f>
        <v/>
      </c>
      <c r="P29" s="482" t="str">
        <f t="shared" si="12"/>
        <v/>
      </c>
      <c r="Q29" s="482" t="str">
        <f t="shared" si="12"/>
        <v/>
      </c>
      <c r="R29" s="482" t="str">
        <f t="shared" si="12"/>
        <v/>
      </c>
      <c r="S29" s="482" t="str">
        <f t="shared" si="12"/>
        <v/>
      </c>
      <c r="T29" s="482" t="str">
        <f t="shared" si="12"/>
        <v/>
      </c>
      <c r="U29" s="482" t="str">
        <f t="shared" si="12"/>
        <v/>
      </c>
      <c r="V29" s="482" t="str">
        <f t="shared" si="12"/>
        <v/>
      </c>
      <c r="W29" s="482" t="str">
        <f t="shared" si="12"/>
        <v/>
      </c>
      <c r="X29" s="482" t="str">
        <f t="shared" si="12"/>
        <v/>
      </c>
      <c r="Y29" s="129"/>
      <c r="Z29" s="191"/>
      <c r="AA29" s="125"/>
      <c r="AB29" s="123"/>
      <c r="AC29" s="130"/>
      <c r="AD29" s="122"/>
      <c r="AE29" s="122"/>
      <c r="AF29" s="122"/>
      <c r="AG29" s="122"/>
      <c r="AH29" s="122"/>
      <c r="AI29" s="122"/>
    </row>
    <row r="30" spans="2:35" ht="20.25" customHeight="1">
      <c r="B30" s="282"/>
      <c r="C30" s="277"/>
      <c r="D30" s="262">
        <v>4</v>
      </c>
      <c r="E30" s="762" t="s">
        <v>804</v>
      </c>
      <c r="F30" s="763"/>
      <c r="G30" s="763"/>
      <c r="H30" s="763"/>
      <c r="I30" s="763"/>
      <c r="J30" s="1053"/>
      <c r="K30" s="483">
        <v>2</v>
      </c>
      <c r="L30" s="60"/>
      <c r="M30" s="480"/>
      <c r="N30" s="60" t="str">
        <f t="shared" si="0"/>
        <v/>
      </c>
      <c r="O30" s="482" t="str">
        <f t="shared" si="12"/>
        <v/>
      </c>
      <c r="P30" s="482" t="str">
        <f t="shared" si="12"/>
        <v/>
      </c>
      <c r="Q30" s="482" t="str">
        <f t="shared" si="12"/>
        <v/>
      </c>
      <c r="R30" s="482" t="str">
        <f t="shared" si="12"/>
        <v/>
      </c>
      <c r="S30" s="482" t="str">
        <f t="shared" si="12"/>
        <v/>
      </c>
      <c r="T30" s="482" t="str">
        <f t="shared" si="12"/>
        <v/>
      </c>
      <c r="U30" s="482" t="str">
        <f t="shared" si="12"/>
        <v/>
      </c>
      <c r="V30" s="482" t="str">
        <f t="shared" si="12"/>
        <v/>
      </c>
      <c r="W30" s="482" t="str">
        <f t="shared" si="12"/>
        <v/>
      </c>
      <c r="X30" s="482" t="str">
        <f t="shared" si="12"/>
        <v/>
      </c>
      <c r="Y30" s="122"/>
      <c r="Z30" s="1120"/>
      <c r="AA30" s="1120"/>
      <c r="AB30" s="1120"/>
      <c r="AC30" s="122"/>
      <c r="AD30" s="122"/>
      <c r="AE30" s="122"/>
      <c r="AF30" s="122"/>
      <c r="AG30" s="122"/>
    </row>
    <row r="31" spans="2:35" ht="121.5">
      <c r="B31" s="282" t="s">
        <v>150</v>
      </c>
      <c r="C31" s="277">
        <v>630.4</v>
      </c>
      <c r="D31" s="262">
        <f>D30+0.1</f>
        <v>4.0999999999999996</v>
      </c>
      <c r="E31" s="263" t="s">
        <v>805</v>
      </c>
      <c r="F31" s="271" t="s">
        <v>122</v>
      </c>
      <c r="G31" s="341">
        <f>ROUND(MC!C363,2)</f>
        <v>5882.58</v>
      </c>
      <c r="H31" s="272">
        <f>+'4.1'!G42</f>
        <v>42675</v>
      </c>
      <c r="I31" s="272">
        <f t="shared" ref="I31:I36" si="13">+G31*H31</f>
        <v>251039102</v>
      </c>
      <c r="J31" s="1051"/>
      <c r="K31" s="483">
        <v>1</v>
      </c>
      <c r="L31" s="60">
        <v>7</v>
      </c>
      <c r="M31" s="480">
        <v>3</v>
      </c>
      <c r="N31" s="60">
        <f t="shared" si="0"/>
        <v>9</v>
      </c>
      <c r="O31" s="482" t="str">
        <f t="shared" si="12"/>
        <v/>
      </c>
      <c r="P31" s="482" t="str">
        <f t="shared" si="12"/>
        <v/>
      </c>
      <c r="Q31" s="482">
        <f t="shared" si="12"/>
        <v>163175</v>
      </c>
      <c r="R31" s="482">
        <f t="shared" si="12"/>
        <v>14644</v>
      </c>
      <c r="S31" s="482">
        <f t="shared" si="12"/>
        <v>14644</v>
      </c>
      <c r="T31" s="482">
        <f t="shared" si="12"/>
        <v>14644</v>
      </c>
      <c r="U31" s="482">
        <f t="shared" si="12"/>
        <v>14644</v>
      </c>
      <c r="V31" s="482">
        <f t="shared" si="12"/>
        <v>14644</v>
      </c>
      <c r="W31" s="482">
        <f t="shared" si="12"/>
        <v>14644</v>
      </c>
      <c r="X31" s="482" t="str">
        <f t="shared" si="12"/>
        <v/>
      </c>
      <c r="Y31" s="122"/>
      <c r="Z31" s="124"/>
      <c r="AA31" s="124"/>
      <c r="AB31" s="124"/>
      <c r="AC31" s="126"/>
      <c r="AD31" s="122"/>
      <c r="AE31" s="122"/>
      <c r="AF31" s="122"/>
      <c r="AG31" s="122"/>
    </row>
    <row r="32" spans="2:35" ht="63.75" customHeight="1">
      <c r="B32" s="282" t="s">
        <v>148</v>
      </c>
      <c r="C32" s="277">
        <v>671.3</v>
      </c>
      <c r="D32" s="262">
        <f t="shared" ref="D32:D38" si="14">D31+0.1</f>
        <v>4.2</v>
      </c>
      <c r="E32" s="263" t="s">
        <v>866</v>
      </c>
      <c r="F32" s="271" t="s">
        <v>72</v>
      </c>
      <c r="G32" s="341">
        <f>ROUND(MC!C369,2)</f>
        <v>2519.5300000000002</v>
      </c>
      <c r="H32" s="272">
        <f>'4.2'!G42</f>
        <v>106007</v>
      </c>
      <c r="I32" s="272">
        <f t="shared" si="13"/>
        <v>267087817</v>
      </c>
      <c r="J32" s="1051"/>
      <c r="K32" s="483">
        <v>1</v>
      </c>
      <c r="L32" s="60">
        <v>7</v>
      </c>
      <c r="M32" s="480">
        <v>4</v>
      </c>
      <c r="N32" s="60">
        <f t="shared" si="0"/>
        <v>10</v>
      </c>
      <c r="O32" s="482" t="str">
        <f t="shared" si="12"/>
        <v/>
      </c>
      <c r="P32" s="482" t="str">
        <f t="shared" si="12"/>
        <v/>
      </c>
      <c r="Q32" s="482" t="str">
        <f t="shared" si="12"/>
        <v/>
      </c>
      <c r="R32" s="482">
        <f t="shared" si="12"/>
        <v>173607</v>
      </c>
      <c r="S32" s="482">
        <f t="shared" si="12"/>
        <v>15580</v>
      </c>
      <c r="T32" s="482">
        <f t="shared" si="12"/>
        <v>15580</v>
      </c>
      <c r="U32" s="482">
        <f t="shared" si="12"/>
        <v>15580</v>
      </c>
      <c r="V32" s="482">
        <f t="shared" si="12"/>
        <v>15580</v>
      </c>
      <c r="W32" s="482">
        <f t="shared" si="12"/>
        <v>15580</v>
      </c>
      <c r="X32" s="482">
        <f t="shared" si="12"/>
        <v>15580</v>
      </c>
      <c r="Y32" s="122"/>
      <c r="Z32" s="124"/>
      <c r="AA32" s="124"/>
      <c r="AB32" s="124"/>
      <c r="AC32" s="126"/>
      <c r="AD32" s="122"/>
      <c r="AE32" s="122"/>
      <c r="AF32" s="122"/>
      <c r="AG32" s="122"/>
    </row>
    <row r="33" spans="1:35" ht="60.75">
      <c r="A33" s="121" t="s">
        <v>140</v>
      </c>
      <c r="B33" s="282" t="s">
        <v>150</v>
      </c>
      <c r="C33" s="277">
        <v>630.4</v>
      </c>
      <c r="D33" s="262">
        <f t="shared" si="14"/>
        <v>4.3</v>
      </c>
      <c r="E33" s="263" t="s">
        <v>875</v>
      </c>
      <c r="F33" s="271" t="s">
        <v>122</v>
      </c>
      <c r="G33" s="341">
        <f>MC!C374</f>
        <v>98</v>
      </c>
      <c r="H33" s="272">
        <f>'4.3'!G42</f>
        <v>340505</v>
      </c>
      <c r="I33" s="272">
        <f>+G33*H33</f>
        <v>33369490</v>
      </c>
      <c r="J33" s="1051"/>
      <c r="K33" s="483">
        <v>2</v>
      </c>
      <c r="L33" s="60">
        <v>5</v>
      </c>
      <c r="M33" s="480">
        <v>1</v>
      </c>
      <c r="N33" s="60">
        <f t="shared" si="0"/>
        <v>5</v>
      </c>
      <c r="O33" s="482">
        <f t="shared" si="12"/>
        <v>6674</v>
      </c>
      <c r="P33" s="482">
        <f t="shared" si="12"/>
        <v>6674</v>
      </c>
      <c r="Q33" s="482">
        <f t="shared" si="12"/>
        <v>6674</v>
      </c>
      <c r="R33" s="482">
        <f t="shared" si="12"/>
        <v>6674</v>
      </c>
      <c r="S33" s="482">
        <f t="shared" si="12"/>
        <v>6674</v>
      </c>
      <c r="T33" s="482" t="str">
        <f t="shared" si="12"/>
        <v/>
      </c>
      <c r="U33" s="482" t="str">
        <f t="shared" si="12"/>
        <v/>
      </c>
      <c r="V33" s="482" t="str">
        <f t="shared" si="12"/>
        <v/>
      </c>
      <c r="W33" s="482" t="str">
        <f t="shared" si="12"/>
        <v/>
      </c>
      <c r="X33" s="482" t="str">
        <f t="shared" si="12"/>
        <v/>
      </c>
      <c r="Y33" s="122"/>
      <c r="Z33" s="191"/>
      <c r="AA33" s="191"/>
      <c r="AB33" s="191"/>
      <c r="AC33" s="126"/>
      <c r="AD33" s="122"/>
      <c r="AE33" s="122"/>
      <c r="AF33" s="122"/>
      <c r="AG33" s="122"/>
    </row>
    <row r="34" spans="1:35" ht="121.5">
      <c r="A34" s="121" t="s">
        <v>141</v>
      </c>
      <c r="B34" s="282" t="s">
        <v>150</v>
      </c>
      <c r="C34" s="277">
        <v>630.4</v>
      </c>
      <c r="D34" s="262">
        <f t="shared" si="14"/>
        <v>4.4000000000000004</v>
      </c>
      <c r="E34" s="263" t="s">
        <v>876</v>
      </c>
      <c r="F34" s="271" t="s">
        <v>44</v>
      </c>
      <c r="G34" s="341">
        <f>ROUND(MC!C379,2)</f>
        <v>1112.6600000000001</v>
      </c>
      <c r="H34" s="272">
        <f>+'4.4'!G42</f>
        <v>55698</v>
      </c>
      <c r="I34" s="272">
        <f t="shared" si="13"/>
        <v>61972937</v>
      </c>
      <c r="J34" s="1051"/>
      <c r="K34" s="483">
        <v>2</v>
      </c>
      <c r="L34" s="60">
        <v>2</v>
      </c>
      <c r="M34" s="480">
        <v>1</v>
      </c>
      <c r="N34" s="60">
        <f t="shared" si="0"/>
        <v>2</v>
      </c>
      <c r="O34" s="482">
        <f t="shared" si="12"/>
        <v>30986</v>
      </c>
      <c r="P34" s="482">
        <f t="shared" si="12"/>
        <v>30986</v>
      </c>
      <c r="Q34" s="482" t="str">
        <f t="shared" si="12"/>
        <v/>
      </c>
      <c r="R34" s="482" t="str">
        <f t="shared" si="12"/>
        <v/>
      </c>
      <c r="S34" s="482" t="str">
        <f t="shared" si="12"/>
        <v/>
      </c>
      <c r="T34" s="482" t="str">
        <f t="shared" si="12"/>
        <v/>
      </c>
      <c r="U34" s="482" t="str">
        <f t="shared" si="12"/>
        <v/>
      </c>
      <c r="V34" s="482" t="str">
        <f t="shared" si="12"/>
        <v/>
      </c>
      <c r="W34" s="482" t="str">
        <f t="shared" si="12"/>
        <v/>
      </c>
      <c r="X34" s="482" t="str">
        <f t="shared" si="12"/>
        <v/>
      </c>
      <c r="Y34" s="122"/>
      <c r="Z34" s="191"/>
      <c r="AA34" s="191"/>
      <c r="AB34" s="191"/>
      <c r="AC34" s="126"/>
      <c r="AD34" s="122"/>
      <c r="AE34" s="122"/>
      <c r="AF34" s="122"/>
      <c r="AG34" s="122"/>
    </row>
    <row r="35" spans="1:35" ht="62.25" customHeight="1">
      <c r="A35" s="121" t="s">
        <v>140</v>
      </c>
      <c r="B35" s="282" t="s">
        <v>150</v>
      </c>
      <c r="C35" s="277">
        <v>630.4</v>
      </c>
      <c r="D35" s="262">
        <f t="shared" si="14"/>
        <v>4.5</v>
      </c>
      <c r="E35" s="263" t="s">
        <v>128</v>
      </c>
      <c r="F35" s="271" t="s">
        <v>122</v>
      </c>
      <c r="G35" s="341">
        <f>MC!C389</f>
        <v>61.5</v>
      </c>
      <c r="H35" s="272">
        <f>+'4.5'!G42</f>
        <v>639150</v>
      </c>
      <c r="I35" s="272">
        <f t="shared" si="13"/>
        <v>39307725</v>
      </c>
      <c r="J35" s="1051"/>
      <c r="K35" s="483">
        <v>2</v>
      </c>
      <c r="L35" s="60">
        <v>2</v>
      </c>
      <c r="M35" s="480">
        <v>9</v>
      </c>
      <c r="N35" s="60">
        <f t="shared" si="0"/>
        <v>10</v>
      </c>
      <c r="O35" s="482" t="str">
        <f t="shared" si="12"/>
        <v/>
      </c>
      <c r="P35" s="482" t="str">
        <f t="shared" si="12"/>
        <v/>
      </c>
      <c r="Q35" s="482" t="str">
        <f t="shared" si="12"/>
        <v/>
      </c>
      <c r="R35" s="482" t="str">
        <f t="shared" si="12"/>
        <v/>
      </c>
      <c r="S35" s="482" t="str">
        <f t="shared" si="12"/>
        <v/>
      </c>
      <c r="T35" s="482" t="str">
        <f t="shared" si="12"/>
        <v/>
      </c>
      <c r="U35" s="482" t="str">
        <f t="shared" si="12"/>
        <v/>
      </c>
      <c r="V35" s="482" t="str">
        <f t="shared" si="12"/>
        <v/>
      </c>
      <c r="W35" s="482">
        <f t="shared" si="12"/>
        <v>19654</v>
      </c>
      <c r="X35" s="482">
        <f t="shared" si="12"/>
        <v>19654</v>
      </c>
      <c r="Y35" s="122"/>
      <c r="Z35" s="207"/>
      <c r="AA35" s="207"/>
      <c r="AB35" s="207"/>
      <c r="AC35" s="126"/>
      <c r="AD35" s="122"/>
      <c r="AE35" s="122"/>
      <c r="AF35" s="122"/>
      <c r="AG35" s="122"/>
    </row>
    <row r="36" spans="1:35" ht="81.75" customHeight="1">
      <c r="B36" s="282"/>
      <c r="C36" s="277"/>
      <c r="D36" s="262">
        <f t="shared" si="14"/>
        <v>4.5999999999999996</v>
      </c>
      <c r="E36" s="263" t="s">
        <v>241</v>
      </c>
      <c r="F36" s="271" t="s">
        <v>72</v>
      </c>
      <c r="G36" s="341">
        <f>MC!C395</f>
        <v>7074.91</v>
      </c>
      <c r="H36" s="272">
        <f>'4.6'!G42</f>
        <v>93595</v>
      </c>
      <c r="I36" s="272">
        <f t="shared" si="13"/>
        <v>662176201</v>
      </c>
      <c r="J36" s="1051"/>
      <c r="K36" s="483">
        <v>2</v>
      </c>
      <c r="L36" s="60">
        <v>3</v>
      </c>
      <c r="M36" s="480">
        <v>4</v>
      </c>
      <c r="N36" s="60">
        <f t="shared" si="0"/>
        <v>6</v>
      </c>
      <c r="O36" s="482" t="str">
        <f t="shared" si="12"/>
        <v/>
      </c>
      <c r="P36" s="482" t="str">
        <f t="shared" si="12"/>
        <v/>
      </c>
      <c r="Q36" s="482" t="str">
        <f t="shared" si="12"/>
        <v/>
      </c>
      <c r="R36" s="482">
        <f t="shared" si="12"/>
        <v>220725</v>
      </c>
      <c r="S36" s="482">
        <f t="shared" si="12"/>
        <v>220725</v>
      </c>
      <c r="T36" s="482">
        <f t="shared" si="12"/>
        <v>220725</v>
      </c>
      <c r="U36" s="482" t="str">
        <f t="shared" si="12"/>
        <v/>
      </c>
      <c r="V36" s="482" t="str">
        <f t="shared" si="12"/>
        <v/>
      </c>
      <c r="W36" s="482" t="str">
        <f t="shared" si="12"/>
        <v/>
      </c>
      <c r="X36" s="482" t="str">
        <f t="shared" si="12"/>
        <v/>
      </c>
      <c r="Y36" s="122"/>
      <c r="Z36" s="345"/>
      <c r="AA36" s="345"/>
      <c r="AB36" s="345"/>
      <c r="AC36" s="126"/>
      <c r="AD36" s="122"/>
      <c r="AE36" s="122"/>
      <c r="AF36" s="122"/>
      <c r="AG36" s="122"/>
    </row>
    <row r="37" spans="1:35" ht="40.5">
      <c r="B37" s="282"/>
      <c r="C37" s="277"/>
      <c r="D37" s="262">
        <f t="shared" si="14"/>
        <v>4.7</v>
      </c>
      <c r="E37" s="263" t="s">
        <v>312</v>
      </c>
      <c r="F37" s="271" t="s">
        <v>7</v>
      </c>
      <c r="G37" s="341">
        <f>SUM(MC!C71:C76,MC!C78:C81,MC!C84:C87,)</f>
        <v>632</v>
      </c>
      <c r="H37" s="272">
        <f>'4.7'!G42</f>
        <v>86134</v>
      </c>
      <c r="I37" s="272">
        <f t="shared" ref="I37" si="15">+G37*H37</f>
        <v>54436688</v>
      </c>
      <c r="J37" s="1051"/>
      <c r="K37" s="483">
        <v>2</v>
      </c>
      <c r="L37" s="60">
        <v>3</v>
      </c>
      <c r="M37" s="480">
        <v>4</v>
      </c>
      <c r="N37" s="60">
        <f t="shared" ref="N37" si="16">IF(L37="","",M37+L37-1)</f>
        <v>6</v>
      </c>
      <c r="O37" s="482" t="str">
        <f t="shared" si="12"/>
        <v/>
      </c>
      <c r="P37" s="482" t="str">
        <f t="shared" si="12"/>
        <v/>
      </c>
      <c r="Q37" s="482" t="str">
        <f t="shared" si="12"/>
        <v/>
      </c>
      <c r="R37" s="482">
        <f t="shared" si="12"/>
        <v>18146</v>
      </c>
      <c r="S37" s="482">
        <f t="shared" si="12"/>
        <v>18146</v>
      </c>
      <c r="T37" s="482">
        <f t="shared" si="12"/>
        <v>18146</v>
      </c>
      <c r="U37" s="482" t="str">
        <f t="shared" si="12"/>
        <v/>
      </c>
      <c r="V37" s="482" t="str">
        <f t="shared" si="12"/>
        <v/>
      </c>
      <c r="W37" s="482" t="str">
        <f t="shared" si="12"/>
        <v/>
      </c>
      <c r="X37" s="482" t="str">
        <f t="shared" si="12"/>
        <v/>
      </c>
      <c r="Y37" s="122"/>
      <c r="Z37" s="352"/>
      <c r="AA37" s="352"/>
      <c r="AB37" s="352"/>
      <c r="AC37" s="126"/>
      <c r="AD37" s="122"/>
      <c r="AE37" s="122"/>
      <c r="AF37" s="122"/>
      <c r="AG37" s="122"/>
    </row>
    <row r="38" spans="1:35" ht="40.5">
      <c r="B38" s="282"/>
      <c r="C38" s="277"/>
      <c r="D38" s="262">
        <f t="shared" si="14"/>
        <v>4.8</v>
      </c>
      <c r="E38" s="263" t="s">
        <v>313</v>
      </c>
      <c r="F38" s="271" t="s">
        <v>7</v>
      </c>
      <c r="G38" s="341">
        <f>MC!C82+MC!C88</f>
        <v>62</v>
      </c>
      <c r="H38" s="272">
        <f>'4.8'!G42</f>
        <v>204742</v>
      </c>
      <c r="I38" s="272">
        <f t="shared" ref="I38" si="17">+G38*H38</f>
        <v>12694004</v>
      </c>
      <c r="J38" s="1051"/>
      <c r="K38" s="483">
        <v>2</v>
      </c>
      <c r="L38" s="60">
        <v>3</v>
      </c>
      <c r="M38" s="480">
        <v>4</v>
      </c>
      <c r="N38" s="60">
        <f t="shared" ref="N38" si="18">IF(L38="","",M38+L38-1)</f>
        <v>6</v>
      </c>
      <c r="O38" s="482" t="str">
        <f t="shared" si="12"/>
        <v/>
      </c>
      <c r="P38" s="482" t="str">
        <f t="shared" si="12"/>
        <v/>
      </c>
      <c r="Q38" s="482" t="str">
        <f t="shared" si="12"/>
        <v/>
      </c>
      <c r="R38" s="482">
        <f t="shared" si="12"/>
        <v>4231</v>
      </c>
      <c r="S38" s="482">
        <f t="shared" si="12"/>
        <v>4231</v>
      </c>
      <c r="T38" s="482">
        <f t="shared" si="12"/>
        <v>4231</v>
      </c>
      <c r="U38" s="482" t="str">
        <f t="shared" si="12"/>
        <v/>
      </c>
      <c r="V38" s="482" t="str">
        <f t="shared" si="12"/>
        <v/>
      </c>
      <c r="W38" s="482" t="str">
        <f t="shared" si="12"/>
        <v/>
      </c>
      <c r="X38" s="482" t="str">
        <f t="shared" si="12"/>
        <v/>
      </c>
      <c r="Y38" s="122"/>
      <c r="Z38" s="352"/>
      <c r="AA38" s="352"/>
      <c r="AB38" s="352"/>
      <c r="AC38" s="126"/>
      <c r="AD38" s="122"/>
      <c r="AE38" s="122"/>
      <c r="AF38" s="122"/>
      <c r="AG38" s="122"/>
    </row>
    <row r="39" spans="1:35" ht="24" customHeight="1">
      <c r="B39" s="282" t="s">
        <v>149</v>
      </c>
      <c r="C39" s="277">
        <v>640.1</v>
      </c>
      <c r="D39" s="262">
        <v>4.9000000000000004</v>
      </c>
      <c r="E39" s="263" t="s">
        <v>13</v>
      </c>
      <c r="F39" s="271" t="s">
        <v>53</v>
      </c>
      <c r="G39" s="341">
        <f>MC!C405</f>
        <v>19936.099999999999</v>
      </c>
      <c r="H39" s="272">
        <f>+'4.9'!G42</f>
        <v>7260</v>
      </c>
      <c r="I39" s="272">
        <f>+G39*H39</f>
        <v>144736086</v>
      </c>
      <c r="J39" s="1051"/>
      <c r="K39" s="483">
        <v>2</v>
      </c>
      <c r="L39" s="60">
        <v>5</v>
      </c>
      <c r="M39" s="480">
        <v>1</v>
      </c>
      <c r="N39" s="60">
        <f t="shared" si="0"/>
        <v>5</v>
      </c>
      <c r="O39" s="482">
        <f t="shared" ref="O39:X48" si="19">IF($L39="","",IF(OR(O$9&lt;$M39,O$9&gt;$N39),"",IF($K39=1,IF((O$9/$M39)=1,($I39/1000)/(($L39)*2)*$L39*1.3,IF((O$9/$M39)&gt;1,($I39/1000)/(($L39)*2)*$L39*(0.7/($L39-1)))),IF($K39=2,($I39/1000)/$L39,IF($K39=3,IF((O$9/$N39)=1,($I39/1000)/(($L39)*2)*$L39*1.3,IF((O$9/$N39)&lt;1,($I39/1000)/(($L39)*2)*$L39*(0.7/($L39-1)))))))))</f>
        <v>28947</v>
      </c>
      <c r="P39" s="482">
        <f t="shared" si="19"/>
        <v>28947</v>
      </c>
      <c r="Q39" s="482">
        <f t="shared" si="19"/>
        <v>28947</v>
      </c>
      <c r="R39" s="482">
        <f t="shared" si="19"/>
        <v>28947</v>
      </c>
      <c r="S39" s="482">
        <f t="shared" si="19"/>
        <v>28947</v>
      </c>
      <c r="T39" s="482" t="str">
        <f t="shared" si="19"/>
        <v/>
      </c>
      <c r="U39" s="482" t="str">
        <f t="shared" si="19"/>
        <v/>
      </c>
      <c r="V39" s="482" t="str">
        <f t="shared" si="19"/>
        <v/>
      </c>
      <c r="W39" s="482" t="str">
        <f t="shared" si="19"/>
        <v/>
      </c>
      <c r="X39" s="482" t="str">
        <f t="shared" si="19"/>
        <v/>
      </c>
      <c r="Y39" s="122"/>
      <c r="Z39" s="124"/>
      <c r="AA39" s="124"/>
      <c r="AB39" s="124"/>
      <c r="AC39" s="126"/>
      <c r="AD39" s="122"/>
      <c r="AE39" s="122"/>
      <c r="AF39" s="122"/>
      <c r="AG39" s="122"/>
    </row>
    <row r="40" spans="1:35" ht="42" hidden="1">
      <c r="B40" s="282" t="s">
        <v>149</v>
      </c>
      <c r="C40" s="277">
        <v>640.1</v>
      </c>
      <c r="D40" s="370" t="s">
        <v>694</v>
      </c>
      <c r="E40" s="263" t="s">
        <v>695</v>
      </c>
      <c r="F40" s="271" t="s">
        <v>72</v>
      </c>
      <c r="G40" s="341">
        <f>MC!C410</f>
        <v>0</v>
      </c>
      <c r="H40" s="272">
        <f>+'4.10'!G42</f>
        <v>19273</v>
      </c>
      <c r="I40" s="272">
        <f>+G40*H40</f>
        <v>0</v>
      </c>
      <c r="J40" s="1051"/>
      <c r="K40" s="483">
        <v>2</v>
      </c>
      <c r="L40" s="60">
        <v>5</v>
      </c>
      <c r="M40" s="480">
        <v>1</v>
      </c>
      <c r="N40" s="60">
        <f t="shared" ref="N40" si="20">IF(L40="","",M40+L40-1)</f>
        <v>5</v>
      </c>
      <c r="O40" s="482">
        <f t="shared" si="19"/>
        <v>0</v>
      </c>
      <c r="P40" s="482">
        <f t="shared" si="19"/>
        <v>0</v>
      </c>
      <c r="Q40" s="482">
        <f t="shared" si="19"/>
        <v>0</v>
      </c>
      <c r="R40" s="482">
        <f t="shared" si="19"/>
        <v>0</v>
      </c>
      <c r="S40" s="482">
        <f t="shared" si="19"/>
        <v>0</v>
      </c>
      <c r="T40" s="482" t="str">
        <f t="shared" si="19"/>
        <v/>
      </c>
      <c r="U40" s="482" t="str">
        <f t="shared" si="19"/>
        <v/>
      </c>
      <c r="V40" s="482" t="str">
        <f t="shared" si="19"/>
        <v/>
      </c>
      <c r="W40" s="482" t="str">
        <f t="shared" si="19"/>
        <v/>
      </c>
      <c r="X40" s="482" t="str">
        <f t="shared" si="19"/>
        <v/>
      </c>
      <c r="Y40" s="122"/>
      <c r="Z40" s="741"/>
      <c r="AA40" s="741"/>
      <c r="AB40" s="741"/>
      <c r="AC40" s="126"/>
      <c r="AD40" s="122"/>
      <c r="AE40" s="122"/>
      <c r="AF40" s="122"/>
      <c r="AG40" s="122"/>
    </row>
    <row r="41" spans="1:35" ht="20.25" customHeight="1">
      <c r="B41" s="283"/>
      <c r="C41" s="278"/>
      <c r="D41" s="497" t="str">
        <f>CONCATENATE("SUBTOTAL  ",E30)</f>
        <v>SUBTOTAL  ELEMENTOS COMPLEMENTARIOS EN CONCRETO</v>
      </c>
      <c r="E41" s="498"/>
      <c r="F41" s="498"/>
      <c r="G41" s="498"/>
      <c r="H41" s="499"/>
      <c r="I41" s="269">
        <f>SUM(I31:I40)</f>
        <v>1526820050</v>
      </c>
      <c r="J41" s="1052"/>
      <c r="K41" s="483">
        <v>2</v>
      </c>
      <c r="L41" s="60"/>
      <c r="M41" s="480"/>
      <c r="N41" s="60" t="str">
        <f t="shared" si="0"/>
        <v/>
      </c>
      <c r="O41" s="482" t="str">
        <f t="shared" si="19"/>
        <v/>
      </c>
      <c r="P41" s="482" t="str">
        <f t="shared" si="19"/>
        <v/>
      </c>
      <c r="Q41" s="482" t="str">
        <f t="shared" si="19"/>
        <v/>
      </c>
      <c r="R41" s="482" t="str">
        <f t="shared" si="19"/>
        <v/>
      </c>
      <c r="S41" s="482" t="str">
        <f t="shared" si="19"/>
        <v/>
      </c>
      <c r="T41" s="482" t="str">
        <f t="shared" si="19"/>
        <v/>
      </c>
      <c r="U41" s="482" t="str">
        <f t="shared" si="19"/>
        <v/>
      </c>
      <c r="V41" s="482" t="str">
        <f t="shared" si="19"/>
        <v/>
      </c>
      <c r="W41" s="482" t="str">
        <f t="shared" si="19"/>
        <v/>
      </c>
      <c r="X41" s="482" t="str">
        <f t="shared" si="19"/>
        <v/>
      </c>
      <c r="Y41" s="129"/>
      <c r="Z41" s="191"/>
      <c r="AA41" s="125"/>
      <c r="AB41" s="123"/>
      <c r="AC41" s="130"/>
      <c r="AD41" s="122"/>
      <c r="AE41" s="122"/>
      <c r="AF41" s="122"/>
      <c r="AG41" s="122"/>
      <c r="AH41" s="122"/>
      <c r="AI41" s="122"/>
    </row>
    <row r="42" spans="1:35" ht="20.25" customHeight="1">
      <c r="B42" s="282"/>
      <c r="C42" s="277"/>
      <c r="D42" s="262">
        <v>5</v>
      </c>
      <c r="E42" s="763" t="s">
        <v>107</v>
      </c>
      <c r="F42" s="763"/>
      <c r="G42" s="763"/>
      <c r="H42" s="763"/>
      <c r="I42" s="763"/>
      <c r="J42" s="1053"/>
      <c r="K42" s="483">
        <v>2</v>
      </c>
      <c r="L42" s="60"/>
      <c r="M42" s="480"/>
      <c r="N42" s="60" t="str">
        <f t="shared" si="0"/>
        <v/>
      </c>
      <c r="O42" s="482" t="str">
        <f t="shared" si="19"/>
        <v/>
      </c>
      <c r="P42" s="482" t="str">
        <f t="shared" si="19"/>
        <v/>
      </c>
      <c r="Q42" s="482" t="str">
        <f t="shared" si="19"/>
        <v/>
      </c>
      <c r="R42" s="482" t="str">
        <f t="shared" si="19"/>
        <v/>
      </c>
      <c r="S42" s="482" t="str">
        <f t="shared" si="19"/>
        <v/>
      </c>
      <c r="T42" s="482" t="str">
        <f t="shared" si="19"/>
        <v/>
      </c>
      <c r="U42" s="482" t="str">
        <f t="shared" si="19"/>
        <v/>
      </c>
      <c r="V42" s="482" t="str">
        <f t="shared" si="19"/>
        <v/>
      </c>
      <c r="W42" s="482" t="str">
        <f t="shared" si="19"/>
        <v/>
      </c>
      <c r="X42" s="482" t="str">
        <f t="shared" si="19"/>
        <v/>
      </c>
      <c r="Y42" s="122"/>
      <c r="Z42" s="1120"/>
      <c r="AA42" s="1120"/>
      <c r="AB42" s="1120"/>
      <c r="AC42" s="122"/>
      <c r="AD42" s="122"/>
      <c r="AE42" s="122"/>
      <c r="AF42" s="122"/>
      <c r="AG42" s="122"/>
    </row>
    <row r="43" spans="1:35" ht="60.75">
      <c r="A43" s="280">
        <v>1843</v>
      </c>
      <c r="B43" s="282" t="s">
        <v>151</v>
      </c>
      <c r="C43" s="277">
        <v>700.1</v>
      </c>
      <c r="D43" s="262">
        <f>D42+0.1</f>
        <v>5.0999999999999996</v>
      </c>
      <c r="E43" s="263" t="s">
        <v>293</v>
      </c>
      <c r="F43" s="271" t="s">
        <v>122</v>
      </c>
      <c r="G43" s="341">
        <f>MC!C444</f>
        <v>9432.99</v>
      </c>
      <c r="H43" s="272">
        <f>+'5.1'!G42</f>
        <v>3390</v>
      </c>
      <c r="I43" s="272">
        <f>+G43*H43</f>
        <v>31977836</v>
      </c>
      <c r="J43" s="1051"/>
      <c r="K43" s="483">
        <v>3</v>
      </c>
      <c r="L43" s="60">
        <v>2</v>
      </c>
      <c r="M43" s="480">
        <v>9</v>
      </c>
      <c r="N43" s="60">
        <f t="shared" si="0"/>
        <v>10</v>
      </c>
      <c r="O43" s="482" t="str">
        <f t="shared" si="19"/>
        <v/>
      </c>
      <c r="P43" s="482" t="str">
        <f t="shared" si="19"/>
        <v/>
      </c>
      <c r="Q43" s="482" t="str">
        <f t="shared" si="19"/>
        <v/>
      </c>
      <c r="R43" s="482" t="str">
        <f t="shared" si="19"/>
        <v/>
      </c>
      <c r="S43" s="482" t="str">
        <f t="shared" si="19"/>
        <v/>
      </c>
      <c r="T43" s="482" t="str">
        <f t="shared" si="19"/>
        <v/>
      </c>
      <c r="U43" s="482" t="str">
        <f t="shared" si="19"/>
        <v/>
      </c>
      <c r="V43" s="482" t="str">
        <f t="shared" si="19"/>
        <v/>
      </c>
      <c r="W43" s="482">
        <f t="shared" si="19"/>
        <v>11192</v>
      </c>
      <c r="X43" s="482">
        <f t="shared" si="19"/>
        <v>20786</v>
      </c>
      <c r="Y43" s="122"/>
      <c r="Z43" s="124"/>
      <c r="AA43" s="124"/>
      <c r="AB43" s="124"/>
      <c r="AC43" s="126"/>
      <c r="AD43" s="122"/>
      <c r="AE43" s="122"/>
      <c r="AF43" s="122"/>
      <c r="AG43" s="122"/>
    </row>
    <row r="44" spans="1:35" ht="100.5" customHeight="1">
      <c r="A44" s="280">
        <v>416954</v>
      </c>
      <c r="B44" s="282" t="s">
        <v>152</v>
      </c>
      <c r="C44" s="279" t="s">
        <v>143</v>
      </c>
      <c r="D44" s="262">
        <f t="shared" ref="D44:D51" si="21">D43+0.1</f>
        <v>5.2</v>
      </c>
      <c r="E44" s="274" t="s">
        <v>156</v>
      </c>
      <c r="F44" s="275" t="s">
        <v>119</v>
      </c>
      <c r="G44" s="341">
        <f>MC!C448</f>
        <v>104</v>
      </c>
      <c r="H44" s="272">
        <f>+'5.2'!G42</f>
        <v>261201</v>
      </c>
      <c r="I44" s="273">
        <f t="shared" ref="I44:I48" si="22">+G44*H44</f>
        <v>27164904</v>
      </c>
      <c r="J44" s="1054"/>
      <c r="K44" s="483">
        <v>3</v>
      </c>
      <c r="L44" s="60">
        <v>2</v>
      </c>
      <c r="M44" s="480">
        <v>9</v>
      </c>
      <c r="N44" s="60">
        <f t="shared" si="0"/>
        <v>10</v>
      </c>
      <c r="O44" s="482" t="str">
        <f t="shared" si="19"/>
        <v/>
      </c>
      <c r="P44" s="482" t="str">
        <f t="shared" si="19"/>
        <v/>
      </c>
      <c r="Q44" s="482" t="str">
        <f t="shared" si="19"/>
        <v/>
      </c>
      <c r="R44" s="482" t="str">
        <f t="shared" si="19"/>
        <v/>
      </c>
      <c r="S44" s="482" t="str">
        <f t="shared" si="19"/>
        <v/>
      </c>
      <c r="T44" s="482" t="str">
        <f t="shared" si="19"/>
        <v/>
      </c>
      <c r="U44" s="482" t="str">
        <f t="shared" si="19"/>
        <v/>
      </c>
      <c r="V44" s="482" t="str">
        <f t="shared" si="19"/>
        <v/>
      </c>
      <c r="W44" s="482">
        <f t="shared" si="19"/>
        <v>9508</v>
      </c>
      <c r="X44" s="482">
        <f t="shared" si="19"/>
        <v>17657</v>
      </c>
      <c r="Y44" s="132"/>
      <c r="Z44" s="124"/>
      <c r="AA44" s="133"/>
      <c r="AB44" s="133"/>
      <c r="AC44" s="134"/>
      <c r="AD44" s="122"/>
      <c r="AE44" s="122"/>
      <c r="AF44" s="122"/>
      <c r="AG44" s="122"/>
      <c r="AH44" s="122"/>
      <c r="AI44" s="122"/>
    </row>
    <row r="45" spans="1:35" ht="60.75">
      <c r="A45" s="280" t="s">
        <v>142</v>
      </c>
      <c r="B45" s="282" t="s">
        <v>153</v>
      </c>
      <c r="C45" s="277">
        <v>700.3</v>
      </c>
      <c r="D45" s="262">
        <f t="shared" si="21"/>
        <v>5.3</v>
      </c>
      <c r="E45" s="270" t="s">
        <v>155</v>
      </c>
      <c r="F45" s="271" t="s">
        <v>119</v>
      </c>
      <c r="G45" s="341">
        <f>MC!C452</f>
        <v>95</v>
      </c>
      <c r="H45" s="272">
        <f>+'5.3'!G42</f>
        <v>65809</v>
      </c>
      <c r="I45" s="273">
        <f>+G45*H45</f>
        <v>6251855</v>
      </c>
      <c r="J45" s="1054"/>
      <c r="K45" s="483">
        <v>3</v>
      </c>
      <c r="L45" s="60">
        <v>2</v>
      </c>
      <c r="M45" s="480">
        <v>9</v>
      </c>
      <c r="N45" s="60">
        <f t="shared" si="0"/>
        <v>10</v>
      </c>
      <c r="O45" s="482" t="str">
        <f t="shared" si="19"/>
        <v/>
      </c>
      <c r="P45" s="482" t="str">
        <f t="shared" si="19"/>
        <v/>
      </c>
      <c r="Q45" s="482" t="str">
        <f t="shared" si="19"/>
        <v/>
      </c>
      <c r="R45" s="482" t="str">
        <f t="shared" si="19"/>
        <v/>
      </c>
      <c r="S45" s="482" t="str">
        <f t="shared" si="19"/>
        <v/>
      </c>
      <c r="T45" s="482" t="str">
        <f t="shared" si="19"/>
        <v/>
      </c>
      <c r="U45" s="482" t="str">
        <f t="shared" si="19"/>
        <v/>
      </c>
      <c r="V45" s="482" t="str">
        <f t="shared" si="19"/>
        <v/>
      </c>
      <c r="W45" s="482">
        <f t="shared" si="19"/>
        <v>2188</v>
      </c>
      <c r="X45" s="482">
        <f t="shared" si="19"/>
        <v>4064</v>
      </c>
      <c r="Y45" s="131"/>
      <c r="Z45" s="122"/>
      <c r="AA45" s="122"/>
      <c r="AB45" s="122"/>
      <c r="AC45" s="126"/>
      <c r="AD45" s="122"/>
      <c r="AE45" s="122"/>
      <c r="AF45" s="122"/>
      <c r="AG45" s="122"/>
      <c r="AH45" s="122"/>
      <c r="AI45" s="122"/>
    </row>
    <row r="46" spans="1:35" ht="60.75">
      <c r="A46" s="280" t="s">
        <v>142</v>
      </c>
      <c r="B46" s="282" t="s">
        <v>153</v>
      </c>
      <c r="C46" s="277">
        <v>700.3</v>
      </c>
      <c r="D46" s="262">
        <f t="shared" si="21"/>
        <v>5.4</v>
      </c>
      <c r="E46" s="270" t="s">
        <v>296</v>
      </c>
      <c r="F46" s="271" t="s">
        <v>119</v>
      </c>
      <c r="G46" s="341">
        <f>MC!C456</f>
        <v>45</v>
      </c>
      <c r="H46" s="272">
        <f>'5.4'!G42</f>
        <v>75584</v>
      </c>
      <c r="I46" s="273">
        <f>+G46*H46</f>
        <v>3401280</v>
      </c>
      <c r="J46" s="1054"/>
      <c r="K46" s="483">
        <v>3</v>
      </c>
      <c r="L46" s="60">
        <v>2</v>
      </c>
      <c r="M46" s="480">
        <v>9</v>
      </c>
      <c r="N46" s="60">
        <f t="shared" ref="N46" si="23">IF(L46="","",M46+L46-1)</f>
        <v>10</v>
      </c>
      <c r="O46" s="482" t="str">
        <f t="shared" si="19"/>
        <v/>
      </c>
      <c r="P46" s="482" t="str">
        <f t="shared" si="19"/>
        <v/>
      </c>
      <c r="Q46" s="482" t="str">
        <f t="shared" si="19"/>
        <v/>
      </c>
      <c r="R46" s="482" t="str">
        <f t="shared" si="19"/>
        <v/>
      </c>
      <c r="S46" s="482" t="str">
        <f t="shared" si="19"/>
        <v/>
      </c>
      <c r="T46" s="482" t="str">
        <f t="shared" si="19"/>
        <v/>
      </c>
      <c r="U46" s="482" t="str">
        <f t="shared" si="19"/>
        <v/>
      </c>
      <c r="V46" s="482" t="str">
        <f t="shared" si="19"/>
        <v/>
      </c>
      <c r="W46" s="482">
        <f t="shared" si="19"/>
        <v>1190</v>
      </c>
      <c r="X46" s="482">
        <f t="shared" si="19"/>
        <v>2211</v>
      </c>
      <c r="Y46" s="131"/>
      <c r="Z46" s="122"/>
      <c r="AA46" s="122"/>
      <c r="AB46" s="122"/>
      <c r="AC46" s="126"/>
      <c r="AD46" s="122"/>
      <c r="AE46" s="122"/>
      <c r="AF46" s="122"/>
      <c r="AG46" s="122"/>
      <c r="AH46" s="122"/>
      <c r="AI46" s="122"/>
    </row>
    <row r="47" spans="1:35" ht="69" customHeight="1">
      <c r="A47" s="280"/>
      <c r="B47" s="282" t="s">
        <v>153</v>
      </c>
      <c r="C47" s="277">
        <v>700.3</v>
      </c>
      <c r="D47" s="262">
        <f t="shared" si="21"/>
        <v>5.5</v>
      </c>
      <c r="E47" s="270" t="s">
        <v>154</v>
      </c>
      <c r="F47" s="271" t="s">
        <v>72</v>
      </c>
      <c r="G47" s="341">
        <f>MC!C461</f>
        <v>1368.04</v>
      </c>
      <c r="H47" s="272">
        <f>+'5.5'!G42</f>
        <v>11080</v>
      </c>
      <c r="I47" s="273">
        <f t="shared" ref="I47" si="24">+G47*H47</f>
        <v>15157883</v>
      </c>
      <c r="J47" s="1054"/>
      <c r="K47" s="483">
        <v>3</v>
      </c>
      <c r="L47" s="60">
        <v>2</v>
      </c>
      <c r="M47" s="480">
        <v>9</v>
      </c>
      <c r="N47" s="60">
        <f t="shared" si="0"/>
        <v>10</v>
      </c>
      <c r="O47" s="482" t="str">
        <f t="shared" si="19"/>
        <v/>
      </c>
      <c r="P47" s="482" t="str">
        <f t="shared" si="19"/>
        <v/>
      </c>
      <c r="Q47" s="482" t="str">
        <f t="shared" si="19"/>
        <v/>
      </c>
      <c r="R47" s="482" t="str">
        <f t="shared" si="19"/>
        <v/>
      </c>
      <c r="S47" s="482" t="str">
        <f t="shared" si="19"/>
        <v/>
      </c>
      <c r="T47" s="482" t="str">
        <f t="shared" si="19"/>
        <v/>
      </c>
      <c r="U47" s="482" t="str">
        <f t="shared" si="19"/>
        <v/>
      </c>
      <c r="V47" s="482" t="str">
        <f t="shared" si="19"/>
        <v/>
      </c>
      <c r="W47" s="482">
        <f t="shared" si="19"/>
        <v>5305</v>
      </c>
      <c r="X47" s="482">
        <f t="shared" si="19"/>
        <v>9853</v>
      </c>
      <c r="Y47" s="131"/>
      <c r="Z47" s="122"/>
      <c r="AA47" s="122"/>
      <c r="AB47" s="122"/>
      <c r="AC47" s="126"/>
      <c r="AD47" s="122"/>
      <c r="AE47" s="122"/>
      <c r="AF47" s="122"/>
      <c r="AG47" s="122"/>
      <c r="AH47" s="122"/>
      <c r="AI47" s="122"/>
    </row>
    <row r="48" spans="1:35" ht="122.25" customHeight="1">
      <c r="A48" s="280"/>
      <c r="B48" s="282"/>
      <c r="C48" s="277" t="s">
        <v>137</v>
      </c>
      <c r="D48" s="262">
        <f t="shared" si="21"/>
        <v>5.6</v>
      </c>
      <c r="E48" s="270" t="s">
        <v>702</v>
      </c>
      <c r="F48" s="271" t="s">
        <v>119</v>
      </c>
      <c r="G48" s="341">
        <v>3</v>
      </c>
      <c r="H48" s="272">
        <f>+'5.6'!G42</f>
        <v>1202895</v>
      </c>
      <c r="I48" s="273">
        <f t="shared" si="22"/>
        <v>3608685</v>
      </c>
      <c r="J48" s="1054"/>
      <c r="K48" s="483">
        <v>3</v>
      </c>
      <c r="L48" s="60">
        <v>2</v>
      </c>
      <c r="M48" s="480">
        <v>9</v>
      </c>
      <c r="N48" s="60">
        <f t="shared" si="0"/>
        <v>10</v>
      </c>
      <c r="O48" s="482" t="str">
        <f t="shared" si="19"/>
        <v/>
      </c>
      <c r="P48" s="482" t="str">
        <f t="shared" si="19"/>
        <v/>
      </c>
      <c r="Q48" s="482" t="str">
        <f t="shared" si="19"/>
        <v/>
      </c>
      <c r="R48" s="482" t="str">
        <f t="shared" si="19"/>
        <v/>
      </c>
      <c r="S48" s="482" t="str">
        <f t="shared" si="19"/>
        <v/>
      </c>
      <c r="T48" s="482" t="str">
        <f t="shared" si="19"/>
        <v/>
      </c>
      <c r="U48" s="482" t="str">
        <f t="shared" si="19"/>
        <v/>
      </c>
      <c r="V48" s="482" t="str">
        <f t="shared" si="19"/>
        <v/>
      </c>
      <c r="W48" s="482">
        <f t="shared" si="19"/>
        <v>1263</v>
      </c>
      <c r="X48" s="482">
        <f t="shared" si="19"/>
        <v>2346</v>
      </c>
      <c r="Y48" s="131"/>
      <c r="Z48" s="122"/>
      <c r="AA48" s="122"/>
      <c r="AB48" s="122"/>
      <c r="AC48" s="126"/>
      <c r="AD48" s="122"/>
      <c r="AE48" s="122"/>
      <c r="AF48" s="122"/>
      <c r="AG48" s="122"/>
      <c r="AH48" s="122"/>
      <c r="AI48" s="122"/>
    </row>
    <row r="49" spans="1:35" ht="70.5" customHeight="1">
      <c r="A49" s="280"/>
      <c r="B49" s="282"/>
      <c r="C49" s="277" t="s">
        <v>137</v>
      </c>
      <c r="D49" s="262">
        <f t="shared" si="21"/>
        <v>5.7</v>
      </c>
      <c r="E49" s="270" t="s">
        <v>307</v>
      </c>
      <c r="F49" s="271" t="s">
        <v>119</v>
      </c>
      <c r="G49" s="341">
        <f>MC!C469</f>
        <v>42</v>
      </c>
      <c r="H49" s="272">
        <f>'5.7'!G42</f>
        <v>85359</v>
      </c>
      <c r="I49" s="273">
        <f t="shared" ref="I49" si="25">+G49*H49</f>
        <v>3585078</v>
      </c>
      <c r="J49" s="1054"/>
      <c r="K49" s="483">
        <v>3</v>
      </c>
      <c r="L49" s="60">
        <v>2</v>
      </c>
      <c r="M49" s="480">
        <v>9</v>
      </c>
      <c r="N49" s="60">
        <f t="shared" ref="N49" si="26">IF(L49="","",M49+L49-1)</f>
        <v>10</v>
      </c>
      <c r="O49" s="482" t="str">
        <f t="shared" ref="O49:X58" si="27">IF($L49="","",IF(OR(O$9&lt;$M49,O$9&gt;$N49),"",IF($K49=1,IF((O$9/$M49)=1,($I49/1000)/(($L49)*2)*$L49*1.3,IF((O$9/$M49)&gt;1,($I49/1000)/(($L49)*2)*$L49*(0.7/($L49-1)))),IF($K49=2,($I49/1000)/$L49,IF($K49=3,IF((O$9/$N49)=1,($I49/1000)/(($L49)*2)*$L49*1.3,IF((O$9/$N49)&lt;1,($I49/1000)/(($L49)*2)*$L49*(0.7/($L49-1)))))))))</f>
        <v/>
      </c>
      <c r="P49" s="482" t="str">
        <f t="shared" si="27"/>
        <v/>
      </c>
      <c r="Q49" s="482" t="str">
        <f t="shared" si="27"/>
        <v/>
      </c>
      <c r="R49" s="482" t="str">
        <f t="shared" si="27"/>
        <v/>
      </c>
      <c r="S49" s="482" t="str">
        <f t="shared" si="27"/>
        <v/>
      </c>
      <c r="T49" s="482" t="str">
        <f t="shared" si="27"/>
        <v/>
      </c>
      <c r="U49" s="482" t="str">
        <f t="shared" si="27"/>
        <v/>
      </c>
      <c r="V49" s="482" t="str">
        <f t="shared" si="27"/>
        <v/>
      </c>
      <c r="W49" s="482">
        <f t="shared" si="27"/>
        <v>1255</v>
      </c>
      <c r="X49" s="482">
        <f t="shared" si="27"/>
        <v>2330</v>
      </c>
      <c r="Y49" s="131"/>
      <c r="Z49" s="122"/>
      <c r="AA49" s="122"/>
      <c r="AB49" s="122"/>
      <c r="AC49" s="126"/>
      <c r="AD49" s="122"/>
      <c r="AE49" s="122"/>
      <c r="AF49" s="122"/>
      <c r="AG49" s="122"/>
      <c r="AH49" s="122"/>
      <c r="AI49" s="122"/>
    </row>
    <row r="50" spans="1:35" ht="66.75" customHeight="1">
      <c r="A50" s="280"/>
      <c r="B50" s="282"/>
      <c r="C50" s="277" t="s">
        <v>137</v>
      </c>
      <c r="D50" s="262">
        <f t="shared" si="21"/>
        <v>5.8</v>
      </c>
      <c r="E50" s="270" t="s">
        <v>308</v>
      </c>
      <c r="F50" s="271" t="s">
        <v>119</v>
      </c>
      <c r="G50" s="341">
        <f>MC!C473</f>
        <v>6233</v>
      </c>
      <c r="H50" s="272">
        <f>'5.8'!G42</f>
        <v>14820</v>
      </c>
      <c r="I50" s="273">
        <f t="shared" ref="I50" si="28">+G50*H50</f>
        <v>92373060</v>
      </c>
      <c r="J50" s="1054"/>
      <c r="K50" s="483">
        <v>3</v>
      </c>
      <c r="L50" s="60">
        <v>2</v>
      </c>
      <c r="M50" s="480">
        <v>9</v>
      </c>
      <c r="N50" s="60">
        <f t="shared" ref="N50" si="29">IF(L50="","",M50+L50-1)</f>
        <v>10</v>
      </c>
      <c r="O50" s="482" t="str">
        <f t="shared" si="27"/>
        <v/>
      </c>
      <c r="P50" s="482" t="str">
        <f t="shared" si="27"/>
        <v/>
      </c>
      <c r="Q50" s="482" t="str">
        <f t="shared" si="27"/>
        <v/>
      </c>
      <c r="R50" s="482" t="str">
        <f t="shared" si="27"/>
        <v/>
      </c>
      <c r="S50" s="482" t="str">
        <f t="shared" si="27"/>
        <v/>
      </c>
      <c r="T50" s="482" t="str">
        <f t="shared" si="27"/>
        <v/>
      </c>
      <c r="U50" s="482" t="str">
        <f t="shared" si="27"/>
        <v/>
      </c>
      <c r="V50" s="482" t="str">
        <f t="shared" si="27"/>
        <v/>
      </c>
      <c r="W50" s="482">
        <f t="shared" si="27"/>
        <v>32331</v>
      </c>
      <c r="X50" s="482">
        <f t="shared" si="27"/>
        <v>60042</v>
      </c>
      <c r="Y50" s="131"/>
      <c r="Z50" s="122"/>
      <c r="AA50" s="122"/>
      <c r="AB50" s="122"/>
      <c r="AC50" s="126"/>
      <c r="AD50" s="122"/>
      <c r="AE50" s="122"/>
      <c r="AF50" s="122"/>
      <c r="AG50" s="122"/>
      <c r="AH50" s="122"/>
      <c r="AI50" s="122"/>
    </row>
    <row r="51" spans="1:35" ht="30" customHeight="1">
      <c r="A51" s="280"/>
      <c r="B51" s="282"/>
      <c r="C51" s="277" t="s">
        <v>137</v>
      </c>
      <c r="D51" s="262">
        <f t="shared" si="21"/>
        <v>5.9</v>
      </c>
      <c r="E51" s="270" t="s">
        <v>318</v>
      </c>
      <c r="F51" s="271" t="s">
        <v>119</v>
      </c>
      <c r="G51" s="341">
        <f>MC!C477</f>
        <v>114</v>
      </c>
      <c r="H51" s="272">
        <f>'5.9'!G42</f>
        <v>54658</v>
      </c>
      <c r="I51" s="273">
        <f t="shared" ref="I51" si="30">+G51*H51</f>
        <v>6231012</v>
      </c>
      <c r="J51" s="1054"/>
      <c r="K51" s="483">
        <v>3</v>
      </c>
      <c r="L51" s="60">
        <v>2</v>
      </c>
      <c r="M51" s="480">
        <v>9</v>
      </c>
      <c r="N51" s="60">
        <f t="shared" ref="N51" si="31">IF(L51="","",M51+L51-1)</f>
        <v>10</v>
      </c>
      <c r="O51" s="482" t="str">
        <f t="shared" si="27"/>
        <v/>
      </c>
      <c r="P51" s="482" t="str">
        <f t="shared" si="27"/>
        <v/>
      </c>
      <c r="Q51" s="482" t="str">
        <f t="shared" si="27"/>
        <v/>
      </c>
      <c r="R51" s="482" t="str">
        <f t="shared" si="27"/>
        <v/>
      </c>
      <c r="S51" s="482" t="str">
        <f t="shared" si="27"/>
        <v/>
      </c>
      <c r="T51" s="482" t="str">
        <f t="shared" si="27"/>
        <v/>
      </c>
      <c r="U51" s="482" t="str">
        <f t="shared" si="27"/>
        <v/>
      </c>
      <c r="V51" s="482" t="str">
        <f t="shared" si="27"/>
        <v/>
      </c>
      <c r="W51" s="482">
        <f t="shared" si="27"/>
        <v>2181</v>
      </c>
      <c r="X51" s="482">
        <f t="shared" si="27"/>
        <v>4050</v>
      </c>
      <c r="Y51" s="131"/>
      <c r="Z51" s="122"/>
      <c r="AA51" s="122"/>
      <c r="AB51" s="122"/>
      <c r="AC51" s="126"/>
      <c r="AD51" s="122"/>
      <c r="AE51" s="122"/>
      <c r="AF51" s="122"/>
      <c r="AG51" s="122"/>
      <c r="AH51" s="122"/>
      <c r="AI51" s="122"/>
    </row>
    <row r="52" spans="1:35" ht="51.75" customHeight="1">
      <c r="A52" s="280"/>
      <c r="B52" s="282"/>
      <c r="C52" s="277" t="s">
        <v>137</v>
      </c>
      <c r="D52" s="370" t="s">
        <v>321</v>
      </c>
      <c r="E52" s="270" t="s">
        <v>320</v>
      </c>
      <c r="F52" s="271" t="s">
        <v>119</v>
      </c>
      <c r="G52" s="341">
        <f>MC!C483</f>
        <v>778</v>
      </c>
      <c r="H52" s="272">
        <f>'5.10'!G42</f>
        <v>40358</v>
      </c>
      <c r="I52" s="273">
        <f t="shared" ref="I52" si="32">+G52*H52</f>
        <v>31398524</v>
      </c>
      <c r="J52" s="1054"/>
      <c r="K52" s="483">
        <v>3</v>
      </c>
      <c r="L52" s="60">
        <v>2</v>
      </c>
      <c r="M52" s="480">
        <v>9</v>
      </c>
      <c r="N52" s="60">
        <f t="shared" ref="N52" si="33">IF(L52="","",M52+L52-1)</f>
        <v>10</v>
      </c>
      <c r="O52" s="482" t="str">
        <f t="shared" si="27"/>
        <v/>
      </c>
      <c r="P52" s="482" t="str">
        <f t="shared" si="27"/>
        <v/>
      </c>
      <c r="Q52" s="482" t="str">
        <f t="shared" si="27"/>
        <v/>
      </c>
      <c r="R52" s="482" t="str">
        <f t="shared" si="27"/>
        <v/>
      </c>
      <c r="S52" s="482" t="str">
        <f t="shared" si="27"/>
        <v/>
      </c>
      <c r="T52" s="482" t="str">
        <f t="shared" si="27"/>
        <v/>
      </c>
      <c r="U52" s="482" t="str">
        <f t="shared" si="27"/>
        <v/>
      </c>
      <c r="V52" s="482" t="str">
        <f t="shared" si="27"/>
        <v/>
      </c>
      <c r="W52" s="482">
        <f t="shared" si="27"/>
        <v>10989</v>
      </c>
      <c r="X52" s="482">
        <f t="shared" si="27"/>
        <v>20409</v>
      </c>
      <c r="Y52" s="131"/>
      <c r="Z52" s="122"/>
      <c r="AA52" s="122"/>
      <c r="AB52" s="122"/>
      <c r="AC52" s="126"/>
      <c r="AD52" s="122"/>
      <c r="AE52" s="122"/>
      <c r="AF52" s="122"/>
      <c r="AG52" s="122"/>
      <c r="AH52" s="122"/>
      <c r="AI52" s="122"/>
    </row>
    <row r="53" spans="1:35" ht="20.25" customHeight="1">
      <c r="B53" s="283"/>
      <c r="C53" s="278"/>
      <c r="D53" s="497" t="str">
        <f>CONCATENATE("SUBTOTAL  ",E42)</f>
        <v xml:space="preserve">SUBTOTAL  SEÑALIZACION Y DEMARCACIONES </v>
      </c>
      <c r="E53" s="498"/>
      <c r="F53" s="498"/>
      <c r="G53" s="498"/>
      <c r="H53" s="499"/>
      <c r="I53" s="288">
        <f>SUM(I43:I52)</f>
        <v>221150117</v>
      </c>
      <c r="J53" s="1055"/>
      <c r="K53" s="483">
        <v>2</v>
      </c>
      <c r="L53" s="60"/>
      <c r="M53" s="480"/>
      <c r="N53" s="60" t="str">
        <f t="shared" si="0"/>
        <v/>
      </c>
      <c r="O53" s="482" t="str">
        <f t="shared" si="27"/>
        <v/>
      </c>
      <c r="P53" s="482" t="str">
        <f t="shared" si="27"/>
        <v/>
      </c>
      <c r="Q53" s="482" t="str">
        <f t="shared" si="27"/>
        <v/>
      </c>
      <c r="R53" s="482" t="str">
        <f t="shared" si="27"/>
        <v/>
      </c>
      <c r="S53" s="482" t="str">
        <f t="shared" si="27"/>
        <v/>
      </c>
      <c r="T53" s="482" t="str">
        <f t="shared" si="27"/>
        <v/>
      </c>
      <c r="U53" s="482" t="str">
        <f t="shared" si="27"/>
        <v/>
      </c>
      <c r="V53" s="482" t="str">
        <f t="shared" si="27"/>
        <v/>
      </c>
      <c r="W53" s="482" t="str">
        <f t="shared" si="27"/>
        <v/>
      </c>
      <c r="X53" s="482" t="str">
        <f t="shared" si="27"/>
        <v/>
      </c>
      <c r="Y53" s="126"/>
      <c r="Z53" s="124"/>
      <c r="AA53" s="135"/>
      <c r="AB53" s="135"/>
      <c r="AC53" s="136"/>
      <c r="AD53" s="122"/>
    </row>
    <row r="54" spans="1:35" ht="20.25" customHeight="1">
      <c r="B54" s="282"/>
      <c r="C54" s="277"/>
      <c r="D54" s="262">
        <v>6</v>
      </c>
      <c r="E54" s="763" t="s">
        <v>245</v>
      </c>
      <c r="F54" s="763"/>
      <c r="G54" s="763"/>
      <c r="H54" s="763"/>
      <c r="I54" s="763"/>
      <c r="J54" s="1053"/>
      <c r="K54" s="483">
        <v>2</v>
      </c>
      <c r="L54" s="60"/>
      <c r="M54" s="480"/>
      <c r="N54" s="60" t="str">
        <f t="shared" si="0"/>
        <v/>
      </c>
      <c r="O54" s="482" t="str">
        <f t="shared" si="27"/>
        <v/>
      </c>
      <c r="P54" s="482" t="str">
        <f t="shared" si="27"/>
        <v/>
      </c>
      <c r="Q54" s="482" t="str">
        <f t="shared" si="27"/>
        <v/>
      </c>
      <c r="R54" s="482" t="str">
        <f t="shared" si="27"/>
        <v/>
      </c>
      <c r="S54" s="482" t="str">
        <f t="shared" si="27"/>
        <v/>
      </c>
      <c r="T54" s="482" t="str">
        <f t="shared" si="27"/>
        <v/>
      </c>
      <c r="U54" s="482" t="str">
        <f t="shared" si="27"/>
        <v/>
      </c>
      <c r="V54" s="482" t="str">
        <f t="shared" si="27"/>
        <v/>
      </c>
      <c r="W54" s="482" t="str">
        <f t="shared" si="27"/>
        <v/>
      </c>
      <c r="X54" s="482" t="str">
        <f t="shared" si="27"/>
        <v/>
      </c>
      <c r="Y54" s="122"/>
      <c r="Z54" s="1120"/>
      <c r="AA54" s="1120"/>
      <c r="AB54" s="1120"/>
      <c r="AC54" s="122"/>
      <c r="AD54" s="122"/>
      <c r="AE54" s="122"/>
      <c r="AF54" s="122"/>
      <c r="AG54" s="122"/>
    </row>
    <row r="55" spans="1:35" ht="20.25" customHeight="1">
      <c r="B55" s="282"/>
      <c r="C55" s="277"/>
      <c r="D55" s="262"/>
      <c r="E55" s="761" t="s">
        <v>250</v>
      </c>
      <c r="F55" s="761"/>
      <c r="G55" s="761"/>
      <c r="H55" s="761"/>
      <c r="I55" s="761"/>
      <c r="J55" s="1056"/>
      <c r="K55" s="483">
        <v>2</v>
      </c>
      <c r="L55" s="60"/>
      <c r="M55" s="480"/>
      <c r="N55" s="60" t="str">
        <f t="shared" si="0"/>
        <v/>
      </c>
      <c r="O55" s="482" t="str">
        <f t="shared" si="27"/>
        <v/>
      </c>
      <c r="P55" s="482" t="str">
        <f t="shared" si="27"/>
        <v/>
      </c>
      <c r="Q55" s="482" t="str">
        <f t="shared" si="27"/>
        <v/>
      </c>
      <c r="R55" s="482" t="str">
        <f t="shared" si="27"/>
        <v/>
      </c>
      <c r="S55" s="482" t="str">
        <f t="shared" si="27"/>
        <v/>
      </c>
      <c r="T55" s="482" t="str">
        <f t="shared" si="27"/>
        <v/>
      </c>
      <c r="U55" s="482" t="str">
        <f t="shared" si="27"/>
        <v/>
      </c>
      <c r="V55" s="482" t="str">
        <f t="shared" si="27"/>
        <v/>
      </c>
      <c r="W55" s="482" t="str">
        <f t="shared" si="27"/>
        <v/>
      </c>
      <c r="X55" s="482" t="str">
        <f t="shared" si="27"/>
        <v/>
      </c>
      <c r="Y55" s="122"/>
      <c r="Z55" s="345"/>
      <c r="AA55" s="345"/>
      <c r="AB55" s="345"/>
      <c r="AC55" s="122"/>
      <c r="AD55" s="122"/>
      <c r="AE55" s="122"/>
      <c r="AF55" s="122"/>
      <c r="AG55" s="122"/>
    </row>
    <row r="56" spans="1:35" ht="46.5" hidden="1" customHeight="1">
      <c r="B56" s="282" t="s">
        <v>157</v>
      </c>
      <c r="C56" s="277">
        <v>661.1</v>
      </c>
      <c r="D56" s="262">
        <f>D54+0.1</f>
        <v>6.1</v>
      </c>
      <c r="E56" s="276" t="s">
        <v>108</v>
      </c>
      <c r="F56" s="275" t="s">
        <v>122</v>
      </c>
      <c r="G56" s="341">
        <f>MC!C175</f>
        <v>0</v>
      </c>
      <c r="H56" s="286">
        <f>+'6.1'!$G$42</f>
        <v>517342</v>
      </c>
      <c r="I56" s="287">
        <f>+G56*H56</f>
        <v>0</v>
      </c>
      <c r="J56" s="1057"/>
      <c r="K56" s="483">
        <v>3</v>
      </c>
      <c r="L56" s="60">
        <v>4</v>
      </c>
      <c r="M56" s="480">
        <v>1</v>
      </c>
      <c r="N56" s="60">
        <f t="shared" si="0"/>
        <v>4</v>
      </c>
      <c r="O56" s="482">
        <f t="shared" si="27"/>
        <v>0</v>
      </c>
      <c r="P56" s="482">
        <f t="shared" si="27"/>
        <v>0</v>
      </c>
      <c r="Q56" s="482">
        <f t="shared" si="27"/>
        <v>0</v>
      </c>
      <c r="R56" s="482">
        <f t="shared" si="27"/>
        <v>0</v>
      </c>
      <c r="S56" s="482" t="str">
        <f t="shared" si="27"/>
        <v/>
      </c>
      <c r="T56" s="482" t="str">
        <f t="shared" si="27"/>
        <v/>
      </c>
      <c r="U56" s="482" t="str">
        <f t="shared" si="27"/>
        <v/>
      </c>
      <c r="V56" s="482" t="str">
        <f t="shared" si="27"/>
        <v/>
      </c>
      <c r="W56" s="482" t="str">
        <f t="shared" si="27"/>
        <v/>
      </c>
      <c r="X56" s="482" t="str">
        <f t="shared" si="27"/>
        <v/>
      </c>
      <c r="Y56" s="126"/>
      <c r="Z56" s="126"/>
      <c r="AA56" s="126"/>
      <c r="AB56" s="126"/>
      <c r="AC56" s="126"/>
      <c r="AD56" s="122"/>
    </row>
    <row r="57" spans="1:35" ht="46.5" customHeight="1">
      <c r="B57" s="282" t="s">
        <v>157</v>
      </c>
      <c r="C57" s="277">
        <v>661.1</v>
      </c>
      <c r="D57" s="262">
        <f>D56+0.1</f>
        <v>6.2</v>
      </c>
      <c r="E57" s="276" t="s">
        <v>199</v>
      </c>
      <c r="F57" s="275" t="s">
        <v>122</v>
      </c>
      <c r="G57" s="341">
        <f>MC!C174+MC!C34</f>
        <v>98</v>
      </c>
      <c r="H57" s="286">
        <f>'6.2'!$G$42</f>
        <v>1183132</v>
      </c>
      <c r="I57" s="287">
        <f>+G57*H57</f>
        <v>115946936</v>
      </c>
      <c r="J57" s="1057"/>
      <c r="K57" s="483">
        <v>3</v>
      </c>
      <c r="L57" s="60">
        <v>4</v>
      </c>
      <c r="M57" s="480">
        <v>1</v>
      </c>
      <c r="N57" s="60">
        <f t="shared" si="0"/>
        <v>4</v>
      </c>
      <c r="O57" s="482">
        <f t="shared" si="27"/>
        <v>13527</v>
      </c>
      <c r="P57" s="482">
        <f t="shared" si="27"/>
        <v>13527</v>
      </c>
      <c r="Q57" s="482">
        <f t="shared" si="27"/>
        <v>13527</v>
      </c>
      <c r="R57" s="482">
        <f t="shared" si="27"/>
        <v>75366</v>
      </c>
      <c r="S57" s="482" t="str">
        <f t="shared" si="27"/>
        <v/>
      </c>
      <c r="T57" s="482" t="str">
        <f t="shared" si="27"/>
        <v/>
      </c>
      <c r="U57" s="482" t="str">
        <f t="shared" si="27"/>
        <v/>
      </c>
      <c r="V57" s="482" t="str">
        <f t="shared" si="27"/>
        <v/>
      </c>
      <c r="W57" s="482" t="str">
        <f t="shared" si="27"/>
        <v/>
      </c>
      <c r="X57" s="482" t="str">
        <f t="shared" si="27"/>
        <v/>
      </c>
      <c r="Y57" s="126"/>
      <c r="Z57" s="126"/>
      <c r="AA57" s="126"/>
      <c r="AB57" s="126"/>
      <c r="AC57" s="126"/>
      <c r="AD57" s="122"/>
    </row>
    <row r="58" spans="1:35" ht="46.5" customHeight="1">
      <c r="B58" s="282"/>
      <c r="C58" s="277"/>
      <c r="D58" s="262">
        <f>D57+0.1</f>
        <v>6.3</v>
      </c>
      <c r="E58" s="276" t="s">
        <v>201</v>
      </c>
      <c r="F58" s="275" t="s">
        <v>122</v>
      </c>
      <c r="G58" s="341">
        <f>MC!C497</f>
        <v>2025.12</v>
      </c>
      <c r="H58" s="286">
        <f>'6.3'!$G$42</f>
        <v>55764</v>
      </c>
      <c r="I58" s="287">
        <f>+G58*H58</f>
        <v>112928792</v>
      </c>
      <c r="J58" s="1057"/>
      <c r="K58" s="483">
        <v>3</v>
      </c>
      <c r="L58" s="60">
        <v>4</v>
      </c>
      <c r="M58" s="480">
        <v>1</v>
      </c>
      <c r="N58" s="60">
        <f t="shared" si="0"/>
        <v>4</v>
      </c>
      <c r="O58" s="482">
        <f t="shared" si="27"/>
        <v>13175</v>
      </c>
      <c r="P58" s="482">
        <f t="shared" si="27"/>
        <v>13175</v>
      </c>
      <c r="Q58" s="482">
        <f t="shared" si="27"/>
        <v>13175</v>
      </c>
      <c r="R58" s="482">
        <f t="shared" si="27"/>
        <v>73404</v>
      </c>
      <c r="S58" s="482" t="str">
        <f t="shared" si="27"/>
        <v/>
      </c>
      <c r="T58" s="482" t="str">
        <f t="shared" si="27"/>
        <v/>
      </c>
      <c r="U58" s="482" t="str">
        <f t="shared" si="27"/>
        <v/>
      </c>
      <c r="V58" s="482" t="str">
        <f t="shared" si="27"/>
        <v/>
      </c>
      <c r="W58" s="482" t="str">
        <f t="shared" si="27"/>
        <v/>
      </c>
      <c r="X58" s="482" t="str">
        <f t="shared" si="27"/>
        <v/>
      </c>
      <c r="Y58" s="126"/>
      <c r="Z58" s="126"/>
      <c r="AA58" s="126"/>
      <c r="AB58" s="126"/>
      <c r="AC58" s="126"/>
      <c r="AD58" s="122"/>
    </row>
    <row r="59" spans="1:35" ht="46.5" customHeight="1">
      <c r="B59" s="282"/>
      <c r="C59" s="277"/>
      <c r="D59" s="262">
        <f>D58+0.1</f>
        <v>6.4</v>
      </c>
      <c r="E59" s="276" t="s">
        <v>202</v>
      </c>
      <c r="F59" s="275" t="s">
        <v>122</v>
      </c>
      <c r="G59" s="341">
        <f>MC!C501</f>
        <v>252.5</v>
      </c>
      <c r="H59" s="286">
        <f>'6.4'!$G$42</f>
        <v>75504</v>
      </c>
      <c r="I59" s="287">
        <f>+G59*H59</f>
        <v>19064760</v>
      </c>
      <c r="J59" s="1057"/>
      <c r="K59" s="483">
        <v>3</v>
      </c>
      <c r="L59" s="60">
        <v>4</v>
      </c>
      <c r="M59" s="480">
        <v>1</v>
      </c>
      <c r="N59" s="60">
        <f t="shared" si="0"/>
        <v>4</v>
      </c>
      <c r="O59" s="482">
        <f t="shared" ref="O59:X68" si="34">IF($L59="","",IF(OR(O$9&lt;$M59,O$9&gt;$N59),"",IF($K59=1,IF((O$9/$M59)=1,($I59/1000)/(($L59)*2)*$L59*1.3,IF((O$9/$M59)&gt;1,($I59/1000)/(($L59)*2)*$L59*(0.7/($L59-1)))),IF($K59=2,($I59/1000)/$L59,IF($K59=3,IF((O$9/$N59)=1,($I59/1000)/(($L59)*2)*$L59*1.3,IF((O$9/$N59)&lt;1,($I59/1000)/(($L59)*2)*$L59*(0.7/($L59-1)))))))))</f>
        <v>2224</v>
      </c>
      <c r="P59" s="482">
        <f t="shared" si="34"/>
        <v>2224</v>
      </c>
      <c r="Q59" s="482">
        <f t="shared" si="34"/>
        <v>2224</v>
      </c>
      <c r="R59" s="482">
        <f t="shared" si="34"/>
        <v>12392</v>
      </c>
      <c r="S59" s="482" t="str">
        <f t="shared" si="34"/>
        <v/>
      </c>
      <c r="T59" s="482" t="str">
        <f t="shared" si="34"/>
        <v/>
      </c>
      <c r="U59" s="482" t="str">
        <f t="shared" si="34"/>
        <v/>
      </c>
      <c r="V59" s="482" t="str">
        <f t="shared" si="34"/>
        <v/>
      </c>
      <c r="W59" s="482" t="str">
        <f t="shared" si="34"/>
        <v/>
      </c>
      <c r="X59" s="482" t="str">
        <f t="shared" si="34"/>
        <v/>
      </c>
      <c r="Y59" s="126"/>
      <c r="Z59" s="126"/>
      <c r="AA59" s="126"/>
      <c r="AB59" s="126"/>
      <c r="AC59" s="126"/>
      <c r="AD59" s="122"/>
    </row>
    <row r="60" spans="1:35" ht="46.5" customHeight="1">
      <c r="B60" s="282"/>
      <c r="C60" s="277"/>
      <c r="D60" s="262">
        <f t="shared" ref="D60:D64" si="35">D59+0.1</f>
        <v>6.5</v>
      </c>
      <c r="E60" s="276" t="s">
        <v>203</v>
      </c>
      <c r="F60" s="275" t="s">
        <v>122</v>
      </c>
      <c r="G60" s="341">
        <f>MC!C505+MC!C48</f>
        <v>276.82</v>
      </c>
      <c r="H60" s="286">
        <f>'6.5'!$G$42</f>
        <v>110330</v>
      </c>
      <c r="I60" s="287">
        <f t="shared" ref="I60:I68" si="36">+G60*H60</f>
        <v>30541551</v>
      </c>
      <c r="J60" s="1057"/>
      <c r="K60" s="483">
        <v>3</v>
      </c>
      <c r="L60" s="60">
        <v>4</v>
      </c>
      <c r="M60" s="480">
        <v>1</v>
      </c>
      <c r="N60" s="60">
        <f t="shared" si="0"/>
        <v>4</v>
      </c>
      <c r="O60" s="482">
        <f t="shared" si="34"/>
        <v>3563</v>
      </c>
      <c r="P60" s="482">
        <f t="shared" si="34"/>
        <v>3563</v>
      </c>
      <c r="Q60" s="482">
        <f t="shared" si="34"/>
        <v>3563</v>
      </c>
      <c r="R60" s="482">
        <f t="shared" si="34"/>
        <v>19852</v>
      </c>
      <c r="S60" s="482" t="str">
        <f t="shared" si="34"/>
        <v/>
      </c>
      <c r="T60" s="482" t="str">
        <f t="shared" si="34"/>
        <v/>
      </c>
      <c r="U60" s="482" t="str">
        <f t="shared" si="34"/>
        <v/>
      </c>
      <c r="V60" s="482" t="str">
        <f t="shared" si="34"/>
        <v/>
      </c>
      <c r="W60" s="482" t="str">
        <f t="shared" si="34"/>
        <v/>
      </c>
      <c r="X60" s="482" t="str">
        <f t="shared" si="34"/>
        <v/>
      </c>
      <c r="Y60" s="126"/>
      <c r="Z60" s="126"/>
      <c r="AA60" s="126"/>
      <c r="AB60" s="126"/>
      <c r="AC60" s="126"/>
      <c r="AD60" s="122"/>
    </row>
    <row r="61" spans="1:35" ht="46.5" customHeight="1">
      <c r="B61" s="282"/>
      <c r="C61" s="277"/>
      <c r="D61" s="262">
        <f t="shared" si="35"/>
        <v>6.6</v>
      </c>
      <c r="E61" s="276" t="s">
        <v>204</v>
      </c>
      <c r="F61" s="275" t="s">
        <v>122</v>
      </c>
      <c r="G61" s="341">
        <f>MC!C509</f>
        <v>334.98</v>
      </c>
      <c r="H61" s="286">
        <f>'6.6'!$G$42</f>
        <v>144695</v>
      </c>
      <c r="I61" s="287">
        <f t="shared" si="36"/>
        <v>48469931</v>
      </c>
      <c r="J61" s="1057"/>
      <c r="K61" s="483">
        <v>3</v>
      </c>
      <c r="L61" s="60">
        <v>4</v>
      </c>
      <c r="M61" s="480">
        <v>1</v>
      </c>
      <c r="N61" s="60">
        <f t="shared" si="0"/>
        <v>4</v>
      </c>
      <c r="O61" s="482">
        <f t="shared" si="34"/>
        <v>5655</v>
      </c>
      <c r="P61" s="482">
        <f t="shared" si="34"/>
        <v>5655</v>
      </c>
      <c r="Q61" s="482">
        <f t="shared" si="34"/>
        <v>5655</v>
      </c>
      <c r="R61" s="482">
        <f t="shared" si="34"/>
        <v>31505</v>
      </c>
      <c r="S61" s="482" t="str">
        <f t="shared" si="34"/>
        <v/>
      </c>
      <c r="T61" s="482" t="str">
        <f t="shared" si="34"/>
        <v/>
      </c>
      <c r="U61" s="482" t="str">
        <f t="shared" si="34"/>
        <v/>
      </c>
      <c r="V61" s="482" t="str">
        <f t="shared" si="34"/>
        <v/>
      </c>
      <c r="W61" s="482" t="str">
        <f t="shared" si="34"/>
        <v/>
      </c>
      <c r="X61" s="482" t="str">
        <f t="shared" si="34"/>
        <v/>
      </c>
      <c r="Y61" s="126"/>
      <c r="Z61" s="126"/>
      <c r="AA61" s="126"/>
      <c r="AB61" s="126"/>
      <c r="AC61" s="126"/>
      <c r="AD61" s="122"/>
    </row>
    <row r="62" spans="1:35" ht="46.5" customHeight="1">
      <c r="B62" s="282"/>
      <c r="C62" s="277"/>
      <c r="D62" s="262">
        <f t="shared" si="35"/>
        <v>6.7</v>
      </c>
      <c r="E62" s="276" t="s">
        <v>205</v>
      </c>
      <c r="F62" s="275" t="s">
        <v>122</v>
      </c>
      <c r="G62" s="341">
        <f>MC!C513</f>
        <v>368.02</v>
      </c>
      <c r="H62" s="286">
        <f>'6.7'!$G$42</f>
        <v>177798</v>
      </c>
      <c r="I62" s="287">
        <f t="shared" si="36"/>
        <v>65433220</v>
      </c>
      <c r="J62" s="1057"/>
      <c r="K62" s="483">
        <v>3</v>
      </c>
      <c r="L62" s="60">
        <v>4</v>
      </c>
      <c r="M62" s="480">
        <v>1</v>
      </c>
      <c r="N62" s="60">
        <f t="shared" si="0"/>
        <v>4</v>
      </c>
      <c r="O62" s="482">
        <f t="shared" si="34"/>
        <v>7634</v>
      </c>
      <c r="P62" s="482">
        <f t="shared" si="34"/>
        <v>7634</v>
      </c>
      <c r="Q62" s="482">
        <f t="shared" si="34"/>
        <v>7634</v>
      </c>
      <c r="R62" s="482">
        <f t="shared" si="34"/>
        <v>42532</v>
      </c>
      <c r="S62" s="482" t="str">
        <f t="shared" si="34"/>
        <v/>
      </c>
      <c r="T62" s="482" t="str">
        <f t="shared" si="34"/>
        <v/>
      </c>
      <c r="U62" s="482" t="str">
        <f t="shared" si="34"/>
        <v/>
      </c>
      <c r="V62" s="482" t="str">
        <f t="shared" si="34"/>
        <v/>
      </c>
      <c r="W62" s="482" t="str">
        <f t="shared" si="34"/>
        <v/>
      </c>
      <c r="X62" s="482" t="str">
        <f t="shared" si="34"/>
        <v/>
      </c>
      <c r="Y62" s="126"/>
      <c r="Z62" s="126"/>
      <c r="AA62" s="126"/>
      <c r="AB62" s="126"/>
      <c r="AC62" s="126"/>
      <c r="AD62" s="122"/>
    </row>
    <row r="63" spans="1:35" ht="46.5" customHeight="1">
      <c r="B63" s="282"/>
      <c r="C63" s="277"/>
      <c r="D63" s="262">
        <f t="shared" si="35"/>
        <v>6.8</v>
      </c>
      <c r="E63" s="276" t="s">
        <v>206</v>
      </c>
      <c r="F63" s="275" t="s">
        <v>122</v>
      </c>
      <c r="G63" s="341">
        <f>MC!C517</f>
        <v>27.72</v>
      </c>
      <c r="H63" s="286">
        <f>'6.8'!$G$42</f>
        <v>226416</v>
      </c>
      <c r="I63" s="287">
        <f t="shared" si="36"/>
        <v>6276252</v>
      </c>
      <c r="J63" s="1057"/>
      <c r="K63" s="483">
        <v>3</v>
      </c>
      <c r="L63" s="60">
        <v>4</v>
      </c>
      <c r="M63" s="480">
        <v>1</v>
      </c>
      <c r="N63" s="60">
        <f t="shared" si="0"/>
        <v>4</v>
      </c>
      <c r="O63" s="482">
        <f t="shared" si="34"/>
        <v>732</v>
      </c>
      <c r="P63" s="482">
        <f t="shared" si="34"/>
        <v>732</v>
      </c>
      <c r="Q63" s="482">
        <f t="shared" si="34"/>
        <v>732</v>
      </c>
      <c r="R63" s="482">
        <f t="shared" si="34"/>
        <v>4080</v>
      </c>
      <c r="S63" s="482" t="str">
        <f t="shared" si="34"/>
        <v/>
      </c>
      <c r="T63" s="482" t="str">
        <f t="shared" si="34"/>
        <v/>
      </c>
      <c r="U63" s="482" t="str">
        <f t="shared" si="34"/>
        <v/>
      </c>
      <c r="V63" s="482" t="str">
        <f t="shared" si="34"/>
        <v/>
      </c>
      <c r="W63" s="482" t="str">
        <f t="shared" si="34"/>
        <v/>
      </c>
      <c r="X63" s="482" t="str">
        <f t="shared" si="34"/>
        <v/>
      </c>
      <c r="Y63" s="126"/>
      <c r="Z63" s="126"/>
      <c r="AA63" s="126"/>
      <c r="AB63" s="126"/>
      <c r="AC63" s="126"/>
      <c r="AD63" s="122"/>
    </row>
    <row r="64" spans="1:35" ht="46.5" customHeight="1">
      <c r="B64" s="282"/>
      <c r="C64" s="277"/>
      <c r="D64" s="262">
        <f t="shared" si="35"/>
        <v>6.9</v>
      </c>
      <c r="E64" s="276" t="s">
        <v>207</v>
      </c>
      <c r="F64" s="275" t="s">
        <v>122</v>
      </c>
      <c r="G64" s="341">
        <f>MC!C521</f>
        <v>433.58</v>
      </c>
      <c r="H64" s="286">
        <f>'6.9'!$G$42</f>
        <v>292773</v>
      </c>
      <c r="I64" s="287">
        <f t="shared" si="36"/>
        <v>126940517</v>
      </c>
      <c r="J64" s="1057"/>
      <c r="K64" s="483">
        <v>3</v>
      </c>
      <c r="L64" s="60">
        <v>4</v>
      </c>
      <c r="M64" s="480">
        <v>1</v>
      </c>
      <c r="N64" s="60">
        <f t="shared" si="0"/>
        <v>4</v>
      </c>
      <c r="O64" s="482">
        <f t="shared" si="34"/>
        <v>14810</v>
      </c>
      <c r="P64" s="482">
        <f t="shared" si="34"/>
        <v>14810</v>
      </c>
      <c r="Q64" s="482">
        <f t="shared" si="34"/>
        <v>14810</v>
      </c>
      <c r="R64" s="482">
        <f t="shared" si="34"/>
        <v>82511</v>
      </c>
      <c r="S64" s="482" t="str">
        <f t="shared" si="34"/>
        <v/>
      </c>
      <c r="T64" s="482" t="str">
        <f t="shared" si="34"/>
        <v/>
      </c>
      <c r="U64" s="482" t="str">
        <f t="shared" si="34"/>
        <v/>
      </c>
      <c r="V64" s="482" t="str">
        <f t="shared" si="34"/>
        <v/>
      </c>
      <c r="W64" s="482" t="str">
        <f t="shared" si="34"/>
        <v/>
      </c>
      <c r="X64" s="482" t="str">
        <f t="shared" si="34"/>
        <v/>
      </c>
      <c r="Y64" s="126"/>
      <c r="Z64" s="126"/>
      <c r="AA64" s="126"/>
      <c r="AB64" s="126"/>
      <c r="AC64" s="126"/>
      <c r="AD64" s="122"/>
    </row>
    <row r="65" spans="2:33" ht="46.5" customHeight="1">
      <c r="B65" s="282"/>
      <c r="C65" s="277"/>
      <c r="D65" s="370" t="s">
        <v>1265</v>
      </c>
      <c r="E65" s="276" t="s">
        <v>208</v>
      </c>
      <c r="F65" s="275" t="s">
        <v>122</v>
      </c>
      <c r="G65" s="341">
        <f>MC!C525</f>
        <v>0</v>
      </c>
      <c r="H65" s="286">
        <f>'6.10'!$G$42</f>
        <v>432757</v>
      </c>
      <c r="I65" s="287">
        <f t="shared" si="36"/>
        <v>0</v>
      </c>
      <c r="J65" s="1057"/>
      <c r="K65" s="483">
        <v>3</v>
      </c>
      <c r="L65" s="60">
        <v>4</v>
      </c>
      <c r="M65" s="480">
        <v>1</v>
      </c>
      <c r="N65" s="60">
        <f t="shared" si="0"/>
        <v>4</v>
      </c>
      <c r="O65" s="482">
        <f t="shared" si="34"/>
        <v>0</v>
      </c>
      <c r="P65" s="482">
        <f t="shared" si="34"/>
        <v>0</v>
      </c>
      <c r="Q65" s="482">
        <f t="shared" si="34"/>
        <v>0</v>
      </c>
      <c r="R65" s="482">
        <f t="shared" si="34"/>
        <v>0</v>
      </c>
      <c r="S65" s="482" t="str">
        <f t="shared" si="34"/>
        <v/>
      </c>
      <c r="T65" s="482" t="str">
        <f t="shared" si="34"/>
        <v/>
      </c>
      <c r="U65" s="482" t="str">
        <f t="shared" si="34"/>
        <v/>
      </c>
      <c r="V65" s="482" t="str">
        <f t="shared" si="34"/>
        <v/>
      </c>
      <c r="W65" s="482" t="str">
        <f t="shared" si="34"/>
        <v/>
      </c>
      <c r="X65" s="482" t="str">
        <f t="shared" si="34"/>
        <v/>
      </c>
      <c r="Y65" s="126"/>
      <c r="Z65" s="126"/>
      <c r="AA65" s="126"/>
      <c r="AB65" s="126"/>
      <c r="AC65" s="126"/>
      <c r="AD65" s="122"/>
    </row>
    <row r="66" spans="2:33" ht="46.5" customHeight="1">
      <c r="B66" s="282"/>
      <c r="C66" s="277"/>
      <c r="D66" s="369">
        <f>D65+0.01</f>
        <v>6.11</v>
      </c>
      <c r="E66" s="276" t="s">
        <v>209</v>
      </c>
      <c r="F66" s="275" t="s">
        <v>122</v>
      </c>
      <c r="G66" s="341">
        <f>MC!C529</f>
        <v>0</v>
      </c>
      <c r="H66" s="286">
        <f>'6.11'!$G$42</f>
        <v>481197</v>
      </c>
      <c r="I66" s="287">
        <f t="shared" si="36"/>
        <v>0</v>
      </c>
      <c r="J66" s="1057"/>
      <c r="K66" s="483">
        <v>3</v>
      </c>
      <c r="L66" s="60">
        <v>4</v>
      </c>
      <c r="M66" s="480">
        <v>1</v>
      </c>
      <c r="N66" s="60">
        <f t="shared" si="0"/>
        <v>4</v>
      </c>
      <c r="O66" s="482">
        <f t="shared" si="34"/>
        <v>0</v>
      </c>
      <c r="P66" s="482">
        <f t="shared" si="34"/>
        <v>0</v>
      </c>
      <c r="Q66" s="482">
        <f t="shared" si="34"/>
        <v>0</v>
      </c>
      <c r="R66" s="482">
        <f t="shared" si="34"/>
        <v>0</v>
      </c>
      <c r="S66" s="482" t="str">
        <f t="shared" si="34"/>
        <v/>
      </c>
      <c r="T66" s="482" t="str">
        <f t="shared" si="34"/>
        <v/>
      </c>
      <c r="U66" s="482" t="str">
        <f t="shared" si="34"/>
        <v/>
      </c>
      <c r="V66" s="482" t="str">
        <f t="shared" si="34"/>
        <v/>
      </c>
      <c r="W66" s="482" t="str">
        <f t="shared" si="34"/>
        <v/>
      </c>
      <c r="X66" s="482" t="str">
        <f t="shared" si="34"/>
        <v/>
      </c>
      <c r="Y66" s="126"/>
      <c r="Z66" s="126"/>
      <c r="AA66" s="126"/>
      <c r="AB66" s="126"/>
      <c r="AC66" s="126"/>
      <c r="AD66" s="122"/>
    </row>
    <row r="67" spans="2:33" ht="46.5" customHeight="1">
      <c r="B67" s="282"/>
      <c r="C67" s="277"/>
      <c r="D67" s="369">
        <f t="shared" ref="D67:D71" si="37">D66+0.01</f>
        <v>6.12</v>
      </c>
      <c r="E67" s="276" t="s">
        <v>210</v>
      </c>
      <c r="F67" s="275" t="s">
        <v>122</v>
      </c>
      <c r="G67" s="341">
        <f>MC!C533</f>
        <v>0</v>
      </c>
      <c r="H67" s="286">
        <f>'6.12'!$G$42</f>
        <v>658159</v>
      </c>
      <c r="I67" s="287">
        <f t="shared" si="36"/>
        <v>0</v>
      </c>
      <c r="J67" s="1057"/>
      <c r="K67" s="483">
        <v>3</v>
      </c>
      <c r="L67" s="60">
        <v>4</v>
      </c>
      <c r="M67" s="480">
        <v>1</v>
      </c>
      <c r="N67" s="60">
        <f t="shared" si="0"/>
        <v>4</v>
      </c>
      <c r="O67" s="482">
        <f t="shared" si="34"/>
        <v>0</v>
      </c>
      <c r="P67" s="482">
        <f t="shared" si="34"/>
        <v>0</v>
      </c>
      <c r="Q67" s="482">
        <f t="shared" si="34"/>
        <v>0</v>
      </c>
      <c r="R67" s="482">
        <f t="shared" si="34"/>
        <v>0</v>
      </c>
      <c r="S67" s="482" t="str">
        <f t="shared" si="34"/>
        <v/>
      </c>
      <c r="T67" s="482" t="str">
        <f t="shared" si="34"/>
        <v/>
      </c>
      <c r="U67" s="482" t="str">
        <f t="shared" si="34"/>
        <v/>
      </c>
      <c r="V67" s="482" t="str">
        <f t="shared" si="34"/>
        <v/>
      </c>
      <c r="W67" s="482" t="str">
        <f t="shared" si="34"/>
        <v/>
      </c>
      <c r="X67" s="482" t="str">
        <f t="shared" si="34"/>
        <v/>
      </c>
      <c r="Y67" s="126"/>
      <c r="Z67" s="126"/>
      <c r="AA67" s="126"/>
      <c r="AB67" s="126"/>
      <c r="AC67" s="126"/>
      <c r="AD67" s="122"/>
    </row>
    <row r="68" spans="2:33" ht="46.5" customHeight="1">
      <c r="B68" s="282"/>
      <c r="C68" s="277"/>
      <c r="D68" s="369">
        <f t="shared" si="37"/>
        <v>6.13</v>
      </c>
      <c r="E68" s="276" t="s">
        <v>211</v>
      </c>
      <c r="F68" s="275" t="s">
        <v>122</v>
      </c>
      <c r="G68" s="341">
        <f>MC!C537</f>
        <v>0</v>
      </c>
      <c r="H68" s="286">
        <f>'6.13'!$G$42</f>
        <v>832470</v>
      </c>
      <c r="I68" s="287">
        <f t="shared" si="36"/>
        <v>0</v>
      </c>
      <c r="J68" s="1057"/>
      <c r="K68" s="483">
        <v>3</v>
      </c>
      <c r="L68" s="60">
        <v>4</v>
      </c>
      <c r="M68" s="480">
        <v>1</v>
      </c>
      <c r="N68" s="60">
        <f t="shared" si="0"/>
        <v>4</v>
      </c>
      <c r="O68" s="482">
        <f t="shared" si="34"/>
        <v>0</v>
      </c>
      <c r="P68" s="482">
        <f t="shared" si="34"/>
        <v>0</v>
      </c>
      <c r="Q68" s="482">
        <f t="shared" si="34"/>
        <v>0</v>
      </c>
      <c r="R68" s="482">
        <f t="shared" si="34"/>
        <v>0</v>
      </c>
      <c r="S68" s="482" t="str">
        <f t="shared" si="34"/>
        <v/>
      </c>
      <c r="T68" s="482" t="str">
        <f t="shared" si="34"/>
        <v/>
      </c>
      <c r="U68" s="482" t="str">
        <f t="shared" si="34"/>
        <v/>
      </c>
      <c r="V68" s="482" t="str">
        <f t="shared" si="34"/>
        <v/>
      </c>
      <c r="W68" s="482" t="str">
        <f t="shared" si="34"/>
        <v/>
      </c>
      <c r="X68" s="482" t="str">
        <f t="shared" si="34"/>
        <v/>
      </c>
      <c r="Y68" s="126"/>
      <c r="Z68" s="126"/>
      <c r="AA68" s="126"/>
      <c r="AB68" s="126"/>
      <c r="AC68" s="126"/>
      <c r="AD68" s="122"/>
    </row>
    <row r="69" spans="2:33" ht="46.5" customHeight="1">
      <c r="B69" s="282"/>
      <c r="C69" s="277"/>
      <c r="D69" s="369">
        <f t="shared" si="37"/>
        <v>6.14</v>
      </c>
      <c r="E69" s="276" t="s">
        <v>212</v>
      </c>
      <c r="F69" s="275" t="s">
        <v>122</v>
      </c>
      <c r="G69" s="341">
        <f>MC!C541</f>
        <v>0</v>
      </c>
      <c r="H69" s="286">
        <f>'6.14'!$G$42</f>
        <v>1217610</v>
      </c>
      <c r="I69" s="287">
        <f t="shared" ref="I69:I70" si="38">+G69*H69</f>
        <v>0</v>
      </c>
      <c r="J69" s="1057"/>
      <c r="K69" s="483">
        <v>3</v>
      </c>
      <c r="L69" s="60">
        <v>4</v>
      </c>
      <c r="M69" s="480">
        <v>1</v>
      </c>
      <c r="N69" s="60">
        <f t="shared" si="0"/>
        <v>4</v>
      </c>
      <c r="O69" s="482">
        <f t="shared" ref="O69:X78" si="39">IF($L69="","",IF(OR(O$9&lt;$M69,O$9&gt;$N69),"",IF($K69=1,IF((O$9/$M69)=1,($I69/1000)/(($L69)*2)*$L69*1.3,IF((O$9/$M69)&gt;1,($I69/1000)/(($L69)*2)*$L69*(0.7/($L69-1)))),IF($K69=2,($I69/1000)/$L69,IF($K69=3,IF((O$9/$N69)=1,($I69/1000)/(($L69)*2)*$L69*1.3,IF((O$9/$N69)&lt;1,($I69/1000)/(($L69)*2)*$L69*(0.7/($L69-1)))))))))</f>
        <v>0</v>
      </c>
      <c r="P69" s="482">
        <f t="shared" si="39"/>
        <v>0</v>
      </c>
      <c r="Q69" s="482">
        <f t="shared" si="39"/>
        <v>0</v>
      </c>
      <c r="R69" s="482">
        <f t="shared" si="39"/>
        <v>0</v>
      </c>
      <c r="S69" s="482" t="str">
        <f t="shared" si="39"/>
        <v/>
      </c>
      <c r="T69" s="482" t="str">
        <f t="shared" si="39"/>
        <v/>
      </c>
      <c r="U69" s="482" t="str">
        <f t="shared" si="39"/>
        <v/>
      </c>
      <c r="V69" s="482" t="str">
        <f t="shared" si="39"/>
        <v/>
      </c>
      <c r="W69" s="482" t="str">
        <f t="shared" si="39"/>
        <v/>
      </c>
      <c r="X69" s="482" t="str">
        <f t="shared" si="39"/>
        <v/>
      </c>
      <c r="Y69" s="126"/>
      <c r="Z69" s="126"/>
      <c r="AA69" s="126"/>
      <c r="AB69" s="126"/>
      <c r="AC69" s="126"/>
      <c r="AD69" s="122"/>
    </row>
    <row r="70" spans="2:33" ht="46.5" customHeight="1">
      <c r="B70" s="282"/>
      <c r="C70" s="277"/>
      <c r="D70" s="369">
        <f t="shared" si="37"/>
        <v>6.15</v>
      </c>
      <c r="E70" s="276" t="s">
        <v>213</v>
      </c>
      <c r="F70" s="275" t="s">
        <v>122</v>
      </c>
      <c r="G70" s="341">
        <f>MC!C545</f>
        <v>0</v>
      </c>
      <c r="H70" s="286">
        <f>'6.15'!$G$42</f>
        <v>1600613</v>
      </c>
      <c r="I70" s="287">
        <f t="shared" si="38"/>
        <v>0</v>
      </c>
      <c r="J70" s="1057"/>
      <c r="K70" s="483">
        <v>3</v>
      </c>
      <c r="L70" s="60">
        <v>4</v>
      </c>
      <c r="M70" s="480">
        <v>1</v>
      </c>
      <c r="N70" s="60">
        <f t="shared" si="0"/>
        <v>4</v>
      </c>
      <c r="O70" s="482">
        <f t="shared" si="39"/>
        <v>0</v>
      </c>
      <c r="P70" s="482">
        <f t="shared" si="39"/>
        <v>0</v>
      </c>
      <c r="Q70" s="482">
        <f t="shared" si="39"/>
        <v>0</v>
      </c>
      <c r="R70" s="482">
        <f t="shared" si="39"/>
        <v>0</v>
      </c>
      <c r="S70" s="482" t="str">
        <f t="shared" si="39"/>
        <v/>
      </c>
      <c r="T70" s="482" t="str">
        <f t="shared" si="39"/>
        <v/>
      </c>
      <c r="U70" s="482" t="str">
        <f t="shared" si="39"/>
        <v/>
      </c>
      <c r="V70" s="482" t="str">
        <f t="shared" si="39"/>
        <v/>
      </c>
      <c r="W70" s="482" t="str">
        <f t="shared" si="39"/>
        <v/>
      </c>
      <c r="X70" s="482" t="str">
        <f t="shared" si="39"/>
        <v/>
      </c>
      <c r="Y70" s="126"/>
      <c r="Z70" s="126"/>
      <c r="AA70" s="126"/>
      <c r="AB70" s="126"/>
      <c r="AC70" s="126"/>
      <c r="AD70" s="122"/>
    </row>
    <row r="71" spans="2:33" ht="46.5" customHeight="1">
      <c r="B71" s="282"/>
      <c r="C71" s="277"/>
      <c r="D71" s="369">
        <f t="shared" si="37"/>
        <v>6.16</v>
      </c>
      <c r="E71" s="276" t="s">
        <v>214</v>
      </c>
      <c r="F71" s="275" t="s">
        <v>122</v>
      </c>
      <c r="G71" s="341">
        <f>MC!C549</f>
        <v>0</v>
      </c>
      <c r="H71" s="286">
        <f>'6.16'!$G$42</f>
        <v>1830151</v>
      </c>
      <c r="I71" s="287">
        <f t="shared" ref="I71" si="40">+G71*H71</f>
        <v>0</v>
      </c>
      <c r="J71" s="1057"/>
      <c r="K71" s="483">
        <v>3</v>
      </c>
      <c r="L71" s="60">
        <v>4</v>
      </c>
      <c r="M71" s="480">
        <v>1</v>
      </c>
      <c r="N71" s="60">
        <f t="shared" si="0"/>
        <v>4</v>
      </c>
      <c r="O71" s="482">
        <f t="shared" si="39"/>
        <v>0</v>
      </c>
      <c r="P71" s="482">
        <f t="shared" si="39"/>
        <v>0</v>
      </c>
      <c r="Q71" s="482">
        <f t="shared" si="39"/>
        <v>0</v>
      </c>
      <c r="R71" s="482">
        <f t="shared" si="39"/>
        <v>0</v>
      </c>
      <c r="S71" s="482" t="str">
        <f t="shared" si="39"/>
        <v/>
      </c>
      <c r="T71" s="482" t="str">
        <f t="shared" si="39"/>
        <v/>
      </c>
      <c r="U71" s="482" t="str">
        <f t="shared" si="39"/>
        <v/>
      </c>
      <c r="V71" s="482" t="str">
        <f t="shared" si="39"/>
        <v/>
      </c>
      <c r="W71" s="482" t="str">
        <f t="shared" si="39"/>
        <v/>
      </c>
      <c r="X71" s="482" t="str">
        <f t="shared" si="39"/>
        <v/>
      </c>
      <c r="Y71" s="126"/>
      <c r="Z71" s="126"/>
      <c r="AA71" s="126"/>
      <c r="AB71" s="126"/>
      <c r="AC71" s="126"/>
      <c r="AD71" s="122"/>
    </row>
    <row r="72" spans="2:33" ht="20.25" customHeight="1">
      <c r="B72" s="282"/>
      <c r="C72" s="277"/>
      <c r="D72" s="262"/>
      <c r="E72" s="761" t="s">
        <v>251</v>
      </c>
      <c r="F72" s="761"/>
      <c r="G72" s="341"/>
      <c r="H72" s="761"/>
      <c r="I72" s="761"/>
      <c r="J72" s="1056"/>
      <c r="K72" s="483">
        <v>2</v>
      </c>
      <c r="L72" s="60"/>
      <c r="M72" s="480"/>
      <c r="N72" s="60" t="str">
        <f t="shared" si="0"/>
        <v/>
      </c>
      <c r="O72" s="482" t="str">
        <f t="shared" si="39"/>
        <v/>
      </c>
      <c r="P72" s="482" t="str">
        <f t="shared" si="39"/>
        <v/>
      </c>
      <c r="Q72" s="482" t="str">
        <f t="shared" si="39"/>
        <v/>
      </c>
      <c r="R72" s="482" t="str">
        <f t="shared" si="39"/>
        <v/>
      </c>
      <c r="S72" s="482" t="str">
        <f t="shared" si="39"/>
        <v/>
      </c>
      <c r="T72" s="482" t="str">
        <f t="shared" si="39"/>
        <v/>
      </c>
      <c r="U72" s="482" t="str">
        <f t="shared" si="39"/>
        <v/>
      </c>
      <c r="V72" s="482" t="str">
        <f t="shared" si="39"/>
        <v/>
      </c>
      <c r="W72" s="482" t="str">
        <f t="shared" si="39"/>
        <v/>
      </c>
      <c r="X72" s="482" t="str">
        <f t="shared" si="39"/>
        <v/>
      </c>
      <c r="Y72" s="122"/>
      <c r="Z72" s="345"/>
      <c r="AA72" s="345"/>
      <c r="AB72" s="345"/>
      <c r="AC72" s="122"/>
      <c r="AD72" s="122"/>
      <c r="AE72" s="122"/>
      <c r="AF72" s="122"/>
      <c r="AG72" s="122"/>
    </row>
    <row r="73" spans="2:33" ht="46.5" customHeight="1">
      <c r="B73" s="282"/>
      <c r="C73" s="277"/>
      <c r="D73" s="369">
        <f>D71+0.01</f>
        <v>6.17</v>
      </c>
      <c r="E73" s="276" t="s">
        <v>991</v>
      </c>
      <c r="F73" s="275" t="s">
        <v>122</v>
      </c>
      <c r="G73" s="341">
        <f>MC!C56</f>
        <v>1381.8</v>
      </c>
      <c r="H73" s="286">
        <f>'6.17'!$G$42</f>
        <v>115945</v>
      </c>
      <c r="I73" s="287">
        <f t="shared" ref="I73" si="41">+G73*H73</f>
        <v>160212801</v>
      </c>
      <c r="J73" s="1057"/>
      <c r="K73" s="483">
        <v>2</v>
      </c>
      <c r="L73" s="60">
        <v>4</v>
      </c>
      <c r="M73" s="480">
        <v>2</v>
      </c>
      <c r="N73" s="60">
        <f t="shared" si="0"/>
        <v>5</v>
      </c>
      <c r="O73" s="482" t="str">
        <f t="shared" si="39"/>
        <v/>
      </c>
      <c r="P73" s="482">
        <f t="shared" si="39"/>
        <v>40053</v>
      </c>
      <c r="Q73" s="482">
        <f t="shared" si="39"/>
        <v>40053</v>
      </c>
      <c r="R73" s="482">
        <f t="shared" si="39"/>
        <v>40053</v>
      </c>
      <c r="S73" s="482">
        <f t="shared" si="39"/>
        <v>40053</v>
      </c>
      <c r="T73" s="482" t="str">
        <f t="shared" si="39"/>
        <v/>
      </c>
      <c r="U73" s="482" t="str">
        <f t="shared" si="39"/>
        <v/>
      </c>
      <c r="V73" s="482" t="str">
        <f t="shared" si="39"/>
        <v/>
      </c>
      <c r="W73" s="482" t="str">
        <f t="shared" si="39"/>
        <v/>
      </c>
      <c r="X73" s="482" t="str">
        <f t="shared" si="39"/>
        <v/>
      </c>
      <c r="Y73" s="126"/>
      <c r="Z73" s="126"/>
      <c r="AA73" s="126"/>
      <c r="AB73" s="126"/>
      <c r="AC73" s="126"/>
      <c r="AD73" s="122"/>
    </row>
    <row r="74" spans="2:33" ht="46.5" customHeight="1">
      <c r="B74" s="282"/>
      <c r="C74" s="277"/>
      <c r="D74" s="369">
        <f t="shared" ref="D74:D118" si="42">D73+0.01</f>
        <v>6.18</v>
      </c>
      <c r="E74" s="276" t="s">
        <v>992</v>
      </c>
      <c r="F74" s="275" t="s">
        <v>122</v>
      </c>
      <c r="G74" s="341">
        <f>MC!C57</f>
        <v>654.5</v>
      </c>
      <c r="H74" s="286">
        <f>'6.18'!$G$42</f>
        <v>87156</v>
      </c>
      <c r="I74" s="287">
        <f t="shared" ref="I74:I108" si="43">+G74*H74</f>
        <v>57043602</v>
      </c>
      <c r="J74" s="1057"/>
      <c r="K74" s="483">
        <v>2</v>
      </c>
      <c r="L74" s="60">
        <v>4</v>
      </c>
      <c r="M74" s="480">
        <v>2</v>
      </c>
      <c r="N74" s="60">
        <f t="shared" si="0"/>
        <v>5</v>
      </c>
      <c r="O74" s="482" t="str">
        <f t="shared" si="39"/>
        <v/>
      </c>
      <c r="P74" s="482">
        <f t="shared" si="39"/>
        <v>14261</v>
      </c>
      <c r="Q74" s="482">
        <f t="shared" si="39"/>
        <v>14261</v>
      </c>
      <c r="R74" s="482">
        <f t="shared" si="39"/>
        <v>14261</v>
      </c>
      <c r="S74" s="482">
        <f t="shared" si="39"/>
        <v>14261</v>
      </c>
      <c r="T74" s="482" t="str">
        <f t="shared" si="39"/>
        <v/>
      </c>
      <c r="U74" s="482" t="str">
        <f t="shared" si="39"/>
        <v/>
      </c>
      <c r="V74" s="482" t="str">
        <f t="shared" si="39"/>
        <v/>
      </c>
      <c r="W74" s="482" t="str">
        <f t="shared" si="39"/>
        <v/>
      </c>
      <c r="X74" s="482" t="str">
        <f t="shared" si="39"/>
        <v/>
      </c>
      <c r="Y74" s="126"/>
      <c r="Z74" s="126"/>
      <c r="AA74" s="126"/>
      <c r="AB74" s="126"/>
      <c r="AC74" s="126"/>
      <c r="AD74" s="122"/>
    </row>
    <row r="75" spans="2:33" ht="46.5" customHeight="1">
      <c r="B75" s="282"/>
      <c r="C75" s="277"/>
      <c r="D75" s="369">
        <f t="shared" si="42"/>
        <v>6.19</v>
      </c>
      <c r="E75" s="276" t="s">
        <v>993</v>
      </c>
      <c r="F75" s="275" t="s">
        <v>122</v>
      </c>
      <c r="G75" s="341">
        <f>MC!C58</f>
        <v>889.4</v>
      </c>
      <c r="H75" s="286">
        <f>'6.19'!$G$42</f>
        <v>171279</v>
      </c>
      <c r="I75" s="287">
        <f t="shared" si="43"/>
        <v>152335543</v>
      </c>
      <c r="J75" s="1057"/>
      <c r="K75" s="483">
        <v>2</v>
      </c>
      <c r="L75" s="60">
        <v>4</v>
      </c>
      <c r="M75" s="480">
        <v>2</v>
      </c>
      <c r="N75" s="60">
        <f t="shared" si="0"/>
        <v>5</v>
      </c>
      <c r="O75" s="482" t="str">
        <f t="shared" si="39"/>
        <v/>
      </c>
      <c r="P75" s="482">
        <f t="shared" si="39"/>
        <v>38084</v>
      </c>
      <c r="Q75" s="482">
        <f t="shared" si="39"/>
        <v>38084</v>
      </c>
      <c r="R75" s="482">
        <f t="shared" si="39"/>
        <v>38084</v>
      </c>
      <c r="S75" s="482">
        <f t="shared" si="39"/>
        <v>38084</v>
      </c>
      <c r="T75" s="482" t="str">
        <f t="shared" si="39"/>
        <v/>
      </c>
      <c r="U75" s="482" t="str">
        <f t="shared" si="39"/>
        <v/>
      </c>
      <c r="V75" s="482" t="str">
        <f t="shared" si="39"/>
        <v/>
      </c>
      <c r="W75" s="482" t="str">
        <f t="shared" si="39"/>
        <v/>
      </c>
      <c r="X75" s="482" t="str">
        <f t="shared" si="39"/>
        <v/>
      </c>
      <c r="Y75" s="126"/>
      <c r="Z75" s="126"/>
      <c r="AA75" s="126"/>
      <c r="AB75" s="126"/>
      <c r="AC75" s="126"/>
      <c r="AD75" s="122"/>
    </row>
    <row r="76" spans="2:33" ht="46.5" customHeight="1">
      <c r="B76" s="282"/>
      <c r="C76" s="277"/>
      <c r="D76" s="370" t="s">
        <v>1266</v>
      </c>
      <c r="E76" s="276" t="s">
        <v>246</v>
      </c>
      <c r="F76" s="275" t="s">
        <v>122</v>
      </c>
      <c r="G76" s="341">
        <f>MC!C60</f>
        <v>510.5</v>
      </c>
      <c r="H76" s="286">
        <f>'6.20'!$G$42</f>
        <v>283533</v>
      </c>
      <c r="I76" s="287">
        <f t="shared" si="43"/>
        <v>144743597</v>
      </c>
      <c r="J76" s="1057"/>
      <c r="K76" s="483">
        <v>2</v>
      </c>
      <c r="L76" s="60">
        <v>4</v>
      </c>
      <c r="M76" s="480">
        <v>2</v>
      </c>
      <c r="N76" s="60">
        <f t="shared" si="0"/>
        <v>5</v>
      </c>
      <c r="O76" s="482" t="str">
        <f t="shared" si="39"/>
        <v/>
      </c>
      <c r="P76" s="482">
        <f t="shared" si="39"/>
        <v>36186</v>
      </c>
      <c r="Q76" s="482">
        <f t="shared" si="39"/>
        <v>36186</v>
      </c>
      <c r="R76" s="482">
        <f t="shared" si="39"/>
        <v>36186</v>
      </c>
      <c r="S76" s="482">
        <f t="shared" si="39"/>
        <v>36186</v>
      </c>
      <c r="T76" s="482" t="str">
        <f t="shared" si="39"/>
        <v/>
      </c>
      <c r="U76" s="482" t="str">
        <f t="shared" si="39"/>
        <v/>
      </c>
      <c r="V76" s="482" t="str">
        <f t="shared" si="39"/>
        <v/>
      </c>
      <c r="W76" s="482" t="str">
        <f t="shared" si="39"/>
        <v/>
      </c>
      <c r="X76" s="482" t="str">
        <f t="shared" si="39"/>
        <v/>
      </c>
      <c r="Y76" s="126"/>
      <c r="Z76" s="126"/>
      <c r="AA76" s="126"/>
      <c r="AB76" s="126"/>
      <c r="AC76" s="126"/>
      <c r="AD76" s="122"/>
    </row>
    <row r="77" spans="2:33" ht="46.5" customHeight="1">
      <c r="B77" s="282"/>
      <c r="C77" s="277"/>
      <c r="D77" s="369">
        <f t="shared" si="42"/>
        <v>6.21</v>
      </c>
      <c r="E77" s="276" t="s">
        <v>247</v>
      </c>
      <c r="F77" s="275" t="s">
        <v>119</v>
      </c>
      <c r="G77" s="341">
        <f>MC!C64</f>
        <v>360</v>
      </c>
      <c r="H77" s="286">
        <f>'6.21'!$G$42</f>
        <v>763432</v>
      </c>
      <c r="I77" s="287">
        <f t="shared" si="43"/>
        <v>274835520</v>
      </c>
      <c r="J77" s="1057"/>
      <c r="K77" s="483">
        <v>2</v>
      </c>
      <c r="L77" s="60">
        <v>4</v>
      </c>
      <c r="M77" s="480">
        <v>2</v>
      </c>
      <c r="N77" s="60">
        <f t="shared" si="0"/>
        <v>5</v>
      </c>
      <c r="O77" s="482" t="str">
        <f t="shared" si="39"/>
        <v/>
      </c>
      <c r="P77" s="482">
        <f t="shared" si="39"/>
        <v>68709</v>
      </c>
      <c r="Q77" s="482">
        <f t="shared" si="39"/>
        <v>68709</v>
      </c>
      <c r="R77" s="482">
        <f t="shared" si="39"/>
        <v>68709</v>
      </c>
      <c r="S77" s="482">
        <f t="shared" si="39"/>
        <v>68709</v>
      </c>
      <c r="T77" s="482" t="str">
        <f t="shared" si="39"/>
        <v/>
      </c>
      <c r="U77" s="482" t="str">
        <f t="shared" si="39"/>
        <v/>
      </c>
      <c r="V77" s="482" t="str">
        <f t="shared" si="39"/>
        <v/>
      </c>
      <c r="W77" s="482" t="str">
        <f t="shared" si="39"/>
        <v/>
      </c>
      <c r="X77" s="482" t="str">
        <f t="shared" si="39"/>
        <v/>
      </c>
      <c r="Y77" s="126"/>
      <c r="Z77" s="126"/>
      <c r="AA77" s="126"/>
      <c r="AB77" s="126"/>
      <c r="AC77" s="126"/>
      <c r="AD77" s="122"/>
    </row>
    <row r="78" spans="2:33" ht="46.5" customHeight="1">
      <c r="B78" s="282"/>
      <c r="C78" s="277"/>
      <c r="D78" s="369">
        <f t="shared" si="42"/>
        <v>6.22</v>
      </c>
      <c r="E78" s="276" t="s">
        <v>1001</v>
      </c>
      <c r="F78" s="275" t="s">
        <v>119</v>
      </c>
      <c r="G78" s="341">
        <f>MC!C73</f>
        <v>9</v>
      </c>
      <c r="H78" s="286">
        <f>'6.22'!$G$42</f>
        <v>174776</v>
      </c>
      <c r="I78" s="287">
        <f t="shared" si="43"/>
        <v>1572984</v>
      </c>
      <c r="J78" s="1057"/>
      <c r="K78" s="483">
        <v>2</v>
      </c>
      <c r="L78" s="60">
        <v>4</v>
      </c>
      <c r="M78" s="480">
        <v>2</v>
      </c>
      <c r="N78" s="60">
        <f t="shared" si="0"/>
        <v>5</v>
      </c>
      <c r="O78" s="482" t="str">
        <f t="shared" si="39"/>
        <v/>
      </c>
      <c r="P78" s="482">
        <f t="shared" si="39"/>
        <v>393</v>
      </c>
      <c r="Q78" s="482">
        <f t="shared" si="39"/>
        <v>393</v>
      </c>
      <c r="R78" s="482">
        <f t="shared" si="39"/>
        <v>393</v>
      </c>
      <c r="S78" s="482">
        <f t="shared" si="39"/>
        <v>393</v>
      </c>
      <c r="T78" s="482" t="str">
        <f t="shared" si="39"/>
        <v/>
      </c>
      <c r="U78" s="482" t="str">
        <f t="shared" si="39"/>
        <v/>
      </c>
      <c r="V78" s="482" t="str">
        <f t="shared" si="39"/>
        <v/>
      </c>
      <c r="W78" s="482" t="str">
        <f t="shared" si="39"/>
        <v/>
      </c>
      <c r="X78" s="482" t="str">
        <f t="shared" si="39"/>
        <v/>
      </c>
      <c r="Y78" s="126"/>
      <c r="Z78" s="126"/>
      <c r="AA78" s="126"/>
      <c r="AB78" s="126"/>
      <c r="AC78" s="126"/>
      <c r="AD78" s="122"/>
    </row>
    <row r="79" spans="2:33" ht="46.5" customHeight="1">
      <c r="B79" s="282"/>
      <c r="C79" s="277"/>
      <c r="D79" s="369">
        <f t="shared" si="42"/>
        <v>6.23</v>
      </c>
      <c r="E79" s="276" t="s">
        <v>1000</v>
      </c>
      <c r="F79" s="275" t="s">
        <v>119</v>
      </c>
      <c r="G79" s="341">
        <f>MC!C71</f>
        <v>5</v>
      </c>
      <c r="H79" s="286">
        <f>'6.23'!$G$42</f>
        <v>459179</v>
      </c>
      <c r="I79" s="287">
        <f t="shared" si="43"/>
        <v>2295895</v>
      </c>
      <c r="J79" s="1057"/>
      <c r="K79" s="483">
        <v>2</v>
      </c>
      <c r="L79" s="60">
        <v>4</v>
      </c>
      <c r="M79" s="480">
        <v>2</v>
      </c>
      <c r="N79" s="60">
        <f t="shared" si="0"/>
        <v>5</v>
      </c>
      <c r="O79" s="482" t="str">
        <f t="shared" ref="O79:X88" si="44">IF($L79="","",IF(OR(O$9&lt;$M79,O$9&gt;$N79),"",IF($K79=1,IF((O$9/$M79)=1,($I79/1000)/(($L79)*2)*$L79*1.3,IF((O$9/$M79)&gt;1,($I79/1000)/(($L79)*2)*$L79*(0.7/($L79-1)))),IF($K79=2,($I79/1000)/$L79,IF($K79=3,IF((O$9/$N79)=1,($I79/1000)/(($L79)*2)*$L79*1.3,IF((O$9/$N79)&lt;1,($I79/1000)/(($L79)*2)*$L79*(0.7/($L79-1)))))))))</f>
        <v/>
      </c>
      <c r="P79" s="482">
        <f t="shared" si="44"/>
        <v>574</v>
      </c>
      <c r="Q79" s="482">
        <f t="shared" si="44"/>
        <v>574</v>
      </c>
      <c r="R79" s="482">
        <f t="shared" si="44"/>
        <v>574</v>
      </c>
      <c r="S79" s="482">
        <f t="shared" si="44"/>
        <v>574</v>
      </c>
      <c r="T79" s="482" t="str">
        <f t="shared" si="44"/>
        <v/>
      </c>
      <c r="U79" s="482" t="str">
        <f t="shared" si="44"/>
        <v/>
      </c>
      <c r="V79" s="482" t="str">
        <f t="shared" si="44"/>
        <v/>
      </c>
      <c r="W79" s="482" t="str">
        <f t="shared" si="44"/>
        <v/>
      </c>
      <c r="X79" s="482" t="str">
        <f t="shared" si="44"/>
        <v/>
      </c>
      <c r="Y79" s="126"/>
      <c r="Z79" s="126"/>
      <c r="AA79" s="126"/>
      <c r="AB79" s="126"/>
      <c r="AC79" s="126"/>
      <c r="AD79" s="122"/>
    </row>
    <row r="80" spans="2:33" ht="46.5" customHeight="1">
      <c r="B80" s="282"/>
      <c r="C80" s="277"/>
      <c r="D80" s="369">
        <f t="shared" si="42"/>
        <v>6.24</v>
      </c>
      <c r="E80" s="276" t="s">
        <v>999</v>
      </c>
      <c r="F80" s="275" t="s">
        <v>119</v>
      </c>
      <c r="G80" s="341">
        <f>MC!C72</f>
        <v>3</v>
      </c>
      <c r="H80" s="286">
        <f>'6.24'!$G$42</f>
        <v>222782</v>
      </c>
      <c r="I80" s="287">
        <f t="shared" si="43"/>
        <v>668346</v>
      </c>
      <c r="J80" s="1057"/>
      <c r="K80" s="483">
        <v>2</v>
      </c>
      <c r="L80" s="60">
        <v>4</v>
      </c>
      <c r="M80" s="480">
        <v>2</v>
      </c>
      <c r="N80" s="60">
        <f t="shared" si="0"/>
        <v>5</v>
      </c>
      <c r="O80" s="482" t="str">
        <f t="shared" si="44"/>
        <v/>
      </c>
      <c r="P80" s="482">
        <f t="shared" si="44"/>
        <v>167</v>
      </c>
      <c r="Q80" s="482">
        <f t="shared" si="44"/>
        <v>167</v>
      </c>
      <c r="R80" s="482">
        <f t="shared" si="44"/>
        <v>167</v>
      </c>
      <c r="S80" s="482">
        <f t="shared" si="44"/>
        <v>167</v>
      </c>
      <c r="T80" s="482" t="str">
        <f t="shared" si="44"/>
        <v/>
      </c>
      <c r="U80" s="482" t="str">
        <f t="shared" si="44"/>
        <v/>
      </c>
      <c r="V80" s="482" t="str">
        <f t="shared" si="44"/>
        <v/>
      </c>
      <c r="W80" s="482" t="str">
        <f t="shared" si="44"/>
        <v/>
      </c>
      <c r="X80" s="482" t="str">
        <f t="shared" si="44"/>
        <v/>
      </c>
      <c r="Y80" s="126"/>
      <c r="Z80" s="126"/>
      <c r="AA80" s="126"/>
      <c r="AB80" s="126"/>
      <c r="AC80" s="126"/>
      <c r="AD80" s="122"/>
    </row>
    <row r="81" spans="2:30" ht="46.5" customHeight="1">
      <c r="B81" s="282"/>
      <c r="C81" s="277"/>
      <c r="D81" s="369">
        <f t="shared" si="42"/>
        <v>6.25</v>
      </c>
      <c r="E81" s="276" t="s">
        <v>998</v>
      </c>
      <c r="F81" s="275" t="s">
        <v>119</v>
      </c>
      <c r="G81" s="341">
        <f>MC!C74</f>
        <v>11</v>
      </c>
      <c r="H81" s="286">
        <f>'6.25'!$G$42</f>
        <v>1201671</v>
      </c>
      <c r="I81" s="287">
        <f t="shared" si="43"/>
        <v>13218381</v>
      </c>
      <c r="J81" s="1057"/>
      <c r="K81" s="483">
        <v>2</v>
      </c>
      <c r="L81" s="60">
        <v>4</v>
      </c>
      <c r="M81" s="480">
        <v>2</v>
      </c>
      <c r="N81" s="60">
        <f t="shared" si="0"/>
        <v>5</v>
      </c>
      <c r="O81" s="482" t="str">
        <f t="shared" si="44"/>
        <v/>
      </c>
      <c r="P81" s="482">
        <f t="shared" si="44"/>
        <v>3305</v>
      </c>
      <c r="Q81" s="482">
        <f t="shared" si="44"/>
        <v>3305</v>
      </c>
      <c r="R81" s="482">
        <f t="shared" si="44"/>
        <v>3305</v>
      </c>
      <c r="S81" s="482">
        <f t="shared" si="44"/>
        <v>3305</v>
      </c>
      <c r="T81" s="482" t="str">
        <f t="shared" si="44"/>
        <v/>
      </c>
      <c r="U81" s="482" t="str">
        <f t="shared" si="44"/>
        <v/>
      </c>
      <c r="V81" s="482" t="str">
        <f t="shared" si="44"/>
        <v/>
      </c>
      <c r="W81" s="482" t="str">
        <f t="shared" si="44"/>
        <v/>
      </c>
      <c r="X81" s="482" t="str">
        <f t="shared" si="44"/>
        <v/>
      </c>
      <c r="Y81" s="126"/>
      <c r="Z81" s="126"/>
      <c r="AA81" s="126"/>
      <c r="AB81" s="126"/>
      <c r="AC81" s="126"/>
      <c r="AD81" s="122"/>
    </row>
    <row r="82" spans="2:30" ht="46.5" customHeight="1">
      <c r="B82" s="282"/>
      <c r="C82" s="277"/>
      <c r="D82" s="369">
        <f t="shared" si="42"/>
        <v>6.26</v>
      </c>
      <c r="E82" s="276" t="s">
        <v>997</v>
      </c>
      <c r="F82" s="275" t="s">
        <v>119</v>
      </c>
      <c r="G82" s="341">
        <f>MC!C75</f>
        <v>1</v>
      </c>
      <c r="H82" s="286">
        <f>'6.26'!$G$42</f>
        <v>1461656</v>
      </c>
      <c r="I82" s="287">
        <f t="shared" si="43"/>
        <v>1461656</v>
      </c>
      <c r="J82" s="1057"/>
      <c r="K82" s="483">
        <v>2</v>
      </c>
      <c r="L82" s="60">
        <v>4</v>
      </c>
      <c r="M82" s="480">
        <v>2</v>
      </c>
      <c r="N82" s="60">
        <f t="shared" si="0"/>
        <v>5</v>
      </c>
      <c r="O82" s="482" t="str">
        <f t="shared" si="44"/>
        <v/>
      </c>
      <c r="P82" s="482">
        <f t="shared" si="44"/>
        <v>365</v>
      </c>
      <c r="Q82" s="482">
        <f t="shared" si="44"/>
        <v>365</v>
      </c>
      <c r="R82" s="482">
        <f t="shared" si="44"/>
        <v>365</v>
      </c>
      <c r="S82" s="482">
        <f t="shared" si="44"/>
        <v>365</v>
      </c>
      <c r="T82" s="482" t="str">
        <f t="shared" si="44"/>
        <v/>
      </c>
      <c r="U82" s="482" t="str">
        <f t="shared" si="44"/>
        <v/>
      </c>
      <c r="V82" s="482" t="str">
        <f t="shared" si="44"/>
        <v/>
      </c>
      <c r="W82" s="482" t="str">
        <f t="shared" si="44"/>
        <v/>
      </c>
      <c r="X82" s="482" t="str">
        <f t="shared" si="44"/>
        <v/>
      </c>
      <c r="Y82" s="126"/>
      <c r="Z82" s="126"/>
      <c r="AA82" s="126"/>
      <c r="AB82" s="126"/>
      <c r="AC82" s="126"/>
      <c r="AD82" s="122"/>
    </row>
    <row r="83" spans="2:30" ht="46.5" customHeight="1">
      <c r="B83" s="282"/>
      <c r="C83" s="277"/>
      <c r="D83" s="369">
        <f t="shared" si="42"/>
        <v>6.27</v>
      </c>
      <c r="E83" s="276" t="s">
        <v>1002</v>
      </c>
      <c r="F83" s="275" t="s">
        <v>119</v>
      </c>
      <c r="G83" s="341">
        <f>MC!C76</f>
        <v>8</v>
      </c>
      <c r="H83" s="286">
        <f>'6.27'!$G$42</f>
        <v>2451257</v>
      </c>
      <c r="I83" s="287">
        <f t="shared" si="43"/>
        <v>19610056</v>
      </c>
      <c r="J83" s="1057"/>
      <c r="K83" s="483">
        <v>2</v>
      </c>
      <c r="L83" s="60">
        <v>4</v>
      </c>
      <c r="M83" s="480">
        <v>2</v>
      </c>
      <c r="N83" s="60">
        <f t="shared" si="0"/>
        <v>5</v>
      </c>
      <c r="O83" s="482" t="str">
        <f t="shared" si="44"/>
        <v/>
      </c>
      <c r="P83" s="482">
        <f t="shared" si="44"/>
        <v>4903</v>
      </c>
      <c r="Q83" s="482">
        <f t="shared" si="44"/>
        <v>4903</v>
      </c>
      <c r="R83" s="482">
        <f t="shared" si="44"/>
        <v>4903</v>
      </c>
      <c r="S83" s="482">
        <f t="shared" si="44"/>
        <v>4903</v>
      </c>
      <c r="T83" s="482" t="str">
        <f t="shared" si="44"/>
        <v/>
      </c>
      <c r="U83" s="482" t="str">
        <f t="shared" si="44"/>
        <v/>
      </c>
      <c r="V83" s="482" t="str">
        <f t="shared" si="44"/>
        <v/>
      </c>
      <c r="W83" s="482" t="str">
        <f t="shared" si="44"/>
        <v/>
      </c>
      <c r="X83" s="482" t="str">
        <f t="shared" si="44"/>
        <v/>
      </c>
      <c r="Y83" s="126"/>
      <c r="Z83" s="126"/>
      <c r="AA83" s="126"/>
      <c r="AB83" s="126"/>
      <c r="AC83" s="126"/>
      <c r="AD83" s="122"/>
    </row>
    <row r="84" spans="2:30" ht="46.5" customHeight="1">
      <c r="B84" s="282"/>
      <c r="C84" s="277"/>
      <c r="D84" s="369">
        <f t="shared" si="42"/>
        <v>6.28</v>
      </c>
      <c r="E84" s="276" t="s">
        <v>1014</v>
      </c>
      <c r="F84" s="275" t="s">
        <v>119</v>
      </c>
      <c r="G84" s="341">
        <f>MC!C90</f>
        <v>6</v>
      </c>
      <c r="H84" s="286">
        <f>'6.28'!$G$42</f>
        <v>104252</v>
      </c>
      <c r="I84" s="287">
        <f t="shared" si="43"/>
        <v>625512</v>
      </c>
      <c r="J84" s="1057"/>
      <c r="K84" s="483">
        <v>2</v>
      </c>
      <c r="L84" s="60">
        <v>4</v>
      </c>
      <c r="M84" s="480">
        <v>2</v>
      </c>
      <c r="N84" s="60">
        <f t="shared" si="0"/>
        <v>5</v>
      </c>
      <c r="O84" s="482" t="str">
        <f t="shared" si="44"/>
        <v/>
      </c>
      <c r="P84" s="482">
        <f t="shared" si="44"/>
        <v>156</v>
      </c>
      <c r="Q84" s="482">
        <f t="shared" si="44"/>
        <v>156</v>
      </c>
      <c r="R84" s="482">
        <f t="shared" si="44"/>
        <v>156</v>
      </c>
      <c r="S84" s="482">
        <f t="shared" si="44"/>
        <v>156</v>
      </c>
      <c r="T84" s="482" t="str">
        <f t="shared" si="44"/>
        <v/>
      </c>
      <c r="U84" s="482" t="str">
        <f t="shared" si="44"/>
        <v/>
      </c>
      <c r="V84" s="482" t="str">
        <f t="shared" si="44"/>
        <v/>
      </c>
      <c r="W84" s="482" t="str">
        <f t="shared" si="44"/>
        <v/>
      </c>
      <c r="X84" s="482" t="str">
        <f t="shared" si="44"/>
        <v/>
      </c>
      <c r="Y84" s="126"/>
      <c r="Z84" s="126"/>
      <c r="AA84" s="126"/>
      <c r="AB84" s="126"/>
      <c r="AC84" s="126"/>
      <c r="AD84" s="122"/>
    </row>
    <row r="85" spans="2:30" ht="46.5" customHeight="1">
      <c r="B85" s="282"/>
      <c r="C85" s="277"/>
      <c r="D85" s="369">
        <f t="shared" si="42"/>
        <v>6.29</v>
      </c>
      <c r="E85" s="276" t="s">
        <v>1015</v>
      </c>
      <c r="F85" s="275" t="s">
        <v>119</v>
      </c>
      <c r="G85" s="341">
        <f>MC!C91</f>
        <v>6</v>
      </c>
      <c r="H85" s="286">
        <f>'6.29'!$G$42</f>
        <v>194447</v>
      </c>
      <c r="I85" s="287">
        <f t="shared" si="43"/>
        <v>1166682</v>
      </c>
      <c r="J85" s="1057"/>
      <c r="K85" s="483">
        <v>2</v>
      </c>
      <c r="L85" s="60">
        <v>4</v>
      </c>
      <c r="M85" s="480">
        <v>2</v>
      </c>
      <c r="N85" s="60">
        <f t="shared" ref="N85:N108" si="45">IF(L85="","",M85+L85-1)</f>
        <v>5</v>
      </c>
      <c r="O85" s="482" t="str">
        <f t="shared" si="44"/>
        <v/>
      </c>
      <c r="P85" s="482">
        <f t="shared" si="44"/>
        <v>292</v>
      </c>
      <c r="Q85" s="482">
        <f t="shared" si="44"/>
        <v>292</v>
      </c>
      <c r="R85" s="482">
        <f t="shared" si="44"/>
        <v>292</v>
      </c>
      <c r="S85" s="482">
        <f t="shared" si="44"/>
        <v>292</v>
      </c>
      <c r="T85" s="482" t="str">
        <f t="shared" si="44"/>
        <v/>
      </c>
      <c r="U85" s="482" t="str">
        <f t="shared" si="44"/>
        <v/>
      </c>
      <c r="V85" s="482" t="str">
        <f t="shared" si="44"/>
        <v/>
      </c>
      <c r="W85" s="482" t="str">
        <f t="shared" si="44"/>
        <v/>
      </c>
      <c r="X85" s="482" t="str">
        <f t="shared" si="44"/>
        <v/>
      </c>
      <c r="Y85" s="126"/>
      <c r="Z85" s="126"/>
      <c r="AA85" s="126"/>
      <c r="AB85" s="126"/>
      <c r="AC85" s="126"/>
      <c r="AD85" s="122"/>
    </row>
    <row r="86" spans="2:30" ht="46.5" customHeight="1">
      <c r="B86" s="282"/>
      <c r="C86" s="277"/>
      <c r="D86" s="370" t="s">
        <v>1267</v>
      </c>
      <c r="E86" s="276" t="s">
        <v>1016</v>
      </c>
      <c r="F86" s="275" t="s">
        <v>119</v>
      </c>
      <c r="G86" s="341">
        <f>MC!C92</f>
        <v>6</v>
      </c>
      <c r="H86" s="286">
        <f>'6.30'!$G$42</f>
        <v>1329538</v>
      </c>
      <c r="I86" s="287">
        <f t="shared" si="43"/>
        <v>7977228</v>
      </c>
      <c r="J86" s="1057"/>
      <c r="K86" s="483">
        <v>2</v>
      </c>
      <c r="L86" s="60">
        <v>4</v>
      </c>
      <c r="M86" s="480">
        <v>2</v>
      </c>
      <c r="N86" s="60">
        <f t="shared" si="45"/>
        <v>5</v>
      </c>
      <c r="O86" s="482" t="str">
        <f t="shared" si="44"/>
        <v/>
      </c>
      <c r="P86" s="482">
        <f t="shared" si="44"/>
        <v>1994</v>
      </c>
      <c r="Q86" s="482">
        <f t="shared" si="44"/>
        <v>1994</v>
      </c>
      <c r="R86" s="482">
        <f t="shared" si="44"/>
        <v>1994</v>
      </c>
      <c r="S86" s="482">
        <f t="shared" si="44"/>
        <v>1994</v>
      </c>
      <c r="T86" s="482" t="str">
        <f t="shared" si="44"/>
        <v/>
      </c>
      <c r="U86" s="482" t="str">
        <f t="shared" si="44"/>
        <v/>
      </c>
      <c r="V86" s="482" t="str">
        <f t="shared" si="44"/>
        <v/>
      </c>
      <c r="W86" s="482" t="str">
        <f t="shared" si="44"/>
        <v/>
      </c>
      <c r="X86" s="482" t="str">
        <f t="shared" si="44"/>
        <v/>
      </c>
      <c r="Y86" s="126"/>
      <c r="Z86" s="126"/>
      <c r="AA86" s="126"/>
      <c r="AB86" s="126"/>
      <c r="AC86" s="126"/>
      <c r="AD86" s="122"/>
    </row>
    <row r="87" spans="2:30" ht="46.5" customHeight="1">
      <c r="B87" s="282"/>
      <c r="C87" s="277"/>
      <c r="D87" s="369">
        <f t="shared" si="42"/>
        <v>6.31</v>
      </c>
      <c r="E87" s="276" t="s">
        <v>248</v>
      </c>
      <c r="F87" s="275" t="s">
        <v>119</v>
      </c>
      <c r="G87" s="341">
        <v>4</v>
      </c>
      <c r="H87" s="286">
        <f>'6.31'!$G$42</f>
        <v>195542</v>
      </c>
      <c r="I87" s="287">
        <f t="shared" si="43"/>
        <v>782168</v>
      </c>
      <c r="J87" s="1057"/>
      <c r="K87" s="483">
        <v>2</v>
      </c>
      <c r="L87" s="60">
        <v>4</v>
      </c>
      <c r="M87" s="480">
        <v>2</v>
      </c>
      <c r="N87" s="60">
        <f t="shared" si="45"/>
        <v>5</v>
      </c>
      <c r="O87" s="482" t="str">
        <f t="shared" si="44"/>
        <v/>
      </c>
      <c r="P87" s="482">
        <f t="shared" si="44"/>
        <v>196</v>
      </c>
      <c r="Q87" s="482">
        <f t="shared" si="44"/>
        <v>196</v>
      </c>
      <c r="R87" s="482">
        <f t="shared" si="44"/>
        <v>196</v>
      </c>
      <c r="S87" s="482">
        <f t="shared" si="44"/>
        <v>196</v>
      </c>
      <c r="T87" s="482" t="str">
        <f t="shared" si="44"/>
        <v/>
      </c>
      <c r="U87" s="482" t="str">
        <f t="shared" si="44"/>
        <v/>
      </c>
      <c r="V87" s="482" t="str">
        <f t="shared" si="44"/>
        <v/>
      </c>
      <c r="W87" s="482" t="str">
        <f t="shared" si="44"/>
        <v/>
      </c>
      <c r="X87" s="482" t="str">
        <f t="shared" si="44"/>
        <v/>
      </c>
      <c r="Y87" s="126"/>
      <c r="Z87" s="126"/>
      <c r="AA87" s="126"/>
      <c r="AB87" s="126"/>
      <c r="AC87" s="126"/>
      <c r="AD87" s="122"/>
    </row>
    <row r="88" spans="2:30" ht="46.5" customHeight="1">
      <c r="B88" s="282"/>
      <c r="C88" s="277"/>
      <c r="D88" s="369">
        <f t="shared" si="42"/>
        <v>6.32</v>
      </c>
      <c r="E88" s="276" t="s">
        <v>249</v>
      </c>
      <c r="F88" s="275" t="s">
        <v>119</v>
      </c>
      <c r="G88" s="341">
        <v>4</v>
      </c>
      <c r="H88" s="286">
        <f>'6.32'!$G$42</f>
        <v>225542</v>
      </c>
      <c r="I88" s="287">
        <f t="shared" si="43"/>
        <v>902168</v>
      </c>
      <c r="J88" s="1057"/>
      <c r="K88" s="483">
        <v>2</v>
      </c>
      <c r="L88" s="60">
        <v>4</v>
      </c>
      <c r="M88" s="480">
        <v>2</v>
      </c>
      <c r="N88" s="60">
        <f t="shared" si="45"/>
        <v>5</v>
      </c>
      <c r="O88" s="482" t="str">
        <f t="shared" si="44"/>
        <v/>
      </c>
      <c r="P88" s="482">
        <f t="shared" si="44"/>
        <v>226</v>
      </c>
      <c r="Q88" s="482">
        <f t="shared" si="44"/>
        <v>226</v>
      </c>
      <c r="R88" s="482">
        <f t="shared" si="44"/>
        <v>226</v>
      </c>
      <c r="S88" s="482">
        <f t="shared" si="44"/>
        <v>226</v>
      </c>
      <c r="T88" s="482" t="str">
        <f t="shared" si="44"/>
        <v/>
      </c>
      <c r="U88" s="482" t="str">
        <f t="shared" si="44"/>
        <v/>
      </c>
      <c r="V88" s="482" t="str">
        <f t="shared" si="44"/>
        <v/>
      </c>
      <c r="W88" s="482" t="str">
        <f t="shared" si="44"/>
        <v/>
      </c>
      <c r="X88" s="482" t="str">
        <f t="shared" si="44"/>
        <v/>
      </c>
      <c r="Y88" s="126"/>
      <c r="Z88" s="126"/>
      <c r="AA88" s="126"/>
      <c r="AB88" s="126"/>
      <c r="AC88" s="126"/>
      <c r="AD88" s="122"/>
    </row>
    <row r="89" spans="2:30" ht="46.5" customHeight="1">
      <c r="B89" s="282"/>
      <c r="C89" s="277"/>
      <c r="D89" s="369">
        <f t="shared" si="42"/>
        <v>6.33</v>
      </c>
      <c r="E89" s="276" t="s">
        <v>1017</v>
      </c>
      <c r="F89" s="275" t="s">
        <v>119</v>
      </c>
      <c r="G89" s="341">
        <v>4</v>
      </c>
      <c r="H89" s="286">
        <f>'6.33'!$G$42</f>
        <v>678994</v>
      </c>
      <c r="I89" s="287">
        <f t="shared" si="43"/>
        <v>2715976</v>
      </c>
      <c r="J89" s="1057"/>
      <c r="K89" s="483">
        <v>2</v>
      </c>
      <c r="L89" s="60">
        <v>4</v>
      </c>
      <c r="M89" s="480">
        <v>2</v>
      </c>
      <c r="N89" s="60">
        <f t="shared" si="45"/>
        <v>5</v>
      </c>
      <c r="O89" s="482" t="str">
        <f t="shared" ref="O89:X95" si="46">IF($L89="","",IF(OR(O$9&lt;$M89,O$9&gt;$N89),"",IF($K89=1,IF((O$9/$M89)=1,($I89/1000)/(($L89)*2)*$L89*1.3,IF((O$9/$M89)&gt;1,($I89/1000)/(($L89)*2)*$L89*(0.7/($L89-1)))),IF($K89=2,($I89/1000)/$L89,IF($K89=3,IF((O$9/$N89)=1,($I89/1000)/(($L89)*2)*$L89*1.3,IF((O$9/$N89)&lt;1,($I89/1000)/(($L89)*2)*$L89*(0.7/($L89-1)))))))))</f>
        <v/>
      </c>
      <c r="P89" s="482">
        <f t="shared" si="46"/>
        <v>679</v>
      </c>
      <c r="Q89" s="482">
        <f t="shared" si="46"/>
        <v>679</v>
      </c>
      <c r="R89" s="482">
        <f t="shared" si="46"/>
        <v>679</v>
      </c>
      <c r="S89" s="482">
        <f t="shared" si="46"/>
        <v>679</v>
      </c>
      <c r="T89" s="482" t="str">
        <f t="shared" si="46"/>
        <v/>
      </c>
      <c r="U89" s="482" t="str">
        <f t="shared" si="46"/>
        <v/>
      </c>
      <c r="V89" s="482" t="str">
        <f t="shared" si="46"/>
        <v/>
      </c>
      <c r="W89" s="482" t="str">
        <f t="shared" si="46"/>
        <v/>
      </c>
      <c r="X89" s="482" t="str">
        <f t="shared" si="46"/>
        <v/>
      </c>
      <c r="Y89" s="126"/>
      <c r="Z89" s="126"/>
      <c r="AA89" s="126"/>
      <c r="AB89" s="126"/>
      <c r="AC89" s="126"/>
      <c r="AD89" s="122"/>
    </row>
    <row r="90" spans="2:30" ht="46.5" customHeight="1">
      <c r="B90" s="282"/>
      <c r="C90" s="277"/>
      <c r="D90" s="369">
        <f t="shared" si="42"/>
        <v>6.34</v>
      </c>
      <c r="E90" s="276" t="s">
        <v>1018</v>
      </c>
      <c r="F90" s="275" t="s">
        <v>119</v>
      </c>
      <c r="G90" s="341">
        <f>MC!C78</f>
        <v>231</v>
      </c>
      <c r="H90" s="286">
        <f>'6.34'!$G$42</f>
        <v>69871</v>
      </c>
      <c r="I90" s="287">
        <f t="shared" si="43"/>
        <v>16140201</v>
      </c>
      <c r="J90" s="1057"/>
      <c r="K90" s="483">
        <v>2</v>
      </c>
      <c r="L90" s="60">
        <v>4</v>
      </c>
      <c r="M90" s="480">
        <v>2</v>
      </c>
      <c r="N90" s="60">
        <f t="shared" si="45"/>
        <v>5</v>
      </c>
      <c r="O90" s="482" t="str">
        <f t="shared" si="46"/>
        <v/>
      </c>
      <c r="P90" s="482">
        <f t="shared" si="46"/>
        <v>4035</v>
      </c>
      <c r="Q90" s="482">
        <f t="shared" si="46"/>
        <v>4035</v>
      </c>
      <c r="R90" s="482">
        <f t="shared" si="46"/>
        <v>4035</v>
      </c>
      <c r="S90" s="482">
        <f t="shared" si="46"/>
        <v>4035</v>
      </c>
      <c r="T90" s="482" t="str">
        <f t="shared" si="46"/>
        <v/>
      </c>
      <c r="U90" s="482" t="str">
        <f t="shared" si="46"/>
        <v/>
      </c>
      <c r="V90" s="482" t="str">
        <f t="shared" si="46"/>
        <v/>
      </c>
      <c r="W90" s="482" t="str">
        <f t="shared" si="46"/>
        <v/>
      </c>
      <c r="X90" s="482" t="str">
        <f t="shared" si="46"/>
        <v/>
      </c>
      <c r="Y90" s="126"/>
      <c r="Z90" s="126"/>
      <c r="AA90" s="126"/>
      <c r="AB90" s="126"/>
      <c r="AC90" s="126"/>
      <c r="AD90" s="122"/>
    </row>
    <row r="91" spans="2:30" ht="46.5" customHeight="1">
      <c r="B91" s="282"/>
      <c r="C91" s="277"/>
      <c r="D91" s="369">
        <f t="shared" si="42"/>
        <v>6.35</v>
      </c>
      <c r="E91" s="276" t="s">
        <v>1019</v>
      </c>
      <c r="F91" s="275" t="s">
        <v>119</v>
      </c>
      <c r="G91" s="341">
        <f>MC!C79</f>
        <v>110</v>
      </c>
      <c r="H91" s="286">
        <f>'6.35'!$G$42</f>
        <v>103802</v>
      </c>
      <c r="I91" s="287">
        <f t="shared" si="43"/>
        <v>11418220</v>
      </c>
      <c r="J91" s="1057"/>
      <c r="K91" s="483">
        <v>2</v>
      </c>
      <c r="L91" s="60">
        <v>4</v>
      </c>
      <c r="M91" s="480">
        <v>2</v>
      </c>
      <c r="N91" s="60">
        <f t="shared" si="45"/>
        <v>5</v>
      </c>
      <c r="O91" s="482" t="str">
        <f t="shared" si="46"/>
        <v/>
      </c>
      <c r="P91" s="482">
        <f t="shared" si="46"/>
        <v>2855</v>
      </c>
      <c r="Q91" s="482">
        <f t="shared" si="46"/>
        <v>2855</v>
      </c>
      <c r="R91" s="482">
        <f t="shared" si="46"/>
        <v>2855</v>
      </c>
      <c r="S91" s="482">
        <f t="shared" si="46"/>
        <v>2855</v>
      </c>
      <c r="T91" s="482" t="str">
        <f t="shared" si="46"/>
        <v/>
      </c>
      <c r="U91" s="482" t="str">
        <f t="shared" si="46"/>
        <v/>
      </c>
      <c r="V91" s="482" t="str">
        <f t="shared" si="46"/>
        <v/>
      </c>
      <c r="W91" s="482" t="str">
        <f t="shared" si="46"/>
        <v/>
      </c>
      <c r="X91" s="482" t="str">
        <f t="shared" si="46"/>
        <v/>
      </c>
      <c r="Y91" s="126"/>
      <c r="Z91" s="126"/>
      <c r="AA91" s="126"/>
      <c r="AB91" s="126"/>
      <c r="AC91" s="126"/>
      <c r="AD91" s="122"/>
    </row>
    <row r="92" spans="2:30" ht="46.5" customHeight="1">
      <c r="B92" s="282"/>
      <c r="C92" s="277"/>
      <c r="D92" s="369">
        <f t="shared" si="42"/>
        <v>6.36</v>
      </c>
      <c r="E92" s="276" t="s">
        <v>1020</v>
      </c>
      <c r="F92" s="275" t="s">
        <v>119</v>
      </c>
      <c r="G92" s="341">
        <f>MC!C80</f>
        <v>149</v>
      </c>
      <c r="H92" s="286">
        <f>'6.36'!$G$42</f>
        <v>210906</v>
      </c>
      <c r="I92" s="287">
        <f t="shared" si="43"/>
        <v>31424994</v>
      </c>
      <c r="J92" s="1057"/>
      <c r="K92" s="483">
        <v>2</v>
      </c>
      <c r="L92" s="60">
        <v>4</v>
      </c>
      <c r="M92" s="480">
        <v>2</v>
      </c>
      <c r="N92" s="60">
        <f t="shared" si="45"/>
        <v>5</v>
      </c>
      <c r="O92" s="482" t="str">
        <f t="shared" si="46"/>
        <v/>
      </c>
      <c r="P92" s="482">
        <f t="shared" si="46"/>
        <v>7856</v>
      </c>
      <c r="Q92" s="482">
        <f t="shared" si="46"/>
        <v>7856</v>
      </c>
      <c r="R92" s="482">
        <f t="shared" si="46"/>
        <v>7856</v>
      </c>
      <c r="S92" s="482">
        <f t="shared" si="46"/>
        <v>7856</v>
      </c>
      <c r="T92" s="482" t="str">
        <f t="shared" si="46"/>
        <v/>
      </c>
      <c r="U92" s="482" t="str">
        <f t="shared" si="46"/>
        <v/>
      </c>
      <c r="V92" s="482" t="str">
        <f t="shared" si="46"/>
        <v/>
      </c>
      <c r="W92" s="482" t="str">
        <f t="shared" si="46"/>
        <v/>
      </c>
      <c r="X92" s="482" t="str">
        <f t="shared" si="46"/>
        <v/>
      </c>
      <c r="Y92" s="126"/>
      <c r="Z92" s="126"/>
      <c r="AA92" s="126"/>
      <c r="AB92" s="126"/>
      <c r="AC92" s="126"/>
      <c r="AD92" s="122"/>
    </row>
    <row r="93" spans="2:30" ht="46.5" customHeight="1">
      <c r="B93" s="282"/>
      <c r="C93" s="277"/>
      <c r="D93" s="369">
        <f t="shared" si="42"/>
        <v>6.37</v>
      </c>
      <c r="E93" s="276" t="s">
        <v>1021</v>
      </c>
      <c r="F93" s="275" t="s">
        <v>119</v>
      </c>
      <c r="G93" s="341">
        <f>MC!C81</f>
        <v>86</v>
      </c>
      <c r="H93" s="286">
        <f>'6.37'!$G$42</f>
        <v>615999</v>
      </c>
      <c r="I93" s="287">
        <f t="shared" si="43"/>
        <v>52975914</v>
      </c>
      <c r="J93" s="1057"/>
      <c r="K93" s="483">
        <v>2</v>
      </c>
      <c r="L93" s="60">
        <v>4</v>
      </c>
      <c r="M93" s="480">
        <v>2</v>
      </c>
      <c r="N93" s="60">
        <f t="shared" si="45"/>
        <v>5</v>
      </c>
      <c r="O93" s="482" t="str">
        <f t="shared" si="46"/>
        <v/>
      </c>
      <c r="P93" s="482">
        <f t="shared" si="46"/>
        <v>13244</v>
      </c>
      <c r="Q93" s="482">
        <f t="shared" si="46"/>
        <v>13244</v>
      </c>
      <c r="R93" s="482">
        <f t="shared" si="46"/>
        <v>13244</v>
      </c>
      <c r="S93" s="482">
        <f t="shared" si="46"/>
        <v>13244</v>
      </c>
      <c r="T93" s="482" t="str">
        <f t="shared" si="46"/>
        <v/>
      </c>
      <c r="U93" s="482" t="str">
        <f t="shared" si="46"/>
        <v/>
      </c>
      <c r="V93" s="482" t="str">
        <f t="shared" si="46"/>
        <v/>
      </c>
      <c r="W93" s="482" t="str">
        <f t="shared" si="46"/>
        <v/>
      </c>
      <c r="X93" s="482" t="str">
        <f t="shared" si="46"/>
        <v/>
      </c>
      <c r="Y93" s="126"/>
      <c r="Z93" s="126"/>
      <c r="AA93" s="126"/>
      <c r="AB93" s="126"/>
      <c r="AC93" s="126"/>
      <c r="AD93" s="122"/>
    </row>
    <row r="94" spans="2:30" ht="46.5" customHeight="1">
      <c r="B94" s="282"/>
      <c r="C94" s="277"/>
      <c r="D94" s="369">
        <f t="shared" si="42"/>
        <v>6.38</v>
      </c>
      <c r="E94" s="276" t="s">
        <v>1022</v>
      </c>
      <c r="F94" s="275" t="s">
        <v>119</v>
      </c>
      <c r="G94" s="341">
        <f>MC!C82</f>
        <v>60</v>
      </c>
      <c r="H94" s="286">
        <f>'6.38'!$G$42</f>
        <v>2650992</v>
      </c>
      <c r="I94" s="287">
        <f t="shared" si="43"/>
        <v>159059520</v>
      </c>
      <c r="J94" s="1057"/>
      <c r="K94" s="483">
        <v>2</v>
      </c>
      <c r="L94" s="60">
        <v>4</v>
      </c>
      <c r="M94" s="480">
        <v>2</v>
      </c>
      <c r="N94" s="60">
        <f t="shared" si="45"/>
        <v>5</v>
      </c>
      <c r="O94" s="482" t="str">
        <f t="shared" si="46"/>
        <v/>
      </c>
      <c r="P94" s="482">
        <f t="shared" si="46"/>
        <v>39765</v>
      </c>
      <c r="Q94" s="482">
        <f t="shared" si="46"/>
        <v>39765</v>
      </c>
      <c r="R94" s="482">
        <f t="shared" si="46"/>
        <v>39765</v>
      </c>
      <c r="S94" s="482">
        <f t="shared" si="46"/>
        <v>39765</v>
      </c>
      <c r="T94" s="482" t="str">
        <f t="shared" si="46"/>
        <v/>
      </c>
      <c r="U94" s="482" t="str">
        <f t="shared" si="46"/>
        <v/>
      </c>
      <c r="V94" s="482" t="str">
        <f t="shared" si="46"/>
        <v/>
      </c>
      <c r="W94" s="482" t="str">
        <f t="shared" si="46"/>
        <v/>
      </c>
      <c r="X94" s="482" t="str">
        <f t="shared" si="46"/>
        <v/>
      </c>
      <c r="Y94" s="126"/>
      <c r="Z94" s="126"/>
      <c r="AA94" s="126"/>
      <c r="AB94" s="126"/>
      <c r="AC94" s="126"/>
      <c r="AD94" s="122"/>
    </row>
    <row r="95" spans="2:30" ht="46.5" customHeight="1">
      <c r="B95" s="282"/>
      <c r="C95" s="277"/>
      <c r="D95" s="369">
        <f t="shared" si="42"/>
        <v>6.39</v>
      </c>
      <c r="E95" s="276" t="s">
        <v>1024</v>
      </c>
      <c r="F95" s="275" t="s">
        <v>119</v>
      </c>
      <c r="G95" s="341">
        <f>MC!C84</f>
        <v>7</v>
      </c>
      <c r="H95" s="286">
        <f>'6.39'!$G$42</f>
        <v>383969</v>
      </c>
      <c r="I95" s="287">
        <f t="shared" si="43"/>
        <v>2687783</v>
      </c>
      <c r="J95" s="1057"/>
      <c r="K95" s="483">
        <v>2</v>
      </c>
      <c r="L95" s="60">
        <v>4</v>
      </c>
      <c r="M95" s="480">
        <v>2</v>
      </c>
      <c r="N95" s="60">
        <f t="shared" si="45"/>
        <v>5</v>
      </c>
      <c r="O95" s="482" t="str">
        <f t="shared" si="46"/>
        <v/>
      </c>
      <c r="P95" s="482">
        <f t="shared" si="46"/>
        <v>672</v>
      </c>
      <c r="Q95" s="482">
        <f t="shared" si="46"/>
        <v>672</v>
      </c>
      <c r="R95" s="482">
        <f t="shared" si="46"/>
        <v>672</v>
      </c>
      <c r="S95" s="482">
        <f t="shared" si="46"/>
        <v>672</v>
      </c>
      <c r="T95" s="482" t="str">
        <f t="shared" si="46"/>
        <v/>
      </c>
      <c r="U95" s="482" t="str">
        <f t="shared" si="46"/>
        <v/>
      </c>
      <c r="V95" s="482" t="str">
        <f t="shared" si="46"/>
        <v/>
      </c>
      <c r="W95" s="482" t="str">
        <f t="shared" si="46"/>
        <v/>
      </c>
      <c r="X95" s="482" t="str">
        <f t="shared" si="46"/>
        <v/>
      </c>
      <c r="Y95" s="126"/>
      <c r="Z95" s="126"/>
      <c r="AA95" s="126"/>
      <c r="AB95" s="126"/>
      <c r="AC95" s="126"/>
      <c r="AD95" s="122"/>
    </row>
    <row r="96" spans="2:30" ht="46.5" customHeight="1">
      <c r="B96" s="282"/>
      <c r="C96" s="277"/>
      <c r="D96" s="370" t="s">
        <v>1268</v>
      </c>
      <c r="E96" s="276" t="s">
        <v>1025</v>
      </c>
      <c r="F96" s="275" t="s">
        <v>119</v>
      </c>
      <c r="G96" s="341">
        <f>MC!C85</f>
        <v>4</v>
      </c>
      <c r="H96" s="286">
        <f>'6.40'!$G$42</f>
        <v>462623</v>
      </c>
      <c r="I96" s="287">
        <f t="shared" si="43"/>
        <v>1850492</v>
      </c>
      <c r="J96" s="1057"/>
      <c r="K96" s="483"/>
      <c r="L96" s="60"/>
      <c r="M96" s="480"/>
      <c r="N96" s="60"/>
      <c r="O96" s="482"/>
      <c r="P96" s="482"/>
      <c r="Q96" s="482"/>
      <c r="R96" s="482"/>
      <c r="S96" s="482"/>
      <c r="T96" s="482"/>
      <c r="U96" s="482"/>
      <c r="V96" s="482"/>
      <c r="W96" s="482"/>
      <c r="X96" s="482"/>
      <c r="Y96" s="126"/>
      <c r="Z96" s="126"/>
      <c r="AA96" s="126"/>
      <c r="AB96" s="126"/>
      <c r="AC96" s="126"/>
      <c r="AD96" s="122"/>
    </row>
    <row r="97" spans="2:30" ht="46.5" customHeight="1">
      <c r="B97" s="282"/>
      <c r="C97" s="277"/>
      <c r="D97" s="369">
        <f t="shared" si="42"/>
        <v>6.41</v>
      </c>
      <c r="E97" s="276" t="s">
        <v>1026</v>
      </c>
      <c r="F97" s="275" t="s">
        <v>119</v>
      </c>
      <c r="G97" s="341">
        <f>MC!C86</f>
        <v>5</v>
      </c>
      <c r="H97" s="286">
        <f>'6.41'!$G$42</f>
        <v>626798</v>
      </c>
      <c r="I97" s="287">
        <f t="shared" si="43"/>
        <v>3133990</v>
      </c>
      <c r="J97" s="1057"/>
      <c r="K97" s="483"/>
      <c r="L97" s="60"/>
      <c r="M97" s="480"/>
      <c r="N97" s="60"/>
      <c r="O97" s="482"/>
      <c r="P97" s="482"/>
      <c r="Q97" s="482"/>
      <c r="R97" s="482"/>
      <c r="S97" s="482"/>
      <c r="T97" s="482"/>
      <c r="U97" s="482"/>
      <c r="V97" s="482"/>
      <c r="W97" s="482"/>
      <c r="X97" s="482"/>
      <c r="Y97" s="126"/>
      <c r="Z97" s="126"/>
      <c r="AA97" s="126"/>
      <c r="AB97" s="126"/>
      <c r="AC97" s="126"/>
      <c r="AD97" s="122"/>
    </row>
    <row r="98" spans="2:30" ht="46.5" customHeight="1">
      <c r="B98" s="282"/>
      <c r="C98" s="277"/>
      <c r="D98" s="369">
        <f t="shared" si="42"/>
        <v>6.42</v>
      </c>
      <c r="E98" s="276" t="s">
        <v>1027</v>
      </c>
      <c r="F98" s="275" t="s">
        <v>119</v>
      </c>
      <c r="G98" s="341">
        <f>MC!C87</f>
        <v>3</v>
      </c>
      <c r="H98" s="286">
        <f>'6.42'!$G$42</f>
        <v>1556771</v>
      </c>
      <c r="I98" s="287">
        <f t="shared" si="43"/>
        <v>4670313</v>
      </c>
      <c r="J98" s="1057"/>
      <c r="K98" s="483"/>
      <c r="L98" s="60"/>
      <c r="M98" s="480"/>
      <c r="N98" s="60"/>
      <c r="O98" s="482"/>
      <c r="P98" s="482"/>
      <c r="Q98" s="482"/>
      <c r="R98" s="482"/>
      <c r="S98" s="482"/>
      <c r="T98" s="482"/>
      <c r="U98" s="482"/>
      <c r="V98" s="482"/>
      <c r="W98" s="482"/>
      <c r="X98" s="482"/>
      <c r="Y98" s="126"/>
      <c r="Z98" s="126"/>
      <c r="AA98" s="126"/>
      <c r="AB98" s="126"/>
      <c r="AC98" s="126"/>
      <c r="AD98" s="122"/>
    </row>
    <row r="99" spans="2:30" ht="46.5" customHeight="1">
      <c r="B99" s="282"/>
      <c r="C99" s="277"/>
      <c r="D99" s="369">
        <f t="shared" si="42"/>
        <v>6.43</v>
      </c>
      <c r="E99" s="276" t="s">
        <v>1028</v>
      </c>
      <c r="F99" s="275" t="s">
        <v>119</v>
      </c>
      <c r="G99" s="341">
        <f>MC!C88</f>
        <v>2</v>
      </c>
      <c r="H99" s="286">
        <f>'6.43'!$G$42</f>
        <v>2962913</v>
      </c>
      <c r="I99" s="287">
        <f t="shared" si="43"/>
        <v>5925826</v>
      </c>
      <c r="J99" s="1057"/>
      <c r="K99" s="483"/>
      <c r="L99" s="60"/>
      <c r="M99" s="480"/>
      <c r="N99" s="60"/>
      <c r="O99" s="482"/>
      <c r="P99" s="482"/>
      <c r="Q99" s="482"/>
      <c r="R99" s="482"/>
      <c r="S99" s="482"/>
      <c r="T99" s="482"/>
      <c r="U99" s="482"/>
      <c r="V99" s="482"/>
      <c r="W99" s="482"/>
      <c r="X99" s="482"/>
      <c r="Y99" s="126"/>
      <c r="Z99" s="126"/>
      <c r="AA99" s="126"/>
      <c r="AB99" s="126"/>
      <c r="AC99" s="126"/>
      <c r="AD99" s="122"/>
    </row>
    <row r="100" spans="2:30" ht="20.25">
      <c r="B100" s="282"/>
      <c r="C100" s="277"/>
      <c r="D100" s="369"/>
      <c r="E100" s="276" t="s">
        <v>276</v>
      </c>
      <c r="F100" s="275"/>
      <c r="G100" s="341"/>
      <c r="H100" s="286"/>
      <c r="I100" s="287"/>
      <c r="J100" s="1057"/>
      <c r="K100" s="483"/>
      <c r="L100" s="60"/>
      <c r="M100" s="480"/>
      <c r="N100" s="60"/>
      <c r="O100" s="482"/>
      <c r="P100" s="482"/>
      <c r="Q100" s="482"/>
      <c r="R100" s="482"/>
      <c r="S100" s="482"/>
      <c r="T100" s="482"/>
      <c r="U100" s="482"/>
      <c r="V100" s="482"/>
      <c r="W100" s="482"/>
      <c r="X100" s="482"/>
      <c r="Y100" s="126"/>
      <c r="Z100" s="126"/>
      <c r="AA100" s="126"/>
      <c r="AB100" s="126"/>
      <c r="AC100" s="126"/>
      <c r="AD100" s="122"/>
    </row>
    <row r="101" spans="2:30" ht="20.25">
      <c r="B101" s="282"/>
      <c r="C101" s="277"/>
      <c r="D101" s="369">
        <v>6.44</v>
      </c>
      <c r="E101" s="276" t="s">
        <v>255</v>
      </c>
      <c r="F101" s="275" t="s">
        <v>122</v>
      </c>
      <c r="G101" s="341">
        <f>MC!C554</f>
        <v>252.08</v>
      </c>
      <c r="H101" s="286">
        <f>'6.44'!G42</f>
        <v>587279</v>
      </c>
      <c r="I101" s="287">
        <f t="shared" si="43"/>
        <v>148041290</v>
      </c>
      <c r="J101" s="1057"/>
      <c r="K101" s="483">
        <v>2</v>
      </c>
      <c r="L101" s="60">
        <v>4</v>
      </c>
      <c r="M101" s="480">
        <v>2</v>
      </c>
      <c r="N101" s="60">
        <f t="shared" si="45"/>
        <v>5</v>
      </c>
      <c r="O101" s="482" t="str">
        <f t="shared" ref="O101:X110" si="47">IF($L101="","",IF(OR(O$9&lt;$M101,O$9&gt;$N101),"",IF($K101=1,IF((O$9/$M101)=1,($I101/1000)/(($L101)*2)*$L101*1.3,IF((O$9/$M101)&gt;1,($I101/1000)/(($L101)*2)*$L101*(0.7/($L101-1)))),IF($K101=2,($I101/1000)/$L101,IF($K101=3,IF((O$9/$N101)=1,($I101/1000)/(($L101)*2)*$L101*1.3,IF((O$9/$N101)&lt;1,($I101/1000)/(($L101)*2)*$L101*(0.7/($L101-1)))))))))</f>
        <v/>
      </c>
      <c r="P101" s="482">
        <f t="shared" si="47"/>
        <v>37010</v>
      </c>
      <c r="Q101" s="482">
        <f t="shared" si="47"/>
        <v>37010</v>
      </c>
      <c r="R101" s="482">
        <f t="shared" si="47"/>
        <v>37010</v>
      </c>
      <c r="S101" s="482">
        <f t="shared" si="47"/>
        <v>37010</v>
      </c>
      <c r="T101" s="482" t="str">
        <f t="shared" si="47"/>
        <v/>
      </c>
      <c r="U101" s="482" t="str">
        <f t="shared" si="47"/>
        <v/>
      </c>
      <c r="V101" s="482" t="str">
        <f t="shared" si="47"/>
        <v/>
      </c>
      <c r="W101" s="482" t="str">
        <f t="shared" si="47"/>
        <v/>
      </c>
      <c r="X101" s="482" t="str">
        <f t="shared" si="47"/>
        <v/>
      </c>
      <c r="Y101" s="126"/>
      <c r="Z101" s="126"/>
      <c r="AA101" s="126"/>
      <c r="AB101" s="126"/>
      <c r="AC101" s="126"/>
      <c r="AD101" s="122"/>
    </row>
    <row r="102" spans="2:30" ht="20.25">
      <c r="B102" s="282"/>
      <c r="C102" s="277"/>
      <c r="D102" s="369">
        <f t="shared" si="42"/>
        <v>6.45</v>
      </c>
      <c r="E102" s="276" t="s">
        <v>256</v>
      </c>
      <c r="F102" s="275" t="s">
        <v>122</v>
      </c>
      <c r="G102" s="341">
        <v>3</v>
      </c>
      <c r="H102" s="286">
        <f>'6.45'!G42</f>
        <v>788755</v>
      </c>
      <c r="I102" s="287">
        <f t="shared" si="43"/>
        <v>2366265</v>
      </c>
      <c r="J102" s="1057"/>
      <c r="K102" s="483">
        <v>2</v>
      </c>
      <c r="L102" s="60">
        <v>4</v>
      </c>
      <c r="M102" s="480">
        <v>2</v>
      </c>
      <c r="N102" s="60">
        <f t="shared" si="45"/>
        <v>5</v>
      </c>
      <c r="O102" s="482" t="str">
        <f t="shared" si="47"/>
        <v/>
      </c>
      <c r="P102" s="482">
        <f t="shared" si="47"/>
        <v>592</v>
      </c>
      <c r="Q102" s="482">
        <f t="shared" si="47"/>
        <v>592</v>
      </c>
      <c r="R102" s="482">
        <f t="shared" si="47"/>
        <v>592</v>
      </c>
      <c r="S102" s="482">
        <f t="shared" si="47"/>
        <v>592</v>
      </c>
      <c r="T102" s="482" t="str">
        <f t="shared" si="47"/>
        <v/>
      </c>
      <c r="U102" s="482" t="str">
        <f t="shared" si="47"/>
        <v/>
      </c>
      <c r="V102" s="482" t="str">
        <f t="shared" si="47"/>
        <v/>
      </c>
      <c r="W102" s="482" t="str">
        <f t="shared" si="47"/>
        <v/>
      </c>
      <c r="X102" s="482" t="str">
        <f t="shared" si="47"/>
        <v/>
      </c>
      <c r="Y102" s="126"/>
      <c r="Z102" s="126"/>
      <c r="AA102" s="126"/>
      <c r="AB102" s="126"/>
      <c r="AC102" s="126"/>
      <c r="AD102" s="122"/>
    </row>
    <row r="103" spans="2:30" ht="46.5" customHeight="1">
      <c r="B103" s="282"/>
      <c r="C103" s="277"/>
      <c r="D103" s="369">
        <f t="shared" si="42"/>
        <v>6.46</v>
      </c>
      <c r="E103" s="276" t="s">
        <v>499</v>
      </c>
      <c r="F103" s="275" t="s">
        <v>119</v>
      </c>
      <c r="G103" s="341">
        <f>MC!C564</f>
        <v>92</v>
      </c>
      <c r="H103" s="286">
        <f>'6.46'!G42</f>
        <v>548471</v>
      </c>
      <c r="I103" s="287">
        <f t="shared" si="43"/>
        <v>50459332</v>
      </c>
      <c r="J103" s="1057"/>
      <c r="K103" s="483">
        <v>2</v>
      </c>
      <c r="L103" s="60">
        <v>4</v>
      </c>
      <c r="M103" s="480">
        <v>2</v>
      </c>
      <c r="N103" s="60">
        <f t="shared" si="45"/>
        <v>5</v>
      </c>
      <c r="O103" s="482" t="str">
        <f t="shared" si="47"/>
        <v/>
      </c>
      <c r="P103" s="482">
        <f t="shared" si="47"/>
        <v>12615</v>
      </c>
      <c r="Q103" s="482">
        <f t="shared" si="47"/>
        <v>12615</v>
      </c>
      <c r="R103" s="482">
        <f t="shared" si="47"/>
        <v>12615</v>
      </c>
      <c r="S103" s="482">
        <f t="shared" si="47"/>
        <v>12615</v>
      </c>
      <c r="T103" s="482" t="str">
        <f t="shared" si="47"/>
        <v/>
      </c>
      <c r="U103" s="482" t="str">
        <f t="shared" si="47"/>
        <v/>
      </c>
      <c r="V103" s="482" t="str">
        <f t="shared" si="47"/>
        <v/>
      </c>
      <c r="W103" s="482" t="str">
        <f t="shared" si="47"/>
        <v/>
      </c>
      <c r="X103" s="482" t="str">
        <f t="shared" si="47"/>
        <v/>
      </c>
      <c r="Y103" s="126"/>
      <c r="Z103" s="126"/>
      <c r="AA103" s="126"/>
      <c r="AB103" s="126"/>
      <c r="AC103" s="126"/>
      <c r="AD103" s="122"/>
    </row>
    <row r="104" spans="2:30" ht="46.5" customHeight="1">
      <c r="B104" s="282"/>
      <c r="C104" s="277"/>
      <c r="D104" s="369">
        <f t="shared" si="42"/>
        <v>6.47</v>
      </c>
      <c r="E104" s="276" t="s">
        <v>500</v>
      </c>
      <c r="F104" s="275" t="s">
        <v>119</v>
      </c>
      <c r="G104" s="341">
        <v>1</v>
      </c>
      <c r="H104" s="286">
        <f>'6.47'!G42</f>
        <v>631625</v>
      </c>
      <c r="I104" s="287">
        <f t="shared" si="43"/>
        <v>631625</v>
      </c>
      <c r="J104" s="1057"/>
      <c r="K104" s="483">
        <v>2</v>
      </c>
      <c r="L104" s="60">
        <v>4</v>
      </c>
      <c r="M104" s="480">
        <v>2</v>
      </c>
      <c r="N104" s="60">
        <f t="shared" si="45"/>
        <v>5</v>
      </c>
      <c r="O104" s="482" t="str">
        <f t="shared" si="47"/>
        <v/>
      </c>
      <c r="P104" s="482">
        <f t="shared" si="47"/>
        <v>158</v>
      </c>
      <c r="Q104" s="482">
        <f t="shared" si="47"/>
        <v>158</v>
      </c>
      <c r="R104" s="482">
        <f t="shared" si="47"/>
        <v>158</v>
      </c>
      <c r="S104" s="482">
        <f t="shared" si="47"/>
        <v>158</v>
      </c>
      <c r="T104" s="482" t="str">
        <f t="shared" si="47"/>
        <v/>
      </c>
      <c r="U104" s="482" t="str">
        <f t="shared" si="47"/>
        <v/>
      </c>
      <c r="V104" s="482" t="str">
        <f t="shared" si="47"/>
        <v/>
      </c>
      <c r="W104" s="482" t="str">
        <f t="shared" si="47"/>
        <v/>
      </c>
      <c r="X104" s="482" t="str">
        <f t="shared" si="47"/>
        <v/>
      </c>
      <c r="Y104" s="126"/>
      <c r="Z104" s="126"/>
      <c r="AA104" s="126"/>
      <c r="AB104" s="126"/>
      <c r="AC104" s="126"/>
      <c r="AD104" s="122"/>
    </row>
    <row r="105" spans="2:30" ht="60.75">
      <c r="B105" s="282"/>
      <c r="C105" s="277"/>
      <c r="D105" s="369">
        <f t="shared" si="42"/>
        <v>6.48</v>
      </c>
      <c r="E105" s="276" t="s">
        <v>264</v>
      </c>
      <c r="F105" s="275" t="s">
        <v>119</v>
      </c>
      <c r="G105" s="341">
        <f>MC!C574</f>
        <v>92</v>
      </c>
      <c r="H105" s="286">
        <f>'6.48'!G42</f>
        <v>546900</v>
      </c>
      <c r="I105" s="287">
        <f t="shared" si="43"/>
        <v>50314800</v>
      </c>
      <c r="J105" s="1057"/>
      <c r="K105" s="483">
        <v>2</v>
      </c>
      <c r="L105" s="60">
        <v>4</v>
      </c>
      <c r="M105" s="480">
        <v>2</v>
      </c>
      <c r="N105" s="60">
        <f t="shared" si="45"/>
        <v>5</v>
      </c>
      <c r="O105" s="482" t="str">
        <f t="shared" si="47"/>
        <v/>
      </c>
      <c r="P105" s="482">
        <f t="shared" si="47"/>
        <v>12579</v>
      </c>
      <c r="Q105" s="482">
        <f t="shared" si="47"/>
        <v>12579</v>
      </c>
      <c r="R105" s="482">
        <f t="shared" si="47"/>
        <v>12579</v>
      </c>
      <c r="S105" s="482">
        <f t="shared" si="47"/>
        <v>12579</v>
      </c>
      <c r="T105" s="482" t="str">
        <f t="shared" si="47"/>
        <v/>
      </c>
      <c r="U105" s="482" t="str">
        <f t="shared" si="47"/>
        <v/>
      </c>
      <c r="V105" s="482" t="str">
        <f t="shared" si="47"/>
        <v/>
      </c>
      <c r="W105" s="482" t="str">
        <f t="shared" si="47"/>
        <v/>
      </c>
      <c r="X105" s="482" t="str">
        <f t="shared" si="47"/>
        <v/>
      </c>
      <c r="Y105" s="126"/>
      <c r="Z105" s="126"/>
      <c r="AA105" s="126"/>
      <c r="AB105" s="126"/>
      <c r="AC105" s="126"/>
      <c r="AD105" s="122"/>
    </row>
    <row r="106" spans="2:30" ht="60.75">
      <c r="B106" s="282"/>
      <c r="C106" s="277"/>
      <c r="D106" s="369">
        <f t="shared" si="42"/>
        <v>6.49</v>
      </c>
      <c r="E106" s="276" t="s">
        <v>265</v>
      </c>
      <c r="F106" s="275" t="s">
        <v>119</v>
      </c>
      <c r="G106" s="341">
        <v>1</v>
      </c>
      <c r="H106" s="286">
        <f>'6.49'!G42</f>
        <v>640317</v>
      </c>
      <c r="I106" s="287">
        <f t="shared" si="43"/>
        <v>640317</v>
      </c>
      <c r="J106" s="1057"/>
      <c r="K106" s="483">
        <v>2</v>
      </c>
      <c r="L106" s="60">
        <v>4</v>
      </c>
      <c r="M106" s="480">
        <v>2</v>
      </c>
      <c r="N106" s="60">
        <f t="shared" si="45"/>
        <v>5</v>
      </c>
      <c r="O106" s="482" t="str">
        <f t="shared" si="47"/>
        <v/>
      </c>
      <c r="P106" s="482">
        <f t="shared" si="47"/>
        <v>160</v>
      </c>
      <c r="Q106" s="482">
        <f t="shared" si="47"/>
        <v>160</v>
      </c>
      <c r="R106" s="482">
        <f t="shared" si="47"/>
        <v>160</v>
      </c>
      <c r="S106" s="482">
        <f t="shared" si="47"/>
        <v>160</v>
      </c>
      <c r="T106" s="482" t="str">
        <f t="shared" si="47"/>
        <v/>
      </c>
      <c r="U106" s="482" t="str">
        <f t="shared" si="47"/>
        <v/>
      </c>
      <c r="V106" s="482" t="str">
        <f t="shared" si="47"/>
        <v/>
      </c>
      <c r="W106" s="482" t="str">
        <f t="shared" si="47"/>
        <v/>
      </c>
      <c r="X106" s="482" t="str">
        <f t="shared" si="47"/>
        <v/>
      </c>
      <c r="Y106" s="126"/>
      <c r="Z106" s="126"/>
      <c r="AA106" s="126"/>
      <c r="AB106" s="126"/>
      <c r="AC106" s="126"/>
      <c r="AD106" s="122"/>
    </row>
    <row r="107" spans="2:30" ht="107.25" customHeight="1">
      <c r="B107" s="282"/>
      <c r="C107" s="277"/>
      <c r="D107" s="370" t="s">
        <v>1264</v>
      </c>
      <c r="E107" s="276" t="s">
        <v>278</v>
      </c>
      <c r="F107" s="275" t="s">
        <v>119</v>
      </c>
      <c r="G107" s="341">
        <f>MC!C582</f>
        <v>18</v>
      </c>
      <c r="H107" s="286">
        <f>'6.50'!G42</f>
        <v>5114595</v>
      </c>
      <c r="I107" s="287">
        <f t="shared" si="43"/>
        <v>92062710</v>
      </c>
      <c r="J107" s="1057"/>
      <c r="K107" s="483">
        <v>2</v>
      </c>
      <c r="L107" s="60">
        <v>4</v>
      </c>
      <c r="M107" s="480">
        <v>2</v>
      </c>
      <c r="N107" s="60">
        <f t="shared" ref="N107" si="48">IF(L107="","",M107+L107-1)</f>
        <v>5</v>
      </c>
      <c r="O107" s="482" t="str">
        <f t="shared" si="47"/>
        <v/>
      </c>
      <c r="P107" s="482">
        <f t="shared" si="47"/>
        <v>23016</v>
      </c>
      <c r="Q107" s="482">
        <f t="shared" si="47"/>
        <v>23016</v>
      </c>
      <c r="R107" s="482">
        <f t="shared" si="47"/>
        <v>23016</v>
      </c>
      <c r="S107" s="482">
        <f t="shared" si="47"/>
        <v>23016</v>
      </c>
      <c r="T107" s="482" t="str">
        <f t="shared" si="47"/>
        <v/>
      </c>
      <c r="U107" s="482" t="str">
        <f t="shared" si="47"/>
        <v/>
      </c>
      <c r="V107" s="482" t="str">
        <f t="shared" si="47"/>
        <v/>
      </c>
      <c r="W107" s="482" t="str">
        <f t="shared" si="47"/>
        <v/>
      </c>
      <c r="X107" s="482" t="str">
        <f t="shared" si="47"/>
        <v/>
      </c>
      <c r="Y107" s="126"/>
      <c r="Z107" s="126"/>
      <c r="AA107" s="126"/>
      <c r="AB107" s="126"/>
      <c r="AC107" s="126"/>
      <c r="AD107" s="122"/>
    </row>
    <row r="108" spans="2:30" ht="60.75">
      <c r="B108" s="282"/>
      <c r="C108" s="277"/>
      <c r="D108" s="369">
        <f t="shared" si="42"/>
        <v>6.51</v>
      </c>
      <c r="E108" s="276" t="s">
        <v>326</v>
      </c>
      <c r="F108" s="275" t="s">
        <v>122</v>
      </c>
      <c r="G108" s="341">
        <f>MC!$C$594</f>
        <v>5722</v>
      </c>
      <c r="H108" s="286">
        <f>'6.51'!$G$42</f>
        <v>46809</v>
      </c>
      <c r="I108" s="287">
        <f t="shared" si="43"/>
        <v>267841098</v>
      </c>
      <c r="J108" s="1057"/>
      <c r="K108" s="483">
        <v>2</v>
      </c>
      <c r="L108" s="60">
        <v>4</v>
      </c>
      <c r="M108" s="480">
        <v>2</v>
      </c>
      <c r="N108" s="60">
        <f t="shared" si="45"/>
        <v>5</v>
      </c>
      <c r="O108" s="482" t="str">
        <f t="shared" si="47"/>
        <v/>
      </c>
      <c r="P108" s="482">
        <f t="shared" si="47"/>
        <v>66960</v>
      </c>
      <c r="Q108" s="482">
        <f t="shared" si="47"/>
        <v>66960</v>
      </c>
      <c r="R108" s="482">
        <f t="shared" si="47"/>
        <v>66960</v>
      </c>
      <c r="S108" s="482">
        <f t="shared" si="47"/>
        <v>66960</v>
      </c>
      <c r="T108" s="482" t="str">
        <f t="shared" si="47"/>
        <v/>
      </c>
      <c r="U108" s="482" t="str">
        <f t="shared" si="47"/>
        <v/>
      </c>
      <c r="V108" s="482" t="str">
        <f t="shared" si="47"/>
        <v/>
      </c>
      <c r="W108" s="482" t="str">
        <f t="shared" si="47"/>
        <v/>
      </c>
      <c r="X108" s="482" t="str">
        <f t="shared" si="47"/>
        <v/>
      </c>
      <c r="Y108" s="126"/>
      <c r="Z108" s="126"/>
      <c r="AA108" s="126"/>
      <c r="AB108" s="126"/>
      <c r="AC108" s="126"/>
      <c r="AD108" s="122"/>
    </row>
    <row r="109" spans="2:30" ht="40.5">
      <c r="B109" s="282"/>
      <c r="C109" s="277"/>
      <c r="D109" s="369">
        <f t="shared" si="42"/>
        <v>6.52</v>
      </c>
      <c r="E109" s="276" t="s">
        <v>331</v>
      </c>
      <c r="F109" s="275" t="s">
        <v>122</v>
      </c>
      <c r="G109" s="341">
        <f>MC!C603</f>
        <v>406</v>
      </c>
      <c r="H109" s="286">
        <f>'6.52'!$G$42</f>
        <v>164597</v>
      </c>
      <c r="I109" s="287">
        <f t="shared" ref="I109" si="49">+G109*H109</f>
        <v>66826382</v>
      </c>
      <c r="J109" s="1057"/>
      <c r="K109" s="483">
        <v>2</v>
      </c>
      <c r="L109" s="60">
        <v>4</v>
      </c>
      <c r="M109" s="480">
        <v>2</v>
      </c>
      <c r="N109" s="60">
        <f t="shared" ref="N109" si="50">IF(L109="","",M109+L109-1)</f>
        <v>5</v>
      </c>
      <c r="O109" s="482" t="str">
        <f t="shared" si="47"/>
        <v/>
      </c>
      <c r="P109" s="482">
        <f t="shared" si="47"/>
        <v>16707</v>
      </c>
      <c r="Q109" s="482">
        <f t="shared" si="47"/>
        <v>16707</v>
      </c>
      <c r="R109" s="482">
        <f t="shared" si="47"/>
        <v>16707</v>
      </c>
      <c r="S109" s="482">
        <f t="shared" si="47"/>
        <v>16707</v>
      </c>
      <c r="T109" s="482" t="str">
        <f t="shared" si="47"/>
        <v/>
      </c>
      <c r="U109" s="482" t="str">
        <f t="shared" si="47"/>
        <v/>
      </c>
      <c r="V109" s="482" t="str">
        <f t="shared" si="47"/>
        <v/>
      </c>
      <c r="W109" s="482" t="str">
        <f t="shared" si="47"/>
        <v/>
      </c>
      <c r="X109" s="482" t="str">
        <f t="shared" si="47"/>
        <v/>
      </c>
      <c r="Y109" s="126"/>
      <c r="Z109" s="126"/>
      <c r="AA109" s="126"/>
      <c r="AB109" s="126"/>
      <c r="AC109" s="126"/>
      <c r="AD109" s="122"/>
    </row>
    <row r="110" spans="2:30" ht="40.5">
      <c r="B110" s="282"/>
      <c r="C110" s="277"/>
      <c r="D110" s="369">
        <f t="shared" si="42"/>
        <v>6.53</v>
      </c>
      <c r="E110" s="276" t="s">
        <v>332</v>
      </c>
      <c r="F110" s="275" t="s">
        <v>122</v>
      </c>
      <c r="G110" s="341">
        <f>MC!C604</f>
        <v>51</v>
      </c>
      <c r="H110" s="286">
        <f>'6.53'!$G$42</f>
        <v>176097</v>
      </c>
      <c r="I110" s="287">
        <f t="shared" ref="I110:I111" si="51">+G110*H110</f>
        <v>8980947</v>
      </c>
      <c r="J110" s="1057"/>
      <c r="K110" s="483">
        <v>2</v>
      </c>
      <c r="L110" s="60">
        <v>4</v>
      </c>
      <c r="M110" s="480">
        <v>2</v>
      </c>
      <c r="N110" s="60">
        <f t="shared" ref="N110" si="52">IF(L110="","",M110+L110-1)</f>
        <v>5</v>
      </c>
      <c r="O110" s="482" t="str">
        <f t="shared" si="47"/>
        <v/>
      </c>
      <c r="P110" s="482">
        <f t="shared" si="47"/>
        <v>2245</v>
      </c>
      <c r="Q110" s="482">
        <f t="shared" si="47"/>
        <v>2245</v>
      </c>
      <c r="R110" s="482">
        <f t="shared" si="47"/>
        <v>2245</v>
      </c>
      <c r="S110" s="482">
        <f t="shared" si="47"/>
        <v>2245</v>
      </c>
      <c r="T110" s="482" t="str">
        <f t="shared" si="47"/>
        <v/>
      </c>
      <c r="U110" s="482" t="str">
        <f t="shared" si="47"/>
        <v/>
      </c>
      <c r="V110" s="482" t="str">
        <f t="shared" si="47"/>
        <v/>
      </c>
      <c r="W110" s="482" t="str">
        <f t="shared" si="47"/>
        <v/>
      </c>
      <c r="X110" s="482" t="str">
        <f t="shared" si="47"/>
        <v/>
      </c>
      <c r="Y110" s="126"/>
      <c r="Z110" s="126"/>
      <c r="AA110" s="126"/>
      <c r="AB110" s="126"/>
      <c r="AC110" s="126"/>
      <c r="AD110" s="122"/>
    </row>
    <row r="111" spans="2:30" ht="40.5">
      <c r="B111" s="282"/>
      <c r="C111" s="277"/>
      <c r="D111" s="369">
        <f t="shared" si="42"/>
        <v>6.54</v>
      </c>
      <c r="E111" s="276" t="s">
        <v>878</v>
      </c>
      <c r="F111" s="275" t="s">
        <v>122</v>
      </c>
      <c r="G111" s="341">
        <f>MC!C605</f>
        <v>27</v>
      </c>
      <c r="H111" s="286">
        <f>'6.54'!$G$42</f>
        <v>204377</v>
      </c>
      <c r="I111" s="287">
        <f t="shared" si="51"/>
        <v>5518179</v>
      </c>
      <c r="J111" s="1057"/>
      <c r="K111" s="483">
        <v>2</v>
      </c>
      <c r="L111" s="60">
        <v>4</v>
      </c>
      <c r="M111" s="480">
        <v>2</v>
      </c>
      <c r="N111" s="60">
        <f t="shared" ref="N111" si="53">IF(L111="","",M111+L111-1)</f>
        <v>5</v>
      </c>
      <c r="O111" s="482" t="str">
        <f t="shared" ref="O111:X123" si="54">IF($L111="","",IF(OR(O$9&lt;$M111,O$9&gt;$N111),"",IF($K111=1,IF((O$9/$M111)=1,($I111/1000)/(($L111)*2)*$L111*1.3,IF((O$9/$M111)&gt;1,($I111/1000)/(($L111)*2)*$L111*(0.7/($L111-1)))),IF($K111=2,($I111/1000)/$L111,IF($K111=3,IF((O$9/$N111)=1,($I111/1000)/(($L111)*2)*$L111*1.3,IF((O$9/$N111)&lt;1,($I111/1000)/(($L111)*2)*$L111*(0.7/($L111-1)))))))))</f>
        <v/>
      </c>
      <c r="P111" s="482">
        <f t="shared" si="54"/>
        <v>1380</v>
      </c>
      <c r="Q111" s="482">
        <f t="shared" si="54"/>
        <v>1380</v>
      </c>
      <c r="R111" s="482">
        <f t="shared" si="54"/>
        <v>1380</v>
      </c>
      <c r="S111" s="482">
        <f t="shared" si="54"/>
        <v>1380</v>
      </c>
      <c r="T111" s="482" t="str">
        <f t="shared" si="54"/>
        <v/>
      </c>
      <c r="U111" s="482" t="str">
        <f t="shared" si="54"/>
        <v/>
      </c>
      <c r="V111" s="482" t="str">
        <f t="shared" si="54"/>
        <v/>
      </c>
      <c r="W111" s="482" t="str">
        <f t="shared" si="54"/>
        <v/>
      </c>
      <c r="X111" s="482" t="str">
        <f t="shared" si="54"/>
        <v/>
      </c>
      <c r="Y111" s="126"/>
      <c r="Z111" s="126"/>
      <c r="AA111" s="126"/>
      <c r="AB111" s="126"/>
      <c r="AC111" s="126"/>
      <c r="AD111" s="122"/>
    </row>
    <row r="112" spans="2:30" ht="40.5">
      <c r="B112" s="282"/>
      <c r="C112" s="277"/>
      <c r="D112" s="369">
        <f t="shared" si="42"/>
        <v>6.55</v>
      </c>
      <c r="E112" s="276" t="s">
        <v>333</v>
      </c>
      <c r="F112" s="275" t="s">
        <v>122</v>
      </c>
      <c r="G112" s="341">
        <f>MC!C605</f>
        <v>27</v>
      </c>
      <c r="H112" s="286">
        <f>'6.55'!$G$42</f>
        <v>259997</v>
      </c>
      <c r="I112" s="287">
        <f t="shared" ref="I112" si="55">+G112*H112</f>
        <v>7019919</v>
      </c>
      <c r="J112" s="1057"/>
      <c r="K112" s="483">
        <v>2</v>
      </c>
      <c r="L112" s="60">
        <v>4</v>
      </c>
      <c r="M112" s="480">
        <v>2</v>
      </c>
      <c r="N112" s="60">
        <f t="shared" ref="N112" si="56">IF(L112="","",M112+L112-1)</f>
        <v>5</v>
      </c>
      <c r="O112" s="482" t="str">
        <f t="shared" si="54"/>
        <v/>
      </c>
      <c r="P112" s="482">
        <f t="shared" si="54"/>
        <v>1755</v>
      </c>
      <c r="Q112" s="482">
        <f t="shared" si="54"/>
        <v>1755</v>
      </c>
      <c r="R112" s="482">
        <f t="shared" si="54"/>
        <v>1755</v>
      </c>
      <c r="S112" s="482">
        <f t="shared" si="54"/>
        <v>1755</v>
      </c>
      <c r="T112" s="482" t="str">
        <f t="shared" si="54"/>
        <v/>
      </c>
      <c r="U112" s="482" t="str">
        <f t="shared" si="54"/>
        <v/>
      </c>
      <c r="V112" s="482" t="str">
        <f t="shared" si="54"/>
        <v/>
      </c>
      <c r="W112" s="482" t="str">
        <f t="shared" si="54"/>
        <v/>
      </c>
      <c r="X112" s="482" t="str">
        <f t="shared" si="54"/>
        <v/>
      </c>
      <c r="Y112" s="126"/>
      <c r="Z112" s="126"/>
      <c r="AA112" s="126"/>
      <c r="AB112" s="126"/>
      <c r="AC112" s="126"/>
      <c r="AD112" s="122"/>
    </row>
    <row r="113" spans="2:33" ht="40.5">
      <c r="B113" s="282"/>
      <c r="C113" s="277"/>
      <c r="D113" s="369">
        <f t="shared" si="42"/>
        <v>6.56</v>
      </c>
      <c r="E113" s="276" t="s">
        <v>334</v>
      </c>
      <c r="F113" s="275" t="s">
        <v>122</v>
      </c>
      <c r="G113" s="341">
        <f>MC!C606</f>
        <v>67</v>
      </c>
      <c r="H113" s="286">
        <f>'6.56'!$G$42</f>
        <v>295297</v>
      </c>
      <c r="I113" s="287">
        <f t="shared" ref="I113" si="57">+G113*H113</f>
        <v>19784899</v>
      </c>
      <c r="J113" s="1057"/>
      <c r="K113" s="483">
        <v>2</v>
      </c>
      <c r="L113" s="60">
        <v>4</v>
      </c>
      <c r="M113" s="480">
        <v>2</v>
      </c>
      <c r="N113" s="60">
        <f t="shared" ref="N113" si="58">IF(L113="","",M113+L113-1)</f>
        <v>5</v>
      </c>
      <c r="O113" s="482" t="str">
        <f t="shared" si="54"/>
        <v/>
      </c>
      <c r="P113" s="482">
        <f t="shared" si="54"/>
        <v>4946</v>
      </c>
      <c r="Q113" s="482">
        <f t="shared" si="54"/>
        <v>4946</v>
      </c>
      <c r="R113" s="482">
        <f t="shared" si="54"/>
        <v>4946</v>
      </c>
      <c r="S113" s="482">
        <f t="shared" si="54"/>
        <v>4946</v>
      </c>
      <c r="T113" s="482" t="str">
        <f t="shared" si="54"/>
        <v/>
      </c>
      <c r="U113" s="482" t="str">
        <f t="shared" si="54"/>
        <v/>
      </c>
      <c r="V113" s="482" t="str">
        <f t="shared" si="54"/>
        <v/>
      </c>
      <c r="W113" s="482" t="str">
        <f t="shared" si="54"/>
        <v/>
      </c>
      <c r="X113" s="482" t="str">
        <f t="shared" si="54"/>
        <v/>
      </c>
      <c r="Y113" s="126"/>
      <c r="Z113" s="126"/>
      <c r="AA113" s="126"/>
      <c r="AB113" s="126"/>
      <c r="AC113" s="126"/>
      <c r="AD113" s="122"/>
    </row>
    <row r="114" spans="2:33" ht="40.5">
      <c r="B114" s="282"/>
      <c r="C114" s="277"/>
      <c r="D114" s="369">
        <f t="shared" si="42"/>
        <v>6.57</v>
      </c>
      <c r="E114" s="276" t="s">
        <v>335</v>
      </c>
      <c r="F114" s="275" t="s">
        <v>122</v>
      </c>
      <c r="G114" s="341">
        <f>MC!C607</f>
        <v>74</v>
      </c>
      <c r="H114" s="286">
        <f>'6.57'!$G$42</f>
        <v>314697</v>
      </c>
      <c r="I114" s="287">
        <f t="shared" ref="I114" si="59">+G114*H114</f>
        <v>23287578</v>
      </c>
      <c r="J114" s="1057"/>
      <c r="K114" s="483">
        <v>2</v>
      </c>
      <c r="L114" s="60">
        <v>4</v>
      </c>
      <c r="M114" s="480">
        <v>2</v>
      </c>
      <c r="N114" s="60">
        <f t="shared" ref="N114" si="60">IF(L114="","",M114+L114-1)</f>
        <v>5</v>
      </c>
      <c r="O114" s="482" t="str">
        <f t="shared" si="54"/>
        <v/>
      </c>
      <c r="P114" s="482">
        <f t="shared" si="54"/>
        <v>5822</v>
      </c>
      <c r="Q114" s="482">
        <f t="shared" si="54"/>
        <v>5822</v>
      </c>
      <c r="R114" s="482">
        <f t="shared" si="54"/>
        <v>5822</v>
      </c>
      <c r="S114" s="482">
        <f t="shared" si="54"/>
        <v>5822</v>
      </c>
      <c r="T114" s="482" t="str">
        <f t="shared" si="54"/>
        <v/>
      </c>
      <c r="U114" s="482" t="str">
        <f t="shared" si="54"/>
        <v/>
      </c>
      <c r="V114" s="482" t="str">
        <f t="shared" si="54"/>
        <v/>
      </c>
      <c r="W114" s="482" t="str">
        <f t="shared" si="54"/>
        <v/>
      </c>
      <c r="X114" s="482" t="str">
        <f t="shared" si="54"/>
        <v/>
      </c>
      <c r="Y114" s="126"/>
      <c r="Z114" s="126"/>
      <c r="AA114" s="126"/>
      <c r="AB114" s="126"/>
      <c r="AC114" s="126"/>
      <c r="AD114" s="122"/>
    </row>
    <row r="115" spans="2:33" ht="20.25">
      <c r="B115" s="282"/>
      <c r="C115" s="277"/>
      <c r="D115" s="369">
        <f t="shared" si="42"/>
        <v>6.58</v>
      </c>
      <c r="E115" s="276" t="s">
        <v>337</v>
      </c>
      <c r="F115" s="275" t="s">
        <v>119</v>
      </c>
      <c r="G115" s="341">
        <f>SUM(G109:G114)</f>
        <v>652</v>
      </c>
      <c r="H115" s="286">
        <f>'6.58'!$G$42</f>
        <v>333393</v>
      </c>
      <c r="I115" s="287">
        <f t="shared" ref="I115:I118" si="61">+G115*H115</f>
        <v>217372236</v>
      </c>
      <c r="J115" s="1057"/>
      <c r="K115" s="483">
        <v>2</v>
      </c>
      <c r="L115" s="60">
        <v>4</v>
      </c>
      <c r="M115" s="480">
        <v>2</v>
      </c>
      <c r="N115" s="60">
        <f t="shared" ref="N115:N118" si="62">IF(L115="","",M115+L115-1)</f>
        <v>5</v>
      </c>
      <c r="O115" s="482" t="str">
        <f t="shared" si="54"/>
        <v/>
      </c>
      <c r="P115" s="482">
        <f t="shared" si="54"/>
        <v>54343</v>
      </c>
      <c r="Q115" s="482">
        <f t="shared" si="54"/>
        <v>54343</v>
      </c>
      <c r="R115" s="482">
        <f t="shared" si="54"/>
        <v>54343</v>
      </c>
      <c r="S115" s="482">
        <f t="shared" si="54"/>
        <v>54343</v>
      </c>
      <c r="T115" s="482" t="str">
        <f t="shared" si="54"/>
        <v/>
      </c>
      <c r="U115" s="482" t="str">
        <f t="shared" si="54"/>
        <v/>
      </c>
      <c r="V115" s="482" t="str">
        <f t="shared" si="54"/>
        <v/>
      </c>
      <c r="W115" s="482" t="str">
        <f t="shared" si="54"/>
        <v/>
      </c>
      <c r="X115" s="482" t="str">
        <f t="shared" si="54"/>
        <v/>
      </c>
      <c r="Y115" s="126"/>
      <c r="Z115" s="126"/>
      <c r="AA115" s="126"/>
      <c r="AB115" s="126"/>
      <c r="AC115" s="126"/>
      <c r="AD115" s="122"/>
    </row>
    <row r="116" spans="2:33" ht="20.25" hidden="1">
      <c r="B116" s="282"/>
      <c r="C116" s="277"/>
      <c r="D116" s="369">
        <f t="shared" si="42"/>
        <v>6.59</v>
      </c>
      <c r="E116" s="276" t="s">
        <v>715</v>
      </c>
      <c r="F116" s="275" t="s">
        <v>122</v>
      </c>
      <c r="G116" s="341">
        <f>MC!C615</f>
        <v>0</v>
      </c>
      <c r="H116" s="286">
        <f>'6.59'!$G$42</f>
        <v>939692</v>
      </c>
      <c r="I116" s="287">
        <f t="shared" si="61"/>
        <v>0</v>
      </c>
      <c r="J116" s="1057"/>
      <c r="K116" s="483">
        <v>2</v>
      </c>
      <c r="L116" s="60">
        <v>4</v>
      </c>
      <c r="M116" s="480">
        <v>2</v>
      </c>
      <c r="N116" s="60">
        <f t="shared" si="62"/>
        <v>5</v>
      </c>
      <c r="O116" s="482" t="str">
        <f t="shared" si="54"/>
        <v/>
      </c>
      <c r="P116" s="482">
        <f t="shared" si="54"/>
        <v>0</v>
      </c>
      <c r="Q116" s="482">
        <f t="shared" si="54"/>
        <v>0</v>
      </c>
      <c r="R116" s="482">
        <f t="shared" si="54"/>
        <v>0</v>
      </c>
      <c r="S116" s="482">
        <f t="shared" si="54"/>
        <v>0</v>
      </c>
      <c r="T116" s="482" t="str">
        <f t="shared" si="54"/>
        <v/>
      </c>
      <c r="U116" s="482" t="str">
        <f t="shared" si="54"/>
        <v/>
      </c>
      <c r="V116" s="482" t="str">
        <f t="shared" si="54"/>
        <v/>
      </c>
      <c r="W116" s="482" t="str">
        <f t="shared" si="54"/>
        <v/>
      </c>
      <c r="X116" s="482" t="str">
        <f t="shared" si="54"/>
        <v/>
      </c>
      <c r="Y116" s="126"/>
      <c r="Z116" s="126"/>
      <c r="AA116" s="126"/>
      <c r="AB116" s="126"/>
      <c r="AC116" s="126"/>
      <c r="AD116" s="122"/>
    </row>
    <row r="117" spans="2:33" ht="46.5" hidden="1" customHeight="1">
      <c r="B117" s="282"/>
      <c r="C117" s="277"/>
      <c r="D117" s="370" t="s">
        <v>1023</v>
      </c>
      <c r="E117" s="276" t="s">
        <v>716</v>
      </c>
      <c r="F117" s="275" t="s">
        <v>119</v>
      </c>
      <c r="G117" s="341">
        <f>MC!C620</f>
        <v>0</v>
      </c>
      <c r="H117" s="286">
        <f>'6.60'!$G$42</f>
        <v>797935</v>
      </c>
      <c r="I117" s="287">
        <f t="shared" si="61"/>
        <v>0</v>
      </c>
      <c r="J117" s="1057"/>
      <c r="K117" s="483">
        <v>2</v>
      </c>
      <c r="L117" s="60">
        <v>4</v>
      </c>
      <c r="M117" s="480">
        <v>2</v>
      </c>
      <c r="N117" s="60">
        <f t="shared" si="62"/>
        <v>5</v>
      </c>
      <c r="O117" s="482" t="str">
        <f t="shared" si="54"/>
        <v/>
      </c>
      <c r="P117" s="482">
        <f t="shared" si="54"/>
        <v>0</v>
      </c>
      <c r="Q117" s="482">
        <f t="shared" si="54"/>
        <v>0</v>
      </c>
      <c r="R117" s="482">
        <f t="shared" si="54"/>
        <v>0</v>
      </c>
      <c r="S117" s="482">
        <f t="shared" si="54"/>
        <v>0</v>
      </c>
      <c r="T117" s="482" t="str">
        <f t="shared" si="54"/>
        <v/>
      </c>
      <c r="U117" s="482" t="str">
        <f t="shared" si="54"/>
        <v/>
      </c>
      <c r="V117" s="482" t="str">
        <f t="shared" si="54"/>
        <v/>
      </c>
      <c r="W117" s="482" t="str">
        <f t="shared" si="54"/>
        <v/>
      </c>
      <c r="X117" s="482" t="str">
        <f t="shared" si="54"/>
        <v/>
      </c>
      <c r="Y117" s="126"/>
      <c r="Z117" s="126"/>
      <c r="AA117" s="126"/>
      <c r="AB117" s="126"/>
      <c r="AC117" s="126"/>
      <c r="AD117" s="122"/>
    </row>
    <row r="118" spans="2:33" ht="60.75" hidden="1">
      <c r="B118" s="282"/>
      <c r="C118" s="277"/>
      <c r="D118" s="369" t="e">
        <f t="shared" si="42"/>
        <v>#VALUE!</v>
      </c>
      <c r="E118" s="276" t="s">
        <v>717</v>
      </c>
      <c r="F118" s="275" t="s">
        <v>119</v>
      </c>
      <c r="G118" s="341">
        <f>MC!C625</f>
        <v>0</v>
      </c>
      <c r="H118" s="286">
        <f>'6.61'!$G$42</f>
        <v>837445</v>
      </c>
      <c r="I118" s="287">
        <f t="shared" si="61"/>
        <v>0</v>
      </c>
      <c r="J118" s="1057"/>
      <c r="K118" s="483">
        <v>2</v>
      </c>
      <c r="L118" s="60">
        <v>4</v>
      </c>
      <c r="M118" s="480">
        <v>2</v>
      </c>
      <c r="N118" s="60">
        <f t="shared" si="62"/>
        <v>5</v>
      </c>
      <c r="O118" s="482" t="str">
        <f t="shared" si="54"/>
        <v/>
      </c>
      <c r="P118" s="482">
        <f t="shared" si="54"/>
        <v>0</v>
      </c>
      <c r="Q118" s="482">
        <f t="shared" si="54"/>
        <v>0</v>
      </c>
      <c r="R118" s="482">
        <f t="shared" si="54"/>
        <v>0</v>
      </c>
      <c r="S118" s="482">
        <f t="shared" si="54"/>
        <v>0</v>
      </c>
      <c r="T118" s="482" t="str">
        <f t="shared" si="54"/>
        <v/>
      </c>
      <c r="U118" s="482" t="str">
        <f t="shared" si="54"/>
        <v/>
      </c>
      <c r="V118" s="482" t="str">
        <f t="shared" si="54"/>
        <v/>
      </c>
      <c r="W118" s="482" t="str">
        <f t="shared" si="54"/>
        <v/>
      </c>
      <c r="X118" s="482" t="str">
        <f t="shared" si="54"/>
        <v/>
      </c>
      <c r="Y118" s="126"/>
      <c r="Z118" s="126"/>
      <c r="AA118" s="126"/>
      <c r="AB118" s="126"/>
      <c r="AC118" s="126"/>
      <c r="AD118" s="122"/>
    </row>
    <row r="119" spans="2:33" ht="20.25">
      <c r="B119" s="283"/>
      <c r="C119" s="278"/>
      <c r="D119" s="264"/>
      <c r="E119" s="265" t="str">
        <f>CONCATENATE("SUBTOTAL  ",E54)</f>
        <v>SUBTOTAL  SISTEMAS HIDROSANITARIOS</v>
      </c>
      <c r="F119" s="266"/>
      <c r="G119" s="267"/>
      <c r="H119" s="268"/>
      <c r="I119" s="269">
        <f>SUM(I56:I118)</f>
        <v>2618204904</v>
      </c>
      <c r="J119" s="1052"/>
      <c r="K119" s="483">
        <v>2</v>
      </c>
      <c r="L119" s="60"/>
      <c r="M119" s="480"/>
      <c r="N119" s="60" t="str">
        <f t="shared" ref="N119:N128" si="63">IF(L119="","",M119+L119-1)</f>
        <v/>
      </c>
      <c r="O119" s="482" t="str">
        <f t="shared" si="54"/>
        <v/>
      </c>
      <c r="P119" s="482" t="str">
        <f t="shared" si="54"/>
        <v/>
      </c>
      <c r="Q119" s="482" t="str">
        <f t="shared" si="54"/>
        <v/>
      </c>
      <c r="R119" s="482" t="str">
        <f t="shared" si="54"/>
        <v/>
      </c>
      <c r="S119" s="482" t="str">
        <f t="shared" si="54"/>
        <v/>
      </c>
      <c r="T119" s="482" t="str">
        <f t="shared" si="54"/>
        <v/>
      </c>
      <c r="U119" s="482" t="str">
        <f t="shared" si="54"/>
        <v/>
      </c>
      <c r="V119" s="482" t="str">
        <f t="shared" si="54"/>
        <v/>
      </c>
      <c r="W119" s="482" t="str">
        <f t="shared" si="54"/>
        <v/>
      </c>
      <c r="X119" s="482" t="str">
        <f t="shared" si="54"/>
        <v/>
      </c>
      <c r="Y119" s="126"/>
      <c r="Z119" s="194"/>
      <c r="AA119" s="135"/>
      <c r="AB119" s="135"/>
      <c r="AC119" s="136"/>
      <c r="AD119" s="122"/>
    </row>
    <row r="120" spans="2:33" ht="20.25" customHeight="1">
      <c r="B120" s="282"/>
      <c r="C120" s="277"/>
      <c r="D120" s="262">
        <v>7</v>
      </c>
      <c r="E120" s="763" t="s">
        <v>325</v>
      </c>
      <c r="F120" s="763"/>
      <c r="G120" s="763"/>
      <c r="H120" s="763"/>
      <c r="I120" s="763"/>
      <c r="J120" s="1053"/>
      <c r="K120" s="483">
        <v>2</v>
      </c>
      <c r="L120" s="60"/>
      <c r="M120" s="480"/>
      <c r="N120" s="60" t="str">
        <f t="shared" si="63"/>
        <v/>
      </c>
      <c r="O120" s="482" t="str">
        <f t="shared" si="54"/>
        <v/>
      </c>
      <c r="P120" s="482" t="str">
        <f t="shared" si="54"/>
        <v/>
      </c>
      <c r="Q120" s="482" t="str">
        <f t="shared" si="54"/>
        <v/>
      </c>
      <c r="R120" s="482" t="str">
        <f t="shared" si="54"/>
        <v/>
      </c>
      <c r="S120" s="482" t="str">
        <f t="shared" si="54"/>
        <v/>
      </c>
      <c r="T120" s="482" t="str">
        <f t="shared" si="54"/>
        <v/>
      </c>
      <c r="U120" s="482" t="str">
        <f t="shared" si="54"/>
        <v/>
      </c>
      <c r="V120" s="482" t="str">
        <f t="shared" si="54"/>
        <v/>
      </c>
      <c r="W120" s="482" t="str">
        <f t="shared" si="54"/>
        <v/>
      </c>
      <c r="X120" s="482" t="str">
        <f t="shared" si="54"/>
        <v/>
      </c>
      <c r="Y120" s="122"/>
      <c r="Z120" s="1120"/>
      <c r="AA120" s="1120"/>
      <c r="AB120" s="1120"/>
      <c r="AC120" s="122"/>
      <c r="AD120" s="122"/>
      <c r="AE120" s="122"/>
      <c r="AF120" s="122"/>
      <c r="AG120" s="122"/>
    </row>
    <row r="121" spans="2:33" ht="60.75">
      <c r="B121" s="282"/>
      <c r="C121" s="277"/>
      <c r="D121" s="262">
        <f>D120+0.1</f>
        <v>7.1</v>
      </c>
      <c r="E121" s="276" t="s">
        <v>880</v>
      </c>
      <c r="F121" s="275" t="s">
        <v>119</v>
      </c>
      <c r="G121" s="341">
        <f>MC!C630</f>
        <v>31</v>
      </c>
      <c r="H121" s="286">
        <v>406083</v>
      </c>
      <c r="I121" s="287">
        <f>+G121*H121</f>
        <v>12588573</v>
      </c>
      <c r="J121" s="1057"/>
      <c r="K121" s="483">
        <v>3</v>
      </c>
      <c r="L121" s="60">
        <v>4</v>
      </c>
      <c r="M121" s="480">
        <v>1</v>
      </c>
      <c r="N121" s="60">
        <f t="shared" si="63"/>
        <v>4</v>
      </c>
      <c r="O121" s="482">
        <f t="shared" si="54"/>
        <v>1469</v>
      </c>
      <c r="P121" s="482">
        <f t="shared" si="54"/>
        <v>1469</v>
      </c>
      <c r="Q121" s="482">
        <f t="shared" si="54"/>
        <v>1469</v>
      </c>
      <c r="R121" s="482">
        <f t="shared" si="54"/>
        <v>8183</v>
      </c>
      <c r="S121" s="482" t="str">
        <f t="shared" si="54"/>
        <v/>
      </c>
      <c r="T121" s="482" t="str">
        <f t="shared" si="54"/>
        <v/>
      </c>
      <c r="U121" s="482" t="str">
        <f t="shared" si="54"/>
        <v/>
      </c>
      <c r="V121" s="482" t="str">
        <f t="shared" si="54"/>
        <v/>
      </c>
      <c r="W121" s="482" t="str">
        <f t="shared" si="54"/>
        <v/>
      </c>
      <c r="X121" s="482" t="str">
        <f t="shared" si="54"/>
        <v/>
      </c>
      <c r="Y121" s="126"/>
      <c r="Z121" s="126"/>
      <c r="AA121" s="126"/>
      <c r="AB121" s="126"/>
      <c r="AC121" s="126"/>
      <c r="AD121" s="122"/>
    </row>
    <row r="122" spans="2:33" ht="60.75">
      <c r="B122" s="282"/>
      <c r="C122" s="277"/>
      <c r="D122" s="262">
        <f>D121+0.1</f>
        <v>7.2</v>
      </c>
      <c r="E122" s="276" t="s">
        <v>1043</v>
      </c>
      <c r="F122" s="275" t="s">
        <v>119</v>
      </c>
      <c r="G122" s="341">
        <f>MC!C635</f>
        <v>120</v>
      </c>
      <c r="H122" s="286">
        <v>167000</v>
      </c>
      <c r="I122" s="287">
        <f>+G122*H122</f>
        <v>20040000</v>
      </c>
      <c r="J122" s="1057"/>
      <c r="K122" s="483">
        <v>3</v>
      </c>
      <c r="L122" s="60">
        <v>4</v>
      </c>
      <c r="M122" s="480">
        <v>1</v>
      </c>
      <c r="N122" s="60">
        <f t="shared" ref="N122" si="64">IF(L122="","",M122+L122-1)</f>
        <v>4</v>
      </c>
      <c r="O122" s="482">
        <f t="shared" si="54"/>
        <v>2338</v>
      </c>
      <c r="P122" s="482">
        <f t="shared" si="54"/>
        <v>2338</v>
      </c>
      <c r="Q122" s="482">
        <f t="shared" si="54"/>
        <v>2338</v>
      </c>
      <c r="R122" s="482">
        <f t="shared" si="54"/>
        <v>13026</v>
      </c>
      <c r="S122" s="482" t="str">
        <f t="shared" si="54"/>
        <v/>
      </c>
      <c r="T122" s="482" t="str">
        <f t="shared" si="54"/>
        <v/>
      </c>
      <c r="U122" s="482" t="str">
        <f t="shared" si="54"/>
        <v/>
      </c>
      <c r="V122" s="482" t="str">
        <f t="shared" si="54"/>
        <v/>
      </c>
      <c r="W122" s="482" t="str">
        <f t="shared" si="54"/>
        <v/>
      </c>
      <c r="X122" s="482" t="str">
        <f t="shared" si="54"/>
        <v/>
      </c>
      <c r="Y122" s="126"/>
      <c r="Z122" s="126"/>
      <c r="AA122" s="126"/>
      <c r="AB122" s="126"/>
      <c r="AC122" s="126"/>
      <c r="AD122" s="122"/>
    </row>
    <row r="123" spans="2:33" ht="20.25">
      <c r="B123" s="283"/>
      <c r="C123" s="278"/>
      <c r="D123" s="264"/>
      <c r="E123" s="265" t="str">
        <f>CONCATENATE("SUBTOTAL  ",E120)</f>
        <v>SUBTOTAL  URBANISMO</v>
      </c>
      <c r="F123" s="266"/>
      <c r="G123" s="267"/>
      <c r="H123" s="268"/>
      <c r="I123" s="269">
        <f>SUM(I121:I122)</f>
        <v>32628573</v>
      </c>
      <c r="J123" s="1052"/>
      <c r="K123" s="483">
        <v>2</v>
      </c>
      <c r="L123" s="60"/>
      <c r="M123" s="480"/>
      <c r="N123" s="60" t="str">
        <f t="shared" ref="N123" si="65">IF(L123="","",M123+L123-1)</f>
        <v/>
      </c>
      <c r="O123" s="482" t="str">
        <f t="shared" si="54"/>
        <v/>
      </c>
      <c r="P123" s="482" t="str">
        <f t="shared" si="54"/>
        <v/>
      </c>
      <c r="Q123" s="482" t="str">
        <f t="shared" si="54"/>
        <v/>
      </c>
      <c r="R123" s="482" t="str">
        <f t="shared" si="54"/>
        <v/>
      </c>
      <c r="S123" s="482" t="str">
        <f t="shared" si="54"/>
        <v/>
      </c>
      <c r="T123" s="482" t="str">
        <f t="shared" si="54"/>
        <v/>
      </c>
      <c r="U123" s="482" t="str">
        <f t="shared" si="54"/>
        <v/>
      </c>
      <c r="V123" s="482" t="str">
        <f t="shared" si="54"/>
        <v/>
      </c>
      <c r="W123" s="482" t="str">
        <f t="shared" si="54"/>
        <v/>
      </c>
      <c r="X123" s="482" t="str">
        <f t="shared" si="54"/>
        <v/>
      </c>
      <c r="Y123" s="126"/>
      <c r="Z123" s="352"/>
      <c r="AA123" s="135"/>
      <c r="AB123" s="135"/>
      <c r="AC123" s="136"/>
      <c r="AD123" s="122"/>
    </row>
    <row r="124" spans="2:33" ht="20.25">
      <c r="D124" s="212"/>
      <c r="E124" s="1137" t="s">
        <v>8</v>
      </c>
      <c r="F124" s="1137"/>
      <c r="G124" s="1137"/>
      <c r="H124" s="1137"/>
      <c r="I124" s="257">
        <f>+I119+I53+I41+I29+I22+I13+I123</f>
        <v>10714220439</v>
      </c>
      <c r="J124" s="1058">
        <v>10714220439</v>
      </c>
      <c r="K124" s="483"/>
      <c r="L124" s="60"/>
      <c r="M124" s="480"/>
      <c r="N124" s="60"/>
      <c r="O124" s="482">
        <f t="shared" ref="O124:X124" si="66">SUM(O11:O123)</f>
        <v>1250828</v>
      </c>
      <c r="P124" s="482">
        <f t="shared" si="66"/>
        <v>1112055</v>
      </c>
      <c r="Q124" s="482">
        <f t="shared" si="66"/>
        <v>1313371</v>
      </c>
      <c r="R124" s="482">
        <f t="shared" si="66"/>
        <v>1411851</v>
      </c>
      <c r="S124" s="482">
        <f t="shared" si="66"/>
        <v>890973</v>
      </c>
      <c r="T124" s="482">
        <f t="shared" si="66"/>
        <v>336094</v>
      </c>
      <c r="U124" s="482">
        <f t="shared" si="66"/>
        <v>1887581</v>
      </c>
      <c r="V124" s="482">
        <f t="shared" si="66"/>
        <v>1824813</v>
      </c>
      <c r="W124" s="482">
        <f t="shared" si="66"/>
        <v>127280</v>
      </c>
      <c r="X124" s="482">
        <f t="shared" si="66"/>
        <v>178982</v>
      </c>
      <c r="Y124" s="122"/>
      <c r="Z124" s="122"/>
      <c r="AA124" s="122"/>
      <c r="AB124" s="122"/>
      <c r="AC124" s="122"/>
      <c r="AD124" s="122"/>
    </row>
    <row r="125" spans="2:33" ht="20.25">
      <c r="D125" s="213"/>
      <c r="E125" s="1122">
        <f>+'COSTOS INDIRECTOS'!J64</f>
        <v>0.31</v>
      </c>
      <c r="F125" s="1122"/>
      <c r="G125" s="1122"/>
      <c r="H125" s="1122"/>
      <c r="I125" s="256">
        <f>+I124*E125</f>
        <v>3321408336</v>
      </c>
      <c r="J125" s="1058">
        <v>3321408336</v>
      </c>
      <c r="K125" s="483"/>
      <c r="L125" s="60"/>
      <c r="M125" s="480"/>
      <c r="N125" s="60"/>
      <c r="O125" s="482" t="e">
        <f>SUM(#REF!)</f>
        <v>#REF!</v>
      </c>
      <c r="P125" s="482" t="e">
        <f>SUM(#REF!)</f>
        <v>#REF!</v>
      </c>
      <c r="Q125" s="482" t="e">
        <f>SUM(#REF!)</f>
        <v>#REF!</v>
      </c>
      <c r="R125" s="482" t="e">
        <f>SUM(#REF!)</f>
        <v>#REF!</v>
      </c>
      <c r="S125" s="482" t="e">
        <f>SUM(#REF!)</f>
        <v>#REF!</v>
      </c>
      <c r="T125" s="482" t="e">
        <f>SUM(#REF!)</f>
        <v>#REF!</v>
      </c>
      <c r="U125" s="482" t="e">
        <f>SUM(#REF!)</f>
        <v>#REF!</v>
      </c>
      <c r="V125" s="482" t="e">
        <f>SUM(#REF!)</f>
        <v>#REF!</v>
      </c>
      <c r="W125" s="482" t="e">
        <f>SUM(#REF!)</f>
        <v>#REF!</v>
      </c>
      <c r="X125" s="482" t="e">
        <f>SUM(#REF!)</f>
        <v>#REF!</v>
      </c>
    </row>
    <row r="126" spans="2:33" ht="20.25">
      <c r="D126" s="213"/>
      <c r="E126" s="1121" t="s">
        <v>1252</v>
      </c>
      <c r="F126" s="1121"/>
      <c r="G126" s="1121"/>
      <c r="H126" s="1121"/>
      <c r="I126" s="256">
        <f>I124+I125</f>
        <v>14035628775</v>
      </c>
      <c r="J126" s="1058"/>
      <c r="K126" s="483"/>
      <c r="L126" s="60"/>
      <c r="M126" s="480"/>
      <c r="N126" s="60"/>
      <c r="O126" s="482" t="e">
        <f t="shared" ref="O126:X126" si="67">SUM(O125,O124)</f>
        <v>#REF!</v>
      </c>
      <c r="P126" s="482" t="e">
        <f t="shared" si="67"/>
        <v>#REF!</v>
      </c>
      <c r="Q126" s="482" t="e">
        <f t="shared" si="67"/>
        <v>#REF!</v>
      </c>
      <c r="R126" s="482" t="e">
        <f t="shared" si="67"/>
        <v>#REF!</v>
      </c>
      <c r="S126" s="482" t="e">
        <f t="shared" si="67"/>
        <v>#REF!</v>
      </c>
      <c r="T126" s="482" t="e">
        <f t="shared" si="67"/>
        <v>#REF!</v>
      </c>
      <c r="U126" s="482" t="e">
        <f t="shared" si="67"/>
        <v>#REF!</v>
      </c>
      <c r="V126" s="482" t="e">
        <f t="shared" si="67"/>
        <v>#REF!</v>
      </c>
      <c r="W126" s="482" t="e">
        <f t="shared" si="67"/>
        <v>#REF!</v>
      </c>
      <c r="X126" s="482" t="e">
        <f t="shared" si="67"/>
        <v>#REF!</v>
      </c>
    </row>
    <row r="127" spans="2:33" ht="20.25">
      <c r="D127" s="255"/>
      <c r="E127" s="1139" t="s">
        <v>159</v>
      </c>
      <c r="F127" s="1139"/>
      <c r="G127" s="1139"/>
      <c r="H127" s="1139"/>
      <c r="I127" s="595">
        <f>PAGA!M27</f>
        <v>117468144</v>
      </c>
      <c r="J127" s="1059"/>
      <c r="K127" s="483">
        <v>2</v>
      </c>
      <c r="L127" s="60">
        <v>10</v>
      </c>
      <c r="M127" s="480">
        <v>1</v>
      </c>
      <c r="N127" s="60">
        <f t="shared" si="63"/>
        <v>10</v>
      </c>
      <c r="O127" s="482">
        <f t="shared" ref="O127:X128" si="68">IF($L127="","",IF(OR(O$9&lt;$M127,O$9&gt;$N127),"",IF($K127=1,IF((O$9/$M127)=1,($I127/1000)/(($L127)*2)*$L127*1.3,IF((O$9/$M127)&gt;1,($I127/1000)/(($L127)*2)*$L127*(0.7/($L127-1)))),IF($K127=2,($I127/1000)/$L127,IF($K127=3,IF((O$9/$N127)=1,($I127/1000)/(($L127)*2)*$L127*1.3,IF((O$9/$N127)&lt;1,($I127/1000)/(($L127)*2)*$L127*(0.7/($L127-1)))))))))</f>
        <v>11747</v>
      </c>
      <c r="P127" s="482">
        <f t="shared" si="68"/>
        <v>11747</v>
      </c>
      <c r="Q127" s="482">
        <f t="shared" si="68"/>
        <v>11747</v>
      </c>
      <c r="R127" s="482">
        <f t="shared" si="68"/>
        <v>11747</v>
      </c>
      <c r="S127" s="482">
        <f t="shared" si="68"/>
        <v>11747</v>
      </c>
      <c r="T127" s="482">
        <f t="shared" si="68"/>
        <v>11747</v>
      </c>
      <c r="U127" s="482">
        <f t="shared" si="68"/>
        <v>11747</v>
      </c>
      <c r="V127" s="482">
        <f t="shared" si="68"/>
        <v>11747</v>
      </c>
      <c r="W127" s="482">
        <f t="shared" si="68"/>
        <v>11747</v>
      </c>
      <c r="X127" s="482">
        <f t="shared" si="68"/>
        <v>11747</v>
      </c>
    </row>
    <row r="128" spans="2:33" ht="39" customHeight="1">
      <c r="D128" s="255"/>
      <c r="E128" s="1139" t="s">
        <v>160</v>
      </c>
      <c r="F128" s="1139"/>
      <c r="G128" s="1139"/>
      <c r="H128" s="1139"/>
      <c r="I128" s="595">
        <f>PMT!$K$25</f>
        <v>181366980</v>
      </c>
      <c r="J128" s="1059"/>
      <c r="K128" s="483">
        <v>2</v>
      </c>
      <c r="L128" s="60">
        <v>10</v>
      </c>
      <c r="M128" s="480">
        <v>1</v>
      </c>
      <c r="N128" s="60">
        <f t="shared" si="63"/>
        <v>10</v>
      </c>
      <c r="O128" s="482">
        <f t="shared" si="68"/>
        <v>18137</v>
      </c>
      <c r="P128" s="482">
        <f t="shared" si="68"/>
        <v>18137</v>
      </c>
      <c r="Q128" s="482">
        <f t="shared" si="68"/>
        <v>18137</v>
      </c>
      <c r="R128" s="482">
        <f t="shared" si="68"/>
        <v>18137</v>
      </c>
      <c r="S128" s="482">
        <f t="shared" si="68"/>
        <v>18137</v>
      </c>
      <c r="T128" s="482">
        <f t="shared" si="68"/>
        <v>18137</v>
      </c>
      <c r="U128" s="482">
        <f t="shared" si="68"/>
        <v>18137</v>
      </c>
      <c r="V128" s="482">
        <f t="shared" si="68"/>
        <v>18137</v>
      </c>
      <c r="W128" s="482">
        <f t="shared" si="68"/>
        <v>18137</v>
      </c>
      <c r="X128" s="482">
        <f t="shared" si="68"/>
        <v>18137</v>
      </c>
    </row>
    <row r="129" spans="4:24" ht="20.25">
      <c r="D129" s="213"/>
      <c r="E129" s="1115" t="s">
        <v>1238</v>
      </c>
      <c r="F129" s="1115"/>
      <c r="G129" s="1115"/>
      <c r="H129" s="1115"/>
      <c r="I129" s="595">
        <f>BIO!F14</f>
        <v>77000000</v>
      </c>
      <c r="J129" s="1059"/>
      <c r="K129" s="483"/>
      <c r="L129" s="60"/>
      <c r="M129" s="480"/>
      <c r="N129" s="60"/>
      <c r="O129" s="482"/>
      <c r="P129" s="482"/>
      <c r="Q129" s="482"/>
      <c r="R129" s="482"/>
      <c r="S129" s="482"/>
      <c r="T129" s="482"/>
      <c r="U129" s="482"/>
      <c r="V129" s="482"/>
      <c r="W129" s="482"/>
      <c r="X129" s="482"/>
    </row>
    <row r="130" spans="4:24" ht="20.25">
      <c r="D130" s="213"/>
      <c r="E130" s="1121" t="s">
        <v>1270</v>
      </c>
      <c r="F130" s="1121"/>
      <c r="G130" s="1121"/>
      <c r="H130" s="1121"/>
      <c r="I130" s="256">
        <f>I126+I127+I128+I129</f>
        <v>14411463899</v>
      </c>
      <c r="J130" s="1058"/>
      <c r="K130" s="483"/>
      <c r="L130" s="60"/>
      <c r="M130" s="480"/>
      <c r="N130" s="60"/>
      <c r="O130" s="482" t="e">
        <f>SUM(O126:O128)</f>
        <v>#REF!</v>
      </c>
      <c r="P130" s="482" t="e">
        <f t="shared" ref="P130:X130" si="69">SUM(P126:P128)</f>
        <v>#REF!</v>
      </c>
      <c r="Q130" s="482" t="e">
        <f t="shared" si="69"/>
        <v>#REF!</v>
      </c>
      <c r="R130" s="482" t="e">
        <f t="shared" si="69"/>
        <v>#REF!</v>
      </c>
      <c r="S130" s="482" t="e">
        <f t="shared" si="69"/>
        <v>#REF!</v>
      </c>
      <c r="T130" s="482" t="e">
        <f t="shared" si="69"/>
        <v>#REF!</v>
      </c>
      <c r="U130" s="482" t="e">
        <f t="shared" si="69"/>
        <v>#REF!</v>
      </c>
      <c r="V130" s="482" t="e">
        <f t="shared" si="69"/>
        <v>#REF!</v>
      </c>
      <c r="W130" s="482" t="e">
        <f t="shared" si="69"/>
        <v>#REF!</v>
      </c>
      <c r="X130" s="482" t="e">
        <f t="shared" si="69"/>
        <v>#REF!</v>
      </c>
    </row>
    <row r="131" spans="4:24" ht="11.25" customHeight="1">
      <c r="D131" s="218"/>
      <c r="E131" s="218"/>
      <c r="F131" s="218"/>
      <c r="G131" s="218"/>
      <c r="H131" s="218"/>
      <c r="I131" s="218"/>
      <c r="J131" s="218"/>
      <c r="K131" s="214"/>
      <c r="L131" s="214"/>
      <c r="M131" s="214"/>
      <c r="N131" s="214"/>
      <c r="O131" s="1132"/>
      <c r="P131" s="1133"/>
      <c r="Q131" s="1133"/>
      <c r="R131" s="1133"/>
      <c r="S131" s="1133"/>
      <c r="T131" s="1133"/>
      <c r="U131" s="1133"/>
      <c r="V131" s="1133"/>
      <c r="W131" s="1133"/>
      <c r="X131" s="1134"/>
    </row>
    <row r="132" spans="4:24" ht="9" customHeight="1">
      <c r="D132" s="218"/>
      <c r="E132" s="218"/>
      <c r="F132" s="218"/>
      <c r="G132" s="218"/>
      <c r="H132" s="218"/>
      <c r="I132" s="219"/>
      <c r="J132" s="219"/>
      <c r="K132" s="214"/>
      <c r="L132" s="214"/>
      <c r="M132" s="214"/>
      <c r="N132" s="214"/>
      <c r="O132" s="1132"/>
      <c r="P132" s="1133"/>
      <c r="Q132" s="1133"/>
      <c r="R132" s="1133"/>
      <c r="S132" s="1133"/>
      <c r="T132" s="1133"/>
      <c r="U132" s="1133"/>
      <c r="V132" s="1133"/>
      <c r="W132" s="1133"/>
      <c r="X132" s="1134"/>
    </row>
    <row r="133" spans="4:24" ht="16.5" customHeight="1">
      <c r="D133" s="218"/>
      <c r="E133" s="284"/>
      <c r="F133" s="218"/>
      <c r="G133" s="218"/>
      <c r="H133" s="218"/>
      <c r="I133" s="1060"/>
      <c r="J133" s="1046"/>
      <c r="K133" s="214"/>
      <c r="L133" s="214"/>
      <c r="M133" s="214"/>
      <c r="N133" s="214"/>
      <c r="O133" s="1132"/>
      <c r="P133" s="1133"/>
      <c r="Q133" s="1133"/>
      <c r="R133" s="1133"/>
      <c r="S133" s="1133"/>
      <c r="T133" s="1133"/>
      <c r="U133" s="1133"/>
      <c r="V133" s="1133"/>
      <c r="W133" s="1133"/>
      <c r="X133" s="1134"/>
    </row>
    <row r="134" spans="4:24" ht="16.5" customHeight="1">
      <c r="D134" s="218"/>
      <c r="E134" s="736" t="s">
        <v>685</v>
      </c>
      <c r="F134" s="218"/>
      <c r="G134" s="218"/>
      <c r="H134" s="218"/>
      <c r="I134" s="1058"/>
      <c r="J134" s="1058"/>
      <c r="K134" s="214"/>
      <c r="L134" s="214"/>
      <c r="M134" s="214"/>
      <c r="N134" s="214"/>
      <c r="O134" s="1132"/>
      <c r="P134" s="1133"/>
      <c r="Q134" s="1133"/>
      <c r="R134" s="1133"/>
      <c r="S134" s="1133"/>
      <c r="T134" s="1133"/>
      <c r="U134" s="1133"/>
      <c r="V134" s="1133"/>
      <c r="W134" s="1133"/>
      <c r="X134" s="1134"/>
    </row>
    <row r="135" spans="4:24" ht="16.5" customHeight="1">
      <c r="D135" s="218"/>
      <c r="E135" s="736" t="s">
        <v>686</v>
      </c>
      <c r="F135" s="218"/>
      <c r="G135" s="218"/>
      <c r="H135" s="218"/>
      <c r="I135" s="1061"/>
      <c r="J135" s="219"/>
      <c r="K135" s="214"/>
      <c r="L135" s="214"/>
      <c r="M135" s="214"/>
      <c r="N135" s="214"/>
      <c r="O135" s="1132" t="s">
        <v>105</v>
      </c>
      <c r="P135" s="1133"/>
      <c r="Q135" s="1133"/>
      <c r="R135" s="1133"/>
      <c r="S135" s="1133"/>
      <c r="T135" s="1133"/>
      <c r="U135" s="1133"/>
      <c r="V135" s="1133"/>
      <c r="W135" s="1133"/>
      <c r="X135" s="1134"/>
    </row>
    <row r="136" spans="4:24" ht="16.5" customHeight="1">
      <c r="E136" s="285" t="s">
        <v>86</v>
      </c>
      <c r="I136" s="1062"/>
      <c r="J136" s="1045"/>
      <c r="K136" s="115"/>
      <c r="L136" s="115"/>
      <c r="M136" s="115"/>
      <c r="N136" s="115"/>
      <c r="U136" s="137"/>
    </row>
    <row r="137" spans="4:24">
      <c r="K137" s="115"/>
      <c r="L137" s="115"/>
      <c r="M137" s="115"/>
      <c r="N137" s="115"/>
    </row>
    <row r="138" spans="4:24" ht="18" hidden="1">
      <c r="H138" s="121" t="s">
        <v>1249</v>
      </c>
      <c r="I138" s="764">
        <v>11980713708</v>
      </c>
      <c r="J138" s="764"/>
      <c r="K138" s="115"/>
      <c r="L138" s="115"/>
      <c r="M138" s="115"/>
      <c r="N138" s="115"/>
    </row>
    <row r="139" spans="4:24" ht="18" hidden="1">
      <c r="H139" s="121" t="s">
        <v>1250</v>
      </c>
      <c r="I139" s="764" t="e">
        <f>#REF!-I138</f>
        <v>#REF!</v>
      </c>
      <c r="J139" s="764"/>
      <c r="K139" s="115"/>
      <c r="L139" s="115"/>
      <c r="M139" s="115"/>
      <c r="N139" s="115"/>
    </row>
    <row r="140" spans="4:24">
      <c r="F140" s="137"/>
      <c r="G140" s="137"/>
      <c r="H140" s="137"/>
      <c r="I140" s="137"/>
      <c r="J140" s="137"/>
      <c r="K140" s="137"/>
      <c r="L140" s="137"/>
      <c r="M140" s="137"/>
      <c r="N140" s="137"/>
      <c r="O140" s="137"/>
      <c r="P140" s="137"/>
      <c r="Q140" s="137"/>
      <c r="R140" s="137"/>
    </row>
    <row r="141" spans="4:24">
      <c r="F141" s="137"/>
      <c r="G141" s="137"/>
      <c r="H141" s="137"/>
      <c r="I141" s="137"/>
      <c r="J141" s="137"/>
      <c r="K141" s="137"/>
      <c r="L141" s="137"/>
      <c r="M141" s="137"/>
      <c r="N141" s="137"/>
      <c r="O141" s="137"/>
      <c r="P141" s="137"/>
      <c r="Q141" s="137"/>
      <c r="R141" s="137"/>
    </row>
    <row r="142" spans="4:24">
      <c r="F142" s="137"/>
      <c r="G142" s="137"/>
      <c r="H142" s="137"/>
      <c r="I142" s="137"/>
      <c r="J142" s="137"/>
      <c r="K142" s="137"/>
      <c r="L142" s="137"/>
      <c r="M142" s="137"/>
      <c r="N142" s="137"/>
      <c r="O142" s="137"/>
      <c r="P142" s="137"/>
      <c r="Q142" s="137"/>
      <c r="R142" s="137"/>
    </row>
    <row r="143" spans="4:24" ht="15.75">
      <c r="F143" s="137"/>
      <c r="G143" s="137"/>
      <c r="H143" s="982" t="s">
        <v>1219</v>
      </c>
      <c r="I143" s="983">
        <v>29000</v>
      </c>
      <c r="J143" s="983"/>
      <c r="K143" s="137"/>
      <c r="L143" s="137"/>
      <c r="M143" s="137"/>
      <c r="N143" s="137"/>
      <c r="O143" s="137"/>
      <c r="P143" s="137"/>
      <c r="Q143" s="137"/>
      <c r="R143" s="137"/>
    </row>
    <row r="144" spans="4:24" ht="15.75">
      <c r="F144" s="137"/>
      <c r="G144" s="137"/>
      <c r="H144" s="982" t="s">
        <v>1220</v>
      </c>
      <c r="I144" s="983">
        <f>36000/6</f>
        <v>6000</v>
      </c>
      <c r="J144" s="983"/>
      <c r="K144" s="137"/>
      <c r="L144" s="137"/>
      <c r="M144" s="137"/>
      <c r="N144" s="137"/>
      <c r="O144" s="137"/>
      <c r="P144" s="137"/>
      <c r="Q144" s="137"/>
      <c r="R144" s="137"/>
    </row>
    <row r="145" spans="5:18">
      <c r="F145" s="137"/>
      <c r="G145" s="137"/>
      <c r="H145" s="982"/>
      <c r="I145" s="982"/>
      <c r="J145" s="982"/>
      <c r="K145" s="137"/>
      <c r="L145" s="137"/>
      <c r="M145" s="137"/>
      <c r="N145" s="137"/>
      <c r="O145" s="137"/>
      <c r="P145" s="137"/>
      <c r="Q145" s="137"/>
      <c r="R145" s="137"/>
    </row>
    <row r="146" spans="5:18">
      <c r="E146" s="733"/>
      <c r="F146" s="733"/>
      <c r="G146" s="733"/>
      <c r="H146" s="733"/>
      <c r="I146" s="733"/>
      <c r="J146" s="733"/>
      <c r="K146" s="137"/>
      <c r="L146" s="137"/>
      <c r="M146" s="137"/>
      <c r="N146" s="137"/>
      <c r="O146" s="137"/>
      <c r="P146" s="137"/>
      <c r="Q146" s="137"/>
      <c r="R146" s="137"/>
    </row>
    <row r="147" spans="5:18">
      <c r="E147" s="733"/>
      <c r="F147" s="733"/>
      <c r="G147" s="733"/>
      <c r="H147" s="733"/>
      <c r="I147" s="733"/>
      <c r="J147" s="733"/>
      <c r="K147" s="137"/>
      <c r="L147" s="137"/>
      <c r="M147" s="137"/>
      <c r="N147" s="137"/>
      <c r="O147" s="137"/>
      <c r="P147" s="137"/>
      <c r="Q147" s="137"/>
      <c r="R147" s="137"/>
    </row>
    <row r="148" spans="5:18">
      <c r="E148" s="734"/>
      <c r="F148" s="734"/>
      <c r="G148" s="734"/>
      <c r="H148" s="734"/>
      <c r="I148" s="734"/>
      <c r="J148" s="734"/>
      <c r="K148" s="137"/>
      <c r="L148" s="137"/>
      <c r="M148" s="137"/>
      <c r="N148" s="137"/>
      <c r="O148" s="137"/>
      <c r="P148" s="137"/>
      <c r="Q148" s="137"/>
      <c r="R148" s="137"/>
    </row>
    <row r="149" spans="5:18" ht="15">
      <c r="E149" s="734"/>
      <c r="F149" s="734"/>
      <c r="G149" s="734"/>
      <c r="H149" s="734"/>
      <c r="I149" s="735"/>
      <c r="J149" s="735"/>
      <c r="K149" s="137"/>
      <c r="L149" s="137"/>
      <c r="M149" s="137"/>
      <c r="N149" s="137"/>
      <c r="O149" s="137"/>
      <c r="P149" s="137"/>
      <c r="Q149" s="137"/>
      <c r="R149" s="137"/>
    </row>
    <row r="150" spans="5:18" ht="15">
      <c r="E150" s="734"/>
      <c r="F150" s="734"/>
      <c r="G150" s="736"/>
      <c r="H150" s="734"/>
      <c r="I150" s="734"/>
      <c r="J150" s="734"/>
      <c r="K150" s="137"/>
      <c r="L150" s="137"/>
      <c r="M150" s="137"/>
      <c r="N150" s="137"/>
      <c r="O150" s="137"/>
      <c r="P150" s="137"/>
      <c r="Q150" s="137"/>
      <c r="R150" s="137"/>
    </row>
    <row r="151" spans="5:18" ht="15">
      <c r="E151" s="734"/>
      <c r="F151" s="734"/>
      <c r="G151" s="736"/>
      <c r="H151" s="734"/>
      <c r="I151" s="734"/>
      <c r="J151" s="734"/>
      <c r="K151" s="137"/>
      <c r="L151" s="137"/>
      <c r="M151" s="137"/>
      <c r="N151" s="137"/>
      <c r="O151" s="137"/>
      <c r="P151" s="137"/>
      <c r="Q151" s="137"/>
      <c r="R151" s="137"/>
    </row>
    <row r="152" spans="5:18">
      <c r="E152" s="734"/>
      <c r="F152" s="734"/>
      <c r="G152" s="734"/>
      <c r="H152" s="734"/>
      <c r="I152" s="734"/>
      <c r="J152" s="734"/>
      <c r="K152" s="137"/>
      <c r="L152" s="137"/>
      <c r="M152" s="137"/>
      <c r="N152" s="137"/>
      <c r="O152" s="137"/>
      <c r="P152" s="137"/>
      <c r="Q152" s="137"/>
      <c r="R152" s="137"/>
    </row>
    <row r="153" spans="5:18">
      <c r="E153" s="734"/>
      <c r="F153" s="734"/>
      <c r="G153" s="734"/>
      <c r="H153" s="734"/>
      <c r="I153" s="734"/>
      <c r="J153" s="734"/>
      <c r="K153" s="137"/>
      <c r="L153" s="137"/>
      <c r="M153" s="137"/>
      <c r="N153" s="137"/>
      <c r="O153" s="137"/>
      <c r="P153" s="137"/>
      <c r="Q153" s="137"/>
      <c r="R153" s="137"/>
    </row>
    <row r="154" spans="5:18">
      <c r="E154" s="734"/>
      <c r="F154" s="734"/>
      <c r="G154" s="734"/>
      <c r="H154" s="734"/>
      <c r="I154" s="734"/>
      <c r="J154" s="734"/>
      <c r="K154" s="137"/>
      <c r="L154" s="137"/>
      <c r="M154" s="137"/>
      <c r="N154" s="137"/>
      <c r="O154" s="137"/>
      <c r="P154" s="137"/>
      <c r="Q154" s="137"/>
      <c r="R154" s="137"/>
    </row>
    <row r="155" spans="5:18">
      <c r="F155" s="734"/>
      <c r="G155" s="734"/>
      <c r="H155" s="734"/>
      <c r="I155" s="734"/>
      <c r="J155" s="734"/>
      <c r="K155" s="137"/>
      <c r="L155" s="137"/>
      <c r="M155" s="137"/>
      <c r="N155" s="137"/>
      <c r="O155" s="137"/>
      <c r="P155" s="137"/>
      <c r="Q155" s="137"/>
      <c r="R155" s="137"/>
    </row>
    <row r="156" spans="5:18">
      <c r="F156" s="137"/>
      <c r="G156" s="137"/>
      <c r="H156" s="137"/>
      <c r="I156" s="137"/>
      <c r="J156" s="137"/>
      <c r="K156" s="137"/>
      <c r="L156" s="137"/>
      <c r="M156" s="137"/>
      <c r="N156" s="137"/>
      <c r="O156" s="137"/>
      <c r="P156" s="137"/>
      <c r="Q156" s="137"/>
      <c r="R156" s="137"/>
    </row>
    <row r="157" spans="5:18">
      <c r="F157" s="137"/>
      <c r="G157" s="137"/>
      <c r="H157" s="137"/>
      <c r="I157" s="137"/>
      <c r="J157" s="137"/>
      <c r="K157" s="137"/>
      <c r="L157" s="137"/>
      <c r="M157" s="137"/>
      <c r="N157" s="137"/>
      <c r="O157" s="137"/>
      <c r="P157" s="137"/>
      <c r="Q157" s="137"/>
      <c r="R157" s="137"/>
    </row>
    <row r="158" spans="5:18">
      <c r="F158" s="137"/>
      <c r="G158" s="137"/>
      <c r="H158" s="137"/>
      <c r="I158" s="137"/>
      <c r="J158" s="137"/>
      <c r="K158" s="137"/>
      <c r="L158" s="137"/>
      <c r="M158" s="137"/>
      <c r="N158" s="137"/>
      <c r="O158" s="137"/>
      <c r="P158" s="137"/>
      <c r="Q158" s="137"/>
      <c r="R158" s="137"/>
    </row>
    <row r="159" spans="5:18">
      <c r="F159" s="137"/>
      <c r="G159" s="137"/>
      <c r="H159" s="137"/>
      <c r="I159" s="137"/>
      <c r="J159" s="137"/>
      <c r="K159" s="137"/>
      <c r="L159" s="137"/>
      <c r="M159" s="137"/>
      <c r="N159" s="137"/>
      <c r="O159" s="137"/>
      <c r="P159" s="137"/>
      <c r="Q159" s="137"/>
      <c r="R159" s="137"/>
    </row>
    <row r="160" spans="5:18">
      <c r="F160" s="137"/>
      <c r="G160" s="137"/>
      <c r="H160" s="137"/>
      <c r="I160" s="137"/>
      <c r="J160" s="137"/>
      <c r="K160" s="137"/>
      <c r="L160" s="137"/>
      <c r="M160" s="137"/>
      <c r="N160" s="137"/>
      <c r="O160" s="137"/>
      <c r="P160" s="137"/>
      <c r="Q160" s="137"/>
      <c r="R160" s="137"/>
    </row>
    <row r="161" spans="6:18">
      <c r="F161" s="137"/>
      <c r="G161" s="137"/>
      <c r="H161" s="137"/>
      <c r="I161" s="137"/>
      <c r="J161" s="137"/>
      <c r="K161" s="137"/>
      <c r="L161" s="137"/>
      <c r="M161" s="137"/>
      <c r="N161" s="137"/>
      <c r="O161" s="137"/>
      <c r="P161" s="137"/>
      <c r="Q161" s="137"/>
      <c r="R161" s="137"/>
    </row>
  </sheetData>
  <protectedRanges>
    <protectedRange sqref="H44 H33:H38" name="Rango1"/>
  </protectedRanges>
  <mergeCells count="24">
    <mergeCell ref="O135:X135"/>
    <mergeCell ref="B9:C9"/>
    <mergeCell ref="E124:H124"/>
    <mergeCell ref="L5:L9"/>
    <mergeCell ref="M5:M9"/>
    <mergeCell ref="N5:N9"/>
    <mergeCell ref="O131:X134"/>
    <mergeCell ref="E130:H130"/>
    <mergeCell ref="E127:H127"/>
    <mergeCell ref="E128:H128"/>
    <mergeCell ref="E129:H129"/>
    <mergeCell ref="D3:I4"/>
    <mergeCell ref="D5:I8"/>
    <mergeCell ref="Z10:AB10"/>
    <mergeCell ref="V10:X10"/>
    <mergeCell ref="E126:H126"/>
    <mergeCell ref="Z30:AB30"/>
    <mergeCell ref="Z42:AB42"/>
    <mergeCell ref="Z14:AB14"/>
    <mergeCell ref="Z120:AB120"/>
    <mergeCell ref="Z23:AB23"/>
    <mergeCell ref="Z54:AB54"/>
    <mergeCell ref="E125:H125"/>
    <mergeCell ref="O5:X8"/>
  </mergeCells>
  <printOptions horizontalCentered="1"/>
  <pageMargins left="0.31496062992125984" right="0.15748031496062992" top="0.74803149606299213" bottom="0.94488188976377963" header="0.31496062992125984" footer="0.55118110236220474"/>
  <pageSetup scale="52" orientation="portrait" r:id="rId1"/>
  <headerFooter alignWithMargins="0"/>
  <ignoredErrors>
    <ignoredError sqref="D52" numberStoredAsText="1"/>
    <ignoredError sqref="G109" formula="1"/>
  </ignoredErrors>
  <drawing r:id="rId2"/>
  <extLst>
    <ext xmlns:x14="http://schemas.microsoft.com/office/spreadsheetml/2009/9/main" uri="{05C60535-1F16-4fd2-B633-F4F36F0B64E0}">
      <x14:sparklineGroups xmlns:xm="http://schemas.microsoft.com/office/excel/2006/main">
        <x14:sparklineGroup type="column" displayEmptyCellsAs="gap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sqref>O131</xm:sqref>
            </x14:sparkline>
          </x14:sparklines>
        </x14:sparklineGroup>
      </x14:sparklineGroup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V169"/>
  <sheetViews>
    <sheetView view="pageBreakPreview" topLeftCell="A124" zoomScale="85" zoomScaleNormal="100" zoomScaleSheetLayoutView="85" workbookViewId="0">
      <selection activeCell="G127" sqref="G127"/>
    </sheetView>
  </sheetViews>
  <sheetFormatPr baseColWidth="10" defaultColWidth="11.42578125" defaultRowHeight="20.25"/>
  <cols>
    <col min="1" max="1" width="1.28515625" style="121" customWidth="1"/>
    <col min="2" max="2" width="1.7109375" style="121" customWidth="1"/>
    <col min="3" max="3" width="1.85546875" style="121" customWidth="1"/>
    <col min="4" max="4" width="9" style="121" customWidth="1"/>
    <col min="5" max="5" width="64.42578125" style="121" customWidth="1"/>
    <col min="6" max="6" width="13.28515625" style="121" customWidth="1"/>
    <col min="7" max="7" width="28" style="121" customWidth="1"/>
    <col min="8" max="8" width="0.140625" style="21" customWidth="1"/>
    <col min="9" max="9" width="10.28515625" style="989" customWidth="1"/>
    <col min="10" max="10" width="4.5703125" style="21" bestFit="1" customWidth="1"/>
    <col min="11" max="12" width="3.28515625" style="21" customWidth="1"/>
    <col min="13" max="13" width="18.5703125" style="21" customWidth="1"/>
    <col min="14" max="14" width="19.5703125" style="21" customWidth="1"/>
    <col min="15" max="15" width="20.42578125" style="21" customWidth="1"/>
    <col min="16" max="16" width="19.85546875" style="21" customWidth="1"/>
    <col min="17" max="17" width="20.140625" style="21" customWidth="1"/>
    <col min="18" max="18" width="22.7109375" style="21" customWidth="1"/>
    <col min="19" max="19" width="21.5703125" style="121" customWidth="1"/>
    <col min="20" max="20" width="22.42578125" style="121" customWidth="1"/>
    <col min="21" max="22" width="11.5703125" style="121" bestFit="1" customWidth="1"/>
    <col min="23" max="16384" width="11.42578125" style="121"/>
  </cols>
  <sheetData>
    <row r="1" spans="2:22" ht="6.75" customHeight="1"/>
    <row r="2" spans="2:22" ht="7.5" customHeight="1"/>
    <row r="3" spans="2:22" ht="26.25" customHeight="1">
      <c r="D3" s="1116" t="s">
        <v>1041</v>
      </c>
      <c r="E3" s="1117"/>
      <c r="F3" s="1117"/>
      <c r="G3" s="1117"/>
    </row>
    <row r="4" spans="2:22" ht="51" customHeight="1">
      <c r="D4" s="1118"/>
      <c r="E4" s="1118"/>
      <c r="F4" s="1118"/>
      <c r="G4" s="1118"/>
      <c r="H4" s="22"/>
      <c r="I4" s="990"/>
      <c r="J4" s="22"/>
      <c r="K4" s="22"/>
      <c r="L4" s="22"/>
      <c r="M4" s="23"/>
      <c r="N4" s="23"/>
      <c r="O4" s="23"/>
      <c r="P4" s="23"/>
      <c r="Q4" s="23"/>
      <c r="S4" s="22"/>
      <c r="T4" s="120"/>
    </row>
    <row r="5" spans="2:22" ht="12" customHeight="1">
      <c r="D5" s="1119" t="s">
        <v>729</v>
      </c>
      <c r="E5" s="1119"/>
      <c r="F5" s="1119"/>
      <c r="G5" s="1119"/>
      <c r="H5" s="215"/>
      <c r="I5" s="1150" t="s">
        <v>271</v>
      </c>
      <c r="J5" s="1151" t="s">
        <v>272</v>
      </c>
      <c r="K5" s="1151" t="s">
        <v>273</v>
      </c>
      <c r="L5" s="1144" t="s">
        <v>1222</v>
      </c>
      <c r="M5" s="1123" t="s">
        <v>275</v>
      </c>
      <c r="N5" s="1124"/>
      <c r="O5" s="1124"/>
      <c r="P5" s="1124"/>
      <c r="Q5" s="1124"/>
      <c r="R5" s="1124"/>
      <c r="S5" s="1124"/>
      <c r="T5" s="1124"/>
      <c r="U5" s="1144" t="s">
        <v>1223</v>
      </c>
      <c r="V5" s="1145"/>
    </row>
    <row r="6" spans="2:22" ht="12.75" customHeight="1">
      <c r="D6" s="1119"/>
      <c r="E6" s="1119"/>
      <c r="F6" s="1119"/>
      <c r="G6" s="1119"/>
      <c r="H6" s="215"/>
      <c r="I6" s="1150"/>
      <c r="J6" s="1151"/>
      <c r="K6" s="1151"/>
      <c r="L6" s="1146"/>
      <c r="M6" s="1126"/>
      <c r="N6" s="1127"/>
      <c r="O6" s="1127"/>
      <c r="P6" s="1127"/>
      <c r="Q6" s="1127"/>
      <c r="R6" s="1127"/>
      <c r="S6" s="1127"/>
      <c r="T6" s="1127"/>
      <c r="U6" s="1146"/>
      <c r="V6" s="1147"/>
    </row>
    <row r="7" spans="2:22" ht="15" customHeight="1">
      <c r="D7" s="1119"/>
      <c r="E7" s="1119"/>
      <c r="F7" s="1119"/>
      <c r="G7" s="1119"/>
      <c r="H7" s="216"/>
      <c r="I7" s="1150"/>
      <c r="J7" s="1151"/>
      <c r="K7" s="1151"/>
      <c r="L7" s="1146"/>
      <c r="M7" s="1126"/>
      <c r="N7" s="1127"/>
      <c r="O7" s="1127"/>
      <c r="P7" s="1127"/>
      <c r="Q7" s="1127"/>
      <c r="R7" s="1127"/>
      <c r="S7" s="1127"/>
      <c r="T7" s="1127"/>
      <c r="U7" s="1146"/>
      <c r="V7" s="1147"/>
    </row>
    <row r="8" spans="2:22" ht="15.75" customHeight="1">
      <c r="D8" s="1119"/>
      <c r="E8" s="1119"/>
      <c r="F8" s="1119"/>
      <c r="G8" s="1119"/>
      <c r="H8" s="217"/>
      <c r="I8" s="1150"/>
      <c r="J8" s="1151"/>
      <c r="K8" s="1151"/>
      <c r="L8" s="1148"/>
      <c r="M8" s="1129"/>
      <c r="N8" s="1130"/>
      <c r="O8" s="1130"/>
      <c r="P8" s="1130"/>
      <c r="Q8" s="1130"/>
      <c r="R8" s="1130"/>
      <c r="S8" s="1130"/>
      <c r="T8" s="1130"/>
      <c r="U8" s="1148"/>
      <c r="V8" s="1149"/>
    </row>
    <row r="9" spans="2:22" ht="15.75" customHeight="1">
      <c r="D9" s="963" t="s">
        <v>1221</v>
      </c>
      <c r="E9" s="762"/>
      <c r="F9" s="762"/>
      <c r="G9" s="762"/>
      <c r="H9" s="217"/>
      <c r="I9" s="1150"/>
      <c r="J9" s="1151"/>
      <c r="K9" s="1151"/>
      <c r="L9" s="964">
        <v>1</v>
      </c>
      <c r="M9" s="479">
        <v>2</v>
      </c>
      <c r="N9" s="479">
        <v>3</v>
      </c>
      <c r="O9" s="479">
        <v>4</v>
      </c>
      <c r="P9" s="479">
        <v>5</v>
      </c>
      <c r="Q9" s="479">
        <v>6</v>
      </c>
      <c r="R9" s="479">
        <v>7</v>
      </c>
      <c r="S9" s="479">
        <v>8</v>
      </c>
      <c r="T9" s="479">
        <v>9</v>
      </c>
      <c r="U9" s="479">
        <v>10</v>
      </c>
      <c r="V9" s="479">
        <v>11</v>
      </c>
    </row>
    <row r="10" spans="2:22" ht="15.75" customHeight="1">
      <c r="D10" s="262"/>
      <c r="E10" s="965" t="s">
        <v>1224</v>
      </c>
      <c r="F10" s="966"/>
      <c r="G10" s="967"/>
      <c r="H10" s="217"/>
      <c r="I10" s="1150"/>
      <c r="J10" s="1151"/>
      <c r="K10" s="1151"/>
      <c r="L10" s="915" t="s">
        <v>445</v>
      </c>
      <c r="M10" s="915"/>
      <c r="N10" s="915"/>
      <c r="O10" s="915"/>
      <c r="P10" s="915"/>
      <c r="Q10" s="915"/>
      <c r="R10" s="915"/>
      <c r="S10" s="915"/>
      <c r="T10" s="915"/>
      <c r="U10" s="915"/>
      <c r="V10" s="915"/>
    </row>
    <row r="11" spans="2:22" ht="40.5">
      <c r="B11" s="1135" t="s">
        <v>136</v>
      </c>
      <c r="C11" s="1136"/>
      <c r="D11" s="997" t="s">
        <v>10</v>
      </c>
      <c r="E11" s="998" t="s">
        <v>5</v>
      </c>
      <c r="F11" s="999" t="s">
        <v>3</v>
      </c>
      <c r="G11" s="1000" t="s">
        <v>12</v>
      </c>
      <c r="H11" s="209"/>
      <c r="I11" s="1150"/>
      <c r="J11" s="1151"/>
      <c r="K11" s="1151"/>
      <c r="L11" s="994"/>
      <c r="M11" s="995">
        <v>1</v>
      </c>
      <c r="N11" s="995">
        <v>2</v>
      </c>
      <c r="O11" s="995">
        <v>3</v>
      </c>
      <c r="P11" s="995">
        <v>4</v>
      </c>
      <c r="Q11" s="995">
        <v>5</v>
      </c>
      <c r="R11" s="995">
        <v>6</v>
      </c>
      <c r="S11" s="995">
        <v>7</v>
      </c>
      <c r="T11" s="995">
        <v>8</v>
      </c>
      <c r="U11" s="996"/>
      <c r="V11" s="996"/>
    </row>
    <row r="12" spans="2:22" ht="20.25" customHeight="1">
      <c r="B12" s="281" t="s">
        <v>5</v>
      </c>
      <c r="C12" s="277" t="s">
        <v>158</v>
      </c>
      <c r="D12" s="1009">
        <v>1</v>
      </c>
      <c r="E12" s="1010" t="s">
        <v>9</v>
      </c>
      <c r="F12" s="1010"/>
      <c r="G12" s="1010"/>
      <c r="H12" s="1011"/>
      <c r="I12" s="1012"/>
      <c r="J12" s="1013"/>
      <c r="K12" s="1013"/>
      <c r="L12" s="1013"/>
      <c r="M12" s="1014" t="s">
        <v>274</v>
      </c>
      <c r="N12" s="1015"/>
      <c r="O12" s="1015"/>
      <c r="P12" s="1015"/>
      <c r="Q12" s="1015"/>
      <c r="R12" s="1016"/>
      <c r="S12" s="1017"/>
      <c r="T12" s="1018"/>
      <c r="U12" s="1017"/>
      <c r="V12" s="1018"/>
    </row>
    <row r="13" spans="2:22" ht="48" customHeight="1">
      <c r="B13" s="282" t="s">
        <v>162</v>
      </c>
      <c r="C13" s="279" t="s">
        <v>163</v>
      </c>
      <c r="D13" s="262">
        <f>D12+0.1</f>
        <v>1.1000000000000001</v>
      </c>
      <c r="E13" s="263" t="s">
        <v>235</v>
      </c>
      <c r="F13" s="271" t="s">
        <v>122</v>
      </c>
      <c r="G13" s="272">
        <f>+PPTO!I11</f>
        <v>16835944</v>
      </c>
      <c r="H13" s="483">
        <v>2</v>
      </c>
      <c r="I13" s="991">
        <v>8</v>
      </c>
      <c r="J13" s="480">
        <v>1</v>
      </c>
      <c r="K13" s="60">
        <f t="shared" ref="K13:K86" si="0">IF(I13="","",J13+I13-1)</f>
        <v>8</v>
      </c>
      <c r="L13" s="60"/>
      <c r="M13" s="1039">
        <f>+$G$13/($I$13*1000)</f>
        <v>2104</v>
      </c>
      <c r="N13" s="1039">
        <f t="shared" ref="N13:T13" si="1">+$G$13/($I$13*1000)</f>
        <v>2104</v>
      </c>
      <c r="O13" s="1039">
        <f t="shared" si="1"/>
        <v>2104</v>
      </c>
      <c r="P13" s="1039">
        <f t="shared" si="1"/>
        <v>2104</v>
      </c>
      <c r="Q13" s="1039">
        <f t="shared" si="1"/>
        <v>2104</v>
      </c>
      <c r="R13" s="1039">
        <f t="shared" si="1"/>
        <v>2104</v>
      </c>
      <c r="S13" s="1039">
        <f t="shared" si="1"/>
        <v>2104</v>
      </c>
      <c r="T13" s="1039">
        <f t="shared" si="1"/>
        <v>2104</v>
      </c>
      <c r="U13" s="122"/>
      <c r="V13" s="881"/>
    </row>
    <row r="14" spans="2:22" ht="66" customHeight="1">
      <c r="B14" s="282" t="s">
        <v>164</v>
      </c>
      <c r="C14" s="277" t="s">
        <v>165</v>
      </c>
      <c r="D14" s="262">
        <f t="shared" ref="D14" si="2">D13+0.1</f>
        <v>1.2</v>
      </c>
      <c r="E14" s="263" t="s">
        <v>1201</v>
      </c>
      <c r="F14" s="271" t="s">
        <v>72</v>
      </c>
      <c r="G14" s="272">
        <f>+PPTO!I12</f>
        <v>195469092</v>
      </c>
      <c r="H14" s="483">
        <v>2</v>
      </c>
      <c r="I14" s="991">
        <v>2</v>
      </c>
      <c r="J14" s="480">
        <v>1</v>
      </c>
      <c r="K14" s="60">
        <f t="shared" ref="K14" si="3">IF(I14="","",J14+I14-1)</f>
        <v>2</v>
      </c>
      <c r="L14" s="60"/>
      <c r="M14" s="1039">
        <f>+$G$14/($I$14*1000)</f>
        <v>97735</v>
      </c>
      <c r="N14" s="1039">
        <f>+$G$14/($I$14*1000)</f>
        <v>97735</v>
      </c>
      <c r="O14" s="482" t="str">
        <f t="shared" ref="O14:T18" si="4">IF($I14="","",IF(OR(O$11&lt;$J14,O$11&gt;$K14),"",IF($H14=1,IF((O$11/$J14)=1,($G14/1000)/(($I14)*2)*$I14*1.3,IF((O$11/$J14)&gt;1,($G14/1000)/(($I14)*2)*$I14*(0.7/($I14-1)))),IF($H14=2,($G14/1000)/$I14,IF($H14=3,IF((O$11/$K14)=1,($G14/1000)/(($I14)*2)*$I14*1.3,IF((O$11/$K14)&lt;1,($G14/1000)/(($I14)*2)*$I14*(0.7/($I14-1)))))))))</f>
        <v/>
      </c>
      <c r="P14" s="482" t="str">
        <f t="shared" si="4"/>
        <v/>
      </c>
      <c r="Q14" s="482" t="str">
        <f t="shared" si="4"/>
        <v/>
      </c>
      <c r="R14" s="482" t="str">
        <f t="shared" si="4"/>
        <v/>
      </c>
      <c r="S14" s="482" t="str">
        <f t="shared" si="4"/>
        <v/>
      </c>
      <c r="T14" s="482" t="str">
        <f t="shared" si="4"/>
        <v/>
      </c>
      <c r="U14" s="122"/>
      <c r="V14" s="916"/>
    </row>
    <row r="15" spans="2:22">
      <c r="B15" s="283"/>
      <c r="C15" s="278"/>
      <c r="D15" s="1001" t="str">
        <f>CONCATENATE("SUBTOTAL  ",E12)</f>
        <v>SUBTOTAL  TRABAJOS PRELIMINARES</v>
      </c>
      <c r="E15" s="1002"/>
      <c r="F15" s="1002"/>
      <c r="G15" s="1003">
        <f>SUM(G13:G14)</f>
        <v>212305036</v>
      </c>
      <c r="H15" s="1004">
        <v>2</v>
      </c>
      <c r="I15" s="1005"/>
      <c r="J15" s="480"/>
      <c r="K15" s="118" t="str">
        <f t="shared" si="0"/>
        <v/>
      </c>
      <c r="L15" s="118"/>
      <c r="M15" s="1006" t="str">
        <f>IF($I15="","",IF(OR(M$11&lt;$J15,M$11&gt;$K15),"",IF($H15=1,IF((M$11/$J15)=1,($G15/1000)/(($I15)*2)*$I15*1.3,IF((M$11/$J15)&gt;1,($G15/1000)/(($I15)*2)*$I15*(0.7/($I15-1)))),IF($H15=2,($G15/1000)/$I15,IF($H15=3,IF((M$11/$K15)=1,($G15/1000)/(($I15)*2)*$I15*1.3,IF((M$11/$K15)&lt;1,($G15/1000)/(($I15)*2)*$I15*(0.7/($I15-1)))))))))</f>
        <v/>
      </c>
      <c r="N15" s="1006" t="str">
        <f>IF($I15="","",IF(OR(N$11&lt;$J15,N$11&gt;$K15),"",IF($H15=1,IF((N$11/$J15)=1,($G15/1000)/(($I15)*2)*$I15*1.3,IF((N$11/$J15)&gt;1,($G15/1000)/(($I15)*2)*$I15*(0.7/($I15-1)))),IF($H15=2,($G15/1000)/$I15,IF($H15=3,IF((N$11/$K15)=1,($G15/1000)/(($I15)*2)*$I15*1.3,IF((N$11/$K15)&lt;1,($G15/1000)/(($I15)*2)*$I15*(0.7/($I15-1)))))))))</f>
        <v/>
      </c>
      <c r="O15" s="1006" t="str">
        <f t="shared" si="4"/>
        <v/>
      </c>
      <c r="P15" s="1006" t="str">
        <f t="shared" si="4"/>
        <v/>
      </c>
      <c r="Q15" s="1006" t="str">
        <f t="shared" si="4"/>
        <v/>
      </c>
      <c r="R15" s="1006" t="str">
        <f t="shared" si="4"/>
        <v/>
      </c>
      <c r="S15" s="1006" t="str">
        <f t="shared" si="4"/>
        <v/>
      </c>
      <c r="T15" s="1006" t="str">
        <f t="shared" si="4"/>
        <v/>
      </c>
      <c r="U15" s="1007"/>
      <c r="V15" s="1008"/>
    </row>
    <row r="16" spans="2:22" ht="20.25" customHeight="1">
      <c r="B16" s="282"/>
      <c r="C16" s="277"/>
      <c r="D16" s="1009">
        <v>2</v>
      </c>
      <c r="E16" s="1019" t="s">
        <v>106</v>
      </c>
      <c r="F16" s="1019"/>
      <c r="G16" s="1019"/>
      <c r="H16" s="1020">
        <v>2</v>
      </c>
      <c r="I16" s="1021"/>
      <c r="J16" s="1022"/>
      <c r="K16" s="1023" t="str">
        <f t="shared" si="0"/>
        <v/>
      </c>
      <c r="L16" s="1023"/>
      <c r="M16" s="1024" t="str">
        <f>IF($I16="","",IF(OR(M$11&lt;$J16,M$11&gt;$K16),"",IF($H16=1,IF((M$11/$J16)=1,($G16/1000)/(($I16)*2)*$I16*1.3,IF((M$11/$J16)&gt;1,($G16/1000)/(($I16)*2)*$I16*(0.7/($I16-1)))),IF($H16=2,($G16/1000)/$I16,IF($H16=3,IF((M$11/$K16)=1,($G16/1000)/(($I16)*2)*$I16*1.3,IF((M$11/$K16)&lt;1,($G16/1000)/(($I16)*2)*$I16*(0.7/($I16-1)))))))))</f>
        <v/>
      </c>
      <c r="N16" s="1024" t="str">
        <f>IF($I16="","",IF(OR(N$11&lt;$J16,N$11&gt;$K16),"",IF($H16=1,IF((N$11/$J16)=1,($G16/1000)/(($I16)*2)*$I16*1.3,IF((N$11/$J16)&gt;1,($G16/1000)/(($I16)*2)*$I16*(0.7/($I16-1)))),IF($H16=2,($G16/1000)/$I16,IF($H16=3,IF((N$11/$K16)=1,($G16/1000)/(($I16)*2)*$I16*1.3,IF((N$11/$K16)&lt;1,($G16/1000)/(($I16)*2)*$I16*(0.7/($I16-1)))))))))</f>
        <v/>
      </c>
      <c r="O16" s="1024" t="str">
        <f t="shared" si="4"/>
        <v/>
      </c>
      <c r="P16" s="1024" t="str">
        <f t="shared" si="4"/>
        <v/>
      </c>
      <c r="Q16" s="1024" t="str">
        <f t="shared" si="4"/>
        <v/>
      </c>
      <c r="R16" s="1024" t="str">
        <f t="shared" si="4"/>
        <v/>
      </c>
      <c r="S16" s="1024" t="str">
        <f t="shared" si="4"/>
        <v/>
      </c>
      <c r="T16" s="1024" t="str">
        <f t="shared" si="4"/>
        <v/>
      </c>
      <c r="U16" s="1017"/>
      <c r="V16" s="1018"/>
    </row>
    <row r="17" spans="2:22" ht="66" customHeight="1">
      <c r="B17" s="282" t="s">
        <v>164</v>
      </c>
      <c r="C17" s="277" t="s">
        <v>165</v>
      </c>
      <c r="D17" s="262">
        <f t="shared" ref="D17:D23" si="5">D16+0.1</f>
        <v>2.1</v>
      </c>
      <c r="E17" s="263" t="s">
        <v>177</v>
      </c>
      <c r="F17" s="271" t="s">
        <v>44</v>
      </c>
      <c r="G17" s="272">
        <f>+PPTO!I15</f>
        <v>24897408</v>
      </c>
      <c r="H17" s="483">
        <v>2</v>
      </c>
      <c r="I17" s="991">
        <v>2</v>
      </c>
      <c r="J17" s="480">
        <v>1</v>
      </c>
      <c r="K17" s="60">
        <f t="shared" si="0"/>
        <v>2</v>
      </c>
      <c r="L17" s="60"/>
      <c r="M17" s="1039">
        <f>+$G$17/($I$17*1000)</f>
        <v>12449</v>
      </c>
      <c r="N17" s="1039">
        <f>+$G$17/($I$17*1000)</f>
        <v>12449</v>
      </c>
      <c r="O17" s="482" t="str">
        <f t="shared" si="4"/>
        <v/>
      </c>
      <c r="P17" s="482" t="str">
        <f t="shared" si="4"/>
        <v/>
      </c>
      <c r="Q17" s="482" t="str">
        <f t="shared" si="4"/>
        <v/>
      </c>
      <c r="R17" s="482" t="str">
        <f t="shared" si="4"/>
        <v/>
      </c>
      <c r="S17" s="482" t="str">
        <f t="shared" si="4"/>
        <v/>
      </c>
      <c r="T17" s="482" t="str">
        <f t="shared" si="4"/>
        <v/>
      </c>
      <c r="U17" s="122"/>
      <c r="V17" s="881"/>
    </row>
    <row r="18" spans="2:22" ht="43.5" customHeight="1">
      <c r="B18" s="282" t="s">
        <v>144</v>
      </c>
      <c r="C18" s="277" t="s">
        <v>138</v>
      </c>
      <c r="D18" s="262">
        <f t="shared" si="5"/>
        <v>2.2000000000000002</v>
      </c>
      <c r="E18" s="263" t="s">
        <v>799</v>
      </c>
      <c r="F18" s="271" t="s">
        <v>44</v>
      </c>
      <c r="G18" s="272">
        <f>+PPTO!I16</f>
        <v>625460531</v>
      </c>
      <c r="H18" s="483">
        <v>2</v>
      </c>
      <c r="I18" s="991">
        <v>2</v>
      </c>
      <c r="J18" s="480">
        <v>1</v>
      </c>
      <c r="K18" s="60">
        <f t="shared" si="0"/>
        <v>2</v>
      </c>
      <c r="L18" s="60"/>
      <c r="M18" s="1039">
        <f>+$G$18/($I$18*1000)</f>
        <v>312730</v>
      </c>
      <c r="N18" s="1039">
        <f>+$G$18/($I$18*1000)</f>
        <v>312730</v>
      </c>
      <c r="O18" s="482" t="str">
        <f t="shared" si="4"/>
        <v/>
      </c>
      <c r="P18" s="482" t="str">
        <f t="shared" si="4"/>
        <v/>
      </c>
      <c r="Q18" s="482" t="str">
        <f t="shared" si="4"/>
        <v/>
      </c>
      <c r="R18" s="482" t="str">
        <f t="shared" si="4"/>
        <v/>
      </c>
      <c r="S18" s="482" t="str">
        <f t="shared" si="4"/>
        <v/>
      </c>
      <c r="T18" s="482" t="str">
        <f t="shared" si="4"/>
        <v/>
      </c>
      <c r="U18" s="122"/>
      <c r="V18" s="881"/>
    </row>
    <row r="19" spans="2:22" ht="39" customHeight="1">
      <c r="B19" s="365" t="s">
        <v>145</v>
      </c>
      <c r="C19" s="277">
        <v>900.1</v>
      </c>
      <c r="D19" s="262">
        <f t="shared" si="5"/>
        <v>2.2999999999999998</v>
      </c>
      <c r="E19" s="263" t="s">
        <v>834</v>
      </c>
      <c r="F19" s="271" t="s">
        <v>191</v>
      </c>
      <c r="G19" s="272">
        <f>+PPTO!I17</f>
        <v>114554900</v>
      </c>
      <c r="H19" s="483">
        <v>1</v>
      </c>
      <c r="I19" s="991">
        <v>3</v>
      </c>
      <c r="J19" s="480">
        <v>1</v>
      </c>
      <c r="K19" s="60">
        <f t="shared" si="0"/>
        <v>3</v>
      </c>
      <c r="L19" s="60"/>
      <c r="M19" s="1039">
        <f>+$G$19/($I$19*1000)</f>
        <v>38185</v>
      </c>
      <c r="N19" s="1039">
        <f t="shared" ref="N19:O19" si="6">+$G$19/($I$19*1000)</f>
        <v>38185</v>
      </c>
      <c r="O19" s="1039">
        <f t="shared" si="6"/>
        <v>38185</v>
      </c>
      <c r="P19" s="482" t="str">
        <f>IF($I19="","",IF(OR(P$11&lt;$J19,P$11&gt;$K19),"",IF($H19=1,IF((P$11/$J19)=1,($G19/1000)/(($I19)*2)*$I19*1.3,IF((P$11/$J19)&gt;1,($G19/1000)/(($I19)*2)*$I19*(0.7/($I19-1)))),IF($H19=2,($G19/1000)/$I19,IF($H19=3,IF((P$11/$K19)=1,($G19/1000)/(($I19)*2)*$I19*1.3,IF((P$11/$K19)&lt;1,($G19/1000)/(($I19)*2)*$I19*(0.7/($I19-1)))))))))</f>
        <v/>
      </c>
      <c r="Q19" s="482" t="str">
        <f>IF($I19="","",IF(OR(Q$11&lt;$J19,Q$11&gt;$K19),"",IF($H19=1,IF((Q$11/$J19)=1,($G19/1000)/(($I19)*2)*$I19*1.3,IF((Q$11/$J19)&gt;1,($G19/1000)/(($I19)*2)*$I19*(0.7/($I19-1)))),IF($H19=2,($G19/1000)/$I19,IF($H19=3,IF((Q$11/$K19)=1,($G19/1000)/(($I19)*2)*$I19*1.3,IF((Q$11/$K19)&lt;1,($G19/1000)/(($I19)*2)*$I19*(0.7/($I19-1)))))))))</f>
        <v/>
      </c>
      <c r="R19" s="482" t="str">
        <f>IF($I19="","",IF(OR(R$11&lt;$J19,R$11&gt;$K19),"",IF($H19=1,IF((R$11/$J19)=1,($G19/1000)/(($I19)*2)*$I19*1.3,IF((R$11/$J19)&gt;1,($G19/1000)/(($I19)*2)*$I19*(0.7/($I19-1)))),IF($H19=2,($G19/1000)/$I19,IF($H19=3,IF((R$11/$K19)=1,($G19/1000)/(($I19)*2)*$I19*1.3,IF((R$11/$K19)&lt;1,($G19/1000)/(($I19)*2)*$I19*(0.7/($I19-1)))))))))</f>
        <v/>
      </c>
      <c r="S19" s="482" t="str">
        <f>IF($I19="","",IF(OR(S$11&lt;$J19,S$11&gt;$K19),"",IF($H19=1,IF((S$11/$J19)=1,($G19/1000)/(($I19)*2)*$I19*1.3,IF((S$11/$J19)&gt;1,($G19/1000)/(($I19)*2)*$I19*(0.7/($I19-1)))),IF($H19=2,($G19/1000)/$I19,IF($H19=3,IF((S$11/$K19)=1,($G19/1000)/(($I19)*2)*$I19*1.3,IF((S$11/$K19)&lt;1,($G19/1000)/(($I19)*2)*$I19*(0.7/($I19-1)))))))))</f>
        <v/>
      </c>
      <c r="T19" s="482" t="str">
        <f>IF($I19="","",IF(OR(T$11&lt;$J19,T$11&gt;$K19),"",IF($H19=1,IF((T$11/$J19)=1,($G19/1000)/(($I19)*2)*$I19*1.3,IF((T$11/$J19)&gt;1,($G19/1000)/(($I19)*2)*$I19*(0.7/($I19-1)))),IF($H19=2,($G19/1000)/$I19,IF($H19=3,IF((T$11/$K19)=1,($G19/1000)/(($I19)*2)*$I19*1.3,IF((T$11/$K19)&lt;1,($G19/1000)/(($I19)*2)*$I19*(0.7/($I19-1)))))))))</f>
        <v/>
      </c>
      <c r="U19" s="122"/>
      <c r="V19" s="881"/>
    </row>
    <row r="20" spans="2:22" ht="43.5" customHeight="1">
      <c r="B20" s="282" t="s">
        <v>146</v>
      </c>
      <c r="C20" s="277">
        <v>610.20000000000005</v>
      </c>
      <c r="D20" s="262">
        <f t="shared" si="5"/>
        <v>2.4</v>
      </c>
      <c r="E20" s="263" t="s">
        <v>186</v>
      </c>
      <c r="F20" s="271" t="s">
        <v>44</v>
      </c>
      <c r="G20" s="272">
        <f>+PPTO!I18</f>
        <v>519913774</v>
      </c>
      <c r="H20" s="483">
        <v>3</v>
      </c>
      <c r="I20" s="991">
        <v>3</v>
      </c>
      <c r="J20" s="480">
        <v>2</v>
      </c>
      <c r="K20" s="60">
        <f t="shared" si="0"/>
        <v>4</v>
      </c>
      <c r="L20" s="60"/>
      <c r="M20" s="482" t="str">
        <f t="shared" ref="M20:M40" si="7">IF($I20="","",IF(OR(M$11&lt;$J20,M$11&gt;$K20),"",IF($H20=1,IF((M$11/$J20)=1,($G20/1000)/(($I20)*2)*$I20*1.3,IF((M$11/$J20)&gt;1,($G20/1000)/(($I20)*2)*$I20*(0.7/($I20-1)))),IF($H20=2,($G20/1000)/$I20,IF($H20=3,IF((M$11/$K20)=1,($G20/1000)/(($I20)*2)*$I20*1.3,IF((M$11/$K20)&lt;1,($G20/1000)/(($I20)*2)*$I20*(0.7/($I20-1)))))))))</f>
        <v/>
      </c>
      <c r="N20" s="1039">
        <f>+$G$20/($I$20*1000)</f>
        <v>173305</v>
      </c>
      <c r="O20" s="1039">
        <f t="shared" ref="O20:P20" si="8">+$G$20/($I$20*1000)</f>
        <v>173305</v>
      </c>
      <c r="P20" s="1039">
        <f t="shared" si="8"/>
        <v>173305</v>
      </c>
      <c r="Q20" s="482" t="str">
        <f t="shared" ref="Q20:T21" si="9">IF($I20="","",IF(OR(Q$11&lt;$J20,Q$11&gt;$K20),"",IF($H20=1,IF((Q$11/$J20)=1,($G20/1000)/(($I20)*2)*$I20*1.3,IF((Q$11/$J20)&gt;1,($G20/1000)/(($I20)*2)*$I20*(0.7/($I20-1)))),IF($H20=2,($G20/1000)/$I20,IF($H20=3,IF((Q$11/$K20)=1,($G20/1000)/(($I20)*2)*$I20*1.3,IF((Q$11/$K20)&lt;1,($G20/1000)/(($I20)*2)*$I20*(0.7/($I20-1)))))))))</f>
        <v/>
      </c>
      <c r="R20" s="482" t="str">
        <f t="shared" si="9"/>
        <v/>
      </c>
      <c r="S20" s="482" t="str">
        <f t="shared" si="9"/>
        <v/>
      </c>
      <c r="T20" s="482" t="str">
        <f t="shared" si="9"/>
        <v/>
      </c>
      <c r="U20" s="122"/>
      <c r="V20" s="881"/>
    </row>
    <row r="21" spans="2:22" ht="67.5" customHeight="1">
      <c r="B21" s="282"/>
      <c r="C21" s="279"/>
      <c r="D21" s="262">
        <f t="shared" si="5"/>
        <v>2.5</v>
      </c>
      <c r="E21" s="270" t="s">
        <v>1205</v>
      </c>
      <c r="F21" s="271" t="s">
        <v>44</v>
      </c>
      <c r="G21" s="272">
        <f>+PPTO!I19</f>
        <v>63703087</v>
      </c>
      <c r="H21" s="483">
        <v>1</v>
      </c>
      <c r="I21" s="991">
        <v>3</v>
      </c>
      <c r="J21" s="480">
        <v>2</v>
      </c>
      <c r="K21" s="60">
        <f t="shared" si="0"/>
        <v>4</v>
      </c>
      <c r="L21" s="60"/>
      <c r="M21" s="482" t="str">
        <f t="shared" si="7"/>
        <v/>
      </c>
      <c r="N21" s="1039">
        <f>+$G$21/($I$21*1000)</f>
        <v>21234</v>
      </c>
      <c r="O21" s="1039">
        <f t="shared" ref="O21:P21" si="10">+$G$21/($I$21*1000)</f>
        <v>21234</v>
      </c>
      <c r="P21" s="1039">
        <f t="shared" si="10"/>
        <v>21234</v>
      </c>
      <c r="Q21" s="482" t="str">
        <f t="shared" si="9"/>
        <v/>
      </c>
      <c r="R21" s="482" t="str">
        <f t="shared" si="9"/>
        <v/>
      </c>
      <c r="S21" s="482" t="str">
        <f t="shared" si="9"/>
        <v/>
      </c>
      <c r="T21" s="482" t="str">
        <f t="shared" si="9"/>
        <v/>
      </c>
      <c r="U21" s="131"/>
      <c r="V21" s="122"/>
    </row>
    <row r="22" spans="2:22" ht="67.5" customHeight="1">
      <c r="B22" s="282"/>
      <c r="C22" s="279"/>
      <c r="D22" s="262">
        <f t="shared" si="5"/>
        <v>2.6</v>
      </c>
      <c r="E22" s="270" t="s">
        <v>196</v>
      </c>
      <c r="F22" s="271" t="s">
        <v>44</v>
      </c>
      <c r="G22" s="272">
        <f>+PPTO!I20</f>
        <v>83236780</v>
      </c>
      <c r="H22" s="483">
        <v>2</v>
      </c>
      <c r="I22" s="991">
        <v>5</v>
      </c>
      <c r="J22" s="480">
        <v>2</v>
      </c>
      <c r="K22" s="60">
        <f t="shared" si="0"/>
        <v>6</v>
      </c>
      <c r="L22" s="60"/>
      <c r="M22" s="482" t="str">
        <f t="shared" si="7"/>
        <v/>
      </c>
      <c r="N22" s="1039">
        <f>+$G$22/($I$22*1000)</f>
        <v>16647</v>
      </c>
      <c r="O22" s="1039">
        <f t="shared" ref="O22:R22" si="11">+$G$22/($I$22*1000)</f>
        <v>16647</v>
      </c>
      <c r="P22" s="1039">
        <f t="shared" si="11"/>
        <v>16647</v>
      </c>
      <c r="Q22" s="1039">
        <f t="shared" si="11"/>
        <v>16647</v>
      </c>
      <c r="R22" s="1039">
        <f t="shared" si="11"/>
        <v>16647</v>
      </c>
      <c r="S22" s="482" t="str">
        <f t="shared" ref="S22:T27" si="12">IF($I22="","",IF(OR(S$11&lt;$J22,S$11&gt;$K22),"",IF($H22=1,IF((S$11/$J22)=1,($G22/1000)/(($I22)*2)*$I22*1.3,IF((S$11/$J22)&gt;1,($G22/1000)/(($I22)*2)*$I22*(0.7/($I22-1)))),IF($H22=2,($G22/1000)/$I22,IF($H22=3,IF((S$11/$K22)=1,($G22/1000)/(($I22)*2)*$I22*1.3,IF((S$11/$K22)&lt;1,($G22/1000)/(($I22)*2)*$I22*(0.7/($I22-1)))))))))</f>
        <v/>
      </c>
      <c r="T22" s="482" t="str">
        <f t="shared" si="12"/>
        <v/>
      </c>
      <c r="U22" s="131"/>
      <c r="V22" s="122"/>
    </row>
    <row r="23" spans="2:22" ht="86.25" hidden="1" customHeight="1">
      <c r="B23" s="282"/>
      <c r="C23" s="279"/>
      <c r="D23" s="262">
        <f t="shared" si="5"/>
        <v>2.7</v>
      </c>
      <c r="E23" s="270" t="s">
        <v>299</v>
      </c>
      <c r="F23" s="271" t="s">
        <v>72</v>
      </c>
      <c r="G23" s="272">
        <f>+PPTO!I21</f>
        <v>0</v>
      </c>
      <c r="H23" s="483">
        <v>2</v>
      </c>
      <c r="I23" s="991"/>
      <c r="J23" s="480"/>
      <c r="K23" s="60" t="str">
        <f t="shared" si="0"/>
        <v/>
      </c>
      <c r="L23" s="60"/>
      <c r="M23" s="482" t="str">
        <f t="shared" si="7"/>
        <v/>
      </c>
      <c r="N23" s="482" t="str">
        <f t="shared" ref="N23:R25" si="13">IF($I23="","",IF(OR(N$11&lt;$J23,N$11&gt;$K23),"",IF($H23=1,IF((N$11/$J23)=1,($G23/1000)/(($I23)*2)*$I23*1.3,IF((N$11/$J23)&gt;1,($G23/1000)/(($I23)*2)*$I23*(0.7/($I23-1)))),IF($H23=2,($G23/1000)/$I23,IF($H23=3,IF((N$11/$K23)=1,($G23/1000)/(($I23)*2)*$I23*1.3,IF((N$11/$K23)&lt;1,($G23/1000)/(($I23)*2)*$I23*(0.7/($I23-1)))))))))</f>
        <v/>
      </c>
      <c r="O23" s="482" t="str">
        <f t="shared" si="13"/>
        <v/>
      </c>
      <c r="P23" s="482" t="str">
        <f t="shared" si="13"/>
        <v/>
      </c>
      <c r="Q23" s="482" t="str">
        <f t="shared" si="13"/>
        <v/>
      </c>
      <c r="R23" s="482" t="str">
        <f t="shared" si="13"/>
        <v/>
      </c>
      <c r="S23" s="482" t="str">
        <f t="shared" si="12"/>
        <v/>
      </c>
      <c r="T23" s="482" t="str">
        <f t="shared" si="12"/>
        <v/>
      </c>
      <c r="U23" s="131"/>
      <c r="V23" s="122"/>
    </row>
    <row r="24" spans="2:22" ht="20.25" customHeight="1">
      <c r="B24" s="283"/>
      <c r="C24" s="278"/>
      <c r="D24" s="497" t="str">
        <f>CONCATENATE("SUBTOTAL  ",E16)</f>
        <v>SUBTOTAL  MOVIMIENTOS DE TIERRA Y ADECUACIONES</v>
      </c>
      <c r="E24" s="498"/>
      <c r="F24" s="498"/>
      <c r="G24" s="288">
        <f>SUM(G17:G23)</f>
        <v>1431766480</v>
      </c>
      <c r="H24" s="483">
        <v>2</v>
      </c>
      <c r="I24" s="991"/>
      <c r="J24" s="480"/>
      <c r="K24" s="60" t="str">
        <f t="shared" si="0"/>
        <v/>
      </c>
      <c r="L24" s="60"/>
      <c r="M24" s="482" t="str">
        <f t="shared" si="7"/>
        <v/>
      </c>
      <c r="N24" s="482" t="str">
        <f t="shared" si="13"/>
        <v/>
      </c>
      <c r="O24" s="482" t="str">
        <f t="shared" si="13"/>
        <v/>
      </c>
      <c r="P24" s="482" t="str">
        <f t="shared" si="13"/>
        <v/>
      </c>
      <c r="Q24" s="482" t="str">
        <f t="shared" si="13"/>
        <v/>
      </c>
      <c r="R24" s="482" t="str">
        <f t="shared" si="13"/>
        <v/>
      </c>
      <c r="S24" s="482" t="str">
        <f t="shared" si="12"/>
        <v/>
      </c>
      <c r="T24" s="482" t="str">
        <f t="shared" si="12"/>
        <v/>
      </c>
      <c r="U24" s="129"/>
      <c r="V24" s="123"/>
    </row>
    <row r="25" spans="2:22" ht="24.75" customHeight="1">
      <c r="B25" s="282"/>
      <c r="C25" s="277"/>
      <c r="D25" s="1009">
        <v>3</v>
      </c>
      <c r="E25" s="1019" t="s">
        <v>14</v>
      </c>
      <c r="F25" s="1019"/>
      <c r="G25" s="1019"/>
      <c r="H25" s="1020">
        <v>2</v>
      </c>
      <c r="I25" s="1021"/>
      <c r="J25" s="1022"/>
      <c r="K25" s="1023" t="str">
        <f t="shared" si="0"/>
        <v/>
      </c>
      <c r="L25" s="1023"/>
      <c r="M25" s="1024" t="str">
        <f t="shared" si="7"/>
        <v/>
      </c>
      <c r="N25" s="1024" t="str">
        <f t="shared" si="13"/>
        <v/>
      </c>
      <c r="O25" s="1024" t="str">
        <f t="shared" si="13"/>
        <v/>
      </c>
      <c r="P25" s="1024" t="str">
        <f t="shared" si="13"/>
        <v/>
      </c>
      <c r="Q25" s="1024" t="str">
        <f t="shared" si="13"/>
        <v/>
      </c>
      <c r="R25" s="1024" t="str">
        <f t="shared" si="13"/>
        <v/>
      </c>
      <c r="S25" s="1024" t="str">
        <f t="shared" si="12"/>
        <v/>
      </c>
      <c r="T25" s="1024" t="str">
        <f t="shared" si="12"/>
        <v/>
      </c>
      <c r="U25" s="1017"/>
      <c r="V25" s="1018"/>
    </row>
    <row r="26" spans="2:22" ht="45.75" customHeight="1">
      <c r="B26" s="282" t="s">
        <v>147</v>
      </c>
      <c r="C26" s="279" t="s">
        <v>139</v>
      </c>
      <c r="D26" s="262">
        <f t="shared" ref="D26:D28" si="14">D25+0.1</f>
        <v>3.1</v>
      </c>
      <c r="E26" s="270" t="s">
        <v>15</v>
      </c>
      <c r="F26" s="271" t="s">
        <v>44</v>
      </c>
      <c r="G26" s="273">
        <f>+PPTO!I24</f>
        <v>717348377</v>
      </c>
      <c r="H26" s="483">
        <v>1</v>
      </c>
      <c r="I26" s="991">
        <v>5</v>
      </c>
      <c r="J26" s="480">
        <v>2</v>
      </c>
      <c r="K26" s="60">
        <f t="shared" si="0"/>
        <v>6</v>
      </c>
      <c r="L26" s="60"/>
      <c r="M26" s="482" t="str">
        <f t="shared" si="7"/>
        <v/>
      </c>
      <c r="N26" s="1039">
        <f>+$G$26/($I$26*1000)</f>
        <v>143470</v>
      </c>
      <c r="O26" s="1039">
        <f t="shared" ref="O26:R26" si="15">+$G$26/($I$26*1000)</f>
        <v>143470</v>
      </c>
      <c r="P26" s="1039">
        <f t="shared" si="15"/>
        <v>143470</v>
      </c>
      <c r="Q26" s="1039">
        <f t="shared" si="15"/>
        <v>143470</v>
      </c>
      <c r="R26" s="1039">
        <f t="shared" si="15"/>
        <v>143470</v>
      </c>
      <c r="S26" s="482" t="str">
        <f t="shared" si="12"/>
        <v/>
      </c>
      <c r="T26" s="482" t="str">
        <f t="shared" si="12"/>
        <v/>
      </c>
      <c r="U26" s="131"/>
      <c r="V26" s="122"/>
    </row>
    <row r="27" spans="2:22" ht="45.75" hidden="1" customHeight="1">
      <c r="B27" s="282" t="s">
        <v>147</v>
      </c>
      <c r="C27" s="279" t="s">
        <v>139</v>
      </c>
      <c r="D27" s="262">
        <f t="shared" si="14"/>
        <v>3.2</v>
      </c>
      <c r="E27" s="270" t="s">
        <v>187</v>
      </c>
      <c r="F27" s="271" t="s">
        <v>44</v>
      </c>
      <c r="G27" s="273">
        <f>+PPTO!I25</f>
        <v>0</v>
      </c>
      <c r="H27" s="483">
        <v>1</v>
      </c>
      <c r="I27" s="991"/>
      <c r="J27" s="480"/>
      <c r="K27" s="60" t="str">
        <f t="shared" si="0"/>
        <v/>
      </c>
      <c r="L27" s="60"/>
      <c r="M27" s="482" t="str">
        <f t="shared" si="7"/>
        <v/>
      </c>
      <c r="N27" s="1039">
        <f t="shared" ref="N27" si="16">+$G$26/($I$26*1000)</f>
        <v>143470</v>
      </c>
      <c r="O27" s="482" t="str">
        <f>IF($I27="","",IF(OR(O$11&lt;$J27,O$11&gt;$K27),"",IF($H27=1,IF((O$11/$J27)=1,($G27/1000)/(($I27)*2)*$I27*1.3,IF((O$11/$J27)&gt;1,($G27/1000)/(($I27)*2)*$I27*(0.7/($I27-1)))),IF($H27=2,($G27/1000)/$I27,IF($H27=3,IF((O$11/$K27)=1,($G27/1000)/(($I27)*2)*$I27*1.3,IF((O$11/$K27)&lt;1,($G27/1000)/(($I27)*2)*$I27*(0.7/($I27-1)))))))))</f>
        <v/>
      </c>
      <c r="P27" s="482" t="str">
        <f>IF($I27="","",IF(OR(P$11&lt;$J27,P$11&gt;$K27),"",IF($H27=1,IF((P$11/$J27)=1,($G27/1000)/(($I27)*2)*$I27*1.3,IF((P$11/$J27)&gt;1,($G27/1000)/(($I27)*2)*$I27*(0.7/($I27-1)))),IF($H27=2,($G27/1000)/$I27,IF($H27=3,IF((P$11/$K27)=1,($G27/1000)/(($I27)*2)*$I27*1.3,IF((P$11/$K27)&lt;1,($G27/1000)/(($I27)*2)*$I27*(0.7/($I27-1)))))))))</f>
        <v/>
      </c>
      <c r="Q27" s="482" t="str">
        <f>IF($I27="","",IF(OR(Q$11&lt;$J27,Q$11&gt;$K27),"",IF($H27=1,IF((Q$11/$J27)=1,($G27/1000)/(($I27)*2)*$I27*1.3,IF((Q$11/$J27)&gt;1,($G27/1000)/(($I27)*2)*$I27*(0.7/($I27-1)))),IF($H27=2,($G27/1000)/$I27,IF($H27=3,IF((Q$11/$K27)=1,($G27/1000)/(($I27)*2)*$I27*1.3,IF((Q$11/$K27)&lt;1,($G27/1000)/(($I27)*2)*$I27*(0.7/($I27-1)))))))))</f>
        <v/>
      </c>
      <c r="R27" s="482" t="str">
        <f>IF($I27="","",IF(OR(R$11&lt;$J27,R$11&gt;$K27),"",IF($H27=1,IF((R$11/$J27)=1,($G27/1000)/(($I27)*2)*$I27*1.3,IF((R$11/$J27)&gt;1,($G27/1000)/(($I27)*2)*$I27*(0.7/($I27-1)))),IF($H27=2,($G27/1000)/$I27,IF($H27=3,IF((R$11/$K27)=1,($G27/1000)/(($I27)*2)*$I27*1.3,IF((R$11/$K27)&lt;1,($G27/1000)/(($I27)*2)*$I27*(0.7/($I27-1)))))))))</f>
        <v/>
      </c>
      <c r="S27" s="482" t="str">
        <f t="shared" si="12"/>
        <v/>
      </c>
      <c r="T27" s="482" t="str">
        <f t="shared" si="12"/>
        <v/>
      </c>
      <c r="U27" s="131"/>
      <c r="V27" s="122"/>
    </row>
    <row r="28" spans="2:22" ht="56.25" customHeight="1">
      <c r="B28" s="282" t="s">
        <v>147</v>
      </c>
      <c r="C28" s="279" t="s">
        <v>139</v>
      </c>
      <c r="D28" s="262">
        <f t="shared" si="14"/>
        <v>3.3</v>
      </c>
      <c r="E28" s="270" t="s">
        <v>802</v>
      </c>
      <c r="F28" s="271" t="s">
        <v>72</v>
      </c>
      <c r="G28" s="273">
        <f>+PPTO!I26</f>
        <v>3589177633</v>
      </c>
      <c r="H28" s="483">
        <v>2</v>
      </c>
      <c r="I28" s="991">
        <v>7</v>
      </c>
      <c r="J28" s="480">
        <v>2</v>
      </c>
      <c r="K28" s="60">
        <f t="shared" si="0"/>
        <v>8</v>
      </c>
      <c r="L28" s="60"/>
      <c r="M28" s="482" t="str">
        <f t="shared" si="7"/>
        <v/>
      </c>
      <c r="N28" s="1039">
        <f>+$G$28/($I$28*1000)</f>
        <v>512740</v>
      </c>
      <c r="O28" s="1039">
        <f t="shared" ref="O28:T28" si="17">+$G$28/($I$28*1000)</f>
        <v>512740</v>
      </c>
      <c r="P28" s="1039">
        <f t="shared" si="17"/>
        <v>512740</v>
      </c>
      <c r="Q28" s="1039">
        <f t="shared" si="17"/>
        <v>512740</v>
      </c>
      <c r="R28" s="1039">
        <f t="shared" si="17"/>
        <v>512740</v>
      </c>
      <c r="S28" s="1039">
        <f t="shared" si="17"/>
        <v>512740</v>
      </c>
      <c r="T28" s="1039">
        <f t="shared" si="17"/>
        <v>512740</v>
      </c>
      <c r="U28" s="131"/>
      <c r="V28" s="122"/>
    </row>
    <row r="29" spans="2:22" ht="51" customHeight="1">
      <c r="B29" s="282"/>
      <c r="C29" s="279"/>
      <c r="D29" s="262">
        <v>3.4</v>
      </c>
      <c r="E29" s="270" t="s">
        <v>851</v>
      </c>
      <c r="F29" s="271" t="s">
        <v>122</v>
      </c>
      <c r="G29" s="273">
        <f>+PPTO!I27</f>
        <v>48612841</v>
      </c>
      <c r="H29" s="483">
        <v>2</v>
      </c>
      <c r="I29" s="991">
        <v>7</v>
      </c>
      <c r="J29" s="480">
        <v>2</v>
      </c>
      <c r="K29" s="60">
        <f t="shared" si="0"/>
        <v>8</v>
      </c>
      <c r="L29" s="60"/>
      <c r="M29" s="482" t="str">
        <f t="shared" si="7"/>
        <v/>
      </c>
      <c r="N29" s="1039">
        <f>+$G$29/($I$29*1000)</f>
        <v>6945</v>
      </c>
      <c r="O29" s="1039">
        <f t="shared" ref="O29:T29" si="18">+$G$29/($I$29*1000)</f>
        <v>6945</v>
      </c>
      <c r="P29" s="1039">
        <f t="shared" si="18"/>
        <v>6945</v>
      </c>
      <c r="Q29" s="1039">
        <f t="shared" si="18"/>
        <v>6945</v>
      </c>
      <c r="R29" s="1039">
        <f t="shared" si="18"/>
        <v>6945</v>
      </c>
      <c r="S29" s="1039">
        <f t="shared" si="18"/>
        <v>6945</v>
      </c>
      <c r="T29" s="1039">
        <f t="shared" si="18"/>
        <v>6945</v>
      </c>
      <c r="U29" s="131"/>
      <c r="V29" s="122"/>
    </row>
    <row r="30" spans="2:22" ht="40.5">
      <c r="B30" s="282"/>
      <c r="C30" s="279"/>
      <c r="D30" s="262">
        <v>3.5</v>
      </c>
      <c r="E30" s="270" t="s">
        <v>852</v>
      </c>
      <c r="F30" s="271" t="s">
        <v>570</v>
      </c>
      <c r="G30" s="273">
        <f>+PPTO!I28</f>
        <v>316206428</v>
      </c>
      <c r="H30" s="483">
        <v>2</v>
      </c>
      <c r="I30" s="991">
        <v>7</v>
      </c>
      <c r="J30" s="480">
        <v>2</v>
      </c>
      <c r="K30" s="60">
        <f t="shared" si="0"/>
        <v>8</v>
      </c>
      <c r="L30" s="60"/>
      <c r="M30" s="482" t="str">
        <f t="shared" si="7"/>
        <v/>
      </c>
      <c r="N30" s="1039">
        <f>+$G$30/($I$30*1000)</f>
        <v>45172</v>
      </c>
      <c r="O30" s="1039">
        <f t="shared" ref="O30:T30" si="19">+$G$30/($I$30*1000)</f>
        <v>45172</v>
      </c>
      <c r="P30" s="1039">
        <f t="shared" si="19"/>
        <v>45172</v>
      </c>
      <c r="Q30" s="1039">
        <f t="shared" si="19"/>
        <v>45172</v>
      </c>
      <c r="R30" s="1039">
        <f t="shared" si="19"/>
        <v>45172</v>
      </c>
      <c r="S30" s="1039">
        <f t="shared" si="19"/>
        <v>45172</v>
      </c>
      <c r="T30" s="1039">
        <f t="shared" si="19"/>
        <v>45172</v>
      </c>
      <c r="U30" s="131"/>
      <c r="V30" s="122"/>
    </row>
    <row r="31" spans="2:22" ht="20.25" customHeight="1">
      <c r="B31" s="283"/>
      <c r="C31" s="278"/>
      <c r="D31" s="497" t="str">
        <f>CONCATENATE("SUBTOTAL  ",E25)</f>
        <v>SUBTOTAL  ESTRUCTURA DE PAVIMENTO</v>
      </c>
      <c r="E31" s="498"/>
      <c r="F31" s="498"/>
      <c r="G31" s="269">
        <f>SUM(G26:G30)</f>
        <v>4671345279</v>
      </c>
      <c r="H31" s="483"/>
      <c r="I31" s="991"/>
      <c r="J31" s="480"/>
      <c r="K31" s="60" t="str">
        <f t="shared" si="0"/>
        <v/>
      </c>
      <c r="L31" s="60"/>
      <c r="M31" s="482" t="str">
        <f t="shared" si="7"/>
        <v/>
      </c>
      <c r="N31" s="482" t="str">
        <f t="shared" ref="N31:T32" si="20">IF($I31="","",IF(OR(N$11&lt;$J31,N$11&gt;$K31),"",IF($H31=1,IF((N$11/$J31)=1,($G31/1000)/(($I31)*2)*$I31*1.3,IF((N$11/$J31)&gt;1,($G31/1000)/(($I31)*2)*$I31*(0.7/($I31-1)))),IF($H31=2,($G31/1000)/$I31,IF($H31=3,IF((N$11/$K31)=1,($G31/1000)/(($I31)*2)*$I31*1.3,IF((N$11/$K31)&lt;1,($G31/1000)/(($I31)*2)*$I31*(0.7/($I31-1)))))))))</f>
        <v/>
      </c>
      <c r="O31" s="482" t="str">
        <f t="shared" si="20"/>
        <v/>
      </c>
      <c r="P31" s="482" t="str">
        <f t="shared" si="20"/>
        <v/>
      </c>
      <c r="Q31" s="482" t="str">
        <f t="shared" si="20"/>
        <v/>
      </c>
      <c r="R31" s="482" t="str">
        <f t="shared" si="20"/>
        <v/>
      </c>
      <c r="S31" s="482" t="str">
        <f t="shared" si="20"/>
        <v/>
      </c>
      <c r="T31" s="482" t="str">
        <f t="shared" si="20"/>
        <v/>
      </c>
      <c r="U31" s="129"/>
      <c r="V31" s="123"/>
    </row>
    <row r="32" spans="2:22" ht="20.25" customHeight="1">
      <c r="B32" s="282"/>
      <c r="C32" s="277"/>
      <c r="D32" s="1009">
        <v>4</v>
      </c>
      <c r="E32" s="1010" t="s">
        <v>804</v>
      </c>
      <c r="F32" s="1019"/>
      <c r="G32" s="1019"/>
      <c r="H32" s="1020"/>
      <c r="I32" s="1021"/>
      <c r="J32" s="1022"/>
      <c r="K32" s="1023" t="str">
        <f t="shared" si="0"/>
        <v/>
      </c>
      <c r="L32" s="1023"/>
      <c r="M32" s="1024" t="str">
        <f t="shared" si="7"/>
        <v/>
      </c>
      <c r="N32" s="1024" t="str">
        <f t="shared" si="20"/>
        <v/>
      </c>
      <c r="O32" s="1024" t="str">
        <f t="shared" si="20"/>
        <v/>
      </c>
      <c r="P32" s="1024" t="str">
        <f t="shared" si="20"/>
        <v/>
      </c>
      <c r="Q32" s="1024" t="str">
        <f t="shared" si="20"/>
        <v/>
      </c>
      <c r="R32" s="1024" t="str">
        <f t="shared" si="20"/>
        <v/>
      </c>
      <c r="S32" s="1024" t="str">
        <f t="shared" si="20"/>
        <v/>
      </c>
      <c r="T32" s="1024" t="str">
        <f t="shared" si="20"/>
        <v/>
      </c>
      <c r="U32" s="1017"/>
      <c r="V32" s="1018"/>
    </row>
    <row r="33" spans="1:22" ht="118.5" customHeight="1">
      <c r="B33" s="282" t="s">
        <v>150</v>
      </c>
      <c r="C33" s="277">
        <v>630.4</v>
      </c>
      <c r="D33" s="262">
        <f>D32+0.1</f>
        <v>4.0999999999999996</v>
      </c>
      <c r="E33" s="263" t="s">
        <v>805</v>
      </c>
      <c r="F33" s="271" t="s">
        <v>122</v>
      </c>
      <c r="G33" s="272">
        <f>+PPTO!I31</f>
        <v>251039102</v>
      </c>
      <c r="H33" s="483">
        <v>1</v>
      </c>
      <c r="I33" s="991">
        <v>6</v>
      </c>
      <c r="J33" s="480">
        <v>3</v>
      </c>
      <c r="K33" s="60">
        <f t="shared" si="0"/>
        <v>8</v>
      </c>
      <c r="L33" s="60"/>
      <c r="M33" s="482" t="str">
        <f t="shared" si="7"/>
        <v/>
      </c>
      <c r="N33" s="482" t="str">
        <f t="shared" ref="N33:N40" si="21">IF($I33="","",IF(OR(N$11&lt;$J33,N$11&gt;$K33),"",IF($H33=1,IF((N$11/$J33)=1,($G33/1000)/(($I33)*2)*$I33*1.3,IF((N$11/$J33)&gt;1,($G33/1000)/(($I33)*2)*$I33*(0.7/($I33-1)))),IF($H33=2,($G33/1000)/$I33,IF($H33=3,IF((N$11/$K33)=1,($G33/1000)/(($I33)*2)*$I33*1.3,IF((N$11/$K33)&lt;1,($G33/1000)/(($I33)*2)*$I33*(0.7/($I33-1)))))))))</f>
        <v/>
      </c>
      <c r="O33" s="1039">
        <f>+$G$33/($I$33*1000)</f>
        <v>41840</v>
      </c>
      <c r="P33" s="1039">
        <f t="shared" ref="P33:T33" si="22">+$G$33/($I$33*1000)</f>
        <v>41840</v>
      </c>
      <c r="Q33" s="1039">
        <f t="shared" si="22"/>
        <v>41840</v>
      </c>
      <c r="R33" s="1039">
        <f t="shared" si="22"/>
        <v>41840</v>
      </c>
      <c r="S33" s="1039">
        <f t="shared" si="22"/>
        <v>41840</v>
      </c>
      <c r="T33" s="1039">
        <f t="shared" si="22"/>
        <v>41840</v>
      </c>
      <c r="U33" s="122"/>
      <c r="V33" s="881"/>
    </row>
    <row r="34" spans="1:22" ht="63.75" customHeight="1">
      <c r="B34" s="282" t="s">
        <v>148</v>
      </c>
      <c r="C34" s="277">
        <v>671.3</v>
      </c>
      <c r="D34" s="262">
        <f t="shared" ref="D34:D40" si="23">D33+0.1</f>
        <v>4.2</v>
      </c>
      <c r="E34" s="263" t="s">
        <v>866</v>
      </c>
      <c r="F34" s="271" t="s">
        <v>72</v>
      </c>
      <c r="G34" s="272">
        <f>+PPTO!I32</f>
        <v>267087817</v>
      </c>
      <c r="H34" s="483">
        <v>3</v>
      </c>
      <c r="I34" s="991">
        <v>3</v>
      </c>
      <c r="J34" s="480">
        <v>6</v>
      </c>
      <c r="K34" s="60">
        <f t="shared" si="0"/>
        <v>8</v>
      </c>
      <c r="L34" s="60"/>
      <c r="M34" s="482" t="str">
        <f t="shared" si="7"/>
        <v/>
      </c>
      <c r="N34" s="482" t="str">
        <f t="shared" si="21"/>
        <v/>
      </c>
      <c r="O34" s="482" t="str">
        <f>IF($I34="","",IF(OR(O$11&lt;$J34,O$11&gt;$K34),"",IF($H34=1,IF((O$11/$J34)=1,($G34/1000)/(($I34)*2)*$I34*1.3,IF((O$11/$J34)&gt;1,($G34/1000)/(($I34)*2)*$I34*(0.7/($I34-1)))),IF($H34=2,($G34/1000)/$I34,IF($H34=3,IF((O$11/$K34)=1,($G34/1000)/(($I34)*2)*$I34*1.3,IF((O$11/$K34)&lt;1,($G34/1000)/(($I34)*2)*$I34*(0.7/($I34-1)))))))))</f>
        <v/>
      </c>
      <c r="P34" s="482" t="str">
        <f>IF($I34="","",IF(OR(P$11&lt;$J34,P$11&gt;$K34),"",IF($H34=1,IF((P$11/$J34)=1,($G34/1000)/(($I34)*2)*$I34*1.3,IF((P$11/$J34)&gt;1,($G34/1000)/(($I34)*2)*$I34*(0.7/($I34-1)))),IF($H34=2,($G34/1000)/$I34,IF($H34=3,IF((P$11/$K34)=1,($G34/1000)/(($I34)*2)*$I34*1.3,IF((P$11/$K34)&lt;1,($G34/1000)/(($I34)*2)*$I34*(0.7/($I34-1)))))))))</f>
        <v/>
      </c>
      <c r="Q34" s="482" t="str">
        <f>IF($I34="","",IF(OR(Q$11&lt;$J34,Q$11&gt;$K34),"",IF($H34=1,IF((Q$11/$J34)=1,($G34/1000)/(($I34)*2)*$I34*1.3,IF((Q$11/$J34)&gt;1,($G34/1000)/(($I34)*2)*$I34*(0.7/($I34-1)))),IF($H34=2,($G34/1000)/$I34,IF($H34=3,IF((Q$11/$K34)=1,($G34/1000)/(($I34)*2)*$I34*1.3,IF((Q$11/$K34)&lt;1,($G34/1000)/(($I34)*2)*$I34*(0.7/($I34-1)))))))))</f>
        <v/>
      </c>
      <c r="R34" s="1039">
        <f>+$G$34/($I$34*1000)</f>
        <v>89029</v>
      </c>
      <c r="S34" s="1039">
        <f t="shared" ref="S34:T34" si="24">+$G$34/($I$34*1000)</f>
        <v>89029</v>
      </c>
      <c r="T34" s="1039">
        <f t="shared" si="24"/>
        <v>89029</v>
      </c>
      <c r="U34" s="122"/>
      <c r="V34" s="881"/>
    </row>
    <row r="35" spans="1:22" ht="63.75" customHeight="1">
      <c r="A35" s="121" t="s">
        <v>140</v>
      </c>
      <c r="B35" s="282" t="s">
        <v>150</v>
      </c>
      <c r="C35" s="277">
        <v>630.4</v>
      </c>
      <c r="D35" s="262">
        <f t="shared" si="23"/>
        <v>4.3</v>
      </c>
      <c r="E35" s="263" t="s">
        <v>875</v>
      </c>
      <c r="F35" s="271" t="s">
        <v>122</v>
      </c>
      <c r="G35" s="272">
        <f>+PPTO!I33</f>
        <v>33369490</v>
      </c>
      <c r="H35" s="483">
        <v>2</v>
      </c>
      <c r="I35" s="991">
        <v>5</v>
      </c>
      <c r="J35" s="480">
        <v>3</v>
      </c>
      <c r="K35" s="60">
        <f t="shared" si="0"/>
        <v>7</v>
      </c>
      <c r="L35" s="60"/>
      <c r="M35" s="482" t="str">
        <f t="shared" si="7"/>
        <v/>
      </c>
      <c r="N35" s="482" t="str">
        <f t="shared" si="21"/>
        <v/>
      </c>
      <c r="O35" s="1039">
        <f>+$G$35/($I$35*1000)</f>
        <v>6674</v>
      </c>
      <c r="P35" s="1039">
        <f t="shared" ref="P35:S35" si="25">+$G$35/($I$35*1000)</f>
        <v>6674</v>
      </c>
      <c r="Q35" s="1039">
        <f t="shared" si="25"/>
        <v>6674</v>
      </c>
      <c r="R35" s="1039">
        <f t="shared" si="25"/>
        <v>6674</v>
      </c>
      <c r="S35" s="1039">
        <f t="shared" si="25"/>
        <v>6674</v>
      </c>
      <c r="T35" s="482" t="str">
        <f>IF($I35="","",IF(OR(T$11&lt;$J35,T$11&gt;$K35),"",IF($H35=1,IF((T$11/$J35)=1,($G35/1000)/(($I35)*2)*$I35*1.3,IF((T$11/$J35)&gt;1,($G35/1000)/(($I35)*2)*$I35*(0.7/($I35-1)))),IF($H35=2,($G35/1000)/$I35,IF($H35=3,IF((T$11/$K35)=1,($G35/1000)/(($I35)*2)*$I35*1.3,IF((T$11/$K35)&lt;1,($G35/1000)/(($I35)*2)*$I35*(0.7/($I35-1)))))))))</f>
        <v/>
      </c>
      <c r="U35" s="122"/>
      <c r="V35" s="881"/>
    </row>
    <row r="36" spans="1:22" ht="120" customHeight="1">
      <c r="A36" s="121" t="s">
        <v>141</v>
      </c>
      <c r="B36" s="282" t="s">
        <v>150</v>
      </c>
      <c r="C36" s="277">
        <v>630.4</v>
      </c>
      <c r="D36" s="262">
        <f t="shared" si="23"/>
        <v>4.4000000000000004</v>
      </c>
      <c r="E36" s="263" t="s">
        <v>876</v>
      </c>
      <c r="F36" s="271" t="s">
        <v>44</v>
      </c>
      <c r="G36" s="272">
        <f>+PPTO!I34</f>
        <v>61972937</v>
      </c>
      <c r="H36" s="483">
        <v>2</v>
      </c>
      <c r="I36" s="991">
        <v>5</v>
      </c>
      <c r="J36" s="480">
        <v>4</v>
      </c>
      <c r="K36" s="60">
        <f t="shared" si="0"/>
        <v>8</v>
      </c>
      <c r="L36" s="60"/>
      <c r="M36" s="482" t="str">
        <f t="shared" si="7"/>
        <v/>
      </c>
      <c r="N36" s="482" t="str">
        <f t="shared" si="21"/>
        <v/>
      </c>
      <c r="O36" s="482" t="str">
        <f>IF($I36="","",IF(OR(O$11&lt;$J36,O$11&gt;$K36),"",IF($H36=1,IF((O$11/$J36)=1,($G36/1000)/(($I36)*2)*$I36*1.3,IF((O$11/$J36)&gt;1,($G36/1000)/(($I36)*2)*$I36*(0.7/($I36-1)))),IF($H36=2,($G36/1000)/$I36,IF($H36=3,IF((O$11/$K36)=1,($G36/1000)/(($I36)*2)*$I36*1.3,IF((O$11/$K36)&lt;1,($G36/1000)/(($I36)*2)*$I36*(0.7/($I36-1)))))))))</f>
        <v/>
      </c>
      <c r="P36" s="1039">
        <f>+$G$36/($I$36*1000)</f>
        <v>12395</v>
      </c>
      <c r="Q36" s="1039">
        <f t="shared" ref="Q36:T36" si="26">+$G$36/($I$36*1000)</f>
        <v>12395</v>
      </c>
      <c r="R36" s="1039">
        <f t="shared" si="26"/>
        <v>12395</v>
      </c>
      <c r="S36" s="1039">
        <f t="shared" si="26"/>
        <v>12395</v>
      </c>
      <c r="T36" s="1039">
        <f t="shared" si="26"/>
        <v>12395</v>
      </c>
      <c r="U36" s="122"/>
      <c r="V36" s="881"/>
    </row>
    <row r="37" spans="1:22" ht="62.25" customHeight="1">
      <c r="A37" s="121" t="s">
        <v>140</v>
      </c>
      <c r="B37" s="282" t="s">
        <v>150</v>
      </c>
      <c r="C37" s="277">
        <v>630.4</v>
      </c>
      <c r="D37" s="262">
        <f t="shared" si="23"/>
        <v>4.5</v>
      </c>
      <c r="E37" s="263" t="s">
        <v>128</v>
      </c>
      <c r="F37" s="271" t="s">
        <v>122</v>
      </c>
      <c r="G37" s="272">
        <f>+PPTO!I35</f>
        <v>39307725</v>
      </c>
      <c r="H37" s="483">
        <v>2</v>
      </c>
      <c r="I37" s="991">
        <v>2</v>
      </c>
      <c r="J37" s="480">
        <v>7</v>
      </c>
      <c r="K37" s="60">
        <f t="shared" si="0"/>
        <v>8</v>
      </c>
      <c r="L37" s="60"/>
      <c r="M37" s="482" t="str">
        <f t="shared" si="7"/>
        <v/>
      </c>
      <c r="N37" s="482" t="str">
        <f t="shared" si="21"/>
        <v/>
      </c>
      <c r="O37" s="482" t="str">
        <f>IF($I37="","",IF(OR(O$11&lt;$J37,O$11&gt;$K37),"",IF($H37=1,IF((O$11/$J37)=1,($G37/1000)/(($I37)*2)*$I37*1.3,IF((O$11/$J37)&gt;1,($G37/1000)/(($I37)*2)*$I37*(0.7/($I37-1)))),IF($H37=2,($G37/1000)/$I37,IF($H37=3,IF((O$11/$K37)=1,($G37/1000)/(($I37)*2)*$I37*1.3,IF((O$11/$K37)&lt;1,($G37/1000)/(($I37)*2)*$I37*(0.7/($I37-1)))))))))</f>
        <v/>
      </c>
      <c r="P37" s="482" t="str">
        <f>IF($I37="","",IF(OR(P$11&lt;$J37,P$11&gt;$K37),"",IF($H37=1,IF((P$11/$J37)=1,($G37/1000)/(($I37)*2)*$I37*1.3,IF((P$11/$J37)&gt;1,($G37/1000)/(($I37)*2)*$I37*(0.7/($I37-1)))),IF($H37=2,($G37/1000)/$I37,IF($H37=3,IF((P$11/$K37)=1,($G37/1000)/(($I37)*2)*$I37*1.3,IF((P$11/$K37)&lt;1,($G37/1000)/(($I37)*2)*$I37*(0.7/($I37-1)))))))))</f>
        <v/>
      </c>
      <c r="Q37" s="482" t="str">
        <f>IF($I37="","",IF(OR(Q$11&lt;$J37,Q$11&gt;$K37),"",IF($H37=1,IF((Q$11/$J37)=1,($G37/1000)/(($I37)*2)*$I37*1.3,IF((Q$11/$J37)&gt;1,($G37/1000)/(($I37)*2)*$I37*(0.7/($I37-1)))),IF($H37=2,($G37/1000)/$I37,IF($H37=3,IF((Q$11/$K37)=1,($G37/1000)/(($I37)*2)*$I37*1.3,IF((Q$11/$K37)&lt;1,($G37/1000)/(($I37)*2)*$I37*(0.7/($I37-1)))))))))</f>
        <v/>
      </c>
      <c r="R37" s="482" t="str">
        <f>IF($I37="","",IF(OR(R$11&lt;$J37,R$11&gt;$K37),"",IF($H37=1,IF((R$11/$J37)=1,($G37/1000)/(($I37)*2)*$I37*1.3,IF((R$11/$J37)&gt;1,($G37/1000)/(($I37)*2)*$I37*(0.7/($I37-1)))),IF($H37=2,($G37/1000)/$I37,IF($H37=3,IF((R$11/$K37)=1,($G37/1000)/(($I37)*2)*$I37*1.3,IF((R$11/$K37)&lt;1,($G37/1000)/(($I37)*2)*$I37*(0.7/($I37-1)))))))))</f>
        <v/>
      </c>
      <c r="S37" s="1039">
        <f>+$G$37/($I$37*1000)</f>
        <v>19654</v>
      </c>
      <c r="T37" s="1039">
        <f>+$G$37/($I$37*1000)</f>
        <v>19654</v>
      </c>
      <c r="U37" s="122"/>
      <c r="V37" s="881"/>
    </row>
    <row r="38" spans="1:22" ht="81.75" customHeight="1">
      <c r="B38" s="282"/>
      <c r="C38" s="277"/>
      <c r="D38" s="262">
        <f t="shared" si="23"/>
        <v>4.5999999999999996</v>
      </c>
      <c r="E38" s="263" t="s">
        <v>241</v>
      </c>
      <c r="F38" s="271" t="s">
        <v>72</v>
      </c>
      <c r="G38" s="272">
        <f>+PPTO!I36</f>
        <v>662176201</v>
      </c>
      <c r="H38" s="483">
        <v>2</v>
      </c>
      <c r="I38" s="991">
        <v>5</v>
      </c>
      <c r="J38" s="480">
        <v>4</v>
      </c>
      <c r="K38" s="60">
        <f t="shared" si="0"/>
        <v>8</v>
      </c>
      <c r="L38" s="60"/>
      <c r="M38" s="482" t="str">
        <f t="shared" si="7"/>
        <v/>
      </c>
      <c r="N38" s="482" t="str">
        <f t="shared" si="21"/>
        <v/>
      </c>
      <c r="O38" s="482" t="str">
        <f>IF($I38="","",IF(OR(O$11&lt;$J38,O$11&gt;$K38),"",IF($H38=1,IF((O$11/$J38)=1,($G38/1000)/(($I38)*2)*$I38*1.3,IF((O$11/$J38)&gt;1,($G38/1000)/(($I38)*2)*$I38*(0.7/($I38-1)))),IF($H38=2,($G38/1000)/$I38,IF($H38=3,IF((O$11/$K38)=1,($G38/1000)/(($I38)*2)*$I38*1.3,IF((O$11/$K38)&lt;1,($G38/1000)/(($I38)*2)*$I38*(0.7/($I38-1)))))))))</f>
        <v/>
      </c>
      <c r="P38" s="1039">
        <f>+$G$38/($I$38*1000)</f>
        <v>132435</v>
      </c>
      <c r="Q38" s="1039">
        <f t="shared" ref="Q38:T38" si="27">+$G$38/($I$38*1000)</f>
        <v>132435</v>
      </c>
      <c r="R38" s="1039">
        <f t="shared" si="27"/>
        <v>132435</v>
      </c>
      <c r="S38" s="1039">
        <f t="shared" si="27"/>
        <v>132435</v>
      </c>
      <c r="T38" s="1039">
        <f t="shared" si="27"/>
        <v>132435</v>
      </c>
      <c r="U38" s="122"/>
      <c r="V38" s="881"/>
    </row>
    <row r="39" spans="1:22" ht="40.5">
      <c r="B39" s="282"/>
      <c r="C39" s="277"/>
      <c r="D39" s="262">
        <f t="shared" si="23"/>
        <v>4.7</v>
      </c>
      <c r="E39" s="263" t="s">
        <v>312</v>
      </c>
      <c r="F39" s="271" t="s">
        <v>7</v>
      </c>
      <c r="G39" s="272">
        <f>+PPTO!I37</f>
        <v>54436688</v>
      </c>
      <c r="H39" s="483">
        <v>2</v>
      </c>
      <c r="I39" s="991">
        <v>3</v>
      </c>
      <c r="J39" s="480">
        <v>4</v>
      </c>
      <c r="K39" s="60">
        <f t="shared" si="0"/>
        <v>6</v>
      </c>
      <c r="L39" s="60"/>
      <c r="M39" s="482" t="str">
        <f t="shared" si="7"/>
        <v/>
      </c>
      <c r="N39" s="482" t="str">
        <f t="shared" si="21"/>
        <v/>
      </c>
      <c r="O39" s="482" t="str">
        <f>IF($I39="","",IF(OR(O$11&lt;$J39,O$11&gt;$K39),"",IF($H39=1,IF((O$11/$J39)=1,($G39/1000)/(($I39)*2)*$I39*1.3,IF((O$11/$J39)&gt;1,($G39/1000)/(($I39)*2)*$I39*(0.7/($I39-1)))),IF($H39=2,($G39/1000)/$I39,IF($H39=3,IF((O$11/$K39)=1,($G39/1000)/(($I39)*2)*$I39*1.3,IF((O$11/$K39)&lt;1,($G39/1000)/(($I39)*2)*$I39*(0.7/($I39-1)))))))))</f>
        <v/>
      </c>
      <c r="P39" s="1039">
        <f>+$G$39/($I$39*1000)</f>
        <v>18146</v>
      </c>
      <c r="Q39" s="1039">
        <f t="shared" ref="Q39:R39" si="28">+$G$39/($I$39*1000)</f>
        <v>18146</v>
      </c>
      <c r="R39" s="1039">
        <f t="shared" si="28"/>
        <v>18146</v>
      </c>
      <c r="S39" s="482" t="str">
        <f t="shared" ref="S39:T44" si="29">IF($I39="","",IF(OR(S$11&lt;$J39,S$11&gt;$K39),"",IF($H39=1,IF((S$11/$J39)=1,($G39/1000)/(($I39)*2)*$I39*1.3,IF((S$11/$J39)&gt;1,($G39/1000)/(($I39)*2)*$I39*(0.7/($I39-1)))),IF($H39=2,($G39/1000)/$I39,IF($H39=3,IF((S$11/$K39)=1,($G39/1000)/(($I39)*2)*$I39*1.3,IF((S$11/$K39)&lt;1,($G39/1000)/(($I39)*2)*$I39*(0.7/($I39-1)))))))))</f>
        <v/>
      </c>
      <c r="T39" s="482" t="str">
        <f t="shared" si="29"/>
        <v/>
      </c>
      <c r="U39" s="122"/>
      <c r="V39" s="881"/>
    </row>
    <row r="40" spans="1:22" ht="40.5">
      <c r="B40" s="282"/>
      <c r="C40" s="277"/>
      <c r="D40" s="262">
        <f t="shared" si="23"/>
        <v>4.8</v>
      </c>
      <c r="E40" s="263" t="s">
        <v>313</v>
      </c>
      <c r="F40" s="271" t="s">
        <v>7</v>
      </c>
      <c r="G40" s="272">
        <f>+PPTO!I38</f>
        <v>12694004</v>
      </c>
      <c r="H40" s="483">
        <v>2</v>
      </c>
      <c r="I40" s="991">
        <v>3</v>
      </c>
      <c r="J40" s="480">
        <v>4</v>
      </c>
      <c r="K40" s="60">
        <f t="shared" si="0"/>
        <v>6</v>
      </c>
      <c r="L40" s="60"/>
      <c r="M40" s="482" t="str">
        <f t="shared" si="7"/>
        <v/>
      </c>
      <c r="N40" s="482" t="str">
        <f t="shared" si="21"/>
        <v/>
      </c>
      <c r="O40" s="482" t="str">
        <f>IF($I40="","",IF(OR(O$11&lt;$J40,O$11&gt;$K40),"",IF($H40=1,IF((O$11/$J40)=1,($G40/1000)/(($I40)*2)*$I40*1.3,IF((O$11/$J40)&gt;1,($G40/1000)/(($I40)*2)*$I40*(0.7/($I40-1)))),IF($H40=2,($G40/1000)/$I40,IF($H40=3,IF((O$11/$K40)=1,($G40/1000)/(($I40)*2)*$I40*1.3,IF((O$11/$K40)&lt;1,($G40/1000)/(($I40)*2)*$I40*(0.7/($I40-1)))))))))</f>
        <v/>
      </c>
      <c r="P40" s="1039">
        <f>+$G$40/($I$40*1000)</f>
        <v>4231</v>
      </c>
      <c r="Q40" s="1039">
        <f t="shared" ref="Q40:R40" si="30">+$G$40/($I$40*1000)</f>
        <v>4231</v>
      </c>
      <c r="R40" s="1039">
        <f t="shared" si="30"/>
        <v>4231</v>
      </c>
      <c r="S40" s="482" t="str">
        <f t="shared" si="29"/>
        <v/>
      </c>
      <c r="T40" s="482" t="str">
        <f t="shared" si="29"/>
        <v/>
      </c>
      <c r="U40" s="122"/>
      <c r="V40" s="881"/>
    </row>
    <row r="41" spans="1:22" ht="24" customHeight="1">
      <c r="B41" s="282" t="s">
        <v>149</v>
      </c>
      <c r="C41" s="277">
        <v>640.1</v>
      </c>
      <c r="D41" s="262">
        <v>4.9000000000000004</v>
      </c>
      <c r="E41" s="263" t="s">
        <v>13</v>
      </c>
      <c r="F41" s="271" t="s">
        <v>53</v>
      </c>
      <c r="G41" s="272">
        <f>+PPTO!I39</f>
        <v>144736086</v>
      </c>
      <c r="H41" s="483">
        <v>2</v>
      </c>
      <c r="I41" s="991">
        <v>5</v>
      </c>
      <c r="J41" s="480">
        <v>1</v>
      </c>
      <c r="K41" s="60">
        <f t="shared" si="0"/>
        <v>5</v>
      </c>
      <c r="L41" s="60"/>
      <c r="M41" s="1039">
        <f>+$G$41/($I$41*1000)</f>
        <v>28947</v>
      </c>
      <c r="N41" s="1039">
        <f t="shared" ref="N41:Q41" si="31">+$G$41/($I$41*1000)</f>
        <v>28947</v>
      </c>
      <c r="O41" s="1039">
        <f t="shared" si="31"/>
        <v>28947</v>
      </c>
      <c r="P41" s="1039">
        <f t="shared" si="31"/>
        <v>28947</v>
      </c>
      <c r="Q41" s="1039">
        <f t="shared" si="31"/>
        <v>28947</v>
      </c>
      <c r="R41" s="482" t="str">
        <f t="shared" ref="R41:R79" si="32">IF($I41="","",IF(OR(R$11&lt;$J41,R$11&gt;$K41),"",IF($H41=1,IF((R$11/$J41)=1,($G41/1000)/(($I41)*2)*$I41*1.3,IF((R$11/$J41)&gt;1,($G41/1000)/(($I41)*2)*$I41*(0.7/($I41-1)))),IF($H41=2,($G41/1000)/$I41,IF($H41=3,IF((R$11/$K41)=1,($G41/1000)/(($I41)*2)*$I41*1.3,IF((R$11/$K41)&lt;1,($G41/1000)/(($I41)*2)*$I41*(0.7/($I41-1)))))))))</f>
        <v/>
      </c>
      <c r="S41" s="482" t="str">
        <f t="shared" si="29"/>
        <v/>
      </c>
      <c r="T41" s="482" t="str">
        <f t="shared" si="29"/>
        <v/>
      </c>
      <c r="U41" s="122"/>
      <c r="V41" s="881"/>
    </row>
    <row r="42" spans="1:22" ht="37.5" hidden="1" customHeight="1">
      <c r="B42" s="282" t="s">
        <v>149</v>
      </c>
      <c r="C42" s="277">
        <v>640.1</v>
      </c>
      <c r="D42" s="370" t="s">
        <v>694</v>
      </c>
      <c r="E42" s="263" t="s">
        <v>695</v>
      </c>
      <c r="F42" s="271" t="s">
        <v>72</v>
      </c>
      <c r="G42" s="272">
        <f>+PPTO!I40</f>
        <v>0</v>
      </c>
      <c r="H42" s="483">
        <v>2</v>
      </c>
      <c r="I42" s="991">
        <v>5</v>
      </c>
      <c r="J42" s="480">
        <v>1</v>
      </c>
      <c r="K42" s="60">
        <f t="shared" si="0"/>
        <v>5</v>
      </c>
      <c r="L42" s="60"/>
      <c r="M42" s="482">
        <f t="shared" ref="M42:Q51" si="33">IF($I42="","",IF(OR(M$11&lt;$J42,M$11&gt;$K42),"",IF($H42=1,IF((M$11/$J42)=1,($G42/1000)/(($I42)*2)*$I42*1.3,IF((M$11/$J42)&gt;1,($G42/1000)/(($I42)*2)*$I42*(0.7/($I42-1)))),IF($H42=2,($G42/1000)/$I42,IF($H42=3,IF((M$11/$K42)=1,($G42/1000)/(($I42)*2)*$I42*1.3,IF((M$11/$K42)&lt;1,($G42/1000)/(($I42)*2)*$I42*(0.7/($I42-1)))))))))</f>
        <v>0</v>
      </c>
      <c r="N42" s="482">
        <f t="shared" si="33"/>
        <v>0</v>
      </c>
      <c r="O42" s="482">
        <f t="shared" si="33"/>
        <v>0</v>
      </c>
      <c r="P42" s="482">
        <f t="shared" si="33"/>
        <v>0</v>
      </c>
      <c r="Q42" s="482">
        <f t="shared" si="33"/>
        <v>0</v>
      </c>
      <c r="R42" s="482" t="str">
        <f t="shared" si="32"/>
        <v/>
      </c>
      <c r="S42" s="482" t="str">
        <f t="shared" si="29"/>
        <v/>
      </c>
      <c r="T42" s="482" t="str">
        <f t="shared" si="29"/>
        <v/>
      </c>
      <c r="U42" s="122"/>
      <c r="V42" s="881"/>
    </row>
    <row r="43" spans="1:22" ht="20.25" customHeight="1">
      <c r="B43" s="283"/>
      <c r="C43" s="278"/>
      <c r="D43" s="497" t="str">
        <f>CONCATENATE("SUBTOTAL  ",E32)</f>
        <v>SUBTOTAL  ELEMENTOS COMPLEMENTARIOS EN CONCRETO</v>
      </c>
      <c r="E43" s="498"/>
      <c r="F43" s="498"/>
      <c r="G43" s="269">
        <f>SUM(G33:G42)</f>
        <v>1526820050</v>
      </c>
      <c r="H43" s="483">
        <v>2</v>
      </c>
      <c r="I43" s="991"/>
      <c r="J43" s="480"/>
      <c r="K43" s="60" t="str">
        <f t="shared" si="0"/>
        <v/>
      </c>
      <c r="L43" s="60"/>
      <c r="M43" s="482" t="str">
        <f t="shared" si="33"/>
        <v/>
      </c>
      <c r="N43" s="482" t="str">
        <f t="shared" si="33"/>
        <v/>
      </c>
      <c r="O43" s="482" t="str">
        <f t="shared" si="33"/>
        <v/>
      </c>
      <c r="P43" s="482" t="str">
        <f t="shared" si="33"/>
        <v/>
      </c>
      <c r="Q43" s="482" t="str">
        <f t="shared" si="33"/>
        <v/>
      </c>
      <c r="R43" s="482" t="str">
        <f t="shared" si="32"/>
        <v/>
      </c>
      <c r="S43" s="482" t="str">
        <f t="shared" si="29"/>
        <v/>
      </c>
      <c r="T43" s="482" t="str">
        <f t="shared" si="29"/>
        <v/>
      </c>
      <c r="U43" s="129"/>
      <c r="V43" s="123"/>
    </row>
    <row r="44" spans="1:22" ht="20.25" customHeight="1">
      <c r="B44" s="282"/>
      <c r="C44" s="277"/>
      <c r="D44" s="1009">
        <v>5</v>
      </c>
      <c r="E44" s="1019" t="s">
        <v>107</v>
      </c>
      <c r="F44" s="1019"/>
      <c r="G44" s="1019"/>
      <c r="H44" s="1020">
        <v>2</v>
      </c>
      <c r="I44" s="1021"/>
      <c r="J44" s="1022"/>
      <c r="K44" s="1023" t="str">
        <f t="shared" si="0"/>
        <v/>
      </c>
      <c r="L44" s="1023"/>
      <c r="M44" s="1024" t="str">
        <f t="shared" si="33"/>
        <v/>
      </c>
      <c r="N44" s="1024" t="str">
        <f t="shared" si="33"/>
        <v/>
      </c>
      <c r="O44" s="1024" t="str">
        <f t="shared" si="33"/>
        <v/>
      </c>
      <c r="P44" s="1024" t="str">
        <f t="shared" si="33"/>
        <v/>
      </c>
      <c r="Q44" s="1024" t="str">
        <f t="shared" si="33"/>
        <v/>
      </c>
      <c r="R44" s="1024" t="str">
        <f t="shared" si="32"/>
        <v/>
      </c>
      <c r="S44" s="1024" t="str">
        <f t="shared" si="29"/>
        <v/>
      </c>
      <c r="T44" s="1024" t="str">
        <f t="shared" si="29"/>
        <v/>
      </c>
      <c r="U44" s="1017"/>
      <c r="V44" s="1018"/>
    </row>
    <row r="45" spans="1:22" ht="66" customHeight="1">
      <c r="A45" s="280">
        <v>1843</v>
      </c>
      <c r="B45" s="282" t="s">
        <v>151</v>
      </c>
      <c r="C45" s="277">
        <v>700.1</v>
      </c>
      <c r="D45" s="262">
        <f>D44+0.1</f>
        <v>5.0999999999999996</v>
      </c>
      <c r="E45" s="263" t="s">
        <v>293</v>
      </c>
      <c r="F45" s="271" t="s">
        <v>122</v>
      </c>
      <c r="G45" s="272">
        <f>+PPTO!I43</f>
        <v>31977836</v>
      </c>
      <c r="H45" s="483">
        <v>3</v>
      </c>
      <c r="I45" s="991">
        <v>2</v>
      </c>
      <c r="J45" s="480">
        <v>7</v>
      </c>
      <c r="K45" s="60">
        <f t="shared" si="0"/>
        <v>8</v>
      </c>
      <c r="L45" s="60"/>
      <c r="M45" s="482" t="str">
        <f t="shared" si="33"/>
        <v/>
      </c>
      <c r="N45" s="482" t="str">
        <f t="shared" si="33"/>
        <v/>
      </c>
      <c r="O45" s="482" t="str">
        <f t="shared" si="33"/>
        <v/>
      </c>
      <c r="P45" s="482" t="str">
        <f t="shared" si="33"/>
        <v/>
      </c>
      <c r="Q45" s="482" t="str">
        <f t="shared" si="33"/>
        <v/>
      </c>
      <c r="R45" s="482" t="str">
        <f t="shared" si="32"/>
        <v/>
      </c>
      <c r="S45" s="1039">
        <f>+$G$45/($I$45*1000)</f>
        <v>15989</v>
      </c>
      <c r="T45" s="1039">
        <f>+$G$45/($I$45*1000)</f>
        <v>15989</v>
      </c>
      <c r="U45" s="122"/>
      <c r="V45" s="881"/>
    </row>
    <row r="46" spans="1:22" ht="100.5" customHeight="1">
      <c r="A46" s="280">
        <v>416954</v>
      </c>
      <c r="B46" s="282" t="s">
        <v>152</v>
      </c>
      <c r="C46" s="279" t="s">
        <v>143</v>
      </c>
      <c r="D46" s="262">
        <f t="shared" ref="D46:D53" si="34">D45+0.1</f>
        <v>5.2</v>
      </c>
      <c r="E46" s="274" t="s">
        <v>156</v>
      </c>
      <c r="F46" s="275" t="s">
        <v>119</v>
      </c>
      <c r="G46" s="272">
        <f>+PPTO!I44</f>
        <v>27164904</v>
      </c>
      <c r="H46" s="483">
        <v>3</v>
      </c>
      <c r="I46" s="991">
        <v>2</v>
      </c>
      <c r="J46" s="480">
        <v>7</v>
      </c>
      <c r="K46" s="60">
        <f t="shared" si="0"/>
        <v>8</v>
      </c>
      <c r="L46" s="60"/>
      <c r="M46" s="482" t="str">
        <f t="shared" si="33"/>
        <v/>
      </c>
      <c r="N46" s="482" t="str">
        <f t="shared" si="33"/>
        <v/>
      </c>
      <c r="O46" s="482" t="str">
        <f t="shared" si="33"/>
        <v/>
      </c>
      <c r="P46" s="482" t="str">
        <f t="shared" si="33"/>
        <v/>
      </c>
      <c r="Q46" s="482" t="str">
        <f t="shared" si="33"/>
        <v/>
      </c>
      <c r="R46" s="482" t="str">
        <f t="shared" si="32"/>
        <v/>
      </c>
      <c r="S46" s="1039">
        <f>+$G$46/($I$46*1000)</f>
        <v>13582</v>
      </c>
      <c r="T46" s="1039">
        <f>+$G$46/($I$46*1000)</f>
        <v>13582</v>
      </c>
      <c r="U46" s="132"/>
      <c r="V46" s="133"/>
    </row>
    <row r="47" spans="1:22" ht="66" customHeight="1">
      <c r="A47" s="280" t="s">
        <v>142</v>
      </c>
      <c r="B47" s="282" t="s">
        <v>153</v>
      </c>
      <c r="C47" s="277">
        <v>700.3</v>
      </c>
      <c r="D47" s="262">
        <f t="shared" si="34"/>
        <v>5.3</v>
      </c>
      <c r="E47" s="270" t="s">
        <v>155</v>
      </c>
      <c r="F47" s="271" t="s">
        <v>119</v>
      </c>
      <c r="G47" s="272">
        <f>+PPTO!I45</f>
        <v>6251855</v>
      </c>
      <c r="H47" s="483">
        <v>3</v>
      </c>
      <c r="I47" s="991">
        <v>2</v>
      </c>
      <c r="J47" s="480">
        <v>7</v>
      </c>
      <c r="K47" s="60">
        <f t="shared" si="0"/>
        <v>8</v>
      </c>
      <c r="L47" s="60"/>
      <c r="M47" s="482" t="str">
        <f t="shared" si="33"/>
        <v/>
      </c>
      <c r="N47" s="482" t="str">
        <f t="shared" si="33"/>
        <v/>
      </c>
      <c r="O47" s="482" t="str">
        <f t="shared" si="33"/>
        <v/>
      </c>
      <c r="P47" s="482" t="str">
        <f t="shared" si="33"/>
        <v/>
      </c>
      <c r="Q47" s="482" t="str">
        <f t="shared" si="33"/>
        <v/>
      </c>
      <c r="R47" s="482" t="str">
        <f t="shared" si="32"/>
        <v/>
      </c>
      <c r="S47" s="1039">
        <f>+$G$47/($I$47*1000)</f>
        <v>3126</v>
      </c>
      <c r="T47" s="1039">
        <f>+$G$47/($I$47*1000)</f>
        <v>3126</v>
      </c>
      <c r="U47" s="131"/>
      <c r="V47" s="122"/>
    </row>
    <row r="48" spans="1:22" ht="72" customHeight="1">
      <c r="A48" s="280" t="s">
        <v>142</v>
      </c>
      <c r="B48" s="282" t="s">
        <v>153</v>
      </c>
      <c r="C48" s="277">
        <v>700.3</v>
      </c>
      <c r="D48" s="262">
        <f t="shared" si="34"/>
        <v>5.4</v>
      </c>
      <c r="E48" s="270" t="s">
        <v>296</v>
      </c>
      <c r="F48" s="271" t="s">
        <v>119</v>
      </c>
      <c r="G48" s="272">
        <f>+PPTO!I46</f>
        <v>3401280</v>
      </c>
      <c r="H48" s="483">
        <v>3</v>
      </c>
      <c r="I48" s="991">
        <v>2</v>
      </c>
      <c r="J48" s="480">
        <v>7</v>
      </c>
      <c r="K48" s="60">
        <f t="shared" si="0"/>
        <v>8</v>
      </c>
      <c r="L48" s="60"/>
      <c r="M48" s="482" t="str">
        <f t="shared" si="33"/>
        <v/>
      </c>
      <c r="N48" s="482" t="str">
        <f t="shared" si="33"/>
        <v/>
      </c>
      <c r="O48" s="482" t="str">
        <f t="shared" si="33"/>
        <v/>
      </c>
      <c r="P48" s="482" t="str">
        <f t="shared" si="33"/>
        <v/>
      </c>
      <c r="Q48" s="482" t="str">
        <f t="shared" si="33"/>
        <v/>
      </c>
      <c r="R48" s="482" t="str">
        <f t="shared" si="32"/>
        <v/>
      </c>
      <c r="S48" s="1039">
        <f>+$G$48/($I$48*1000)</f>
        <v>1701</v>
      </c>
      <c r="T48" s="1039">
        <f>+$G$48/($I$48*1000)</f>
        <v>1701</v>
      </c>
      <c r="U48" s="131"/>
      <c r="V48" s="122"/>
    </row>
    <row r="49" spans="1:22" ht="69" customHeight="1">
      <c r="A49" s="280"/>
      <c r="B49" s="282" t="s">
        <v>153</v>
      </c>
      <c r="C49" s="277">
        <v>700.3</v>
      </c>
      <c r="D49" s="262">
        <f t="shared" si="34"/>
        <v>5.5</v>
      </c>
      <c r="E49" s="270" t="s">
        <v>154</v>
      </c>
      <c r="F49" s="271" t="s">
        <v>72</v>
      </c>
      <c r="G49" s="272">
        <f>+PPTO!I47</f>
        <v>15157883</v>
      </c>
      <c r="H49" s="483">
        <v>3</v>
      </c>
      <c r="I49" s="991">
        <v>2</v>
      </c>
      <c r="J49" s="480">
        <v>7</v>
      </c>
      <c r="K49" s="60">
        <f t="shared" si="0"/>
        <v>8</v>
      </c>
      <c r="L49" s="60"/>
      <c r="M49" s="482" t="str">
        <f t="shared" si="33"/>
        <v/>
      </c>
      <c r="N49" s="482" t="str">
        <f t="shared" si="33"/>
        <v/>
      </c>
      <c r="O49" s="482" t="str">
        <f t="shared" si="33"/>
        <v/>
      </c>
      <c r="P49" s="482" t="str">
        <f t="shared" si="33"/>
        <v/>
      </c>
      <c r="Q49" s="482" t="str">
        <f t="shared" si="33"/>
        <v/>
      </c>
      <c r="R49" s="482" t="str">
        <f t="shared" si="32"/>
        <v/>
      </c>
      <c r="S49" s="1039">
        <f>+$G$49/($I$49*1000)</f>
        <v>7579</v>
      </c>
      <c r="T49" s="1039">
        <f>+$G$49/($I$49*1000)</f>
        <v>7579</v>
      </c>
      <c r="U49" s="131"/>
      <c r="V49" s="122"/>
    </row>
    <row r="50" spans="1:22" ht="122.25" customHeight="1">
      <c r="A50" s="280"/>
      <c r="B50" s="282"/>
      <c r="C50" s="277" t="s">
        <v>137</v>
      </c>
      <c r="D50" s="262">
        <f t="shared" si="34"/>
        <v>5.6</v>
      </c>
      <c r="E50" s="270" t="s">
        <v>702</v>
      </c>
      <c r="F50" s="271" t="s">
        <v>119</v>
      </c>
      <c r="G50" s="272">
        <f>+PPTO!I48</f>
        <v>3608685</v>
      </c>
      <c r="H50" s="483">
        <v>3</v>
      </c>
      <c r="I50" s="991">
        <v>2</v>
      </c>
      <c r="J50" s="480">
        <v>7</v>
      </c>
      <c r="K50" s="60">
        <f t="shared" si="0"/>
        <v>8</v>
      </c>
      <c r="L50" s="60"/>
      <c r="M50" s="482" t="str">
        <f t="shared" si="33"/>
        <v/>
      </c>
      <c r="N50" s="482" t="str">
        <f t="shared" si="33"/>
        <v/>
      </c>
      <c r="O50" s="482" t="str">
        <f t="shared" si="33"/>
        <v/>
      </c>
      <c r="P50" s="482" t="str">
        <f t="shared" si="33"/>
        <v/>
      </c>
      <c r="Q50" s="482" t="str">
        <f t="shared" si="33"/>
        <v/>
      </c>
      <c r="R50" s="482" t="str">
        <f t="shared" si="32"/>
        <v/>
      </c>
      <c r="S50" s="1039">
        <f>+$G$50/($I$50*1000)</f>
        <v>1804</v>
      </c>
      <c r="T50" s="1039">
        <f>+$G$50/($I$50*1000)</f>
        <v>1804</v>
      </c>
      <c r="U50" s="131"/>
      <c r="V50" s="122"/>
    </row>
    <row r="51" spans="1:22" ht="70.5" customHeight="1">
      <c r="A51" s="280"/>
      <c r="B51" s="282"/>
      <c r="C51" s="277" t="s">
        <v>137</v>
      </c>
      <c r="D51" s="262">
        <f t="shared" si="34"/>
        <v>5.7</v>
      </c>
      <c r="E51" s="270" t="s">
        <v>307</v>
      </c>
      <c r="F51" s="271" t="s">
        <v>119</v>
      </c>
      <c r="G51" s="272">
        <f>+PPTO!I49</f>
        <v>3585078</v>
      </c>
      <c r="H51" s="483">
        <v>3</v>
      </c>
      <c r="I51" s="991">
        <v>2</v>
      </c>
      <c r="J51" s="480">
        <v>7</v>
      </c>
      <c r="K51" s="60">
        <f t="shared" si="0"/>
        <v>8</v>
      </c>
      <c r="L51" s="60"/>
      <c r="M51" s="482" t="str">
        <f t="shared" si="33"/>
        <v/>
      </c>
      <c r="N51" s="482" t="str">
        <f t="shared" si="33"/>
        <v/>
      </c>
      <c r="O51" s="482" t="str">
        <f t="shared" si="33"/>
        <v/>
      </c>
      <c r="P51" s="482" t="str">
        <f t="shared" si="33"/>
        <v/>
      </c>
      <c r="Q51" s="482" t="str">
        <f t="shared" si="33"/>
        <v/>
      </c>
      <c r="R51" s="482" t="str">
        <f t="shared" si="32"/>
        <v/>
      </c>
      <c r="S51" s="1039">
        <f>+$G$51/($I$51*1000)</f>
        <v>1793</v>
      </c>
      <c r="T51" s="1039">
        <f>+$G$51/($I$51*1000)</f>
        <v>1793</v>
      </c>
      <c r="U51" s="131"/>
      <c r="V51" s="122"/>
    </row>
    <row r="52" spans="1:22" ht="60.75">
      <c r="A52" s="280"/>
      <c r="B52" s="282"/>
      <c r="C52" s="277" t="s">
        <v>137</v>
      </c>
      <c r="D52" s="262">
        <f t="shared" si="34"/>
        <v>5.8</v>
      </c>
      <c r="E52" s="270" t="s">
        <v>308</v>
      </c>
      <c r="F52" s="271" t="s">
        <v>119</v>
      </c>
      <c r="G52" s="272">
        <f>+PPTO!I50</f>
        <v>92373060</v>
      </c>
      <c r="H52" s="483">
        <v>3</v>
      </c>
      <c r="I52" s="991">
        <v>2</v>
      </c>
      <c r="J52" s="480">
        <v>7</v>
      </c>
      <c r="K52" s="60">
        <f t="shared" si="0"/>
        <v>8</v>
      </c>
      <c r="L52" s="60"/>
      <c r="M52" s="482" t="str">
        <f t="shared" ref="M52:Q57" si="35">IF($I52="","",IF(OR(M$11&lt;$J52,M$11&gt;$K52),"",IF($H52=1,IF((M$11/$J52)=1,($G52/1000)/(($I52)*2)*$I52*1.3,IF((M$11/$J52)&gt;1,($G52/1000)/(($I52)*2)*$I52*(0.7/($I52-1)))),IF($H52=2,($G52/1000)/$I52,IF($H52=3,IF((M$11/$K52)=1,($G52/1000)/(($I52)*2)*$I52*1.3,IF((M$11/$K52)&lt;1,($G52/1000)/(($I52)*2)*$I52*(0.7/($I52-1)))))))))</f>
        <v/>
      </c>
      <c r="N52" s="482" t="str">
        <f t="shared" si="35"/>
        <v/>
      </c>
      <c r="O52" s="482" t="str">
        <f t="shared" si="35"/>
        <v/>
      </c>
      <c r="P52" s="482" t="str">
        <f t="shared" si="35"/>
        <v/>
      </c>
      <c r="Q52" s="482" t="str">
        <f t="shared" si="35"/>
        <v/>
      </c>
      <c r="R52" s="482" t="str">
        <f t="shared" si="32"/>
        <v/>
      </c>
      <c r="S52" s="1039">
        <f>+$G$52/($I$52*1000)</f>
        <v>46187</v>
      </c>
      <c r="T52" s="1039">
        <f>+$G$52/($I$52*1000)</f>
        <v>46187</v>
      </c>
      <c r="U52" s="131"/>
      <c r="V52" s="122"/>
    </row>
    <row r="53" spans="1:22">
      <c r="A53" s="280"/>
      <c r="B53" s="282"/>
      <c r="C53" s="277" t="s">
        <v>137</v>
      </c>
      <c r="D53" s="262">
        <f t="shared" si="34"/>
        <v>5.9</v>
      </c>
      <c r="E53" s="270" t="s">
        <v>318</v>
      </c>
      <c r="F53" s="271" t="s">
        <v>119</v>
      </c>
      <c r="G53" s="272">
        <f>+PPTO!I51</f>
        <v>6231012</v>
      </c>
      <c r="H53" s="483">
        <v>3</v>
      </c>
      <c r="I53" s="991">
        <v>2</v>
      </c>
      <c r="J53" s="480">
        <v>7</v>
      </c>
      <c r="K53" s="60">
        <f t="shared" si="0"/>
        <v>8</v>
      </c>
      <c r="L53" s="60"/>
      <c r="M53" s="482" t="str">
        <f t="shared" si="35"/>
        <v/>
      </c>
      <c r="N53" s="482" t="str">
        <f t="shared" si="35"/>
        <v/>
      </c>
      <c r="O53" s="482" t="str">
        <f t="shared" si="35"/>
        <v/>
      </c>
      <c r="P53" s="482" t="str">
        <f t="shared" si="35"/>
        <v/>
      </c>
      <c r="Q53" s="482" t="str">
        <f t="shared" si="35"/>
        <v/>
      </c>
      <c r="R53" s="482" t="str">
        <f t="shared" si="32"/>
        <v/>
      </c>
      <c r="S53" s="1039">
        <f>+$G$53/($I$53*1000)</f>
        <v>3116</v>
      </c>
      <c r="T53" s="1039">
        <f>+$G$53/($I$53*1000)</f>
        <v>3116</v>
      </c>
      <c r="U53" s="131"/>
      <c r="V53" s="122"/>
    </row>
    <row r="54" spans="1:22" ht="40.5">
      <c r="A54" s="280"/>
      <c r="B54" s="282"/>
      <c r="C54" s="277" t="s">
        <v>137</v>
      </c>
      <c r="D54" s="370" t="s">
        <v>321</v>
      </c>
      <c r="E54" s="270" t="s">
        <v>320</v>
      </c>
      <c r="F54" s="271" t="s">
        <v>119</v>
      </c>
      <c r="G54" s="272">
        <f>+PPTO!I52</f>
        <v>31398524</v>
      </c>
      <c r="H54" s="483">
        <v>3</v>
      </c>
      <c r="I54" s="991">
        <v>2</v>
      </c>
      <c r="J54" s="480">
        <v>7</v>
      </c>
      <c r="K54" s="60">
        <f t="shared" si="0"/>
        <v>8</v>
      </c>
      <c r="L54" s="60"/>
      <c r="M54" s="482" t="str">
        <f t="shared" si="35"/>
        <v/>
      </c>
      <c r="N54" s="482" t="str">
        <f t="shared" si="35"/>
        <v/>
      </c>
      <c r="O54" s="482" t="str">
        <f t="shared" si="35"/>
        <v/>
      </c>
      <c r="P54" s="482" t="str">
        <f t="shared" si="35"/>
        <v/>
      </c>
      <c r="Q54" s="482" t="str">
        <f t="shared" si="35"/>
        <v/>
      </c>
      <c r="R54" s="482" t="str">
        <f t="shared" si="32"/>
        <v/>
      </c>
      <c r="S54" s="1039">
        <f>+$G$54/($I$54*1000)</f>
        <v>15699</v>
      </c>
      <c r="T54" s="1039">
        <f>+$G$54/($I$54*1000)</f>
        <v>15699</v>
      </c>
      <c r="U54" s="131"/>
      <c r="V54" s="122"/>
    </row>
    <row r="55" spans="1:22" ht="20.25" customHeight="1">
      <c r="B55" s="283"/>
      <c r="C55" s="278"/>
      <c r="D55" s="497" t="str">
        <f>CONCATENATE("SUBTOTAL  ",E44)</f>
        <v xml:space="preserve">SUBTOTAL  SEÑALIZACION Y DEMARCACIONES </v>
      </c>
      <c r="E55" s="498"/>
      <c r="F55" s="498"/>
      <c r="G55" s="288">
        <f>SUM(G45:G54)</f>
        <v>221150117</v>
      </c>
      <c r="H55" s="483">
        <v>2</v>
      </c>
      <c r="I55" s="991"/>
      <c r="J55" s="480"/>
      <c r="K55" s="60" t="str">
        <f t="shared" si="0"/>
        <v/>
      </c>
      <c r="L55" s="60"/>
      <c r="M55" s="482" t="str">
        <f t="shared" si="35"/>
        <v/>
      </c>
      <c r="N55" s="482" t="str">
        <f t="shared" si="35"/>
        <v/>
      </c>
      <c r="O55" s="482" t="str">
        <f t="shared" si="35"/>
        <v/>
      </c>
      <c r="P55" s="482" t="str">
        <f t="shared" si="35"/>
        <v/>
      </c>
      <c r="Q55" s="482" t="str">
        <f t="shared" si="35"/>
        <v/>
      </c>
      <c r="R55" s="482" t="str">
        <f t="shared" si="32"/>
        <v/>
      </c>
      <c r="S55" s="482" t="str">
        <f t="shared" ref="S55:T74" si="36">IF($I55="","",IF(OR(S$11&lt;$J55,S$11&gt;$K55),"",IF($H55=1,IF((S$11/$J55)=1,($G55/1000)/(($I55)*2)*$I55*1.3,IF((S$11/$J55)&gt;1,($G55/1000)/(($I55)*2)*$I55*(0.7/($I55-1)))),IF($H55=2,($G55/1000)/$I55,IF($H55=3,IF((S$11/$K55)=1,($G55/1000)/(($I55)*2)*$I55*1.3,IF((S$11/$K55)&lt;1,($G55/1000)/(($I55)*2)*$I55*(0.7/($I55-1)))))))))</f>
        <v/>
      </c>
      <c r="T55" s="482" t="str">
        <f t="shared" si="36"/>
        <v/>
      </c>
      <c r="U55" s="126"/>
      <c r="V55" s="135"/>
    </row>
    <row r="56" spans="1:22" ht="20.25" customHeight="1">
      <c r="B56" s="282"/>
      <c r="C56" s="277"/>
      <c r="D56" s="1009">
        <v>6</v>
      </c>
      <c r="E56" s="1019" t="s">
        <v>245</v>
      </c>
      <c r="F56" s="1019"/>
      <c r="G56" s="1019"/>
      <c r="H56" s="1020">
        <v>2</v>
      </c>
      <c r="I56" s="1021"/>
      <c r="J56" s="1022"/>
      <c r="K56" s="1023" t="str">
        <f t="shared" si="0"/>
        <v/>
      </c>
      <c r="L56" s="1023"/>
      <c r="M56" s="1024" t="str">
        <f t="shared" si="35"/>
        <v/>
      </c>
      <c r="N56" s="1024" t="str">
        <f t="shared" si="35"/>
        <v/>
      </c>
      <c r="O56" s="1024" t="str">
        <f t="shared" si="35"/>
        <v/>
      </c>
      <c r="P56" s="1024" t="str">
        <f t="shared" si="35"/>
        <v/>
      </c>
      <c r="Q56" s="1024" t="str">
        <f t="shared" si="35"/>
        <v/>
      </c>
      <c r="R56" s="1024" t="str">
        <f t="shared" si="32"/>
        <v/>
      </c>
      <c r="S56" s="1024" t="str">
        <f t="shared" si="36"/>
        <v/>
      </c>
      <c r="T56" s="1024" t="str">
        <f t="shared" si="36"/>
        <v/>
      </c>
      <c r="U56" s="1017"/>
      <c r="V56" s="1018"/>
    </row>
    <row r="57" spans="1:22" ht="20.25" customHeight="1">
      <c r="B57" s="282"/>
      <c r="C57" s="277"/>
      <c r="D57" s="1025"/>
      <c r="E57" s="1026" t="s">
        <v>250</v>
      </c>
      <c r="F57" s="1026"/>
      <c r="G57" s="1026"/>
      <c r="H57" s="1027">
        <v>2</v>
      </c>
      <c r="I57" s="1028"/>
      <c r="J57" s="1029"/>
      <c r="K57" s="1030" t="str">
        <f t="shared" si="0"/>
        <v/>
      </c>
      <c r="L57" s="1030"/>
      <c r="M57" s="1031" t="str">
        <f t="shared" si="35"/>
        <v/>
      </c>
      <c r="N57" s="1031" t="str">
        <f t="shared" si="35"/>
        <v/>
      </c>
      <c r="O57" s="1031" t="str">
        <f t="shared" si="35"/>
        <v/>
      </c>
      <c r="P57" s="1031" t="str">
        <f t="shared" si="35"/>
        <v/>
      </c>
      <c r="Q57" s="1031" t="str">
        <f t="shared" si="35"/>
        <v/>
      </c>
      <c r="R57" s="1031" t="str">
        <f t="shared" si="32"/>
        <v/>
      </c>
      <c r="S57" s="1031" t="str">
        <f t="shared" si="36"/>
        <v/>
      </c>
      <c r="T57" s="1031" t="str">
        <f t="shared" si="36"/>
        <v/>
      </c>
      <c r="U57" s="1032"/>
      <c r="V57" s="1033"/>
    </row>
    <row r="58" spans="1:22" ht="46.5" customHeight="1">
      <c r="B58" s="282" t="s">
        <v>157</v>
      </c>
      <c r="C58" s="277">
        <v>661.1</v>
      </c>
      <c r="D58" s="262">
        <f>D56+0.1</f>
        <v>6.1</v>
      </c>
      <c r="E58" s="276" t="s">
        <v>108</v>
      </c>
      <c r="F58" s="275" t="s">
        <v>122</v>
      </c>
      <c r="G58" s="287">
        <f>+PPTO!I57</f>
        <v>115946936</v>
      </c>
      <c r="H58" s="483">
        <v>3</v>
      </c>
      <c r="I58" s="991">
        <v>4</v>
      </c>
      <c r="J58" s="480">
        <v>1</v>
      </c>
      <c r="K58" s="60">
        <f t="shared" si="0"/>
        <v>4</v>
      </c>
      <c r="L58" s="60"/>
      <c r="M58" s="1039">
        <f>+$G58/($I58*1000)</f>
        <v>28987</v>
      </c>
      <c r="N58" s="1039">
        <f t="shared" ref="N58:P65" si="37">+$G58/($I58*1000)</f>
        <v>28987</v>
      </c>
      <c r="O58" s="1039">
        <f t="shared" si="37"/>
        <v>28987</v>
      </c>
      <c r="P58" s="1039">
        <f t="shared" si="37"/>
        <v>28987</v>
      </c>
      <c r="Q58" s="482" t="str">
        <f t="shared" ref="Q58:Q74" si="38">IF($I58="","",IF(OR(Q$11&lt;$J58,Q$11&gt;$K58),"",IF($H58=1,IF((Q$11/$J58)=1,($G58/1000)/(($I58)*2)*$I58*1.3,IF((Q$11/$J58)&gt;1,($G58/1000)/(($I58)*2)*$I58*(0.7/($I58-1)))),IF($H58=2,($G58/1000)/$I58,IF($H58=3,IF((Q$11/$K58)=1,($G58/1000)/(($I58)*2)*$I58*1.3,IF((Q$11/$K58)&lt;1,($G58/1000)/(($I58)*2)*$I58*(0.7/($I58-1)))))))))</f>
        <v/>
      </c>
      <c r="R58" s="482" t="str">
        <f t="shared" si="32"/>
        <v/>
      </c>
      <c r="S58" s="482" t="str">
        <f t="shared" si="36"/>
        <v/>
      </c>
      <c r="T58" s="482" t="str">
        <f t="shared" si="36"/>
        <v/>
      </c>
      <c r="U58" s="126"/>
      <c r="V58" s="126"/>
    </row>
    <row r="59" spans="1:22" ht="46.5" customHeight="1">
      <c r="B59" s="282" t="s">
        <v>157</v>
      </c>
      <c r="C59" s="277">
        <v>661.1</v>
      </c>
      <c r="D59" s="262">
        <f>D58+0.1</f>
        <v>6.2</v>
      </c>
      <c r="E59" s="276" t="s">
        <v>199</v>
      </c>
      <c r="F59" s="275" t="s">
        <v>122</v>
      </c>
      <c r="G59" s="287">
        <f>+PPTO!I58</f>
        <v>112928792</v>
      </c>
      <c r="H59" s="483">
        <v>3</v>
      </c>
      <c r="I59" s="991">
        <v>4</v>
      </c>
      <c r="J59" s="480">
        <v>1</v>
      </c>
      <c r="K59" s="60">
        <f t="shared" si="0"/>
        <v>4</v>
      </c>
      <c r="L59" s="60"/>
      <c r="M59" s="1039">
        <f t="shared" ref="M59:M65" si="39">+$G59/($I59*1000)</f>
        <v>28232</v>
      </c>
      <c r="N59" s="1039">
        <f t="shared" si="37"/>
        <v>28232</v>
      </c>
      <c r="O59" s="1039">
        <f t="shared" si="37"/>
        <v>28232</v>
      </c>
      <c r="P59" s="1039">
        <f t="shared" si="37"/>
        <v>28232</v>
      </c>
      <c r="Q59" s="482" t="str">
        <f t="shared" si="38"/>
        <v/>
      </c>
      <c r="R59" s="482" t="str">
        <f t="shared" si="32"/>
        <v/>
      </c>
      <c r="S59" s="482" t="str">
        <f t="shared" si="36"/>
        <v/>
      </c>
      <c r="T59" s="482" t="str">
        <f t="shared" si="36"/>
        <v/>
      </c>
      <c r="U59" s="126"/>
      <c r="V59" s="126"/>
    </row>
    <row r="60" spans="1:22" ht="46.5" customHeight="1">
      <c r="B60" s="282"/>
      <c r="C60" s="277"/>
      <c r="D60" s="262">
        <f>D59+0.1</f>
        <v>6.3</v>
      </c>
      <c r="E60" s="276" t="s">
        <v>201</v>
      </c>
      <c r="F60" s="275" t="s">
        <v>122</v>
      </c>
      <c r="G60" s="287">
        <f>+PPTO!I59</f>
        <v>19064760</v>
      </c>
      <c r="H60" s="483">
        <v>3</v>
      </c>
      <c r="I60" s="991">
        <v>4</v>
      </c>
      <c r="J60" s="480">
        <v>1</v>
      </c>
      <c r="K60" s="60">
        <f t="shared" si="0"/>
        <v>4</v>
      </c>
      <c r="L60" s="60"/>
      <c r="M60" s="1039">
        <f t="shared" si="39"/>
        <v>4766</v>
      </c>
      <c r="N60" s="1039">
        <f t="shared" si="37"/>
        <v>4766</v>
      </c>
      <c r="O60" s="1039">
        <f t="shared" si="37"/>
        <v>4766</v>
      </c>
      <c r="P60" s="1039">
        <f t="shared" si="37"/>
        <v>4766</v>
      </c>
      <c r="Q60" s="482" t="str">
        <f t="shared" si="38"/>
        <v/>
      </c>
      <c r="R60" s="482" t="str">
        <f t="shared" si="32"/>
        <v/>
      </c>
      <c r="S60" s="482" t="str">
        <f t="shared" si="36"/>
        <v/>
      </c>
      <c r="T60" s="482" t="str">
        <f t="shared" si="36"/>
        <v/>
      </c>
      <c r="U60" s="126"/>
      <c r="V60" s="126"/>
    </row>
    <row r="61" spans="1:22" ht="46.5" customHeight="1">
      <c r="B61" s="282"/>
      <c r="C61" s="277"/>
      <c r="D61" s="262">
        <f>D60+0.1</f>
        <v>6.4</v>
      </c>
      <c r="E61" s="276" t="s">
        <v>202</v>
      </c>
      <c r="F61" s="275" t="s">
        <v>122</v>
      </c>
      <c r="G61" s="287">
        <f>+PPTO!I60</f>
        <v>30541551</v>
      </c>
      <c r="H61" s="483">
        <v>3</v>
      </c>
      <c r="I61" s="991">
        <v>4</v>
      </c>
      <c r="J61" s="480">
        <v>1</v>
      </c>
      <c r="K61" s="60">
        <f t="shared" si="0"/>
        <v>4</v>
      </c>
      <c r="L61" s="60"/>
      <c r="M61" s="1039">
        <f t="shared" si="39"/>
        <v>7635</v>
      </c>
      <c r="N61" s="1039">
        <f t="shared" si="37"/>
        <v>7635</v>
      </c>
      <c r="O61" s="1039">
        <f t="shared" si="37"/>
        <v>7635</v>
      </c>
      <c r="P61" s="1039">
        <f t="shared" si="37"/>
        <v>7635</v>
      </c>
      <c r="Q61" s="482" t="str">
        <f t="shared" si="38"/>
        <v/>
      </c>
      <c r="R61" s="482" t="str">
        <f t="shared" si="32"/>
        <v/>
      </c>
      <c r="S61" s="482" t="str">
        <f t="shared" si="36"/>
        <v/>
      </c>
      <c r="T61" s="482" t="str">
        <f t="shared" si="36"/>
        <v/>
      </c>
      <c r="U61" s="126"/>
      <c r="V61" s="126"/>
    </row>
    <row r="62" spans="1:22" ht="46.5" customHeight="1">
      <c r="B62" s="282"/>
      <c r="C62" s="277"/>
      <c r="D62" s="262">
        <f t="shared" ref="D62:D66" si="40">D61+0.1</f>
        <v>6.5</v>
      </c>
      <c r="E62" s="276" t="s">
        <v>203</v>
      </c>
      <c r="F62" s="275" t="s">
        <v>122</v>
      </c>
      <c r="G62" s="287">
        <f>+PPTO!I61</f>
        <v>48469931</v>
      </c>
      <c r="H62" s="483">
        <v>3</v>
      </c>
      <c r="I62" s="991">
        <v>4</v>
      </c>
      <c r="J62" s="480">
        <v>1</v>
      </c>
      <c r="K62" s="60">
        <f t="shared" si="0"/>
        <v>4</v>
      </c>
      <c r="L62" s="60"/>
      <c r="M62" s="1039">
        <f t="shared" si="39"/>
        <v>12117</v>
      </c>
      <c r="N62" s="1039">
        <f t="shared" si="37"/>
        <v>12117</v>
      </c>
      <c r="O62" s="1039">
        <f t="shared" si="37"/>
        <v>12117</v>
      </c>
      <c r="P62" s="1039">
        <f t="shared" si="37"/>
        <v>12117</v>
      </c>
      <c r="Q62" s="482" t="str">
        <f t="shared" si="38"/>
        <v/>
      </c>
      <c r="R62" s="482" t="str">
        <f t="shared" si="32"/>
        <v/>
      </c>
      <c r="S62" s="482" t="str">
        <f t="shared" si="36"/>
        <v/>
      </c>
      <c r="T62" s="482" t="str">
        <f t="shared" si="36"/>
        <v/>
      </c>
      <c r="U62" s="126"/>
      <c r="V62" s="126"/>
    </row>
    <row r="63" spans="1:22" ht="46.5" customHeight="1">
      <c r="B63" s="282"/>
      <c r="C63" s="277"/>
      <c r="D63" s="262">
        <f t="shared" si="40"/>
        <v>6.6</v>
      </c>
      <c r="E63" s="276" t="s">
        <v>204</v>
      </c>
      <c r="F63" s="275" t="s">
        <v>122</v>
      </c>
      <c r="G63" s="287">
        <f>+PPTO!I62</f>
        <v>65433220</v>
      </c>
      <c r="H63" s="483">
        <v>3</v>
      </c>
      <c r="I63" s="991">
        <v>4</v>
      </c>
      <c r="J63" s="480">
        <v>1</v>
      </c>
      <c r="K63" s="60">
        <f t="shared" si="0"/>
        <v>4</v>
      </c>
      <c r="L63" s="60"/>
      <c r="M63" s="1039">
        <f t="shared" si="39"/>
        <v>16358</v>
      </c>
      <c r="N63" s="1039">
        <f t="shared" si="37"/>
        <v>16358</v>
      </c>
      <c r="O63" s="1039">
        <f t="shared" si="37"/>
        <v>16358</v>
      </c>
      <c r="P63" s="1039">
        <f t="shared" si="37"/>
        <v>16358</v>
      </c>
      <c r="Q63" s="482" t="str">
        <f t="shared" si="38"/>
        <v/>
      </c>
      <c r="R63" s="482" t="str">
        <f t="shared" si="32"/>
        <v/>
      </c>
      <c r="S63" s="482" t="str">
        <f t="shared" si="36"/>
        <v/>
      </c>
      <c r="T63" s="482" t="str">
        <f t="shared" si="36"/>
        <v/>
      </c>
      <c r="U63" s="126"/>
      <c r="V63" s="126"/>
    </row>
    <row r="64" spans="1:22" ht="46.5" customHeight="1">
      <c r="B64" s="282"/>
      <c r="C64" s="277"/>
      <c r="D64" s="262">
        <f t="shared" si="40"/>
        <v>6.7</v>
      </c>
      <c r="E64" s="276" t="s">
        <v>205</v>
      </c>
      <c r="F64" s="275" t="s">
        <v>122</v>
      </c>
      <c r="G64" s="287">
        <f>+PPTO!I63</f>
        <v>6276252</v>
      </c>
      <c r="H64" s="483">
        <v>3</v>
      </c>
      <c r="I64" s="991">
        <v>4</v>
      </c>
      <c r="J64" s="480">
        <v>1</v>
      </c>
      <c r="K64" s="60">
        <f t="shared" si="0"/>
        <v>4</v>
      </c>
      <c r="L64" s="60"/>
      <c r="M64" s="1039">
        <f t="shared" si="39"/>
        <v>1569</v>
      </c>
      <c r="N64" s="1039">
        <f t="shared" si="37"/>
        <v>1569</v>
      </c>
      <c r="O64" s="1039">
        <f t="shared" si="37"/>
        <v>1569</v>
      </c>
      <c r="P64" s="1039">
        <f t="shared" si="37"/>
        <v>1569</v>
      </c>
      <c r="Q64" s="482" t="str">
        <f t="shared" si="38"/>
        <v/>
      </c>
      <c r="R64" s="482" t="str">
        <f t="shared" si="32"/>
        <v/>
      </c>
      <c r="S64" s="482" t="str">
        <f t="shared" si="36"/>
        <v/>
      </c>
      <c r="T64" s="482" t="str">
        <f t="shared" si="36"/>
        <v/>
      </c>
      <c r="U64" s="126"/>
      <c r="V64" s="126"/>
    </row>
    <row r="65" spans="2:22" ht="46.5" customHeight="1">
      <c r="B65" s="282"/>
      <c r="C65" s="277"/>
      <c r="D65" s="262">
        <f t="shared" si="40"/>
        <v>6.8</v>
      </c>
      <c r="E65" s="276" t="s">
        <v>206</v>
      </c>
      <c r="F65" s="275" t="s">
        <v>122</v>
      </c>
      <c r="G65" s="287">
        <f>+PPTO!I64</f>
        <v>126940517</v>
      </c>
      <c r="H65" s="483">
        <v>3</v>
      </c>
      <c r="I65" s="991">
        <v>4</v>
      </c>
      <c r="J65" s="480">
        <v>1</v>
      </c>
      <c r="K65" s="60">
        <f t="shared" si="0"/>
        <v>4</v>
      </c>
      <c r="L65" s="60"/>
      <c r="M65" s="1039">
        <f t="shared" si="39"/>
        <v>31735</v>
      </c>
      <c r="N65" s="1039">
        <f t="shared" si="37"/>
        <v>31735</v>
      </c>
      <c r="O65" s="1039">
        <f t="shared" si="37"/>
        <v>31735</v>
      </c>
      <c r="P65" s="1039">
        <f t="shared" si="37"/>
        <v>31735</v>
      </c>
      <c r="Q65" s="482" t="str">
        <f t="shared" si="38"/>
        <v/>
      </c>
      <c r="R65" s="482" t="str">
        <f t="shared" si="32"/>
        <v/>
      </c>
      <c r="S65" s="482" t="str">
        <f t="shared" si="36"/>
        <v/>
      </c>
      <c r="T65" s="482" t="str">
        <f t="shared" si="36"/>
        <v/>
      </c>
      <c r="U65" s="126"/>
      <c r="V65" s="126"/>
    </row>
    <row r="66" spans="2:22" ht="46.5" hidden="1" customHeight="1">
      <c r="B66" s="282"/>
      <c r="C66" s="277"/>
      <c r="D66" s="262">
        <f t="shared" si="40"/>
        <v>6.9</v>
      </c>
      <c r="E66" s="276" t="s">
        <v>207</v>
      </c>
      <c r="F66" s="275" t="s">
        <v>122</v>
      </c>
      <c r="G66" s="287">
        <f>+PPTO!I65</f>
        <v>0</v>
      </c>
      <c r="H66" s="483">
        <v>3</v>
      </c>
      <c r="I66" s="991">
        <v>4</v>
      </c>
      <c r="J66" s="480">
        <v>1</v>
      </c>
      <c r="K66" s="60">
        <f t="shared" si="0"/>
        <v>4</v>
      </c>
      <c r="L66" s="60"/>
      <c r="M66" s="482">
        <f t="shared" ref="M66:P74" si="41">IF($I66="","",IF(OR(M$11&lt;$J66,M$11&gt;$K66),"",IF($H66=1,IF((M$11/$J66)=1,($G66/1000)/(($I66)*2)*$I66*1.3,IF((M$11/$J66)&gt;1,($G66/1000)/(($I66)*2)*$I66*(0.7/($I66-1)))),IF($H66=2,($G66/1000)/$I66,IF($H66=3,IF((M$11/$K66)=1,($G66/1000)/(($I66)*2)*$I66*1.3,IF((M$11/$K66)&lt;1,($G66/1000)/(($I66)*2)*$I66*(0.7/($I66-1)))))))))</f>
        <v>0</v>
      </c>
      <c r="N66" s="482">
        <f t="shared" si="41"/>
        <v>0</v>
      </c>
      <c r="O66" s="482">
        <f t="shared" si="41"/>
        <v>0</v>
      </c>
      <c r="P66" s="482">
        <f t="shared" si="41"/>
        <v>0</v>
      </c>
      <c r="Q66" s="482" t="str">
        <f t="shared" si="38"/>
        <v/>
      </c>
      <c r="R66" s="482" t="str">
        <f t="shared" si="32"/>
        <v/>
      </c>
      <c r="S66" s="482" t="str">
        <f t="shared" si="36"/>
        <v/>
      </c>
      <c r="T66" s="482" t="str">
        <f t="shared" si="36"/>
        <v/>
      </c>
      <c r="U66" s="126"/>
      <c r="V66" s="126"/>
    </row>
    <row r="67" spans="2:22" ht="46.5" hidden="1" customHeight="1">
      <c r="B67" s="282"/>
      <c r="C67" s="277"/>
      <c r="D67" s="370" t="s">
        <v>226</v>
      </c>
      <c r="E67" s="276" t="s">
        <v>208</v>
      </c>
      <c r="F67" s="275" t="s">
        <v>122</v>
      </c>
      <c r="G67" s="287">
        <f>+PPTO!I66</f>
        <v>0</v>
      </c>
      <c r="H67" s="483">
        <v>3</v>
      </c>
      <c r="I67" s="991">
        <v>4</v>
      </c>
      <c r="J67" s="480">
        <v>1</v>
      </c>
      <c r="K67" s="60">
        <f t="shared" si="0"/>
        <v>4</v>
      </c>
      <c r="L67" s="60"/>
      <c r="M67" s="482">
        <f t="shared" si="41"/>
        <v>0</v>
      </c>
      <c r="N67" s="482">
        <f t="shared" si="41"/>
        <v>0</v>
      </c>
      <c r="O67" s="482">
        <f t="shared" si="41"/>
        <v>0</v>
      </c>
      <c r="P67" s="482">
        <f t="shared" si="41"/>
        <v>0</v>
      </c>
      <c r="Q67" s="482" t="str">
        <f t="shared" si="38"/>
        <v/>
      </c>
      <c r="R67" s="482" t="str">
        <f t="shared" si="32"/>
        <v/>
      </c>
      <c r="S67" s="482" t="str">
        <f t="shared" si="36"/>
        <v/>
      </c>
      <c r="T67" s="482" t="str">
        <f t="shared" si="36"/>
        <v/>
      </c>
      <c r="U67" s="126"/>
      <c r="V67" s="126"/>
    </row>
    <row r="68" spans="2:22" ht="46.5" hidden="1" customHeight="1">
      <c r="B68" s="282"/>
      <c r="C68" s="277"/>
      <c r="D68" s="369">
        <f>D67+0.01</f>
        <v>6.11</v>
      </c>
      <c r="E68" s="276" t="s">
        <v>209</v>
      </c>
      <c r="F68" s="275" t="s">
        <v>122</v>
      </c>
      <c r="G68" s="287">
        <f>+PPTO!I67</f>
        <v>0</v>
      </c>
      <c r="H68" s="483">
        <v>3</v>
      </c>
      <c r="I68" s="991">
        <v>4</v>
      </c>
      <c r="J68" s="480">
        <v>1</v>
      </c>
      <c r="K68" s="60">
        <f t="shared" si="0"/>
        <v>4</v>
      </c>
      <c r="L68" s="60"/>
      <c r="M68" s="482">
        <f t="shared" si="41"/>
        <v>0</v>
      </c>
      <c r="N68" s="482">
        <f t="shared" si="41"/>
        <v>0</v>
      </c>
      <c r="O68" s="482">
        <f t="shared" si="41"/>
        <v>0</v>
      </c>
      <c r="P68" s="482">
        <f t="shared" si="41"/>
        <v>0</v>
      </c>
      <c r="Q68" s="482" t="str">
        <f t="shared" si="38"/>
        <v/>
      </c>
      <c r="R68" s="482" t="str">
        <f t="shared" si="32"/>
        <v/>
      </c>
      <c r="S68" s="482" t="str">
        <f t="shared" si="36"/>
        <v/>
      </c>
      <c r="T68" s="482" t="str">
        <f t="shared" si="36"/>
        <v/>
      </c>
      <c r="U68" s="126"/>
      <c r="V68" s="126"/>
    </row>
    <row r="69" spans="2:22" ht="46.5" hidden="1" customHeight="1">
      <c r="B69" s="282"/>
      <c r="C69" s="277"/>
      <c r="D69" s="369">
        <f t="shared" ref="D69:D73" si="42">D68+0.01</f>
        <v>6.12</v>
      </c>
      <c r="E69" s="276" t="s">
        <v>210</v>
      </c>
      <c r="F69" s="275" t="s">
        <v>122</v>
      </c>
      <c r="G69" s="287">
        <f>+PPTO!I68</f>
        <v>0</v>
      </c>
      <c r="H69" s="483">
        <v>3</v>
      </c>
      <c r="I69" s="991">
        <v>4</v>
      </c>
      <c r="J69" s="480">
        <v>1</v>
      </c>
      <c r="K69" s="60">
        <f t="shared" si="0"/>
        <v>4</v>
      </c>
      <c r="L69" s="60"/>
      <c r="M69" s="482">
        <f t="shared" si="41"/>
        <v>0</v>
      </c>
      <c r="N69" s="482">
        <f t="shared" si="41"/>
        <v>0</v>
      </c>
      <c r="O69" s="482">
        <f t="shared" si="41"/>
        <v>0</v>
      </c>
      <c r="P69" s="482">
        <f t="shared" si="41"/>
        <v>0</v>
      </c>
      <c r="Q69" s="482" t="str">
        <f t="shared" si="38"/>
        <v/>
      </c>
      <c r="R69" s="482" t="str">
        <f t="shared" si="32"/>
        <v/>
      </c>
      <c r="S69" s="482" t="str">
        <f t="shared" si="36"/>
        <v/>
      </c>
      <c r="T69" s="482" t="str">
        <f t="shared" si="36"/>
        <v/>
      </c>
      <c r="U69" s="126"/>
      <c r="V69" s="126"/>
    </row>
    <row r="70" spans="2:22" ht="46.5" hidden="1" customHeight="1">
      <c r="B70" s="282"/>
      <c r="C70" s="277"/>
      <c r="D70" s="369">
        <f t="shared" si="42"/>
        <v>6.13</v>
      </c>
      <c r="E70" s="276" t="s">
        <v>211</v>
      </c>
      <c r="F70" s="275" t="s">
        <v>122</v>
      </c>
      <c r="G70" s="287">
        <f>+PPTO!I69</f>
        <v>0</v>
      </c>
      <c r="H70" s="483">
        <v>3</v>
      </c>
      <c r="I70" s="991">
        <v>4</v>
      </c>
      <c r="J70" s="480">
        <v>1</v>
      </c>
      <c r="K70" s="60">
        <f t="shared" si="0"/>
        <v>4</v>
      </c>
      <c r="L70" s="60"/>
      <c r="M70" s="482">
        <f t="shared" si="41"/>
        <v>0</v>
      </c>
      <c r="N70" s="482">
        <f t="shared" si="41"/>
        <v>0</v>
      </c>
      <c r="O70" s="482">
        <f t="shared" si="41"/>
        <v>0</v>
      </c>
      <c r="P70" s="482">
        <f t="shared" si="41"/>
        <v>0</v>
      </c>
      <c r="Q70" s="482" t="str">
        <f t="shared" si="38"/>
        <v/>
      </c>
      <c r="R70" s="482" t="str">
        <f t="shared" si="32"/>
        <v/>
      </c>
      <c r="S70" s="482" t="str">
        <f t="shared" si="36"/>
        <v/>
      </c>
      <c r="T70" s="482" t="str">
        <f t="shared" si="36"/>
        <v/>
      </c>
      <c r="U70" s="126"/>
      <c r="V70" s="126"/>
    </row>
    <row r="71" spans="2:22" ht="46.5" hidden="1" customHeight="1">
      <c r="B71" s="282"/>
      <c r="C71" s="277"/>
      <c r="D71" s="369">
        <f t="shared" si="42"/>
        <v>6.14</v>
      </c>
      <c r="E71" s="276" t="s">
        <v>212</v>
      </c>
      <c r="F71" s="275" t="s">
        <v>122</v>
      </c>
      <c r="G71" s="287">
        <f>+PPTO!I70</f>
        <v>0</v>
      </c>
      <c r="H71" s="483">
        <v>3</v>
      </c>
      <c r="I71" s="991">
        <v>4</v>
      </c>
      <c r="J71" s="480">
        <v>1</v>
      </c>
      <c r="K71" s="60">
        <f t="shared" si="0"/>
        <v>4</v>
      </c>
      <c r="L71" s="60"/>
      <c r="M71" s="482">
        <f t="shared" si="41"/>
        <v>0</v>
      </c>
      <c r="N71" s="482">
        <f t="shared" si="41"/>
        <v>0</v>
      </c>
      <c r="O71" s="482">
        <f t="shared" si="41"/>
        <v>0</v>
      </c>
      <c r="P71" s="482">
        <f t="shared" si="41"/>
        <v>0</v>
      </c>
      <c r="Q71" s="482" t="str">
        <f t="shared" si="38"/>
        <v/>
      </c>
      <c r="R71" s="482" t="str">
        <f t="shared" si="32"/>
        <v/>
      </c>
      <c r="S71" s="482" t="str">
        <f t="shared" si="36"/>
        <v/>
      </c>
      <c r="T71" s="482" t="str">
        <f t="shared" si="36"/>
        <v/>
      </c>
      <c r="U71" s="126"/>
      <c r="V71" s="126"/>
    </row>
    <row r="72" spans="2:22" ht="46.5" hidden="1" customHeight="1">
      <c r="B72" s="282"/>
      <c r="C72" s="277"/>
      <c r="D72" s="369">
        <f t="shared" si="42"/>
        <v>6.15</v>
      </c>
      <c r="E72" s="276" t="s">
        <v>213</v>
      </c>
      <c r="F72" s="275" t="s">
        <v>122</v>
      </c>
      <c r="G72" s="287">
        <f>+PPTO!I71</f>
        <v>0</v>
      </c>
      <c r="H72" s="483">
        <v>3</v>
      </c>
      <c r="I72" s="991">
        <v>4</v>
      </c>
      <c r="J72" s="480">
        <v>1</v>
      </c>
      <c r="K72" s="60">
        <f t="shared" si="0"/>
        <v>4</v>
      </c>
      <c r="L72" s="60"/>
      <c r="M72" s="482">
        <f t="shared" si="41"/>
        <v>0</v>
      </c>
      <c r="N72" s="482">
        <f t="shared" si="41"/>
        <v>0</v>
      </c>
      <c r="O72" s="482">
        <f t="shared" si="41"/>
        <v>0</v>
      </c>
      <c r="P72" s="482">
        <f t="shared" si="41"/>
        <v>0</v>
      </c>
      <c r="Q72" s="482" t="str">
        <f t="shared" si="38"/>
        <v/>
      </c>
      <c r="R72" s="482" t="str">
        <f t="shared" si="32"/>
        <v/>
      </c>
      <c r="S72" s="482" t="str">
        <f t="shared" si="36"/>
        <v/>
      </c>
      <c r="T72" s="482" t="str">
        <f t="shared" si="36"/>
        <v/>
      </c>
      <c r="U72" s="126"/>
      <c r="V72" s="126"/>
    </row>
    <row r="73" spans="2:22" ht="46.5" hidden="1" customHeight="1">
      <c r="B73" s="282"/>
      <c r="C73" s="277"/>
      <c r="D73" s="369">
        <f t="shared" si="42"/>
        <v>6.16</v>
      </c>
      <c r="E73" s="276" t="s">
        <v>214</v>
      </c>
      <c r="F73" s="275" t="s">
        <v>122</v>
      </c>
      <c r="G73" s="287">
        <f>+PPTO!I72</f>
        <v>0</v>
      </c>
      <c r="H73" s="483">
        <v>3</v>
      </c>
      <c r="I73" s="991">
        <v>4</v>
      </c>
      <c r="J73" s="480">
        <v>1</v>
      </c>
      <c r="K73" s="60">
        <f t="shared" si="0"/>
        <v>4</v>
      </c>
      <c r="L73" s="60"/>
      <c r="M73" s="482">
        <f t="shared" si="41"/>
        <v>0</v>
      </c>
      <c r="N73" s="482">
        <f t="shared" si="41"/>
        <v>0</v>
      </c>
      <c r="O73" s="482">
        <f t="shared" si="41"/>
        <v>0</v>
      </c>
      <c r="P73" s="482">
        <f t="shared" si="41"/>
        <v>0</v>
      </c>
      <c r="Q73" s="482" t="str">
        <f t="shared" si="38"/>
        <v/>
      </c>
      <c r="R73" s="482" t="str">
        <f t="shared" si="32"/>
        <v/>
      </c>
      <c r="S73" s="482" t="str">
        <f t="shared" si="36"/>
        <v/>
      </c>
      <c r="T73" s="482" t="str">
        <f t="shared" si="36"/>
        <v/>
      </c>
      <c r="U73" s="126"/>
      <c r="V73" s="126"/>
    </row>
    <row r="74" spans="2:22" ht="20.25" customHeight="1">
      <c r="B74" s="282"/>
      <c r="C74" s="277"/>
      <c r="D74" s="1025"/>
      <c r="E74" s="1026" t="s">
        <v>251</v>
      </c>
      <c r="F74" s="1026"/>
      <c r="G74" s="1026"/>
      <c r="H74" s="1027">
        <v>2</v>
      </c>
      <c r="I74" s="1028"/>
      <c r="J74" s="1029"/>
      <c r="K74" s="1030" t="str">
        <f t="shared" si="0"/>
        <v/>
      </c>
      <c r="L74" s="1030"/>
      <c r="M74" s="1031" t="str">
        <f t="shared" si="41"/>
        <v/>
      </c>
      <c r="N74" s="1031" t="str">
        <f t="shared" si="41"/>
        <v/>
      </c>
      <c r="O74" s="1031" t="str">
        <f t="shared" si="41"/>
        <v/>
      </c>
      <c r="P74" s="1031" t="str">
        <f t="shared" si="41"/>
        <v/>
      </c>
      <c r="Q74" s="1031" t="str">
        <f t="shared" si="38"/>
        <v/>
      </c>
      <c r="R74" s="1031" t="str">
        <f t="shared" si="32"/>
        <v/>
      </c>
      <c r="S74" s="1031" t="str">
        <f t="shared" si="36"/>
        <v/>
      </c>
      <c r="T74" s="1031" t="str">
        <f t="shared" si="36"/>
        <v/>
      </c>
      <c r="U74" s="1032"/>
      <c r="V74" s="1033"/>
    </row>
    <row r="75" spans="2:22" ht="46.5" customHeight="1">
      <c r="B75" s="282"/>
      <c r="C75" s="277"/>
      <c r="D75" s="369">
        <f>+PPTO!D73</f>
        <v>6.17</v>
      </c>
      <c r="E75" s="276" t="s">
        <v>991</v>
      </c>
      <c r="F75" s="275" t="s">
        <v>122</v>
      </c>
      <c r="G75" s="287">
        <f>+PPTO!I73</f>
        <v>160212801</v>
      </c>
      <c r="H75" s="483">
        <v>2</v>
      </c>
      <c r="I75" s="991">
        <v>4</v>
      </c>
      <c r="J75" s="480">
        <v>2</v>
      </c>
      <c r="K75" s="60">
        <f t="shared" si="0"/>
        <v>5</v>
      </c>
      <c r="L75" s="60"/>
      <c r="M75" s="482" t="str">
        <f t="shared" ref="M75:M97" si="43">IF($I75="","",IF(OR(M$11&lt;$J75,M$11&gt;$K75),"",IF($H75=1,IF((M$11/$J75)=1,($G75/1000)/(($I75)*2)*$I75*1.3,IF((M$11/$J75)&gt;1,($G75/1000)/(($I75)*2)*$I75*(0.7/($I75-1)))),IF($H75=2,($G75/1000)/$I75,IF($H75=3,IF((M$11/$K75)=1,($G75/1000)/(($I75)*2)*$I75*1.3,IF((M$11/$K75)&lt;1,($G75/1000)/(($I75)*2)*$I75*(0.7/($I75-1)))))))))</f>
        <v/>
      </c>
      <c r="N75" s="1039">
        <f t="shared" ref="N75:R90" si="44">+$G75/($I75*1000)</f>
        <v>40053</v>
      </c>
      <c r="O75" s="1039">
        <f t="shared" si="44"/>
        <v>40053</v>
      </c>
      <c r="P75" s="1039">
        <f t="shared" si="44"/>
        <v>40053</v>
      </c>
      <c r="Q75" s="1039">
        <f t="shared" si="44"/>
        <v>40053</v>
      </c>
      <c r="R75" s="482" t="str">
        <f t="shared" si="32"/>
        <v/>
      </c>
      <c r="S75" s="482" t="str">
        <f t="shared" ref="S75:T97" si="45">IF($I75="","",IF(OR(S$11&lt;$J75,S$11&gt;$K75),"",IF($H75=1,IF((S$11/$J75)=1,($G75/1000)/(($I75)*2)*$I75*1.3,IF((S$11/$J75)&gt;1,($G75/1000)/(($I75)*2)*$I75*(0.7/($I75-1)))),IF($H75=2,($G75/1000)/$I75,IF($H75=3,IF((S$11/$K75)=1,($G75/1000)/(($I75)*2)*$I75*1.3,IF((S$11/$K75)&lt;1,($G75/1000)/(($I75)*2)*$I75*(0.7/($I75-1)))))))))</f>
        <v/>
      </c>
      <c r="T75" s="482" t="str">
        <f t="shared" si="45"/>
        <v/>
      </c>
      <c r="U75" s="126"/>
      <c r="V75" s="126"/>
    </row>
    <row r="76" spans="2:22" ht="46.5" customHeight="1">
      <c r="B76" s="282"/>
      <c r="C76" s="277"/>
      <c r="D76" s="369">
        <f t="shared" ref="D76:D120" si="46">D75+0.01</f>
        <v>6.18</v>
      </c>
      <c r="E76" s="276" t="s">
        <v>992</v>
      </c>
      <c r="F76" s="275" t="s">
        <v>122</v>
      </c>
      <c r="G76" s="287">
        <f>+PPTO!I74</f>
        <v>57043602</v>
      </c>
      <c r="H76" s="483">
        <v>2</v>
      </c>
      <c r="I76" s="991">
        <v>4</v>
      </c>
      <c r="J76" s="480">
        <v>2</v>
      </c>
      <c r="K76" s="60">
        <f t="shared" si="0"/>
        <v>5</v>
      </c>
      <c r="L76" s="60"/>
      <c r="M76" s="482" t="str">
        <f t="shared" si="43"/>
        <v/>
      </c>
      <c r="N76" s="1039">
        <f t="shared" si="44"/>
        <v>14261</v>
      </c>
      <c r="O76" s="1039">
        <f t="shared" si="44"/>
        <v>14261</v>
      </c>
      <c r="P76" s="1039">
        <f t="shared" si="44"/>
        <v>14261</v>
      </c>
      <c r="Q76" s="1039">
        <f t="shared" si="44"/>
        <v>14261</v>
      </c>
      <c r="R76" s="482" t="str">
        <f t="shared" si="32"/>
        <v/>
      </c>
      <c r="S76" s="482" t="str">
        <f t="shared" si="45"/>
        <v/>
      </c>
      <c r="T76" s="482" t="str">
        <f t="shared" si="45"/>
        <v/>
      </c>
      <c r="U76" s="126"/>
      <c r="V76" s="126"/>
    </row>
    <row r="77" spans="2:22" ht="46.5" customHeight="1">
      <c r="B77" s="282"/>
      <c r="C77" s="277"/>
      <c r="D77" s="369">
        <f t="shared" si="46"/>
        <v>6.19</v>
      </c>
      <c r="E77" s="276" t="s">
        <v>993</v>
      </c>
      <c r="F77" s="275" t="s">
        <v>122</v>
      </c>
      <c r="G77" s="287">
        <f>+PPTO!I75</f>
        <v>152335543</v>
      </c>
      <c r="H77" s="483">
        <v>2</v>
      </c>
      <c r="I77" s="991">
        <v>4</v>
      </c>
      <c r="J77" s="480">
        <v>2</v>
      </c>
      <c r="K77" s="60">
        <f t="shared" si="0"/>
        <v>5</v>
      </c>
      <c r="L77" s="60"/>
      <c r="M77" s="482" t="str">
        <f t="shared" si="43"/>
        <v/>
      </c>
      <c r="N77" s="1039">
        <f t="shared" si="44"/>
        <v>38084</v>
      </c>
      <c r="O77" s="1039">
        <f t="shared" si="44"/>
        <v>38084</v>
      </c>
      <c r="P77" s="1039">
        <f t="shared" si="44"/>
        <v>38084</v>
      </c>
      <c r="Q77" s="1039">
        <f t="shared" si="44"/>
        <v>38084</v>
      </c>
      <c r="R77" s="482" t="str">
        <f t="shared" si="32"/>
        <v/>
      </c>
      <c r="S77" s="482" t="str">
        <f t="shared" si="45"/>
        <v/>
      </c>
      <c r="T77" s="482" t="str">
        <f t="shared" si="45"/>
        <v/>
      </c>
      <c r="U77" s="126"/>
      <c r="V77" s="126"/>
    </row>
    <row r="78" spans="2:22" ht="46.5" customHeight="1">
      <c r="B78" s="282"/>
      <c r="C78" s="277"/>
      <c r="D78" s="370" t="s">
        <v>1266</v>
      </c>
      <c r="E78" s="276" t="s">
        <v>246</v>
      </c>
      <c r="F78" s="275" t="s">
        <v>122</v>
      </c>
      <c r="G78" s="287">
        <f>+PPTO!I76</f>
        <v>144743597</v>
      </c>
      <c r="H78" s="483">
        <v>2</v>
      </c>
      <c r="I78" s="991">
        <v>4</v>
      </c>
      <c r="J78" s="480">
        <v>2</v>
      </c>
      <c r="K78" s="60">
        <f t="shared" si="0"/>
        <v>5</v>
      </c>
      <c r="L78" s="60"/>
      <c r="M78" s="482" t="str">
        <f t="shared" si="43"/>
        <v/>
      </c>
      <c r="N78" s="1039">
        <f t="shared" si="44"/>
        <v>36186</v>
      </c>
      <c r="O78" s="1039">
        <f t="shared" si="44"/>
        <v>36186</v>
      </c>
      <c r="P78" s="1039">
        <f t="shared" si="44"/>
        <v>36186</v>
      </c>
      <c r="Q78" s="1039">
        <f t="shared" si="44"/>
        <v>36186</v>
      </c>
      <c r="R78" s="482" t="str">
        <f t="shared" si="32"/>
        <v/>
      </c>
      <c r="S78" s="482" t="str">
        <f t="shared" si="45"/>
        <v/>
      </c>
      <c r="T78" s="482" t="str">
        <f t="shared" si="45"/>
        <v/>
      </c>
      <c r="U78" s="126"/>
      <c r="V78" s="126"/>
    </row>
    <row r="79" spans="2:22" ht="46.5" customHeight="1">
      <c r="B79" s="282"/>
      <c r="C79" s="277"/>
      <c r="D79" s="369" t="e">
        <f t="shared" si="46"/>
        <v>#VALUE!</v>
      </c>
      <c r="E79" s="276" t="s">
        <v>247</v>
      </c>
      <c r="F79" s="275" t="s">
        <v>119</v>
      </c>
      <c r="G79" s="287">
        <f>+PPTO!I77</f>
        <v>274835520</v>
      </c>
      <c r="H79" s="483">
        <v>2</v>
      </c>
      <c r="I79" s="991">
        <v>4</v>
      </c>
      <c r="J79" s="480">
        <v>2</v>
      </c>
      <c r="K79" s="60">
        <f t="shared" si="0"/>
        <v>5</v>
      </c>
      <c r="L79" s="60"/>
      <c r="M79" s="482" t="str">
        <f t="shared" si="43"/>
        <v/>
      </c>
      <c r="N79" s="1039">
        <f t="shared" si="44"/>
        <v>68709</v>
      </c>
      <c r="O79" s="1039">
        <f t="shared" si="44"/>
        <v>68709</v>
      </c>
      <c r="P79" s="1039">
        <f t="shared" si="44"/>
        <v>68709</v>
      </c>
      <c r="Q79" s="1039">
        <f t="shared" si="44"/>
        <v>68709</v>
      </c>
      <c r="R79" s="482" t="str">
        <f t="shared" si="32"/>
        <v/>
      </c>
      <c r="S79" s="482" t="str">
        <f t="shared" si="45"/>
        <v/>
      </c>
      <c r="T79" s="482" t="str">
        <f t="shared" si="45"/>
        <v/>
      </c>
      <c r="U79" s="126"/>
      <c r="V79" s="126"/>
    </row>
    <row r="80" spans="2:22" ht="46.5" customHeight="1">
      <c r="B80" s="282"/>
      <c r="C80" s="277"/>
      <c r="D80" s="369" t="e">
        <f t="shared" si="46"/>
        <v>#VALUE!</v>
      </c>
      <c r="E80" s="276" t="s">
        <v>1001</v>
      </c>
      <c r="F80" s="275" t="s">
        <v>119</v>
      </c>
      <c r="G80" s="287">
        <f>+PPTO!I78</f>
        <v>1572984</v>
      </c>
      <c r="H80" s="483">
        <v>2</v>
      </c>
      <c r="I80" s="991">
        <v>2</v>
      </c>
      <c r="J80" s="480">
        <v>5</v>
      </c>
      <c r="K80" s="60">
        <f t="shared" si="0"/>
        <v>6</v>
      </c>
      <c r="L80" s="60"/>
      <c r="M80" s="482" t="str">
        <f t="shared" si="43"/>
        <v/>
      </c>
      <c r="N80" s="482" t="str">
        <f t="shared" ref="N80:P97" si="47">IF($I80="","",IF(OR(N$11&lt;$J80,N$11&gt;$K80),"",IF($H80=1,IF((N$11/$J80)=1,($G80/1000)/(($I80)*2)*$I80*1.3,IF((N$11/$J80)&gt;1,($G80/1000)/(($I80)*2)*$I80*(0.7/($I80-1)))),IF($H80=2,($G80/1000)/$I80,IF($H80=3,IF((N$11/$K80)=1,($G80/1000)/(($I80)*2)*$I80*1.3,IF((N$11/$K80)&lt;1,($G80/1000)/(($I80)*2)*$I80*(0.7/($I80-1)))))))))</f>
        <v/>
      </c>
      <c r="O80" s="482" t="str">
        <f t="shared" si="47"/>
        <v/>
      </c>
      <c r="P80" s="482" t="str">
        <f t="shared" si="47"/>
        <v/>
      </c>
      <c r="Q80" s="1039">
        <f t="shared" si="44"/>
        <v>786</v>
      </c>
      <c r="R80" s="1039">
        <f t="shared" si="44"/>
        <v>786</v>
      </c>
      <c r="S80" s="482" t="str">
        <f t="shared" si="45"/>
        <v/>
      </c>
      <c r="T80" s="482" t="str">
        <f t="shared" si="45"/>
        <v/>
      </c>
      <c r="U80" s="126"/>
      <c r="V80" s="126"/>
    </row>
    <row r="81" spans="2:22" ht="46.5" customHeight="1">
      <c r="B81" s="282"/>
      <c r="C81" s="277"/>
      <c r="D81" s="369" t="e">
        <f t="shared" si="46"/>
        <v>#VALUE!</v>
      </c>
      <c r="E81" s="276" t="s">
        <v>1000</v>
      </c>
      <c r="F81" s="275" t="s">
        <v>119</v>
      </c>
      <c r="G81" s="287">
        <f>+PPTO!I79</f>
        <v>2295895</v>
      </c>
      <c r="H81" s="483">
        <v>2</v>
      </c>
      <c r="I81" s="991">
        <v>2</v>
      </c>
      <c r="J81" s="480">
        <v>5</v>
      </c>
      <c r="K81" s="60">
        <f t="shared" si="0"/>
        <v>6</v>
      </c>
      <c r="L81" s="60"/>
      <c r="M81" s="482" t="str">
        <f t="shared" si="43"/>
        <v/>
      </c>
      <c r="N81" s="482" t="str">
        <f t="shared" si="47"/>
        <v/>
      </c>
      <c r="O81" s="482" t="str">
        <f t="shared" si="47"/>
        <v/>
      </c>
      <c r="P81" s="482" t="str">
        <f t="shared" si="47"/>
        <v/>
      </c>
      <c r="Q81" s="1039">
        <f t="shared" si="44"/>
        <v>1148</v>
      </c>
      <c r="R81" s="1039">
        <f t="shared" si="44"/>
        <v>1148</v>
      </c>
      <c r="S81" s="482" t="str">
        <f t="shared" si="45"/>
        <v/>
      </c>
      <c r="T81" s="482" t="str">
        <f t="shared" si="45"/>
        <v/>
      </c>
      <c r="U81" s="126"/>
      <c r="V81" s="126"/>
    </row>
    <row r="82" spans="2:22" ht="46.5" customHeight="1">
      <c r="B82" s="282"/>
      <c r="C82" s="277"/>
      <c r="D82" s="369" t="e">
        <f t="shared" si="46"/>
        <v>#VALUE!</v>
      </c>
      <c r="E82" s="276" t="s">
        <v>999</v>
      </c>
      <c r="F82" s="275" t="s">
        <v>119</v>
      </c>
      <c r="G82" s="287">
        <f>+PPTO!I80</f>
        <v>668346</v>
      </c>
      <c r="H82" s="483">
        <v>2</v>
      </c>
      <c r="I82" s="991">
        <v>2</v>
      </c>
      <c r="J82" s="480">
        <v>5</v>
      </c>
      <c r="K82" s="60">
        <f t="shared" si="0"/>
        <v>6</v>
      </c>
      <c r="L82" s="60"/>
      <c r="M82" s="482" t="str">
        <f t="shared" si="43"/>
        <v/>
      </c>
      <c r="N82" s="482" t="str">
        <f t="shared" si="47"/>
        <v/>
      </c>
      <c r="O82" s="482" t="str">
        <f t="shared" si="47"/>
        <v/>
      </c>
      <c r="P82" s="482" t="str">
        <f t="shared" si="47"/>
        <v/>
      </c>
      <c r="Q82" s="1039">
        <f t="shared" si="44"/>
        <v>334</v>
      </c>
      <c r="R82" s="1039">
        <f t="shared" si="44"/>
        <v>334</v>
      </c>
      <c r="S82" s="482" t="str">
        <f t="shared" si="45"/>
        <v/>
      </c>
      <c r="T82" s="482" t="str">
        <f t="shared" si="45"/>
        <v/>
      </c>
      <c r="U82" s="126"/>
      <c r="V82" s="126"/>
    </row>
    <row r="83" spans="2:22" ht="46.5" customHeight="1">
      <c r="B83" s="282"/>
      <c r="C83" s="277"/>
      <c r="D83" s="369" t="e">
        <f t="shared" si="46"/>
        <v>#VALUE!</v>
      </c>
      <c r="E83" s="276" t="s">
        <v>998</v>
      </c>
      <c r="F83" s="275" t="s">
        <v>119</v>
      </c>
      <c r="G83" s="287">
        <f>+PPTO!I81</f>
        <v>13218381</v>
      </c>
      <c r="H83" s="483">
        <v>2</v>
      </c>
      <c r="I83" s="991">
        <v>2</v>
      </c>
      <c r="J83" s="480">
        <v>5</v>
      </c>
      <c r="K83" s="60">
        <f t="shared" si="0"/>
        <v>6</v>
      </c>
      <c r="L83" s="60"/>
      <c r="M83" s="482" t="str">
        <f t="shared" si="43"/>
        <v/>
      </c>
      <c r="N83" s="482" t="str">
        <f t="shared" si="47"/>
        <v/>
      </c>
      <c r="O83" s="482" t="str">
        <f t="shared" si="47"/>
        <v/>
      </c>
      <c r="P83" s="482" t="str">
        <f t="shared" si="47"/>
        <v/>
      </c>
      <c r="Q83" s="1039">
        <f t="shared" si="44"/>
        <v>6609</v>
      </c>
      <c r="R83" s="1039">
        <f t="shared" si="44"/>
        <v>6609</v>
      </c>
      <c r="S83" s="482" t="str">
        <f t="shared" si="45"/>
        <v/>
      </c>
      <c r="T83" s="482" t="str">
        <f t="shared" si="45"/>
        <v/>
      </c>
      <c r="U83" s="126"/>
      <c r="V83" s="126"/>
    </row>
    <row r="84" spans="2:22" ht="46.5" customHeight="1">
      <c r="B84" s="282"/>
      <c r="C84" s="277"/>
      <c r="D84" s="369" t="e">
        <f t="shared" si="46"/>
        <v>#VALUE!</v>
      </c>
      <c r="E84" s="276" t="s">
        <v>997</v>
      </c>
      <c r="F84" s="275" t="s">
        <v>119</v>
      </c>
      <c r="G84" s="287">
        <f>+PPTO!I82</f>
        <v>1461656</v>
      </c>
      <c r="H84" s="483">
        <v>2</v>
      </c>
      <c r="I84" s="991">
        <v>2</v>
      </c>
      <c r="J84" s="480">
        <v>5</v>
      </c>
      <c r="K84" s="60">
        <f t="shared" si="0"/>
        <v>6</v>
      </c>
      <c r="L84" s="60"/>
      <c r="M84" s="482" t="str">
        <f t="shared" si="43"/>
        <v/>
      </c>
      <c r="N84" s="482" t="str">
        <f t="shared" si="47"/>
        <v/>
      </c>
      <c r="O84" s="482" t="str">
        <f t="shared" si="47"/>
        <v/>
      </c>
      <c r="P84" s="482" t="str">
        <f t="shared" si="47"/>
        <v/>
      </c>
      <c r="Q84" s="1039">
        <f t="shared" si="44"/>
        <v>731</v>
      </c>
      <c r="R84" s="1039">
        <f t="shared" si="44"/>
        <v>731</v>
      </c>
      <c r="S84" s="482" t="str">
        <f t="shared" si="45"/>
        <v/>
      </c>
      <c r="T84" s="482" t="str">
        <f t="shared" si="45"/>
        <v/>
      </c>
      <c r="U84" s="126"/>
      <c r="V84" s="126"/>
    </row>
    <row r="85" spans="2:22" ht="46.5" customHeight="1">
      <c r="B85" s="282"/>
      <c r="C85" s="277"/>
      <c r="D85" s="369" t="e">
        <f t="shared" si="46"/>
        <v>#VALUE!</v>
      </c>
      <c r="E85" s="276" t="s">
        <v>1002</v>
      </c>
      <c r="F85" s="275" t="s">
        <v>119</v>
      </c>
      <c r="G85" s="287">
        <f>+PPTO!I83</f>
        <v>19610056</v>
      </c>
      <c r="H85" s="483">
        <v>2</v>
      </c>
      <c r="I85" s="991">
        <v>2</v>
      </c>
      <c r="J85" s="480">
        <v>5</v>
      </c>
      <c r="K85" s="60">
        <f t="shared" si="0"/>
        <v>6</v>
      </c>
      <c r="L85" s="60"/>
      <c r="M85" s="482" t="str">
        <f t="shared" si="43"/>
        <v/>
      </c>
      <c r="N85" s="482" t="str">
        <f t="shared" si="47"/>
        <v/>
      </c>
      <c r="O85" s="482" t="str">
        <f t="shared" si="47"/>
        <v/>
      </c>
      <c r="P85" s="482" t="str">
        <f t="shared" si="47"/>
        <v/>
      </c>
      <c r="Q85" s="1039">
        <f t="shared" si="44"/>
        <v>9805</v>
      </c>
      <c r="R85" s="1039">
        <f t="shared" si="44"/>
        <v>9805</v>
      </c>
      <c r="S85" s="482" t="str">
        <f t="shared" si="45"/>
        <v/>
      </c>
      <c r="T85" s="482" t="str">
        <f t="shared" si="45"/>
        <v/>
      </c>
      <c r="U85" s="126"/>
      <c r="V85" s="126"/>
    </row>
    <row r="86" spans="2:22" ht="46.5" customHeight="1">
      <c r="B86" s="282"/>
      <c r="C86" s="277"/>
      <c r="D86" s="369" t="e">
        <f t="shared" si="46"/>
        <v>#VALUE!</v>
      </c>
      <c r="E86" s="276" t="s">
        <v>1014</v>
      </c>
      <c r="F86" s="275" t="s">
        <v>119</v>
      </c>
      <c r="G86" s="287">
        <f>+PPTO!I84</f>
        <v>625512</v>
      </c>
      <c r="H86" s="483">
        <v>2</v>
      </c>
      <c r="I86" s="991">
        <v>2</v>
      </c>
      <c r="J86" s="480">
        <v>5</v>
      </c>
      <c r="K86" s="60">
        <f t="shared" si="0"/>
        <v>6</v>
      </c>
      <c r="L86" s="60"/>
      <c r="M86" s="482" t="str">
        <f t="shared" si="43"/>
        <v/>
      </c>
      <c r="N86" s="482" t="str">
        <f t="shared" si="47"/>
        <v/>
      </c>
      <c r="O86" s="482" t="str">
        <f t="shared" si="47"/>
        <v/>
      </c>
      <c r="P86" s="482" t="str">
        <f t="shared" si="47"/>
        <v/>
      </c>
      <c r="Q86" s="1039">
        <f t="shared" si="44"/>
        <v>313</v>
      </c>
      <c r="R86" s="1039">
        <f t="shared" si="44"/>
        <v>313</v>
      </c>
      <c r="S86" s="482" t="str">
        <f t="shared" si="45"/>
        <v/>
      </c>
      <c r="T86" s="482" t="str">
        <f t="shared" si="45"/>
        <v/>
      </c>
      <c r="U86" s="126"/>
      <c r="V86" s="126"/>
    </row>
    <row r="87" spans="2:22" ht="46.5" customHeight="1">
      <c r="B87" s="282"/>
      <c r="C87" s="277"/>
      <c r="D87" s="369" t="e">
        <f t="shared" si="46"/>
        <v>#VALUE!</v>
      </c>
      <c r="E87" s="276" t="s">
        <v>1015</v>
      </c>
      <c r="F87" s="275" t="s">
        <v>119</v>
      </c>
      <c r="G87" s="287">
        <f>+PPTO!I85</f>
        <v>1166682</v>
      </c>
      <c r="H87" s="483">
        <v>2</v>
      </c>
      <c r="I87" s="991">
        <v>2</v>
      </c>
      <c r="J87" s="480">
        <v>5</v>
      </c>
      <c r="K87" s="60">
        <f t="shared" ref="K87:K133" si="48">IF(I87="","",J87+I87-1)</f>
        <v>6</v>
      </c>
      <c r="L87" s="60"/>
      <c r="M87" s="482" t="str">
        <f t="shared" si="43"/>
        <v/>
      </c>
      <c r="N87" s="482" t="str">
        <f t="shared" si="47"/>
        <v/>
      </c>
      <c r="O87" s="482" t="str">
        <f t="shared" si="47"/>
        <v/>
      </c>
      <c r="P87" s="482" t="str">
        <f t="shared" si="47"/>
        <v/>
      </c>
      <c r="Q87" s="1039">
        <f t="shared" si="44"/>
        <v>583</v>
      </c>
      <c r="R87" s="1039">
        <f t="shared" si="44"/>
        <v>583</v>
      </c>
      <c r="S87" s="482" t="str">
        <f t="shared" si="45"/>
        <v/>
      </c>
      <c r="T87" s="482" t="str">
        <f t="shared" si="45"/>
        <v/>
      </c>
      <c r="U87" s="126"/>
      <c r="V87" s="126"/>
    </row>
    <row r="88" spans="2:22" ht="46.5" customHeight="1">
      <c r="B88" s="282"/>
      <c r="C88" s="277"/>
      <c r="D88" s="370" t="s">
        <v>1267</v>
      </c>
      <c r="E88" s="276" t="s">
        <v>1016</v>
      </c>
      <c r="F88" s="275" t="s">
        <v>119</v>
      </c>
      <c r="G88" s="287">
        <f>+PPTO!I86</f>
        <v>7977228</v>
      </c>
      <c r="H88" s="483">
        <v>2</v>
      </c>
      <c r="I88" s="991">
        <v>2</v>
      </c>
      <c r="J88" s="480">
        <v>5</v>
      </c>
      <c r="K88" s="60">
        <f t="shared" si="48"/>
        <v>6</v>
      </c>
      <c r="L88" s="60"/>
      <c r="M88" s="482" t="str">
        <f t="shared" si="43"/>
        <v/>
      </c>
      <c r="N88" s="482" t="str">
        <f t="shared" si="47"/>
        <v/>
      </c>
      <c r="O88" s="482" t="str">
        <f t="shared" si="47"/>
        <v/>
      </c>
      <c r="P88" s="482" t="str">
        <f t="shared" si="47"/>
        <v/>
      </c>
      <c r="Q88" s="1039">
        <f t="shared" si="44"/>
        <v>3989</v>
      </c>
      <c r="R88" s="1039">
        <f t="shared" si="44"/>
        <v>3989</v>
      </c>
      <c r="S88" s="482" t="str">
        <f t="shared" si="45"/>
        <v/>
      </c>
      <c r="T88" s="482" t="str">
        <f t="shared" si="45"/>
        <v/>
      </c>
      <c r="U88" s="126"/>
      <c r="V88" s="126"/>
    </row>
    <row r="89" spans="2:22" ht="46.5" customHeight="1">
      <c r="B89" s="282"/>
      <c r="C89" s="277"/>
      <c r="D89" s="369" t="e">
        <f t="shared" si="46"/>
        <v>#VALUE!</v>
      </c>
      <c r="E89" s="276" t="s">
        <v>248</v>
      </c>
      <c r="F89" s="275" t="s">
        <v>119</v>
      </c>
      <c r="G89" s="287">
        <f>+PPTO!I87</f>
        <v>782168</v>
      </c>
      <c r="H89" s="483">
        <v>2</v>
      </c>
      <c r="I89" s="991">
        <v>2</v>
      </c>
      <c r="J89" s="480">
        <v>5</v>
      </c>
      <c r="K89" s="60">
        <f t="shared" si="48"/>
        <v>6</v>
      </c>
      <c r="L89" s="60"/>
      <c r="M89" s="482" t="str">
        <f t="shared" si="43"/>
        <v/>
      </c>
      <c r="N89" s="482" t="str">
        <f t="shared" si="47"/>
        <v/>
      </c>
      <c r="O89" s="482" t="str">
        <f t="shared" si="47"/>
        <v/>
      </c>
      <c r="P89" s="482" t="str">
        <f t="shared" si="47"/>
        <v/>
      </c>
      <c r="Q89" s="1039">
        <f t="shared" si="44"/>
        <v>391</v>
      </c>
      <c r="R89" s="1039">
        <f t="shared" si="44"/>
        <v>391</v>
      </c>
      <c r="S89" s="482" t="str">
        <f t="shared" si="45"/>
        <v/>
      </c>
      <c r="T89" s="482" t="str">
        <f t="shared" si="45"/>
        <v/>
      </c>
      <c r="U89" s="126"/>
      <c r="V89" s="126"/>
    </row>
    <row r="90" spans="2:22" ht="46.5" customHeight="1">
      <c r="B90" s="282"/>
      <c r="C90" s="277"/>
      <c r="D90" s="369" t="e">
        <f t="shared" si="46"/>
        <v>#VALUE!</v>
      </c>
      <c r="E90" s="276" t="s">
        <v>249</v>
      </c>
      <c r="F90" s="275" t="s">
        <v>119</v>
      </c>
      <c r="G90" s="287">
        <f>+PPTO!I88</f>
        <v>902168</v>
      </c>
      <c r="H90" s="483">
        <v>2</v>
      </c>
      <c r="I90" s="991">
        <v>2</v>
      </c>
      <c r="J90" s="480">
        <v>5</v>
      </c>
      <c r="K90" s="60">
        <f t="shared" si="48"/>
        <v>6</v>
      </c>
      <c r="L90" s="60"/>
      <c r="M90" s="482" t="str">
        <f t="shared" si="43"/>
        <v/>
      </c>
      <c r="N90" s="482" t="str">
        <f t="shared" si="47"/>
        <v/>
      </c>
      <c r="O90" s="482" t="str">
        <f t="shared" si="47"/>
        <v/>
      </c>
      <c r="P90" s="482" t="str">
        <f t="shared" si="47"/>
        <v/>
      </c>
      <c r="Q90" s="1039">
        <f t="shared" si="44"/>
        <v>451</v>
      </c>
      <c r="R90" s="1039">
        <f t="shared" si="44"/>
        <v>451</v>
      </c>
      <c r="S90" s="482" t="str">
        <f t="shared" si="45"/>
        <v/>
      </c>
      <c r="T90" s="482" t="str">
        <f t="shared" si="45"/>
        <v/>
      </c>
      <c r="U90" s="126"/>
      <c r="V90" s="126"/>
    </row>
    <row r="91" spans="2:22" ht="46.5" customHeight="1">
      <c r="B91" s="282"/>
      <c r="C91" s="277"/>
      <c r="D91" s="369" t="e">
        <f t="shared" si="46"/>
        <v>#VALUE!</v>
      </c>
      <c r="E91" s="276" t="s">
        <v>1017</v>
      </c>
      <c r="F91" s="275" t="s">
        <v>119</v>
      </c>
      <c r="G91" s="287">
        <f>+PPTO!I89</f>
        <v>2715976</v>
      </c>
      <c r="H91" s="483">
        <v>2</v>
      </c>
      <c r="I91" s="991">
        <v>2</v>
      </c>
      <c r="J91" s="480">
        <v>5</v>
      </c>
      <c r="K91" s="60">
        <f t="shared" si="48"/>
        <v>6</v>
      </c>
      <c r="L91" s="60"/>
      <c r="M91" s="482" t="str">
        <f t="shared" si="43"/>
        <v/>
      </c>
      <c r="N91" s="482" t="str">
        <f t="shared" si="47"/>
        <v/>
      </c>
      <c r="O91" s="482" t="str">
        <f t="shared" si="47"/>
        <v/>
      </c>
      <c r="P91" s="482" t="str">
        <f t="shared" si="47"/>
        <v/>
      </c>
      <c r="Q91" s="1039">
        <f t="shared" ref="Q91:R97" si="49">+$G91/($I91*1000)</f>
        <v>1358</v>
      </c>
      <c r="R91" s="1039">
        <f t="shared" si="49"/>
        <v>1358</v>
      </c>
      <c r="S91" s="482" t="str">
        <f t="shared" si="45"/>
        <v/>
      </c>
      <c r="T91" s="482" t="str">
        <f t="shared" si="45"/>
        <v/>
      </c>
      <c r="U91" s="126"/>
      <c r="V91" s="126"/>
    </row>
    <row r="92" spans="2:22" ht="46.5" customHeight="1">
      <c r="B92" s="282"/>
      <c r="C92" s="277"/>
      <c r="D92" s="369" t="e">
        <f t="shared" si="46"/>
        <v>#VALUE!</v>
      </c>
      <c r="E92" s="276" t="s">
        <v>1018</v>
      </c>
      <c r="F92" s="275" t="s">
        <v>119</v>
      </c>
      <c r="G92" s="287">
        <f>+PPTO!I90</f>
        <v>16140201</v>
      </c>
      <c r="H92" s="483">
        <v>2</v>
      </c>
      <c r="I92" s="991">
        <v>2</v>
      </c>
      <c r="J92" s="480">
        <v>5</v>
      </c>
      <c r="K92" s="60">
        <f t="shared" si="48"/>
        <v>6</v>
      </c>
      <c r="L92" s="60"/>
      <c r="M92" s="482" t="str">
        <f t="shared" si="43"/>
        <v/>
      </c>
      <c r="N92" s="482" t="str">
        <f t="shared" si="47"/>
        <v/>
      </c>
      <c r="O92" s="482" t="str">
        <f t="shared" si="47"/>
        <v/>
      </c>
      <c r="P92" s="482" t="str">
        <f t="shared" si="47"/>
        <v/>
      </c>
      <c r="Q92" s="1039">
        <f t="shared" si="49"/>
        <v>8070</v>
      </c>
      <c r="R92" s="1039">
        <f t="shared" si="49"/>
        <v>8070</v>
      </c>
      <c r="S92" s="482" t="str">
        <f t="shared" si="45"/>
        <v/>
      </c>
      <c r="T92" s="482" t="str">
        <f t="shared" si="45"/>
        <v/>
      </c>
      <c r="U92" s="126"/>
      <c r="V92" s="126"/>
    </row>
    <row r="93" spans="2:22" ht="46.5" customHeight="1">
      <c r="B93" s="282"/>
      <c r="C93" s="277"/>
      <c r="D93" s="369" t="e">
        <f t="shared" si="46"/>
        <v>#VALUE!</v>
      </c>
      <c r="E93" s="276" t="s">
        <v>1019</v>
      </c>
      <c r="F93" s="275" t="s">
        <v>119</v>
      </c>
      <c r="G93" s="287">
        <f>+PPTO!I91</f>
        <v>11418220</v>
      </c>
      <c r="H93" s="483">
        <v>2</v>
      </c>
      <c r="I93" s="991">
        <v>2</v>
      </c>
      <c r="J93" s="480">
        <v>5</v>
      </c>
      <c r="K93" s="60">
        <f t="shared" si="48"/>
        <v>6</v>
      </c>
      <c r="L93" s="60"/>
      <c r="M93" s="482" t="str">
        <f t="shared" si="43"/>
        <v/>
      </c>
      <c r="N93" s="482" t="str">
        <f t="shared" si="47"/>
        <v/>
      </c>
      <c r="O93" s="482" t="str">
        <f t="shared" si="47"/>
        <v/>
      </c>
      <c r="P93" s="482" t="str">
        <f t="shared" si="47"/>
        <v/>
      </c>
      <c r="Q93" s="1039">
        <f t="shared" si="49"/>
        <v>5709</v>
      </c>
      <c r="R93" s="1039">
        <f t="shared" si="49"/>
        <v>5709</v>
      </c>
      <c r="S93" s="482" t="str">
        <f t="shared" si="45"/>
        <v/>
      </c>
      <c r="T93" s="482" t="str">
        <f t="shared" si="45"/>
        <v/>
      </c>
      <c r="U93" s="126"/>
      <c r="V93" s="126"/>
    </row>
    <row r="94" spans="2:22" ht="46.5" customHeight="1">
      <c r="B94" s="282"/>
      <c r="C94" s="277"/>
      <c r="D94" s="369" t="e">
        <f t="shared" si="46"/>
        <v>#VALUE!</v>
      </c>
      <c r="E94" s="276" t="s">
        <v>1020</v>
      </c>
      <c r="F94" s="275" t="s">
        <v>119</v>
      </c>
      <c r="G94" s="287">
        <f>+PPTO!I92</f>
        <v>31424994</v>
      </c>
      <c r="H94" s="483">
        <v>2</v>
      </c>
      <c r="I94" s="991">
        <v>2</v>
      </c>
      <c r="J94" s="480">
        <v>5</v>
      </c>
      <c r="K94" s="60">
        <f t="shared" si="48"/>
        <v>6</v>
      </c>
      <c r="L94" s="60"/>
      <c r="M94" s="482" t="str">
        <f t="shared" si="43"/>
        <v/>
      </c>
      <c r="N94" s="482" t="str">
        <f t="shared" si="47"/>
        <v/>
      </c>
      <c r="O94" s="482" t="str">
        <f t="shared" si="47"/>
        <v/>
      </c>
      <c r="P94" s="482" t="str">
        <f t="shared" si="47"/>
        <v/>
      </c>
      <c r="Q94" s="1039">
        <f t="shared" si="49"/>
        <v>15712</v>
      </c>
      <c r="R94" s="1039">
        <f t="shared" si="49"/>
        <v>15712</v>
      </c>
      <c r="S94" s="482" t="str">
        <f t="shared" si="45"/>
        <v/>
      </c>
      <c r="T94" s="482" t="str">
        <f t="shared" si="45"/>
        <v/>
      </c>
      <c r="U94" s="126"/>
      <c r="V94" s="126"/>
    </row>
    <row r="95" spans="2:22" ht="46.5" customHeight="1">
      <c r="B95" s="282"/>
      <c r="C95" s="277"/>
      <c r="D95" s="369" t="e">
        <f t="shared" si="46"/>
        <v>#VALUE!</v>
      </c>
      <c r="E95" s="276" t="s">
        <v>1021</v>
      </c>
      <c r="F95" s="275" t="s">
        <v>119</v>
      </c>
      <c r="G95" s="287">
        <f>+PPTO!I93</f>
        <v>52975914</v>
      </c>
      <c r="H95" s="483">
        <v>2</v>
      </c>
      <c r="I95" s="991">
        <v>2</v>
      </c>
      <c r="J95" s="480">
        <v>5</v>
      </c>
      <c r="K95" s="60">
        <f t="shared" si="48"/>
        <v>6</v>
      </c>
      <c r="L95" s="60"/>
      <c r="M95" s="482" t="str">
        <f t="shared" si="43"/>
        <v/>
      </c>
      <c r="N95" s="482" t="str">
        <f t="shared" si="47"/>
        <v/>
      </c>
      <c r="O95" s="482" t="str">
        <f t="shared" si="47"/>
        <v/>
      </c>
      <c r="P95" s="482" t="str">
        <f t="shared" si="47"/>
        <v/>
      </c>
      <c r="Q95" s="1039">
        <f t="shared" si="49"/>
        <v>26488</v>
      </c>
      <c r="R95" s="1039">
        <f t="shared" si="49"/>
        <v>26488</v>
      </c>
      <c r="S95" s="482" t="str">
        <f t="shared" si="45"/>
        <v/>
      </c>
      <c r="T95" s="482" t="str">
        <f t="shared" si="45"/>
        <v/>
      </c>
      <c r="U95" s="126"/>
      <c r="V95" s="126"/>
    </row>
    <row r="96" spans="2:22" ht="46.5" customHeight="1">
      <c r="B96" s="282"/>
      <c r="C96" s="277"/>
      <c r="D96" s="369" t="e">
        <f t="shared" si="46"/>
        <v>#VALUE!</v>
      </c>
      <c r="E96" s="276" t="s">
        <v>1022</v>
      </c>
      <c r="F96" s="275" t="s">
        <v>119</v>
      </c>
      <c r="G96" s="287">
        <f>+PPTO!I94</f>
        <v>159059520</v>
      </c>
      <c r="H96" s="483">
        <v>2</v>
      </c>
      <c r="I96" s="991">
        <v>2</v>
      </c>
      <c r="J96" s="480">
        <v>5</v>
      </c>
      <c r="K96" s="60">
        <f t="shared" si="48"/>
        <v>6</v>
      </c>
      <c r="L96" s="60"/>
      <c r="M96" s="482" t="str">
        <f t="shared" si="43"/>
        <v/>
      </c>
      <c r="N96" s="482" t="str">
        <f t="shared" si="47"/>
        <v/>
      </c>
      <c r="O96" s="482" t="str">
        <f t="shared" si="47"/>
        <v/>
      </c>
      <c r="P96" s="482" t="str">
        <f t="shared" si="47"/>
        <v/>
      </c>
      <c r="Q96" s="1039">
        <f t="shared" si="49"/>
        <v>79530</v>
      </c>
      <c r="R96" s="1039">
        <f t="shared" si="49"/>
        <v>79530</v>
      </c>
      <c r="S96" s="482" t="str">
        <f t="shared" si="45"/>
        <v/>
      </c>
      <c r="T96" s="482" t="str">
        <f t="shared" si="45"/>
        <v/>
      </c>
      <c r="U96" s="126"/>
      <c r="V96" s="126"/>
    </row>
    <row r="97" spans="2:22" ht="46.5" customHeight="1">
      <c r="B97" s="282"/>
      <c r="C97" s="277"/>
      <c r="D97" s="369" t="e">
        <f t="shared" si="46"/>
        <v>#VALUE!</v>
      </c>
      <c r="E97" s="276" t="s">
        <v>1024</v>
      </c>
      <c r="F97" s="275" t="s">
        <v>119</v>
      </c>
      <c r="G97" s="287">
        <f>+PPTO!I95</f>
        <v>2687783</v>
      </c>
      <c r="H97" s="483">
        <v>2</v>
      </c>
      <c r="I97" s="991">
        <v>2</v>
      </c>
      <c r="J97" s="480">
        <v>5</v>
      </c>
      <c r="K97" s="60">
        <f t="shared" si="48"/>
        <v>6</v>
      </c>
      <c r="L97" s="60"/>
      <c r="M97" s="482" t="str">
        <f t="shared" si="43"/>
        <v/>
      </c>
      <c r="N97" s="482" t="str">
        <f t="shared" si="47"/>
        <v/>
      </c>
      <c r="O97" s="482" t="str">
        <f t="shared" si="47"/>
        <v/>
      </c>
      <c r="P97" s="482" t="str">
        <f t="shared" si="47"/>
        <v/>
      </c>
      <c r="Q97" s="1039">
        <f t="shared" si="49"/>
        <v>1344</v>
      </c>
      <c r="R97" s="1039">
        <f t="shared" si="49"/>
        <v>1344</v>
      </c>
      <c r="S97" s="482" t="str">
        <f t="shared" si="45"/>
        <v/>
      </c>
      <c r="T97" s="482" t="str">
        <f t="shared" si="45"/>
        <v/>
      </c>
      <c r="U97" s="126"/>
      <c r="V97" s="126"/>
    </row>
    <row r="98" spans="2:22" ht="46.5" hidden="1" customHeight="1">
      <c r="B98" s="282"/>
      <c r="C98" s="277"/>
      <c r="D98" s="370" t="s">
        <v>1268</v>
      </c>
      <c r="E98" s="276" t="s">
        <v>1025</v>
      </c>
      <c r="F98" s="275" t="s">
        <v>119</v>
      </c>
      <c r="G98" s="287">
        <f>+PPTO!I96</f>
        <v>1850492</v>
      </c>
      <c r="H98" s="483"/>
      <c r="I98" s="991"/>
      <c r="J98" s="480"/>
      <c r="K98" s="60"/>
      <c r="L98" s="60"/>
      <c r="M98" s="482"/>
      <c r="N98" s="482"/>
      <c r="O98" s="482"/>
      <c r="P98" s="482"/>
      <c r="Q98" s="482"/>
      <c r="R98" s="482"/>
      <c r="S98" s="482"/>
      <c r="T98" s="482"/>
      <c r="U98" s="126"/>
      <c r="V98" s="126"/>
    </row>
    <row r="99" spans="2:22" ht="46.5" hidden="1" customHeight="1">
      <c r="B99" s="282"/>
      <c r="C99" s="277"/>
      <c r="D99" s="369" t="e">
        <f t="shared" si="46"/>
        <v>#VALUE!</v>
      </c>
      <c r="E99" s="276" t="s">
        <v>1026</v>
      </c>
      <c r="F99" s="275" t="s">
        <v>119</v>
      </c>
      <c r="G99" s="287">
        <f>+PPTO!I97</f>
        <v>3133990</v>
      </c>
      <c r="H99" s="483"/>
      <c r="I99" s="991"/>
      <c r="J99" s="480"/>
      <c r="K99" s="60"/>
      <c r="L99" s="60"/>
      <c r="M99" s="482"/>
      <c r="N99" s="482"/>
      <c r="O99" s="482"/>
      <c r="P99" s="482"/>
      <c r="Q99" s="482"/>
      <c r="R99" s="482"/>
      <c r="S99" s="482"/>
      <c r="T99" s="482"/>
      <c r="U99" s="126"/>
      <c r="V99" s="126"/>
    </row>
    <row r="100" spans="2:22" ht="46.5" hidden="1" customHeight="1">
      <c r="B100" s="282"/>
      <c r="C100" s="277"/>
      <c r="D100" s="369" t="e">
        <f t="shared" si="46"/>
        <v>#VALUE!</v>
      </c>
      <c r="E100" s="276" t="s">
        <v>1027</v>
      </c>
      <c r="F100" s="275" t="s">
        <v>119</v>
      </c>
      <c r="G100" s="287">
        <f>+PPTO!I98</f>
        <v>4670313</v>
      </c>
      <c r="H100" s="483"/>
      <c r="I100" s="991"/>
      <c r="J100" s="480"/>
      <c r="K100" s="60"/>
      <c r="L100" s="60"/>
      <c r="M100" s="482"/>
      <c r="N100" s="482"/>
      <c r="O100" s="482"/>
      <c r="P100" s="482"/>
      <c r="Q100" s="482"/>
      <c r="R100" s="482"/>
      <c r="S100" s="482"/>
      <c r="T100" s="482"/>
      <c r="U100" s="126"/>
      <c r="V100" s="126"/>
    </row>
    <row r="101" spans="2:22" ht="46.5" hidden="1" customHeight="1">
      <c r="B101" s="282"/>
      <c r="C101" s="277"/>
      <c r="D101" s="369" t="e">
        <f t="shared" si="46"/>
        <v>#VALUE!</v>
      </c>
      <c r="E101" s="276" t="s">
        <v>1028</v>
      </c>
      <c r="F101" s="275" t="s">
        <v>119</v>
      </c>
      <c r="G101" s="287">
        <f>+PPTO!I99</f>
        <v>5925826</v>
      </c>
      <c r="H101" s="483"/>
      <c r="I101" s="991"/>
      <c r="J101" s="480"/>
      <c r="K101" s="60"/>
      <c r="L101" s="60"/>
      <c r="M101" s="482"/>
      <c r="N101" s="482"/>
      <c r="O101" s="482"/>
      <c r="P101" s="482"/>
      <c r="Q101" s="482"/>
      <c r="R101" s="482"/>
      <c r="S101" s="482"/>
      <c r="T101" s="482"/>
      <c r="U101" s="126"/>
      <c r="V101" s="126"/>
    </row>
    <row r="102" spans="2:22">
      <c r="B102" s="282"/>
      <c r="C102" s="277"/>
      <c r="D102" s="1034"/>
      <c r="E102" s="1035" t="s">
        <v>276</v>
      </c>
      <c r="F102" s="1036"/>
      <c r="G102" s="1037"/>
      <c r="H102" s="1027"/>
      <c r="I102" s="1028"/>
      <c r="J102" s="1029"/>
      <c r="K102" s="1030"/>
      <c r="L102" s="1030"/>
      <c r="M102" s="1031"/>
      <c r="N102" s="1031"/>
      <c r="O102" s="1031"/>
      <c r="P102" s="1031"/>
      <c r="Q102" s="1031"/>
      <c r="R102" s="1031"/>
      <c r="S102" s="1031"/>
      <c r="T102" s="1031"/>
      <c r="U102" s="1038"/>
      <c r="V102" s="1038"/>
    </row>
    <row r="103" spans="2:22">
      <c r="B103" s="282"/>
      <c r="C103" s="277"/>
      <c r="D103" s="369">
        <v>6.44</v>
      </c>
      <c r="E103" s="276" t="s">
        <v>255</v>
      </c>
      <c r="F103" s="275" t="s">
        <v>122</v>
      </c>
      <c r="G103" s="287">
        <f>+PPTO!I101</f>
        <v>148041290</v>
      </c>
      <c r="H103" s="483">
        <v>2</v>
      </c>
      <c r="I103" s="991">
        <v>4</v>
      </c>
      <c r="J103" s="480">
        <v>2</v>
      </c>
      <c r="K103" s="60">
        <f t="shared" si="48"/>
        <v>5</v>
      </c>
      <c r="L103" s="60"/>
      <c r="M103" s="482" t="str">
        <f t="shared" ref="M103:M122" si="50">IF($I103="","",IF(OR(M$11&lt;$J103,M$11&gt;$K103),"",IF($H103=1,IF((M$11/$J103)=1,($G103/1000)/(($I103)*2)*$I103*1.3,IF((M$11/$J103)&gt;1,($G103/1000)/(($I103)*2)*$I103*(0.7/($I103-1)))),IF($H103=2,($G103/1000)/$I103,IF($H103=3,IF((M$11/$K103)=1,($G103/1000)/(($I103)*2)*$I103*1.3,IF((M$11/$K103)&lt;1,($G103/1000)/(($I103)*2)*$I103*(0.7/($I103-1)))))))))</f>
        <v/>
      </c>
      <c r="N103" s="1039">
        <f t="shared" ref="N103:Q117" si="51">+$G103/($I103*1000)</f>
        <v>37010</v>
      </c>
      <c r="O103" s="1039">
        <f t="shared" si="51"/>
        <v>37010</v>
      </c>
      <c r="P103" s="1039">
        <f t="shared" si="51"/>
        <v>37010</v>
      </c>
      <c r="Q103" s="1039">
        <f t="shared" si="51"/>
        <v>37010</v>
      </c>
      <c r="R103" s="482" t="str">
        <f t="shared" ref="R103:T125" si="52">IF($I103="","",IF(OR(R$11&lt;$J103,R$11&gt;$K103),"",IF($H103=1,IF((R$11/$J103)=1,($G103/1000)/(($I103)*2)*$I103*1.3,IF((R$11/$J103)&gt;1,($G103/1000)/(($I103)*2)*$I103*(0.7/($I103-1)))),IF($H103=2,($G103/1000)/$I103,IF($H103=3,IF((R$11/$K103)=1,($G103/1000)/(($I103)*2)*$I103*1.3,IF((R$11/$K103)&lt;1,($G103/1000)/(($I103)*2)*$I103*(0.7/($I103-1)))))))))</f>
        <v/>
      </c>
      <c r="S103" s="482" t="str">
        <f t="shared" si="52"/>
        <v/>
      </c>
      <c r="T103" s="482" t="str">
        <f t="shared" si="52"/>
        <v/>
      </c>
      <c r="U103" s="126"/>
      <c r="V103" s="126"/>
    </row>
    <row r="104" spans="2:22">
      <c r="B104" s="282"/>
      <c r="C104" s="277"/>
      <c r="D104" s="369">
        <f t="shared" si="46"/>
        <v>6.45</v>
      </c>
      <c r="E104" s="276" t="s">
        <v>256</v>
      </c>
      <c r="F104" s="275" t="s">
        <v>122</v>
      </c>
      <c r="G104" s="287">
        <f>+PPTO!I102</f>
        <v>2366265</v>
      </c>
      <c r="H104" s="483">
        <v>2</v>
      </c>
      <c r="I104" s="991">
        <v>4</v>
      </c>
      <c r="J104" s="480">
        <v>2</v>
      </c>
      <c r="K104" s="60">
        <f t="shared" si="48"/>
        <v>5</v>
      </c>
      <c r="L104" s="60"/>
      <c r="M104" s="482" t="str">
        <f t="shared" si="50"/>
        <v/>
      </c>
      <c r="N104" s="1039">
        <f t="shared" si="51"/>
        <v>592</v>
      </c>
      <c r="O104" s="1039">
        <f t="shared" si="51"/>
        <v>592</v>
      </c>
      <c r="P104" s="1039">
        <f t="shared" si="51"/>
        <v>592</v>
      </c>
      <c r="Q104" s="1039">
        <f t="shared" si="51"/>
        <v>592</v>
      </c>
      <c r="R104" s="482" t="str">
        <f t="shared" si="52"/>
        <v/>
      </c>
      <c r="S104" s="482" t="str">
        <f t="shared" si="52"/>
        <v/>
      </c>
      <c r="T104" s="482" t="str">
        <f t="shared" si="52"/>
        <v/>
      </c>
      <c r="U104" s="126"/>
      <c r="V104" s="126"/>
    </row>
    <row r="105" spans="2:22" ht="46.5" customHeight="1">
      <c r="B105" s="282"/>
      <c r="C105" s="277"/>
      <c r="D105" s="369">
        <f t="shared" si="46"/>
        <v>6.46</v>
      </c>
      <c r="E105" s="276" t="s">
        <v>499</v>
      </c>
      <c r="F105" s="275" t="s">
        <v>119</v>
      </c>
      <c r="G105" s="287">
        <f>+PPTO!I103</f>
        <v>50459332</v>
      </c>
      <c r="H105" s="483">
        <v>2</v>
      </c>
      <c r="I105" s="991">
        <v>4</v>
      </c>
      <c r="J105" s="480">
        <v>2</v>
      </c>
      <c r="K105" s="60">
        <f t="shared" si="48"/>
        <v>5</v>
      </c>
      <c r="L105" s="60"/>
      <c r="M105" s="482" t="str">
        <f t="shared" si="50"/>
        <v/>
      </c>
      <c r="N105" s="1039">
        <f t="shared" si="51"/>
        <v>12615</v>
      </c>
      <c r="O105" s="1039">
        <f t="shared" si="51"/>
        <v>12615</v>
      </c>
      <c r="P105" s="1039">
        <f t="shared" si="51"/>
        <v>12615</v>
      </c>
      <c r="Q105" s="1039">
        <f t="shared" si="51"/>
        <v>12615</v>
      </c>
      <c r="R105" s="482" t="str">
        <f t="shared" si="52"/>
        <v/>
      </c>
      <c r="S105" s="482" t="str">
        <f t="shared" si="52"/>
        <v/>
      </c>
      <c r="T105" s="482" t="str">
        <f t="shared" si="52"/>
        <v/>
      </c>
      <c r="U105" s="126"/>
      <c r="V105" s="126"/>
    </row>
    <row r="106" spans="2:22" ht="46.5" customHeight="1">
      <c r="B106" s="282"/>
      <c r="C106" s="277"/>
      <c r="D106" s="369">
        <f t="shared" si="46"/>
        <v>6.47</v>
      </c>
      <c r="E106" s="276" t="s">
        <v>500</v>
      </c>
      <c r="F106" s="275" t="s">
        <v>119</v>
      </c>
      <c r="G106" s="287">
        <f>+PPTO!I104</f>
        <v>631625</v>
      </c>
      <c r="H106" s="483">
        <v>2</v>
      </c>
      <c r="I106" s="991">
        <v>4</v>
      </c>
      <c r="J106" s="480">
        <v>2</v>
      </c>
      <c r="K106" s="60">
        <f t="shared" si="48"/>
        <v>5</v>
      </c>
      <c r="L106" s="60"/>
      <c r="M106" s="482" t="str">
        <f t="shared" si="50"/>
        <v/>
      </c>
      <c r="N106" s="1039">
        <f t="shared" si="51"/>
        <v>158</v>
      </c>
      <c r="O106" s="1039">
        <f t="shared" si="51"/>
        <v>158</v>
      </c>
      <c r="P106" s="1039">
        <f t="shared" si="51"/>
        <v>158</v>
      </c>
      <c r="Q106" s="1039">
        <f t="shared" si="51"/>
        <v>158</v>
      </c>
      <c r="R106" s="482" t="str">
        <f t="shared" si="52"/>
        <v/>
      </c>
      <c r="S106" s="482" t="str">
        <f t="shared" si="52"/>
        <v/>
      </c>
      <c r="T106" s="482" t="str">
        <f t="shared" si="52"/>
        <v/>
      </c>
      <c r="U106" s="126"/>
      <c r="V106" s="126"/>
    </row>
    <row r="107" spans="2:22" ht="60.75">
      <c r="B107" s="282"/>
      <c r="C107" s="277"/>
      <c r="D107" s="369">
        <f t="shared" si="46"/>
        <v>6.48</v>
      </c>
      <c r="E107" s="276" t="s">
        <v>264</v>
      </c>
      <c r="F107" s="275" t="s">
        <v>119</v>
      </c>
      <c r="G107" s="287">
        <f>+PPTO!I105</f>
        <v>50314800</v>
      </c>
      <c r="H107" s="483">
        <v>2</v>
      </c>
      <c r="I107" s="991">
        <v>4</v>
      </c>
      <c r="J107" s="480">
        <v>2</v>
      </c>
      <c r="K107" s="60">
        <f t="shared" si="48"/>
        <v>5</v>
      </c>
      <c r="L107" s="60"/>
      <c r="M107" s="482" t="str">
        <f t="shared" si="50"/>
        <v/>
      </c>
      <c r="N107" s="1039">
        <f t="shared" si="51"/>
        <v>12579</v>
      </c>
      <c r="O107" s="1039">
        <f t="shared" si="51"/>
        <v>12579</v>
      </c>
      <c r="P107" s="1039">
        <f t="shared" si="51"/>
        <v>12579</v>
      </c>
      <c r="Q107" s="1039">
        <f t="shared" si="51"/>
        <v>12579</v>
      </c>
      <c r="R107" s="482" t="str">
        <f t="shared" si="52"/>
        <v/>
      </c>
      <c r="S107" s="482" t="str">
        <f t="shared" si="52"/>
        <v/>
      </c>
      <c r="T107" s="482" t="str">
        <f t="shared" si="52"/>
        <v/>
      </c>
      <c r="U107" s="126"/>
      <c r="V107" s="126"/>
    </row>
    <row r="108" spans="2:22" ht="60.75">
      <c r="B108" s="282"/>
      <c r="C108" s="277"/>
      <c r="D108" s="369">
        <f t="shared" si="46"/>
        <v>6.49</v>
      </c>
      <c r="E108" s="276" t="s">
        <v>265</v>
      </c>
      <c r="F108" s="275" t="s">
        <v>119</v>
      </c>
      <c r="G108" s="287">
        <f>+PPTO!I106</f>
        <v>640317</v>
      </c>
      <c r="H108" s="483">
        <v>2</v>
      </c>
      <c r="I108" s="991">
        <v>4</v>
      </c>
      <c r="J108" s="480">
        <v>2</v>
      </c>
      <c r="K108" s="60">
        <f t="shared" si="48"/>
        <v>5</v>
      </c>
      <c r="L108" s="60"/>
      <c r="M108" s="482" t="str">
        <f t="shared" si="50"/>
        <v/>
      </c>
      <c r="N108" s="1039">
        <f t="shared" si="51"/>
        <v>160</v>
      </c>
      <c r="O108" s="1039">
        <f t="shared" si="51"/>
        <v>160</v>
      </c>
      <c r="P108" s="1039">
        <f t="shared" si="51"/>
        <v>160</v>
      </c>
      <c r="Q108" s="1039">
        <f t="shared" si="51"/>
        <v>160</v>
      </c>
      <c r="R108" s="482" t="str">
        <f t="shared" si="52"/>
        <v/>
      </c>
      <c r="S108" s="482" t="str">
        <f t="shared" si="52"/>
        <v/>
      </c>
      <c r="T108" s="482" t="str">
        <f t="shared" si="52"/>
        <v/>
      </c>
      <c r="U108" s="126"/>
      <c r="V108" s="126"/>
    </row>
    <row r="109" spans="2:22" ht="107.25" customHeight="1">
      <c r="B109" s="282"/>
      <c r="C109" s="277"/>
      <c r="D109" s="370" t="s">
        <v>1264</v>
      </c>
      <c r="E109" s="276" t="s">
        <v>278</v>
      </c>
      <c r="F109" s="275" t="s">
        <v>119</v>
      </c>
      <c r="G109" s="287">
        <f>+PPTO!I107</f>
        <v>92062710</v>
      </c>
      <c r="H109" s="483">
        <v>2</v>
      </c>
      <c r="I109" s="991">
        <v>4</v>
      </c>
      <c r="J109" s="480">
        <v>2</v>
      </c>
      <c r="K109" s="60">
        <f t="shared" si="48"/>
        <v>5</v>
      </c>
      <c r="L109" s="60"/>
      <c r="M109" s="482" t="str">
        <f t="shared" si="50"/>
        <v/>
      </c>
      <c r="N109" s="1039">
        <f t="shared" si="51"/>
        <v>23016</v>
      </c>
      <c r="O109" s="1039">
        <f t="shared" si="51"/>
        <v>23016</v>
      </c>
      <c r="P109" s="1039">
        <f t="shared" si="51"/>
        <v>23016</v>
      </c>
      <c r="Q109" s="1039">
        <f t="shared" si="51"/>
        <v>23016</v>
      </c>
      <c r="R109" s="482" t="str">
        <f t="shared" si="52"/>
        <v/>
      </c>
      <c r="S109" s="482" t="str">
        <f t="shared" si="52"/>
        <v/>
      </c>
      <c r="T109" s="482" t="str">
        <f t="shared" si="52"/>
        <v/>
      </c>
      <c r="U109" s="126"/>
      <c r="V109" s="126"/>
    </row>
    <row r="110" spans="2:22" ht="60.75">
      <c r="B110" s="282"/>
      <c r="C110" s="277"/>
      <c r="D110" s="369" t="e">
        <f t="shared" si="46"/>
        <v>#VALUE!</v>
      </c>
      <c r="E110" s="276" t="s">
        <v>326</v>
      </c>
      <c r="F110" s="275" t="s">
        <v>122</v>
      </c>
      <c r="G110" s="287">
        <f>+PPTO!I108</f>
        <v>267841098</v>
      </c>
      <c r="H110" s="483">
        <v>2</v>
      </c>
      <c r="I110" s="991">
        <v>4</v>
      </c>
      <c r="J110" s="480">
        <v>2</v>
      </c>
      <c r="K110" s="60">
        <f t="shared" si="48"/>
        <v>5</v>
      </c>
      <c r="L110" s="60"/>
      <c r="M110" s="482" t="str">
        <f t="shared" si="50"/>
        <v/>
      </c>
      <c r="N110" s="1039">
        <f t="shared" si="51"/>
        <v>66960</v>
      </c>
      <c r="O110" s="1039">
        <f t="shared" si="51"/>
        <v>66960</v>
      </c>
      <c r="P110" s="1039">
        <f t="shared" si="51"/>
        <v>66960</v>
      </c>
      <c r="Q110" s="1039">
        <f t="shared" si="51"/>
        <v>66960</v>
      </c>
      <c r="R110" s="482" t="str">
        <f t="shared" si="52"/>
        <v/>
      </c>
      <c r="S110" s="482" t="str">
        <f t="shared" si="52"/>
        <v/>
      </c>
      <c r="T110" s="482" t="str">
        <f t="shared" si="52"/>
        <v/>
      </c>
      <c r="U110" s="126"/>
      <c r="V110" s="126"/>
    </row>
    <row r="111" spans="2:22" ht="40.5">
      <c r="B111" s="282"/>
      <c r="C111" s="277"/>
      <c r="D111" s="369" t="e">
        <f t="shared" si="46"/>
        <v>#VALUE!</v>
      </c>
      <c r="E111" s="276" t="s">
        <v>331</v>
      </c>
      <c r="F111" s="275" t="s">
        <v>122</v>
      </c>
      <c r="G111" s="287">
        <f>+PPTO!I109</f>
        <v>66826382</v>
      </c>
      <c r="H111" s="483">
        <v>2</v>
      </c>
      <c r="I111" s="991">
        <v>4</v>
      </c>
      <c r="J111" s="480">
        <v>2</v>
      </c>
      <c r="K111" s="60">
        <f t="shared" si="48"/>
        <v>5</v>
      </c>
      <c r="L111" s="60"/>
      <c r="M111" s="482" t="str">
        <f t="shared" si="50"/>
        <v/>
      </c>
      <c r="N111" s="1039">
        <f t="shared" si="51"/>
        <v>16707</v>
      </c>
      <c r="O111" s="1039">
        <f t="shared" si="51"/>
        <v>16707</v>
      </c>
      <c r="P111" s="1039">
        <f t="shared" si="51"/>
        <v>16707</v>
      </c>
      <c r="Q111" s="1039">
        <f t="shared" si="51"/>
        <v>16707</v>
      </c>
      <c r="R111" s="482" t="str">
        <f t="shared" si="52"/>
        <v/>
      </c>
      <c r="S111" s="482" t="str">
        <f t="shared" si="52"/>
        <v/>
      </c>
      <c r="T111" s="482" t="str">
        <f t="shared" si="52"/>
        <v/>
      </c>
      <c r="U111" s="126"/>
      <c r="V111" s="126"/>
    </row>
    <row r="112" spans="2:22" ht="40.5">
      <c r="B112" s="282"/>
      <c r="C112" s="277"/>
      <c r="D112" s="369" t="e">
        <f t="shared" si="46"/>
        <v>#VALUE!</v>
      </c>
      <c r="E112" s="276" t="s">
        <v>332</v>
      </c>
      <c r="F112" s="275" t="s">
        <v>122</v>
      </c>
      <c r="G112" s="287">
        <f>+PPTO!I110</f>
        <v>8980947</v>
      </c>
      <c r="H112" s="483">
        <v>2</v>
      </c>
      <c r="I112" s="991">
        <v>4</v>
      </c>
      <c r="J112" s="480">
        <v>2</v>
      </c>
      <c r="K112" s="60">
        <f t="shared" si="48"/>
        <v>5</v>
      </c>
      <c r="L112" s="60"/>
      <c r="M112" s="482" t="str">
        <f t="shared" si="50"/>
        <v/>
      </c>
      <c r="N112" s="1039">
        <f t="shared" si="51"/>
        <v>2245</v>
      </c>
      <c r="O112" s="1039">
        <f t="shared" si="51"/>
        <v>2245</v>
      </c>
      <c r="P112" s="1039">
        <f t="shared" si="51"/>
        <v>2245</v>
      </c>
      <c r="Q112" s="1039">
        <f t="shared" si="51"/>
        <v>2245</v>
      </c>
      <c r="R112" s="482" t="str">
        <f t="shared" si="52"/>
        <v/>
      </c>
      <c r="S112" s="482" t="str">
        <f t="shared" si="52"/>
        <v/>
      </c>
      <c r="T112" s="482" t="str">
        <f t="shared" si="52"/>
        <v/>
      </c>
      <c r="U112" s="126"/>
      <c r="V112" s="126"/>
    </row>
    <row r="113" spans="2:22" ht="40.5">
      <c r="B113" s="282"/>
      <c r="C113" s="277"/>
      <c r="D113" s="369" t="e">
        <f t="shared" si="46"/>
        <v>#VALUE!</v>
      </c>
      <c r="E113" s="276" t="s">
        <v>878</v>
      </c>
      <c r="F113" s="275" t="s">
        <v>122</v>
      </c>
      <c r="G113" s="287">
        <f>+PPTO!I111</f>
        <v>5518179</v>
      </c>
      <c r="H113" s="483">
        <v>2</v>
      </c>
      <c r="I113" s="991">
        <v>4</v>
      </c>
      <c r="J113" s="480">
        <v>2</v>
      </c>
      <c r="K113" s="60">
        <f t="shared" si="48"/>
        <v>5</v>
      </c>
      <c r="L113" s="60"/>
      <c r="M113" s="482" t="str">
        <f t="shared" si="50"/>
        <v/>
      </c>
      <c r="N113" s="1039">
        <f t="shared" si="51"/>
        <v>1380</v>
      </c>
      <c r="O113" s="1039">
        <f t="shared" si="51"/>
        <v>1380</v>
      </c>
      <c r="P113" s="1039">
        <f t="shared" si="51"/>
        <v>1380</v>
      </c>
      <c r="Q113" s="1039">
        <f t="shared" si="51"/>
        <v>1380</v>
      </c>
      <c r="R113" s="482" t="str">
        <f t="shared" si="52"/>
        <v/>
      </c>
      <c r="S113" s="482" t="str">
        <f t="shared" si="52"/>
        <v/>
      </c>
      <c r="T113" s="482" t="str">
        <f t="shared" si="52"/>
        <v/>
      </c>
      <c r="U113" s="126"/>
      <c r="V113" s="126"/>
    </row>
    <row r="114" spans="2:22" ht="40.5">
      <c r="B114" s="282"/>
      <c r="C114" s="277"/>
      <c r="D114" s="369" t="e">
        <f t="shared" si="46"/>
        <v>#VALUE!</v>
      </c>
      <c r="E114" s="276" t="s">
        <v>333</v>
      </c>
      <c r="F114" s="275" t="s">
        <v>122</v>
      </c>
      <c r="G114" s="287">
        <f>+PPTO!I112</f>
        <v>7019919</v>
      </c>
      <c r="H114" s="483">
        <v>2</v>
      </c>
      <c r="I114" s="991">
        <v>4</v>
      </c>
      <c r="J114" s="480">
        <v>2</v>
      </c>
      <c r="K114" s="60">
        <f t="shared" si="48"/>
        <v>5</v>
      </c>
      <c r="L114" s="60"/>
      <c r="M114" s="482" t="str">
        <f t="shared" si="50"/>
        <v/>
      </c>
      <c r="N114" s="1039">
        <f t="shared" si="51"/>
        <v>1755</v>
      </c>
      <c r="O114" s="1039">
        <f t="shared" si="51"/>
        <v>1755</v>
      </c>
      <c r="P114" s="1039">
        <f t="shared" si="51"/>
        <v>1755</v>
      </c>
      <c r="Q114" s="1039">
        <f t="shared" si="51"/>
        <v>1755</v>
      </c>
      <c r="R114" s="482" t="str">
        <f t="shared" si="52"/>
        <v/>
      </c>
      <c r="S114" s="482" t="str">
        <f t="shared" si="52"/>
        <v/>
      </c>
      <c r="T114" s="482" t="str">
        <f t="shared" si="52"/>
        <v/>
      </c>
      <c r="U114" s="126"/>
      <c r="V114" s="126"/>
    </row>
    <row r="115" spans="2:22" ht="40.5">
      <c r="B115" s="282"/>
      <c r="C115" s="277"/>
      <c r="D115" s="369" t="e">
        <f t="shared" si="46"/>
        <v>#VALUE!</v>
      </c>
      <c r="E115" s="276" t="s">
        <v>334</v>
      </c>
      <c r="F115" s="275" t="s">
        <v>122</v>
      </c>
      <c r="G115" s="287">
        <f>+PPTO!I113</f>
        <v>19784899</v>
      </c>
      <c r="H115" s="483">
        <v>2</v>
      </c>
      <c r="I115" s="991">
        <v>4</v>
      </c>
      <c r="J115" s="480">
        <v>2</v>
      </c>
      <c r="K115" s="60">
        <f t="shared" si="48"/>
        <v>5</v>
      </c>
      <c r="L115" s="60"/>
      <c r="M115" s="482" t="str">
        <f t="shared" si="50"/>
        <v/>
      </c>
      <c r="N115" s="1039">
        <f t="shared" si="51"/>
        <v>4946</v>
      </c>
      <c r="O115" s="1039">
        <f t="shared" si="51"/>
        <v>4946</v>
      </c>
      <c r="P115" s="1039">
        <f t="shared" si="51"/>
        <v>4946</v>
      </c>
      <c r="Q115" s="1039">
        <f t="shared" si="51"/>
        <v>4946</v>
      </c>
      <c r="R115" s="482" t="str">
        <f t="shared" si="52"/>
        <v/>
      </c>
      <c r="S115" s="482" t="str">
        <f t="shared" si="52"/>
        <v/>
      </c>
      <c r="T115" s="482" t="str">
        <f t="shared" si="52"/>
        <v/>
      </c>
      <c r="U115" s="126"/>
      <c r="V115" s="126"/>
    </row>
    <row r="116" spans="2:22" ht="40.5">
      <c r="B116" s="282"/>
      <c r="C116" s="277"/>
      <c r="D116" s="369" t="e">
        <f t="shared" si="46"/>
        <v>#VALUE!</v>
      </c>
      <c r="E116" s="276" t="s">
        <v>335</v>
      </c>
      <c r="F116" s="275" t="s">
        <v>122</v>
      </c>
      <c r="G116" s="287">
        <f>+PPTO!I114</f>
        <v>23287578</v>
      </c>
      <c r="H116" s="483">
        <v>2</v>
      </c>
      <c r="I116" s="991">
        <v>4</v>
      </c>
      <c r="J116" s="480">
        <v>2</v>
      </c>
      <c r="K116" s="60">
        <f t="shared" si="48"/>
        <v>5</v>
      </c>
      <c r="L116" s="60"/>
      <c r="M116" s="482" t="str">
        <f t="shared" si="50"/>
        <v/>
      </c>
      <c r="N116" s="1039">
        <f t="shared" si="51"/>
        <v>5822</v>
      </c>
      <c r="O116" s="1039">
        <f t="shared" si="51"/>
        <v>5822</v>
      </c>
      <c r="P116" s="1039">
        <f t="shared" si="51"/>
        <v>5822</v>
      </c>
      <c r="Q116" s="1039">
        <f t="shared" si="51"/>
        <v>5822</v>
      </c>
      <c r="R116" s="482" t="str">
        <f t="shared" si="52"/>
        <v/>
      </c>
      <c r="S116" s="482" t="str">
        <f t="shared" si="52"/>
        <v/>
      </c>
      <c r="T116" s="482" t="str">
        <f t="shared" si="52"/>
        <v/>
      </c>
      <c r="U116" s="126"/>
      <c r="V116" s="126"/>
    </row>
    <row r="117" spans="2:22" ht="40.5">
      <c r="B117" s="282"/>
      <c r="C117" s="277"/>
      <c r="D117" s="369" t="e">
        <f t="shared" si="46"/>
        <v>#VALUE!</v>
      </c>
      <c r="E117" s="276" t="s">
        <v>337</v>
      </c>
      <c r="F117" s="275" t="s">
        <v>119</v>
      </c>
      <c r="G117" s="287">
        <f>+PPTO!I115</f>
        <v>217372236</v>
      </c>
      <c r="H117" s="483">
        <v>2</v>
      </c>
      <c r="I117" s="991">
        <v>4</v>
      </c>
      <c r="J117" s="480">
        <v>2</v>
      </c>
      <c r="K117" s="60">
        <f t="shared" si="48"/>
        <v>5</v>
      </c>
      <c r="L117" s="60"/>
      <c r="M117" s="482" t="str">
        <f t="shared" si="50"/>
        <v/>
      </c>
      <c r="N117" s="1039">
        <f t="shared" si="51"/>
        <v>54343</v>
      </c>
      <c r="O117" s="1039">
        <f t="shared" si="51"/>
        <v>54343</v>
      </c>
      <c r="P117" s="1039">
        <f t="shared" si="51"/>
        <v>54343</v>
      </c>
      <c r="Q117" s="1039">
        <f t="shared" si="51"/>
        <v>54343</v>
      </c>
      <c r="R117" s="482" t="str">
        <f t="shared" si="52"/>
        <v/>
      </c>
      <c r="S117" s="482" t="str">
        <f t="shared" si="52"/>
        <v/>
      </c>
      <c r="T117" s="482" t="str">
        <f t="shared" si="52"/>
        <v/>
      </c>
      <c r="U117" s="126"/>
      <c r="V117" s="126"/>
    </row>
    <row r="118" spans="2:22" hidden="1">
      <c r="B118" s="282"/>
      <c r="C118" s="277"/>
      <c r="D118" s="369" t="e">
        <f t="shared" si="46"/>
        <v>#VALUE!</v>
      </c>
      <c r="E118" s="276" t="s">
        <v>715</v>
      </c>
      <c r="F118" s="275" t="s">
        <v>122</v>
      </c>
      <c r="G118" s="287">
        <f>+PPTO!I116</f>
        <v>0</v>
      </c>
      <c r="H118" s="483">
        <v>2</v>
      </c>
      <c r="I118" s="991">
        <v>4</v>
      </c>
      <c r="J118" s="480">
        <v>2</v>
      </c>
      <c r="K118" s="60">
        <f t="shared" si="48"/>
        <v>5</v>
      </c>
      <c r="L118" s="60"/>
      <c r="M118" s="482" t="str">
        <f t="shared" si="50"/>
        <v/>
      </c>
      <c r="N118" s="482">
        <f t="shared" ref="N118:Q122" si="53">IF($I118="","",IF(OR(N$11&lt;$J118,N$11&gt;$K118),"",IF($H118=1,IF((N$11/$J118)=1,($G118/1000)/(($I118)*2)*$I118*1.3,IF((N$11/$J118)&gt;1,($G118/1000)/(($I118)*2)*$I118*(0.7/($I118-1)))),IF($H118=2,($G118/1000)/$I118,IF($H118=3,IF((N$11/$K118)=1,($G118/1000)/(($I118)*2)*$I118*1.3,IF((N$11/$K118)&lt;1,($G118/1000)/(($I118)*2)*$I118*(0.7/($I118-1)))))))))</f>
        <v>0</v>
      </c>
      <c r="O118" s="482">
        <f t="shared" si="53"/>
        <v>0</v>
      </c>
      <c r="P118" s="482">
        <f t="shared" si="53"/>
        <v>0</v>
      </c>
      <c r="Q118" s="482">
        <f t="shared" si="53"/>
        <v>0</v>
      </c>
      <c r="R118" s="482" t="str">
        <f t="shared" si="52"/>
        <v/>
      </c>
      <c r="S118" s="482" t="str">
        <f t="shared" si="52"/>
        <v/>
      </c>
      <c r="T118" s="482" t="str">
        <f t="shared" si="52"/>
        <v/>
      </c>
      <c r="U118" s="126"/>
      <c r="V118" s="126"/>
    </row>
    <row r="119" spans="2:22" ht="46.5" hidden="1" customHeight="1">
      <c r="B119" s="282"/>
      <c r="C119" s="277"/>
      <c r="D119" s="370" t="s">
        <v>1023</v>
      </c>
      <c r="E119" s="276" t="s">
        <v>716</v>
      </c>
      <c r="F119" s="275" t="s">
        <v>119</v>
      </c>
      <c r="G119" s="287">
        <f>+PPTO!I117</f>
        <v>0</v>
      </c>
      <c r="H119" s="483">
        <v>2</v>
      </c>
      <c r="I119" s="991">
        <v>4</v>
      </c>
      <c r="J119" s="480">
        <v>2</v>
      </c>
      <c r="K119" s="60">
        <f t="shared" si="48"/>
        <v>5</v>
      </c>
      <c r="L119" s="60"/>
      <c r="M119" s="482" t="str">
        <f t="shared" si="50"/>
        <v/>
      </c>
      <c r="N119" s="482">
        <f t="shared" si="53"/>
        <v>0</v>
      </c>
      <c r="O119" s="482">
        <f t="shared" si="53"/>
        <v>0</v>
      </c>
      <c r="P119" s="482">
        <f t="shared" si="53"/>
        <v>0</v>
      </c>
      <c r="Q119" s="482">
        <f t="shared" si="53"/>
        <v>0</v>
      </c>
      <c r="R119" s="482" t="str">
        <f t="shared" si="52"/>
        <v/>
      </c>
      <c r="S119" s="482" t="str">
        <f t="shared" si="52"/>
        <v/>
      </c>
      <c r="T119" s="482" t="str">
        <f t="shared" si="52"/>
        <v/>
      </c>
      <c r="U119" s="126"/>
      <c r="V119" s="126"/>
    </row>
    <row r="120" spans="2:22" ht="60.75" hidden="1">
      <c r="B120" s="282"/>
      <c r="C120" s="277"/>
      <c r="D120" s="369">
        <f t="shared" si="46"/>
        <v>6.61</v>
      </c>
      <c r="E120" s="276" t="s">
        <v>717</v>
      </c>
      <c r="F120" s="275" t="s">
        <v>119</v>
      </c>
      <c r="G120" s="287">
        <f>+PPTO!I118</f>
        <v>0</v>
      </c>
      <c r="H120" s="483">
        <v>2</v>
      </c>
      <c r="I120" s="991">
        <v>4</v>
      </c>
      <c r="J120" s="480">
        <v>2</v>
      </c>
      <c r="K120" s="60">
        <f t="shared" si="48"/>
        <v>5</v>
      </c>
      <c r="L120" s="60"/>
      <c r="M120" s="482" t="str">
        <f t="shared" si="50"/>
        <v/>
      </c>
      <c r="N120" s="482">
        <f t="shared" si="53"/>
        <v>0</v>
      </c>
      <c r="O120" s="482">
        <f t="shared" si="53"/>
        <v>0</v>
      </c>
      <c r="P120" s="482">
        <f t="shared" si="53"/>
        <v>0</v>
      </c>
      <c r="Q120" s="482">
        <f t="shared" si="53"/>
        <v>0</v>
      </c>
      <c r="R120" s="482" t="str">
        <f t="shared" si="52"/>
        <v/>
      </c>
      <c r="S120" s="482" t="str">
        <f t="shared" si="52"/>
        <v/>
      </c>
      <c r="T120" s="482" t="str">
        <f t="shared" si="52"/>
        <v/>
      </c>
      <c r="U120" s="126"/>
      <c r="V120" s="126"/>
    </row>
    <row r="121" spans="2:22">
      <c r="B121" s="283"/>
      <c r="C121" s="278"/>
      <c r="D121" s="264"/>
      <c r="E121" s="265" t="str">
        <f>CONCATENATE("SUBTOTAL  ",E56)</f>
        <v>SUBTOTAL  SISTEMAS HIDROSANITARIOS</v>
      </c>
      <c r="F121" s="266"/>
      <c r="G121" s="269">
        <f>SUM(G58:G120)</f>
        <v>2618204904</v>
      </c>
      <c r="H121" s="483">
        <v>2</v>
      </c>
      <c r="I121" s="991"/>
      <c r="J121" s="480"/>
      <c r="K121" s="60" t="str">
        <f t="shared" si="48"/>
        <v/>
      </c>
      <c r="L121" s="60"/>
      <c r="M121" s="482" t="str">
        <f t="shared" si="50"/>
        <v/>
      </c>
      <c r="N121" s="482" t="str">
        <f t="shared" si="53"/>
        <v/>
      </c>
      <c r="O121" s="482" t="str">
        <f t="shared" si="53"/>
        <v/>
      </c>
      <c r="P121" s="482" t="str">
        <f t="shared" si="53"/>
        <v/>
      </c>
      <c r="Q121" s="482" t="str">
        <f t="shared" si="53"/>
        <v/>
      </c>
      <c r="R121" s="482" t="str">
        <f t="shared" si="52"/>
        <v/>
      </c>
      <c r="S121" s="482" t="str">
        <f t="shared" si="52"/>
        <v/>
      </c>
      <c r="T121" s="482" t="str">
        <f t="shared" si="52"/>
        <v/>
      </c>
      <c r="U121" s="126"/>
      <c r="V121" s="135"/>
    </row>
    <row r="122" spans="2:22" ht="20.25" customHeight="1">
      <c r="B122" s="282"/>
      <c r="C122" s="277"/>
      <c r="D122" s="1009">
        <v>7</v>
      </c>
      <c r="E122" s="1019" t="s">
        <v>325</v>
      </c>
      <c r="F122" s="1019"/>
      <c r="G122" s="1019"/>
      <c r="H122" s="1020">
        <v>2</v>
      </c>
      <c r="I122" s="1021"/>
      <c r="J122" s="1022"/>
      <c r="K122" s="1023" t="str">
        <f t="shared" si="48"/>
        <v/>
      </c>
      <c r="L122" s="1023"/>
      <c r="M122" s="1024" t="str">
        <f t="shared" si="50"/>
        <v/>
      </c>
      <c r="N122" s="1024" t="str">
        <f t="shared" si="53"/>
        <v/>
      </c>
      <c r="O122" s="1024" t="str">
        <f t="shared" si="53"/>
        <v/>
      </c>
      <c r="P122" s="1024" t="str">
        <f t="shared" si="53"/>
        <v/>
      </c>
      <c r="Q122" s="1024" t="str">
        <f t="shared" si="53"/>
        <v/>
      </c>
      <c r="R122" s="1024" t="str">
        <f t="shared" si="52"/>
        <v/>
      </c>
      <c r="S122" s="1024" t="str">
        <f t="shared" si="52"/>
        <v/>
      </c>
      <c r="T122" s="1024" t="str">
        <f t="shared" si="52"/>
        <v/>
      </c>
      <c r="U122" s="1017"/>
      <c r="V122" s="1018"/>
    </row>
    <row r="123" spans="2:22" ht="60.75">
      <c r="B123" s="282"/>
      <c r="C123" s="277"/>
      <c r="D123" s="262">
        <f>D122+0.1</f>
        <v>7.1</v>
      </c>
      <c r="E123" s="276" t="s">
        <v>880</v>
      </c>
      <c r="F123" s="275" t="s">
        <v>119</v>
      </c>
      <c r="G123" s="287">
        <f>+PPTO!I121</f>
        <v>12588573</v>
      </c>
      <c r="H123" s="483">
        <v>3</v>
      </c>
      <c r="I123" s="991">
        <v>4</v>
      </c>
      <c r="J123" s="480">
        <v>1</v>
      </c>
      <c r="K123" s="60">
        <f t="shared" si="48"/>
        <v>4</v>
      </c>
      <c r="L123" s="60"/>
      <c r="M123" s="1039">
        <f t="shared" ref="M123:P124" si="54">+$G123/($I123*1000)</f>
        <v>3147</v>
      </c>
      <c r="N123" s="1039">
        <f t="shared" si="54"/>
        <v>3147</v>
      </c>
      <c r="O123" s="1039">
        <f t="shared" si="54"/>
        <v>3147</v>
      </c>
      <c r="P123" s="1039">
        <f t="shared" si="54"/>
        <v>3147</v>
      </c>
      <c r="Q123" s="482" t="str">
        <f>IF($I123="","",IF(OR(Q$11&lt;$J123,Q$11&gt;$K123),"",IF($H123=1,IF((Q$11/$J123)=1,($G123/1000)/(($I123)*2)*$I123*1.3,IF((Q$11/$J123)&gt;1,($G123/1000)/(($I123)*2)*$I123*(0.7/($I123-1)))),IF($H123=2,($G123/1000)/$I123,IF($H123=3,IF((Q$11/$K123)=1,($G123/1000)/(($I123)*2)*$I123*1.3,IF((Q$11/$K123)&lt;1,($G123/1000)/(($I123)*2)*$I123*(0.7/($I123-1)))))))))</f>
        <v/>
      </c>
      <c r="R123" s="482" t="str">
        <f t="shared" si="52"/>
        <v/>
      </c>
      <c r="S123" s="482" t="str">
        <f t="shared" si="52"/>
        <v/>
      </c>
      <c r="T123" s="482" t="str">
        <f t="shared" si="52"/>
        <v/>
      </c>
      <c r="U123" s="126"/>
      <c r="V123" s="126"/>
    </row>
    <row r="124" spans="2:22" ht="101.25">
      <c r="B124" s="282"/>
      <c r="C124" s="277"/>
      <c r="D124" s="262">
        <f>D123+0.1</f>
        <v>7.2</v>
      </c>
      <c r="E124" s="276" t="s">
        <v>879</v>
      </c>
      <c r="F124" s="275" t="s">
        <v>119</v>
      </c>
      <c r="G124" s="287">
        <f>+PPTO!I122</f>
        <v>20040000</v>
      </c>
      <c r="H124" s="483">
        <v>3</v>
      </c>
      <c r="I124" s="991">
        <v>4</v>
      </c>
      <c r="J124" s="480">
        <v>1</v>
      </c>
      <c r="K124" s="60">
        <f t="shared" si="48"/>
        <v>4</v>
      </c>
      <c r="L124" s="60"/>
      <c r="M124" s="1039">
        <f t="shared" si="54"/>
        <v>5010</v>
      </c>
      <c r="N124" s="1039">
        <f t="shared" si="54"/>
        <v>5010</v>
      </c>
      <c r="O124" s="1039">
        <f t="shared" si="54"/>
        <v>5010</v>
      </c>
      <c r="P124" s="1039">
        <f t="shared" si="54"/>
        <v>5010</v>
      </c>
      <c r="Q124" s="482" t="str">
        <f>IF($I124="","",IF(OR(Q$11&lt;$J124,Q$11&gt;$K124),"",IF($H124=1,IF((Q$11/$J124)=1,($G124/1000)/(($I124)*2)*$I124*1.3,IF((Q$11/$J124)&gt;1,($G124/1000)/(($I124)*2)*$I124*(0.7/($I124-1)))),IF($H124=2,($G124/1000)/$I124,IF($H124=3,IF((Q$11/$K124)=1,($G124/1000)/(($I124)*2)*$I124*1.3,IF((Q$11/$K124)&lt;1,($G124/1000)/(($I124)*2)*$I124*(0.7/($I124-1)))))))))</f>
        <v/>
      </c>
      <c r="R124" s="482" t="str">
        <f t="shared" si="52"/>
        <v/>
      </c>
      <c r="S124" s="482" t="str">
        <f t="shared" si="52"/>
        <v/>
      </c>
      <c r="T124" s="482" t="str">
        <f t="shared" si="52"/>
        <v/>
      </c>
      <c r="U124" s="126"/>
      <c r="V124" s="126"/>
    </row>
    <row r="125" spans="2:22">
      <c r="B125" s="283"/>
      <c r="C125" s="278"/>
      <c r="D125" s="264"/>
      <c r="E125" s="265" t="str">
        <f>CONCATENATE("SUBTOTAL  ",E122)</f>
        <v>SUBTOTAL  URBANISMO</v>
      </c>
      <c r="F125" s="266"/>
      <c r="G125" s="269">
        <f>SUM(G123:G124)</f>
        <v>32628573</v>
      </c>
      <c r="H125" s="483">
        <v>2</v>
      </c>
      <c r="I125" s="991"/>
      <c r="J125" s="480"/>
      <c r="K125" s="60" t="str">
        <f t="shared" si="48"/>
        <v/>
      </c>
      <c r="L125" s="60"/>
      <c r="M125" s="482" t="str">
        <f>IF($I125="","",IF(OR(M$11&lt;$J125,M$11&gt;$K125),"",IF($H125=1,IF((M$11/$J125)=1,($G125/1000)/(($I125)*2)*$I125*1.3,IF((M$11/$J125)&gt;1,($G125/1000)/(($I125)*2)*$I125*(0.7/($I125-1)))),IF($H125=2,($G125/1000)/$I125,IF($H125=3,IF((M$11/$K125)=1,($G125/1000)/(($I125)*2)*$I125*1.3,IF((M$11/$K125)&lt;1,($G125/1000)/(($I125)*2)*$I125*(0.7/($I125-1)))))))))</f>
        <v/>
      </c>
      <c r="N125" s="482" t="str">
        <f>IF($I125="","",IF(OR(N$11&lt;$J125,N$11&gt;$K125),"",IF($H125=1,IF((N$11/$J125)=1,($G125/1000)/(($I125)*2)*$I125*1.3,IF((N$11/$J125)&gt;1,($G125/1000)/(($I125)*2)*$I125*(0.7/($I125-1)))),IF($H125=2,($G125/1000)/$I125,IF($H125=3,IF((N$11/$K125)=1,($G125/1000)/(($I125)*2)*$I125*1.3,IF((N$11/$K125)&lt;1,($G125/1000)/(($I125)*2)*$I125*(0.7/($I125-1)))))))))</f>
        <v/>
      </c>
      <c r="O125" s="482" t="str">
        <f>IF($I125="","",IF(OR(O$11&lt;$J125,O$11&gt;$K125),"",IF($H125=1,IF((O$11/$J125)=1,($G125/1000)/(($I125)*2)*$I125*1.3,IF((O$11/$J125)&gt;1,($G125/1000)/(($I125)*2)*$I125*(0.7/($I125-1)))),IF($H125=2,($G125/1000)/$I125,IF($H125=3,IF((O$11/$K125)=1,($G125/1000)/(($I125)*2)*$I125*1.3,IF((O$11/$K125)&lt;1,($G125/1000)/(($I125)*2)*$I125*(0.7/($I125-1)))))))))</f>
        <v/>
      </c>
      <c r="P125" s="482" t="str">
        <f>IF($I125="","",IF(OR(P$11&lt;$J125,P$11&gt;$K125),"",IF($H125=1,IF((P$11/$J125)=1,($G125/1000)/(($I125)*2)*$I125*1.3,IF((P$11/$J125)&gt;1,($G125/1000)/(($I125)*2)*$I125*(0.7/($I125-1)))),IF($H125=2,($G125/1000)/$I125,IF($H125=3,IF((P$11/$K125)=1,($G125/1000)/(($I125)*2)*$I125*1.3,IF((P$11/$K125)&lt;1,($G125/1000)/(($I125)*2)*$I125*(0.7/($I125-1)))))))))</f>
        <v/>
      </c>
      <c r="Q125" s="482" t="str">
        <f>IF($I125="","",IF(OR(Q$11&lt;$J125,Q$11&gt;$K125),"",IF($H125=1,IF((Q$11/$J125)=1,($G125/1000)/(($I125)*2)*$I125*1.3,IF((Q$11/$J125)&gt;1,($G125/1000)/(($I125)*2)*$I125*(0.7/($I125-1)))),IF($H125=2,($G125/1000)/$I125,IF($H125=3,IF((Q$11/$K125)=1,($G125/1000)/(($I125)*2)*$I125*1.3,IF((Q$11/$K125)&lt;1,($G125/1000)/(($I125)*2)*$I125*(0.7/($I125-1)))))))))</f>
        <v/>
      </c>
      <c r="R125" s="482" t="str">
        <f t="shared" si="52"/>
        <v/>
      </c>
      <c r="S125" s="482" t="str">
        <f t="shared" si="52"/>
        <v/>
      </c>
      <c r="T125" s="482" t="str">
        <f t="shared" si="52"/>
        <v/>
      </c>
      <c r="U125" s="126"/>
      <c r="V125" s="135"/>
    </row>
    <row r="126" spans="2:22">
      <c r="D126" s="212"/>
      <c r="E126" s="1137" t="s">
        <v>8</v>
      </c>
      <c r="F126" s="1137"/>
      <c r="G126" s="257">
        <f>+G121+G55+G43+G31+G24+G15+G125</f>
        <v>10714220439</v>
      </c>
      <c r="H126" s="483"/>
      <c r="I126" s="991"/>
      <c r="J126" s="480"/>
      <c r="K126" s="60"/>
      <c r="L126" s="60"/>
      <c r="M126" s="482">
        <v>624255</v>
      </c>
      <c r="N126" s="482">
        <v>2107119</v>
      </c>
      <c r="O126" s="482">
        <v>1595357</v>
      </c>
      <c r="P126" s="482">
        <v>1722857</v>
      </c>
      <c r="Q126" s="482">
        <v>1554127</v>
      </c>
      <c r="R126" s="482">
        <v>1181081</v>
      </c>
      <c r="S126" s="482">
        <v>968010</v>
      </c>
      <c r="T126" s="482">
        <v>961414</v>
      </c>
      <c r="U126" s="122"/>
      <c r="V126" s="122"/>
    </row>
    <row r="127" spans="2:22">
      <c r="B127" s="121">
        <v>0.27879999999999999</v>
      </c>
      <c r="D127" s="212"/>
      <c r="E127" s="1143">
        <f>+PPTO!E125</f>
        <v>0.31</v>
      </c>
      <c r="F127" s="1143"/>
      <c r="G127" s="595">
        <f>+PPTO!I125</f>
        <v>3321408336</v>
      </c>
      <c r="H127" s="483"/>
      <c r="I127" s="991"/>
      <c r="J127" s="480"/>
      <c r="K127" s="60"/>
      <c r="L127" s="60"/>
      <c r="M127" s="482">
        <f>$E127*M$126</f>
        <v>193519</v>
      </c>
      <c r="N127" s="482">
        <f t="shared" ref="N127:T127" si="55">$E127*N$126</f>
        <v>653207</v>
      </c>
      <c r="O127" s="482">
        <f t="shared" si="55"/>
        <v>494561</v>
      </c>
      <c r="P127" s="482">
        <f t="shared" si="55"/>
        <v>534086</v>
      </c>
      <c r="Q127" s="482">
        <f t="shared" si="55"/>
        <v>481779</v>
      </c>
      <c r="R127" s="482">
        <f t="shared" si="55"/>
        <v>366135</v>
      </c>
      <c r="S127" s="482">
        <f t="shared" si="55"/>
        <v>300083</v>
      </c>
      <c r="T127" s="482">
        <f t="shared" si="55"/>
        <v>298038</v>
      </c>
      <c r="U127" s="122"/>
      <c r="V127" s="122"/>
    </row>
    <row r="128" spans="2:22">
      <c r="D128" s="213"/>
      <c r="E128" s="1152" t="str">
        <f>+PPTO!E126</f>
        <v>TOTAL PRESUPUESTO OBRA</v>
      </c>
      <c r="F128" s="1152"/>
      <c r="G128" s="595">
        <f>+G126+G127</f>
        <v>14035628775</v>
      </c>
      <c r="H128" s="483"/>
      <c r="I128" s="991"/>
      <c r="J128" s="480"/>
      <c r="K128" s="60"/>
      <c r="L128" s="60"/>
      <c r="M128" s="482">
        <f>+M126+M127</f>
        <v>817774</v>
      </c>
      <c r="N128" s="482">
        <f t="shared" ref="N128:T128" si="56">+N126+N127</f>
        <v>2760326</v>
      </c>
      <c r="O128" s="482">
        <f t="shared" si="56"/>
        <v>2089918</v>
      </c>
      <c r="P128" s="482">
        <f t="shared" si="56"/>
        <v>2256943</v>
      </c>
      <c r="Q128" s="482">
        <f t="shared" si="56"/>
        <v>2035906</v>
      </c>
      <c r="R128" s="482">
        <f t="shared" si="56"/>
        <v>1547216</v>
      </c>
      <c r="S128" s="482">
        <f t="shared" si="56"/>
        <v>1268093</v>
      </c>
      <c r="T128" s="482">
        <f t="shared" si="56"/>
        <v>1259452</v>
      </c>
      <c r="U128" s="122"/>
      <c r="V128" s="122"/>
    </row>
    <row r="129" spans="4:22">
      <c r="D129" s="255"/>
      <c r="E129" s="1139" t="s">
        <v>159</v>
      </c>
      <c r="F129" s="1139"/>
      <c r="G129" s="595">
        <f>PAGA!M27</f>
        <v>117468144</v>
      </c>
      <c r="H129" s="483">
        <v>2</v>
      </c>
      <c r="I129" s="991">
        <v>8</v>
      </c>
      <c r="J129" s="480">
        <v>1</v>
      </c>
      <c r="K129" s="60">
        <f t="shared" si="48"/>
        <v>8</v>
      </c>
      <c r="L129" s="60"/>
      <c r="M129" s="482">
        <f t="shared" ref="M129:T130" si="57">IF($I129="","",IF(OR(M$11&lt;$J129,M$11&gt;$K129),"",IF($H129=1,IF((M$11/$J129)=1,($G129/1000)/(($I129)*2)*$I129*1.3,IF((M$11/$J129)&gt;1,($G129/1000)/(($I129)*2)*$I129*(0.7/($I129-1)))),IF($H129=2,($G129/1000)/$I129,IF($H129=3,IF((M$11/$K129)=1,($G129/1000)/(($I129)*2)*$I129*1.3,IF((M$11/$K129)&lt;1,($G129/1000)/(($I129)*2)*$I129*(0.7/($I129-1)))))))))</f>
        <v>14684</v>
      </c>
      <c r="N129" s="482">
        <f t="shared" si="57"/>
        <v>14684</v>
      </c>
      <c r="O129" s="482">
        <f t="shared" si="57"/>
        <v>14684</v>
      </c>
      <c r="P129" s="482">
        <f t="shared" si="57"/>
        <v>14684</v>
      </c>
      <c r="Q129" s="482">
        <f t="shared" si="57"/>
        <v>14684</v>
      </c>
      <c r="R129" s="482">
        <f t="shared" si="57"/>
        <v>14684</v>
      </c>
      <c r="S129" s="482">
        <f t="shared" si="57"/>
        <v>14684</v>
      </c>
      <c r="T129" s="482">
        <f t="shared" si="57"/>
        <v>14684</v>
      </c>
    </row>
    <row r="130" spans="4:22" ht="39" customHeight="1">
      <c r="D130" s="255"/>
      <c r="E130" s="1139" t="s">
        <v>160</v>
      </c>
      <c r="F130" s="1139"/>
      <c r="G130" s="595">
        <f>PMT!$K$25</f>
        <v>181366980</v>
      </c>
      <c r="H130" s="483">
        <v>2</v>
      </c>
      <c r="I130" s="991">
        <v>8</v>
      </c>
      <c r="J130" s="480">
        <v>1</v>
      </c>
      <c r="K130" s="60">
        <f t="shared" si="48"/>
        <v>8</v>
      </c>
      <c r="L130" s="60"/>
      <c r="M130" s="482">
        <f t="shared" si="57"/>
        <v>22671</v>
      </c>
      <c r="N130" s="482">
        <f t="shared" si="57"/>
        <v>22671</v>
      </c>
      <c r="O130" s="482">
        <f t="shared" si="57"/>
        <v>22671</v>
      </c>
      <c r="P130" s="482">
        <f t="shared" si="57"/>
        <v>22671</v>
      </c>
      <c r="Q130" s="482">
        <f t="shared" si="57"/>
        <v>22671</v>
      </c>
      <c r="R130" s="482">
        <f t="shared" si="57"/>
        <v>22671</v>
      </c>
      <c r="S130" s="482">
        <f t="shared" si="57"/>
        <v>22671</v>
      </c>
      <c r="T130" s="482">
        <f t="shared" si="57"/>
        <v>22671</v>
      </c>
    </row>
    <row r="131" spans="4:22">
      <c r="D131" s="213"/>
      <c r="E131" s="1115" t="s">
        <v>1238</v>
      </c>
      <c r="F131" s="1115"/>
      <c r="G131" s="595">
        <f>BIO!F14</f>
        <v>77000000</v>
      </c>
      <c r="H131" s="483">
        <v>2</v>
      </c>
      <c r="I131" s="991">
        <v>8</v>
      </c>
      <c r="J131" s="480">
        <v>1</v>
      </c>
      <c r="K131" s="60">
        <f t="shared" ref="K131" si="58">IF(I131="","",J131+I131-1)</f>
        <v>8</v>
      </c>
      <c r="L131" s="60"/>
      <c r="M131" s="482">
        <f t="shared" ref="M131:T131" si="59">IF($I131="","",IF(OR(M$11&lt;$J131,M$11&gt;$K131),"",IF($H131=1,IF((M$11/$J131)=1,($G131/1000)/(($I131)*2)*$I131*1.3,IF((M$11/$J131)&gt;1,($G131/1000)/(($I131)*2)*$I131*(0.7/($I131-1)))),IF($H131=2,($G131/1000)/$I131,IF($H131=3,IF((M$11/$K131)=1,($G131/1000)/(($I131)*2)*$I131*1.3,IF((M$11/$K131)&lt;1,($G131/1000)/(($I131)*2)*$I131*(0.7/($I131-1)))))))))</f>
        <v>9625</v>
      </c>
      <c r="N131" s="482">
        <f t="shared" si="59"/>
        <v>9625</v>
      </c>
      <c r="O131" s="482">
        <f t="shared" si="59"/>
        <v>9625</v>
      </c>
      <c r="P131" s="482">
        <f t="shared" si="59"/>
        <v>9625</v>
      </c>
      <c r="Q131" s="482">
        <f t="shared" si="59"/>
        <v>9625</v>
      </c>
      <c r="R131" s="482">
        <f t="shared" si="59"/>
        <v>9625</v>
      </c>
      <c r="S131" s="482">
        <f t="shared" si="59"/>
        <v>9625</v>
      </c>
      <c r="T131" s="482">
        <f t="shared" si="59"/>
        <v>9625</v>
      </c>
    </row>
    <row r="132" spans="4:22">
      <c r="D132" s="213"/>
      <c r="E132" s="1121" t="s">
        <v>1269</v>
      </c>
      <c r="F132" s="1121"/>
      <c r="G132" s="256">
        <f>+G129+G130+G128+G131</f>
        <v>14411463899</v>
      </c>
      <c r="H132" s="483"/>
      <c r="I132" s="991"/>
      <c r="J132" s="480"/>
      <c r="K132" s="60"/>
      <c r="L132" s="60"/>
      <c r="M132" s="482">
        <f>SUM(M128:M131)</f>
        <v>864754</v>
      </c>
      <c r="N132" s="482">
        <f t="shared" ref="N132:T132" si="60">SUM(N128:N131)</f>
        <v>2807306</v>
      </c>
      <c r="O132" s="482">
        <f t="shared" si="60"/>
        <v>2136898</v>
      </c>
      <c r="P132" s="482">
        <f t="shared" si="60"/>
        <v>2303923</v>
      </c>
      <c r="Q132" s="482">
        <f t="shared" si="60"/>
        <v>2082886</v>
      </c>
      <c r="R132" s="482">
        <f t="shared" si="60"/>
        <v>1594196</v>
      </c>
      <c r="S132" s="482">
        <f t="shared" si="60"/>
        <v>1315073</v>
      </c>
      <c r="T132" s="482">
        <f t="shared" si="60"/>
        <v>1306432</v>
      </c>
    </row>
    <row r="133" spans="4:22">
      <c r="D133" s="213"/>
      <c r="E133" s="1115" t="s">
        <v>135</v>
      </c>
      <c r="F133" s="1115"/>
      <c r="G133" s="595">
        <f>INTERV!J43</f>
        <v>561406252</v>
      </c>
      <c r="H133" s="483">
        <v>2</v>
      </c>
      <c r="I133" s="991">
        <v>8</v>
      </c>
      <c r="J133" s="480">
        <v>1</v>
      </c>
      <c r="K133" s="60">
        <f t="shared" si="48"/>
        <v>8</v>
      </c>
      <c r="L133" s="60"/>
      <c r="M133" s="482">
        <f t="shared" ref="M133:T133" si="61">IF($I133="","",IF(OR(M$11&lt;$J133,M$11&gt;$K133),"",IF($H133=1,IF((M$11/$J133)=1,($G133/1000)/(($I133)*2)*$I133*1.3,IF((M$11/$J133)&gt;1,($G133/1000)/(($I133)*2)*$I133*(0.7/($I133-1)))),IF($H133=2,($G133/1000)/$I133,IF($H133=3,IF((M$11/$K133)=1,($G133/1000)/(($I133)*2)*$I133*1.3,IF((M$11/$K133)&lt;1,($G133/1000)/(($I133)*2)*$I133*(0.7/($I133-1)))))))))</f>
        <v>70176</v>
      </c>
      <c r="N133" s="482">
        <f t="shared" si="61"/>
        <v>70176</v>
      </c>
      <c r="O133" s="482">
        <f t="shared" si="61"/>
        <v>70176</v>
      </c>
      <c r="P133" s="482">
        <f t="shared" si="61"/>
        <v>70176</v>
      </c>
      <c r="Q133" s="482">
        <f t="shared" si="61"/>
        <v>70176</v>
      </c>
      <c r="R133" s="482">
        <f t="shared" si="61"/>
        <v>70176</v>
      </c>
      <c r="S133" s="482">
        <f t="shared" si="61"/>
        <v>70176</v>
      </c>
      <c r="T133" s="482">
        <f t="shared" si="61"/>
        <v>70176</v>
      </c>
    </row>
    <row r="134" spans="4:22">
      <c r="D134" s="213"/>
      <c r="E134" s="1115" t="s">
        <v>1251</v>
      </c>
      <c r="F134" s="1115"/>
      <c r="G134" s="595" t="e">
        <f>+PPTO!#REF!</f>
        <v>#REF!</v>
      </c>
      <c r="H134" s="483"/>
      <c r="I134" s="991"/>
      <c r="J134" s="480"/>
      <c r="K134" s="60"/>
      <c r="L134" s="1042" t="e">
        <f>+G134/1000</f>
        <v>#REF!</v>
      </c>
      <c r="M134" s="482"/>
      <c r="N134" s="482"/>
      <c r="O134" s="482"/>
      <c r="P134" s="482"/>
      <c r="Q134" s="482"/>
      <c r="R134" s="482"/>
      <c r="S134" s="482"/>
      <c r="T134" s="482"/>
    </row>
    <row r="135" spans="4:22">
      <c r="D135" s="213"/>
      <c r="E135" s="1115" t="s">
        <v>1263</v>
      </c>
      <c r="F135" s="1115"/>
      <c r="G135" s="595" t="e">
        <f>+PPTO!#REF!</f>
        <v>#REF!</v>
      </c>
      <c r="H135" s="483"/>
      <c r="I135" s="991"/>
      <c r="J135" s="480"/>
      <c r="K135" s="60"/>
      <c r="L135" s="1042" t="e">
        <f>+G135/1000</f>
        <v>#REF!</v>
      </c>
      <c r="M135" s="482"/>
      <c r="N135" s="482"/>
      <c r="O135" s="482"/>
      <c r="P135" s="482"/>
      <c r="Q135" s="482"/>
      <c r="R135" s="482"/>
      <c r="S135" s="482"/>
      <c r="T135" s="482"/>
    </row>
    <row r="136" spans="4:22">
      <c r="D136" s="218"/>
      <c r="E136" s="1121" t="s">
        <v>73</v>
      </c>
      <c r="F136" s="1121"/>
      <c r="G136" s="256" t="e">
        <f>+G132+G133+G134+G135</f>
        <v>#REF!</v>
      </c>
      <c r="H136" s="483"/>
      <c r="I136" s="991"/>
      <c r="J136" s="480"/>
      <c r="K136" s="60"/>
      <c r="L136" s="60"/>
      <c r="M136" s="482">
        <f>+M132+M133</f>
        <v>934930</v>
      </c>
      <c r="N136" s="482">
        <f t="shared" ref="N136:T136" si="62">+N132+N133</f>
        <v>2877482</v>
      </c>
      <c r="O136" s="482">
        <f t="shared" si="62"/>
        <v>2207074</v>
      </c>
      <c r="P136" s="482">
        <f t="shared" si="62"/>
        <v>2374099</v>
      </c>
      <c r="Q136" s="482">
        <f t="shared" si="62"/>
        <v>2153062</v>
      </c>
      <c r="R136" s="482">
        <f t="shared" si="62"/>
        <v>1664372</v>
      </c>
      <c r="S136" s="482">
        <f t="shared" si="62"/>
        <v>1385249</v>
      </c>
      <c r="T136" s="482">
        <f t="shared" si="62"/>
        <v>1376608</v>
      </c>
    </row>
    <row r="137" spans="4:22">
      <c r="D137" s="218"/>
      <c r="E137" s="1140" t="s">
        <v>1271</v>
      </c>
      <c r="F137" s="1141"/>
      <c r="G137" s="1142"/>
      <c r="H137" s="483"/>
      <c r="I137" s="992"/>
      <c r="J137" s="968"/>
      <c r="K137" s="31"/>
      <c r="L137" s="1040"/>
      <c r="M137" s="1041" t="e">
        <f>+M136+L134+L135</f>
        <v>#REF!</v>
      </c>
      <c r="N137" s="1041" t="e">
        <f>+N136+M137</f>
        <v>#REF!</v>
      </c>
      <c r="O137" s="1041" t="e">
        <f t="shared" ref="O137:S137" si="63">+O136+N137</f>
        <v>#REF!</v>
      </c>
      <c r="P137" s="1041" t="e">
        <f t="shared" si="63"/>
        <v>#REF!</v>
      </c>
      <c r="Q137" s="1041" t="e">
        <f t="shared" si="63"/>
        <v>#REF!</v>
      </c>
      <c r="R137" s="1041" t="e">
        <f t="shared" si="63"/>
        <v>#REF!</v>
      </c>
      <c r="S137" s="1041" t="e">
        <f t="shared" si="63"/>
        <v>#REF!</v>
      </c>
      <c r="T137" s="1041" t="e">
        <f>+T136+S137-6</f>
        <v>#REF!</v>
      </c>
    </row>
    <row r="138" spans="4:22" ht="15.75" customHeight="1">
      <c r="D138" s="262"/>
      <c r="E138" s="965" t="s">
        <v>1225</v>
      </c>
      <c r="F138" s="966"/>
      <c r="G138" s="967"/>
      <c r="H138" s="217"/>
      <c r="I138" s="992"/>
      <c r="J138" s="968"/>
      <c r="K138" s="31"/>
      <c r="L138" s="915"/>
      <c r="M138" s="915"/>
      <c r="N138" s="915"/>
      <c r="O138" s="915"/>
      <c r="P138" s="915"/>
      <c r="Q138" s="915"/>
      <c r="R138" s="915"/>
      <c r="S138" s="915"/>
      <c r="T138" s="915"/>
      <c r="U138" s="915" t="s">
        <v>445</v>
      </c>
      <c r="V138" s="915" t="s">
        <v>445</v>
      </c>
    </row>
    <row r="139" spans="4:22" ht="11.25" customHeight="1">
      <c r="D139" s="218"/>
      <c r="E139" s="218"/>
      <c r="F139" s="218"/>
      <c r="G139" s="218"/>
      <c r="H139" s="214"/>
      <c r="I139" s="214"/>
      <c r="J139" s="214"/>
      <c r="K139" s="214"/>
      <c r="L139" s="214"/>
      <c r="M139" s="1132"/>
      <c r="N139" s="1133"/>
      <c r="O139" s="1133"/>
      <c r="P139" s="1133"/>
      <c r="Q139" s="1133"/>
      <c r="R139" s="1133"/>
      <c r="S139" s="1133"/>
      <c r="T139" s="1133"/>
    </row>
    <row r="140" spans="4:22" ht="9" customHeight="1">
      <c r="D140" s="218"/>
      <c r="E140" s="218"/>
      <c r="F140" s="218"/>
      <c r="G140" s="219"/>
      <c r="H140" s="214"/>
      <c r="I140" s="214"/>
      <c r="J140" s="214"/>
      <c r="K140" s="214"/>
      <c r="L140" s="214"/>
      <c r="M140" s="1132"/>
      <c r="N140" s="1133"/>
      <c r="O140" s="1133"/>
      <c r="P140" s="1133"/>
      <c r="Q140" s="1133"/>
      <c r="R140" s="1133"/>
      <c r="S140" s="1133"/>
      <c r="T140" s="1133"/>
    </row>
    <row r="141" spans="4:22">
      <c r="D141" s="218"/>
      <c r="E141" s="284"/>
      <c r="F141" s="218"/>
      <c r="G141" s="219"/>
      <c r="H141" s="214"/>
      <c r="I141" s="214"/>
      <c r="J141" s="214"/>
      <c r="K141" s="214"/>
      <c r="L141" s="214"/>
      <c r="M141" s="1132"/>
      <c r="N141" s="1133"/>
      <c r="O141" s="1133"/>
      <c r="P141" s="1133"/>
      <c r="Q141" s="1133"/>
      <c r="R141" s="1133"/>
      <c r="S141" s="1133"/>
      <c r="T141" s="1133"/>
    </row>
    <row r="142" spans="4:22">
      <c r="D142" s="218"/>
      <c r="E142" s="736" t="s">
        <v>685</v>
      </c>
      <c r="F142" s="218"/>
      <c r="G142" s="221"/>
      <c r="H142" s="214"/>
      <c r="I142" s="214"/>
      <c r="J142" s="214"/>
      <c r="K142" s="214"/>
      <c r="L142" s="214"/>
      <c r="M142" s="1132"/>
      <c r="N142" s="1133"/>
      <c r="O142" s="1133"/>
      <c r="P142" s="1133"/>
      <c r="Q142" s="1133"/>
      <c r="R142" s="1133"/>
      <c r="S142" s="1133"/>
      <c r="T142" s="1133"/>
    </row>
    <row r="143" spans="4:22">
      <c r="D143" s="218"/>
      <c r="E143" s="736" t="s">
        <v>686</v>
      </c>
      <c r="F143" s="218"/>
      <c r="G143" s="218"/>
      <c r="H143" s="214"/>
      <c r="I143" s="214"/>
      <c r="J143" s="214"/>
      <c r="K143" s="214"/>
      <c r="L143" s="214"/>
      <c r="M143" s="1132" t="s">
        <v>105</v>
      </c>
      <c r="N143" s="1133"/>
      <c r="O143" s="1133"/>
      <c r="P143" s="1133"/>
      <c r="Q143" s="1133"/>
      <c r="R143" s="1133"/>
      <c r="S143" s="1133"/>
      <c r="T143" s="1133"/>
    </row>
    <row r="144" spans="4:22">
      <c r="E144" s="285" t="s">
        <v>86</v>
      </c>
      <c r="H144" s="115"/>
      <c r="I144" s="214"/>
      <c r="J144" s="115"/>
      <c r="K144" s="115"/>
      <c r="L144" s="115"/>
      <c r="S144" s="137"/>
    </row>
    <row r="145" spans="5:16">
      <c r="H145" s="115"/>
      <c r="I145" s="214"/>
      <c r="J145" s="115"/>
      <c r="K145" s="115"/>
      <c r="L145" s="115"/>
    </row>
    <row r="146" spans="5:16">
      <c r="G146" s="764">
        <v>18518915444</v>
      </c>
      <c r="H146" s="115"/>
      <c r="I146" s="214"/>
      <c r="J146" s="115"/>
      <c r="K146" s="115"/>
      <c r="L146" s="115"/>
    </row>
    <row r="147" spans="5:16">
      <c r="G147" s="764" t="e">
        <f>G136-G146</f>
        <v>#REF!</v>
      </c>
      <c r="H147" s="115"/>
      <c r="I147" s="214"/>
      <c r="J147" s="115"/>
      <c r="K147" s="115"/>
      <c r="L147" s="115"/>
    </row>
    <row r="148" spans="5:16">
      <c r="F148" s="137"/>
      <c r="G148" s="137"/>
      <c r="H148" s="137"/>
      <c r="I148" s="993"/>
      <c r="J148" s="137"/>
      <c r="K148" s="137"/>
      <c r="L148" s="137"/>
      <c r="M148" s="137"/>
      <c r="N148" s="137"/>
      <c r="O148" s="137"/>
      <c r="P148" s="137"/>
    </row>
    <row r="149" spans="5:16">
      <c r="F149" s="137"/>
      <c r="G149" s="137"/>
      <c r="H149" s="137"/>
      <c r="I149" s="993"/>
      <c r="J149" s="137"/>
      <c r="K149" s="137"/>
      <c r="L149" s="137"/>
      <c r="M149" s="137"/>
      <c r="N149" s="137"/>
      <c r="O149" s="137"/>
      <c r="P149" s="137"/>
    </row>
    <row r="150" spans="5:16">
      <c r="F150" s="137"/>
      <c r="G150" s="137"/>
      <c r="H150" s="137"/>
      <c r="I150" s="993"/>
      <c r="J150" s="137"/>
      <c r="K150" s="137"/>
      <c r="L150" s="137"/>
      <c r="M150" s="137"/>
      <c r="N150" s="137"/>
      <c r="O150" s="137"/>
      <c r="P150" s="137"/>
    </row>
    <row r="151" spans="5:16">
      <c r="F151" s="137"/>
      <c r="G151" s="137"/>
      <c r="H151" s="137"/>
      <c r="I151" s="993"/>
      <c r="J151" s="137"/>
      <c r="K151" s="137"/>
      <c r="L151" s="137"/>
      <c r="M151" s="137"/>
      <c r="N151" s="137"/>
      <c r="O151" s="137"/>
      <c r="P151" s="137"/>
    </row>
    <row r="152" spans="5:16">
      <c r="F152" s="137"/>
      <c r="G152" s="137"/>
      <c r="H152" s="137"/>
      <c r="I152" s="993"/>
      <c r="J152" s="137"/>
      <c r="K152" s="137"/>
      <c r="L152" s="137"/>
      <c r="M152" s="137"/>
      <c r="N152" s="137"/>
      <c r="O152" s="137"/>
      <c r="P152" s="137"/>
    </row>
    <row r="153" spans="5:16">
      <c r="F153" s="137"/>
      <c r="G153" s="137"/>
      <c r="H153" s="137"/>
      <c r="I153" s="993"/>
      <c r="J153" s="137"/>
      <c r="K153" s="137"/>
      <c r="L153" s="137"/>
      <c r="M153" s="137"/>
      <c r="N153" s="137"/>
      <c r="O153" s="137"/>
      <c r="P153" s="137"/>
    </row>
    <row r="154" spans="5:16">
      <c r="E154" s="733"/>
      <c r="F154" s="733"/>
      <c r="G154" s="733"/>
      <c r="H154" s="137"/>
      <c r="I154" s="993"/>
      <c r="J154" s="137"/>
      <c r="K154" s="137"/>
      <c r="L154" s="137"/>
      <c r="M154" s="137"/>
      <c r="N154" s="137"/>
      <c r="O154" s="137"/>
      <c r="P154" s="137"/>
    </row>
    <row r="155" spans="5:16">
      <c r="E155" s="733"/>
      <c r="F155" s="733"/>
      <c r="G155" s="733"/>
      <c r="H155" s="137"/>
      <c r="I155" s="993"/>
      <c r="J155" s="137"/>
      <c r="K155" s="137"/>
      <c r="L155" s="137"/>
      <c r="M155" s="137"/>
      <c r="N155" s="137"/>
      <c r="O155" s="137"/>
      <c r="P155" s="137"/>
    </row>
    <row r="156" spans="5:16">
      <c r="E156" s="734"/>
      <c r="F156" s="734"/>
      <c r="G156" s="734"/>
      <c r="H156" s="137"/>
      <c r="I156" s="993"/>
      <c r="J156" s="137"/>
      <c r="K156" s="137"/>
      <c r="L156" s="137"/>
      <c r="M156" s="137"/>
      <c r="N156" s="137"/>
      <c r="O156" s="137"/>
      <c r="P156" s="137"/>
    </row>
    <row r="157" spans="5:16">
      <c r="E157" s="734"/>
      <c r="F157" s="734"/>
      <c r="G157" s="735"/>
      <c r="H157" s="137"/>
      <c r="I157" s="993"/>
      <c r="J157" s="137"/>
      <c r="K157" s="137"/>
      <c r="L157" s="137"/>
      <c r="M157" s="137"/>
      <c r="N157" s="137"/>
      <c r="O157" s="137"/>
      <c r="P157" s="137"/>
    </row>
    <row r="158" spans="5:16">
      <c r="E158" s="734"/>
      <c r="F158" s="734"/>
      <c r="G158" s="734"/>
      <c r="H158" s="137"/>
      <c r="I158" s="993"/>
      <c r="J158" s="137"/>
      <c r="K158" s="137"/>
      <c r="L158" s="137"/>
      <c r="M158" s="137"/>
      <c r="N158" s="137"/>
      <c r="O158" s="137"/>
      <c r="P158" s="137"/>
    </row>
    <row r="159" spans="5:16">
      <c r="E159" s="734"/>
      <c r="F159" s="734"/>
      <c r="G159" s="734"/>
      <c r="H159" s="137"/>
      <c r="I159" s="993"/>
      <c r="J159" s="137"/>
      <c r="K159" s="137"/>
      <c r="L159" s="137"/>
      <c r="M159" s="137"/>
      <c r="N159" s="137"/>
      <c r="O159" s="137"/>
      <c r="P159" s="137"/>
    </row>
    <row r="160" spans="5:16">
      <c r="E160" s="734"/>
      <c r="F160" s="734"/>
      <c r="G160" s="734"/>
      <c r="H160" s="137"/>
      <c r="I160" s="993"/>
      <c r="J160" s="137"/>
      <c r="K160" s="137"/>
      <c r="L160" s="137"/>
      <c r="M160" s="137"/>
      <c r="N160" s="137"/>
      <c r="O160" s="137"/>
      <c r="P160" s="137"/>
    </row>
    <row r="161" spans="5:16">
      <c r="E161" s="734"/>
      <c r="F161" s="734"/>
      <c r="G161" s="734"/>
      <c r="H161" s="137"/>
      <c r="I161" s="993"/>
      <c r="J161" s="137"/>
      <c r="K161" s="137"/>
      <c r="L161" s="137"/>
      <c r="M161" s="137"/>
      <c r="N161" s="137"/>
      <c r="O161" s="137"/>
      <c r="P161" s="137"/>
    </row>
    <row r="162" spans="5:16">
      <c r="E162" s="734"/>
      <c r="F162" s="734"/>
      <c r="G162" s="734"/>
      <c r="H162" s="137"/>
      <c r="I162" s="993"/>
      <c r="J162" s="137"/>
      <c r="K162" s="137"/>
      <c r="L162" s="137"/>
      <c r="M162" s="137"/>
      <c r="N162" s="137"/>
      <c r="O162" s="137"/>
      <c r="P162" s="137"/>
    </row>
    <row r="163" spans="5:16">
      <c r="F163" s="734"/>
      <c r="G163" s="734"/>
      <c r="H163" s="137"/>
      <c r="I163" s="993"/>
      <c r="J163" s="137"/>
      <c r="K163" s="137"/>
      <c r="L163" s="137"/>
      <c r="M163" s="137"/>
      <c r="N163" s="137"/>
      <c r="O163" s="137"/>
      <c r="P163" s="137"/>
    </row>
    <row r="164" spans="5:16">
      <c r="F164" s="137"/>
      <c r="G164" s="137"/>
      <c r="H164" s="137"/>
      <c r="I164" s="993"/>
      <c r="J164" s="137"/>
      <c r="K164" s="137"/>
      <c r="L164" s="137"/>
      <c r="M164" s="137"/>
      <c r="N164" s="137"/>
      <c r="O164" s="137"/>
      <c r="P164" s="137"/>
    </row>
    <row r="165" spans="5:16">
      <c r="F165" s="137"/>
      <c r="G165" s="137"/>
      <c r="H165" s="137"/>
      <c r="I165" s="993"/>
      <c r="J165" s="137"/>
      <c r="K165" s="137"/>
      <c r="L165" s="137"/>
      <c r="M165" s="137"/>
      <c r="N165" s="137"/>
      <c r="O165" s="137"/>
      <c r="P165" s="137"/>
    </row>
    <row r="166" spans="5:16">
      <c r="F166" s="137"/>
      <c r="G166" s="137"/>
      <c r="H166" s="137"/>
      <c r="I166" s="993"/>
      <c r="J166" s="137"/>
      <c r="K166" s="137"/>
      <c r="L166" s="137"/>
      <c r="M166" s="137"/>
      <c r="N166" s="137"/>
      <c r="O166" s="137"/>
      <c r="P166" s="137"/>
    </row>
    <row r="167" spans="5:16">
      <c r="F167" s="137"/>
      <c r="G167" s="137"/>
      <c r="H167" s="137"/>
      <c r="I167" s="993"/>
      <c r="J167" s="137"/>
      <c r="K167" s="137"/>
      <c r="L167" s="137"/>
      <c r="M167" s="137"/>
      <c r="N167" s="137"/>
      <c r="O167" s="137"/>
      <c r="P167" s="137"/>
    </row>
    <row r="168" spans="5:16">
      <c r="F168" s="137"/>
      <c r="G168" s="137"/>
      <c r="H168" s="137"/>
      <c r="I168" s="993"/>
      <c r="J168" s="137"/>
      <c r="K168" s="137"/>
      <c r="L168" s="137"/>
      <c r="M168" s="137"/>
      <c r="N168" s="137"/>
      <c r="O168" s="137"/>
      <c r="P168" s="137"/>
    </row>
    <row r="169" spans="5:16">
      <c r="F169" s="137"/>
      <c r="G169" s="137"/>
      <c r="H169" s="137"/>
      <c r="I169" s="993"/>
      <c r="J169" s="137"/>
      <c r="K169" s="137"/>
      <c r="L169" s="137"/>
      <c r="M169" s="137"/>
      <c r="N169" s="137"/>
      <c r="O169" s="137"/>
      <c r="P169" s="137"/>
    </row>
  </sheetData>
  <mergeCells count="23">
    <mergeCell ref="U5:V8"/>
    <mergeCell ref="E131:F131"/>
    <mergeCell ref="M5:T8"/>
    <mergeCell ref="D3:G4"/>
    <mergeCell ref="D5:G8"/>
    <mergeCell ref="I5:I11"/>
    <mergeCell ref="J5:J11"/>
    <mergeCell ref="K5:K11"/>
    <mergeCell ref="L5:L8"/>
    <mergeCell ref="E128:F128"/>
    <mergeCell ref="B11:C11"/>
    <mergeCell ref="E126:F126"/>
    <mergeCell ref="E127:F127"/>
    <mergeCell ref="E133:F133"/>
    <mergeCell ref="E136:F136"/>
    <mergeCell ref="M139:T142"/>
    <mergeCell ref="M143:T143"/>
    <mergeCell ref="E129:F129"/>
    <mergeCell ref="E130:F130"/>
    <mergeCell ref="E132:F132"/>
    <mergeCell ref="E137:G137"/>
    <mergeCell ref="E134:F134"/>
    <mergeCell ref="E135:F135"/>
  </mergeCells>
  <printOptions horizontalCentered="1"/>
  <pageMargins left="0" right="0" top="0.74803149606299213" bottom="0.55118110236220474" header="0.31496062992125984" footer="0.55118110236220474"/>
  <pageSetup scale="37" orientation="landscape" r:id="rId1"/>
  <headerFooter alignWithMargins="0"/>
  <rowBreaks count="1" manualBreakCount="1">
    <brk id="125" min="3" max="30" man="1"/>
  </rowBreaks>
  <drawing r:id="rId2"/>
  <extLst>
    <ext xmlns:x14="http://schemas.microsoft.com/office/spreadsheetml/2009/9/main" uri="{05C60535-1F16-4fd2-B633-F4F36F0B64E0}">
      <x14:sparklineGroups xmlns:xm="http://schemas.microsoft.com/office/excel/2006/main">
        <x14:sparklineGroup type="column" displayEmptyCellsAs="gap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FLUJO!M136:T136</xm:f>
              <xm:sqref>M139</xm:sqref>
            </x14:sparkline>
          </x14:sparklines>
        </x14:sparklineGroup>
      </x14:sparklineGroup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1">
    <tabColor rgb="FF92D050"/>
  </sheetPr>
  <dimension ref="A1:U38"/>
  <sheetViews>
    <sheetView view="pageBreakPreview" zoomScale="70" zoomScaleNormal="80" zoomScaleSheetLayoutView="70" workbookViewId="0">
      <selection activeCell="E121" sqref="E121"/>
    </sheetView>
  </sheetViews>
  <sheetFormatPr baseColWidth="10" defaultColWidth="11.42578125" defaultRowHeight="12.75"/>
  <cols>
    <col min="1" max="1" width="11.7109375" style="598" bestFit="1" customWidth="1"/>
    <col min="2" max="2" width="18.5703125" style="598" bestFit="1" customWidth="1"/>
    <col min="3" max="3" width="16.42578125" style="598" customWidth="1"/>
    <col min="4" max="4" width="20.140625" style="598" customWidth="1"/>
    <col min="5" max="5" width="26.5703125" style="598" customWidth="1"/>
    <col min="6" max="9" width="11.42578125" style="598"/>
    <col min="10" max="11" width="11.7109375" style="598" bestFit="1" customWidth="1"/>
    <col min="12" max="12" width="21.42578125" style="598" bestFit="1" customWidth="1"/>
    <col min="13" max="13" width="20.5703125" style="598" bestFit="1" customWidth="1"/>
    <col min="14" max="14" width="11.42578125" style="598"/>
    <col min="15" max="15" width="11.7109375" style="598" bestFit="1" customWidth="1"/>
    <col min="16" max="16" width="13.28515625" style="598" customWidth="1"/>
    <col min="17" max="17" width="14.85546875" style="598" customWidth="1"/>
    <col min="18" max="20" width="11.42578125" style="598"/>
    <col min="21" max="21" width="2.5703125" style="598" bestFit="1" customWidth="1"/>
    <col min="22" max="16384" width="11.42578125" style="598"/>
  </cols>
  <sheetData>
    <row r="1" spans="1:21" ht="18">
      <c r="A1" s="596"/>
      <c r="B1" s="597"/>
      <c r="C1" s="1175" t="s">
        <v>402</v>
      </c>
      <c r="D1" s="1176"/>
      <c r="E1" s="1176"/>
      <c r="F1" s="1176"/>
      <c r="G1" s="1176"/>
      <c r="H1" s="1176"/>
      <c r="I1" s="1176"/>
      <c r="J1" s="1176"/>
      <c r="K1" s="1176"/>
      <c r="L1" s="1176"/>
      <c r="M1" s="1176"/>
      <c r="N1" s="1176"/>
      <c r="O1" s="1176"/>
      <c r="P1" s="1176"/>
      <c r="Q1" s="1177"/>
      <c r="R1" s="1178" t="s">
        <v>403</v>
      </c>
      <c r="S1" s="1179" t="s">
        <v>404</v>
      </c>
      <c r="T1" s="1180"/>
      <c r="U1" s="1181"/>
    </row>
    <row r="2" spans="1:21" ht="18">
      <c r="A2" s="599"/>
      <c r="B2" s="600"/>
      <c r="C2" s="1185" t="s">
        <v>405</v>
      </c>
      <c r="D2" s="1186"/>
      <c r="E2" s="1186"/>
      <c r="F2" s="1186"/>
      <c r="G2" s="1186"/>
      <c r="H2" s="1186"/>
      <c r="I2" s="1186"/>
      <c r="J2" s="1186"/>
      <c r="K2" s="1186"/>
      <c r="L2" s="1186"/>
      <c r="M2" s="1186"/>
      <c r="N2" s="1186"/>
      <c r="O2" s="1186"/>
      <c r="P2" s="1186"/>
      <c r="Q2" s="1187"/>
      <c r="R2" s="1178"/>
      <c r="S2" s="1182"/>
      <c r="T2" s="1183"/>
      <c r="U2" s="1184"/>
    </row>
    <row r="3" spans="1:21" ht="18">
      <c r="A3" s="599"/>
      <c r="B3" s="600"/>
      <c r="C3" s="1185" t="s">
        <v>406</v>
      </c>
      <c r="D3" s="1186"/>
      <c r="E3" s="1186"/>
      <c r="F3" s="1186"/>
      <c r="G3" s="1186"/>
      <c r="H3" s="1186"/>
      <c r="I3" s="1186"/>
      <c r="J3" s="1186"/>
      <c r="K3" s="1186"/>
      <c r="L3" s="1186"/>
      <c r="M3" s="1186"/>
      <c r="N3" s="1186"/>
      <c r="O3" s="1186"/>
      <c r="P3" s="1186"/>
      <c r="Q3" s="1187"/>
      <c r="R3" s="1178" t="s">
        <v>407</v>
      </c>
      <c r="S3" s="1179">
        <v>2</v>
      </c>
      <c r="T3" s="1180"/>
      <c r="U3" s="1181"/>
    </row>
    <row r="4" spans="1:21" ht="18">
      <c r="A4" s="599"/>
      <c r="B4" s="600"/>
      <c r="C4" s="1185" t="s">
        <v>408</v>
      </c>
      <c r="D4" s="1186"/>
      <c r="E4" s="1186"/>
      <c r="F4" s="1186"/>
      <c r="G4" s="1186"/>
      <c r="H4" s="1186"/>
      <c r="I4" s="1186"/>
      <c r="J4" s="1186"/>
      <c r="K4" s="1186"/>
      <c r="L4" s="1186"/>
      <c r="M4" s="1186"/>
      <c r="N4" s="1186"/>
      <c r="O4" s="1186"/>
      <c r="P4" s="1186"/>
      <c r="Q4" s="1187"/>
      <c r="R4" s="1178"/>
      <c r="S4" s="1188"/>
      <c r="T4" s="1189"/>
      <c r="U4" s="1190"/>
    </row>
    <row r="5" spans="1:21" ht="18">
      <c r="A5" s="599"/>
      <c r="B5" s="600"/>
      <c r="C5" s="1185" t="s">
        <v>409</v>
      </c>
      <c r="D5" s="1186"/>
      <c r="E5" s="1186"/>
      <c r="F5" s="1186"/>
      <c r="G5" s="1186"/>
      <c r="H5" s="1186"/>
      <c r="I5" s="1186"/>
      <c r="J5" s="1186"/>
      <c r="K5" s="1186"/>
      <c r="L5" s="1186"/>
      <c r="M5" s="1186"/>
      <c r="N5" s="1186"/>
      <c r="O5" s="1186"/>
      <c r="P5" s="1186"/>
      <c r="Q5" s="1187"/>
      <c r="R5" s="1178"/>
      <c r="S5" s="1182"/>
      <c r="T5" s="1183"/>
      <c r="U5" s="1184"/>
    </row>
    <row r="6" spans="1:21" ht="18">
      <c r="A6" s="599"/>
      <c r="B6" s="600"/>
      <c r="C6" s="1185" t="s">
        <v>410</v>
      </c>
      <c r="D6" s="1186"/>
      <c r="E6" s="1186"/>
      <c r="F6" s="1186"/>
      <c r="G6" s="1186"/>
      <c r="H6" s="1186"/>
      <c r="I6" s="1186"/>
      <c r="J6" s="1186"/>
      <c r="K6" s="1186"/>
      <c r="L6" s="1186"/>
      <c r="M6" s="1186"/>
      <c r="N6" s="1186"/>
      <c r="O6" s="1186"/>
      <c r="P6" s="1186"/>
      <c r="Q6" s="1187"/>
      <c r="R6" s="1178" t="s">
        <v>411</v>
      </c>
      <c r="S6" s="1191">
        <v>1</v>
      </c>
      <c r="T6" s="1192" t="s">
        <v>412</v>
      </c>
      <c r="U6" s="1191">
        <v>1</v>
      </c>
    </row>
    <row r="7" spans="1:21" ht="53.25" customHeight="1">
      <c r="A7" s="1167" t="str">
        <f>PPTO!$D$3</f>
        <v>PRESUPUESTO
MUNICIPIO EL BAGRE (ANTIOQUIA).</v>
      </c>
      <c r="B7" s="1168"/>
      <c r="C7" s="1169" t="s">
        <v>1038</v>
      </c>
      <c r="D7" s="1170"/>
      <c r="E7" s="1170"/>
      <c r="F7" s="1170"/>
      <c r="G7" s="1170"/>
      <c r="H7" s="1170"/>
      <c r="I7" s="1170"/>
      <c r="J7" s="1170"/>
      <c r="K7" s="1170"/>
      <c r="L7" s="1170"/>
      <c r="M7" s="1170"/>
      <c r="N7" s="1170"/>
      <c r="O7" s="1170"/>
      <c r="P7" s="1170"/>
      <c r="Q7" s="1171"/>
      <c r="R7" s="1178"/>
      <c r="S7" s="1191"/>
      <c r="T7" s="1193"/>
      <c r="U7" s="1191"/>
    </row>
    <row r="8" spans="1:21">
      <c r="A8" s="601"/>
      <c r="B8" s="602"/>
      <c r="C8" s="603"/>
      <c r="D8" s="603"/>
      <c r="E8" s="603"/>
      <c r="F8" s="603"/>
      <c r="G8" s="603"/>
      <c r="H8" s="603"/>
      <c r="I8" s="603"/>
      <c r="J8" s="603"/>
      <c r="K8" s="603"/>
      <c r="L8" s="603"/>
      <c r="M8" s="603"/>
      <c r="N8" s="603"/>
      <c r="O8" s="602"/>
      <c r="P8" s="602"/>
      <c r="Q8" s="602"/>
      <c r="R8" s="602"/>
      <c r="S8" s="604"/>
      <c r="T8" s="604"/>
    </row>
    <row r="9" spans="1:21" ht="15.75">
      <c r="A9" s="605"/>
      <c r="B9" s="606"/>
      <c r="C9" s="607"/>
      <c r="D9" s="607"/>
      <c r="E9" s="607"/>
      <c r="F9" s="607"/>
      <c r="G9" s="607"/>
      <c r="H9" s="607"/>
      <c r="I9" s="607"/>
      <c r="J9" s="607"/>
      <c r="K9" s="607"/>
      <c r="L9" s="607"/>
      <c r="M9" s="607"/>
      <c r="N9" s="607"/>
      <c r="O9" s="606"/>
      <c r="P9" s="606"/>
      <c r="Q9" s="606"/>
      <c r="R9" s="606"/>
      <c r="S9" s="606"/>
      <c r="T9" s="606"/>
    </row>
    <row r="10" spans="1:21" ht="61.5" customHeight="1">
      <c r="A10" s="608" t="s">
        <v>413</v>
      </c>
      <c r="B10" s="1172" t="str">
        <f>PPTO!$D$5</f>
        <v>PROYECTO DE MEJORAMIENTO VIAL, ESPACIO PUBLICO Y OBRAS COMPLEMENTARIAS DE LA AVENIDA LA JUVENTUD Y TRAMOS ADYACENTES Y PRIORITARIOS DEL SECTOR URBANO EN EL MUNICIPIO EL BAGRE ANTIOQUIA.</v>
      </c>
      <c r="C10" s="1172"/>
      <c r="D10" s="1172"/>
      <c r="E10" s="1172"/>
      <c r="F10" s="1172"/>
      <c r="G10" s="1172"/>
      <c r="H10" s="1172"/>
      <c r="I10" s="1172"/>
      <c r="J10" s="1172"/>
      <c r="K10" s="1172"/>
      <c r="L10" s="1172"/>
      <c r="M10" s="1172"/>
      <c r="N10" s="609" t="s">
        <v>414</v>
      </c>
      <c r="O10" s="610" t="s">
        <v>415</v>
      </c>
      <c r="P10" s="606"/>
      <c r="Q10" s="606"/>
      <c r="R10" s="606"/>
      <c r="S10" s="606"/>
      <c r="T10" s="606"/>
    </row>
    <row r="11" spans="1:21" ht="24" customHeight="1">
      <c r="A11" s="608"/>
      <c r="B11" s="606"/>
      <c r="C11" s="611"/>
      <c r="D11" s="607"/>
      <c r="E11" s="607"/>
      <c r="F11" s="607"/>
      <c r="G11" s="607"/>
      <c r="H11" s="607"/>
      <c r="I11" s="607"/>
      <c r="J11" s="607"/>
      <c r="K11" s="609"/>
      <c r="L11" s="607"/>
      <c r="M11" s="607"/>
      <c r="N11" s="607"/>
      <c r="O11" s="606"/>
      <c r="P11" s="606"/>
      <c r="Q11" s="606"/>
      <c r="R11" s="606"/>
      <c r="S11" s="606"/>
      <c r="T11" s="606"/>
    </row>
    <row r="12" spans="1:21" ht="15.75">
      <c r="A12" s="605"/>
      <c r="B12" s="606"/>
      <c r="C12" s="607"/>
      <c r="D12" s="607"/>
      <c r="E12" s="607"/>
      <c r="F12" s="607"/>
      <c r="G12" s="607"/>
      <c r="H12" s="607"/>
      <c r="I12" s="607"/>
      <c r="J12" s="607"/>
      <c r="K12" s="612"/>
      <c r="L12" s="607"/>
      <c r="M12" s="607"/>
      <c r="N12" s="607"/>
      <c r="O12" s="606"/>
      <c r="P12" s="606"/>
      <c r="Q12" s="606"/>
      <c r="R12" s="606"/>
      <c r="S12" s="606"/>
      <c r="T12" s="606"/>
    </row>
    <row r="13" spans="1:21" ht="18.75" customHeight="1">
      <c r="A13" s="1173" t="s">
        <v>416</v>
      </c>
      <c r="B13" s="1166" t="s">
        <v>158</v>
      </c>
      <c r="C13" s="1166" t="s">
        <v>417</v>
      </c>
      <c r="D13" s="1166"/>
      <c r="E13" s="1166"/>
      <c r="F13" s="1166" t="s">
        <v>418</v>
      </c>
      <c r="G13" s="1166"/>
      <c r="H13" s="1166"/>
      <c r="I13" s="1166"/>
      <c r="J13" s="1174" t="s">
        <v>4</v>
      </c>
      <c r="K13" s="1174" t="s">
        <v>3</v>
      </c>
      <c r="L13" s="1174" t="s">
        <v>419</v>
      </c>
      <c r="M13" s="1174" t="s">
        <v>420</v>
      </c>
      <c r="N13" s="1166" t="s">
        <v>421</v>
      </c>
      <c r="O13" s="1166"/>
      <c r="P13" s="1166"/>
      <c r="Q13" s="1166"/>
      <c r="R13" s="1166" t="s">
        <v>422</v>
      </c>
      <c r="S13" s="1166" t="s">
        <v>423</v>
      </c>
      <c r="T13" s="1166"/>
    </row>
    <row r="14" spans="1:21" ht="45" customHeight="1">
      <c r="A14" s="1173"/>
      <c r="B14" s="1166"/>
      <c r="C14" s="613" t="s">
        <v>424</v>
      </c>
      <c r="D14" s="613" t="s">
        <v>425</v>
      </c>
      <c r="E14" s="613" t="s">
        <v>426</v>
      </c>
      <c r="F14" s="613" t="s">
        <v>427</v>
      </c>
      <c r="G14" s="613" t="s">
        <v>428</v>
      </c>
      <c r="H14" s="613" t="s">
        <v>429</v>
      </c>
      <c r="I14" s="613" t="s">
        <v>430</v>
      </c>
      <c r="J14" s="1174"/>
      <c r="K14" s="1174"/>
      <c r="L14" s="1174"/>
      <c r="M14" s="1174"/>
      <c r="N14" s="614" t="s">
        <v>431</v>
      </c>
      <c r="O14" s="614" t="s">
        <v>432</v>
      </c>
      <c r="P14" s="614" t="s">
        <v>433</v>
      </c>
      <c r="Q14" s="614" t="s">
        <v>434</v>
      </c>
      <c r="R14" s="1166"/>
      <c r="S14" s="1166"/>
      <c r="T14" s="1166"/>
    </row>
    <row r="15" spans="1:21" ht="60">
      <c r="A15" s="615">
        <v>1</v>
      </c>
      <c r="B15" s="616" t="s">
        <v>435</v>
      </c>
      <c r="C15" s="617" t="s">
        <v>436</v>
      </c>
      <c r="D15" s="617" t="s">
        <v>437</v>
      </c>
      <c r="E15" s="617" t="s">
        <v>438</v>
      </c>
      <c r="F15" s="615" t="s">
        <v>439</v>
      </c>
      <c r="G15" s="615" t="s">
        <v>439</v>
      </c>
      <c r="H15" s="615" t="s">
        <v>439</v>
      </c>
      <c r="I15" s="615"/>
      <c r="J15" s="615">
        <f>INTERV!I13</f>
        <v>8</v>
      </c>
      <c r="K15" s="615" t="s">
        <v>23</v>
      </c>
      <c r="L15" s="618">
        <v>2200000</v>
      </c>
      <c r="M15" s="618">
        <f t="shared" ref="M15:M20" si="0">L15*J15</f>
        <v>17600000</v>
      </c>
      <c r="N15" s="615" t="s">
        <v>440</v>
      </c>
      <c r="O15" s="619">
        <v>0.3</v>
      </c>
      <c r="P15" s="615"/>
      <c r="Q15" s="615"/>
      <c r="R15" s="615"/>
      <c r="S15" s="1158" t="s">
        <v>441</v>
      </c>
      <c r="T15" s="1158"/>
    </row>
    <row r="16" spans="1:21" ht="150">
      <c r="A16" s="615">
        <v>2</v>
      </c>
      <c r="B16" s="616" t="s">
        <v>442</v>
      </c>
      <c r="C16" s="617" t="s">
        <v>443</v>
      </c>
      <c r="D16" s="617" t="s">
        <v>444</v>
      </c>
      <c r="E16" s="765" t="s">
        <v>726</v>
      </c>
      <c r="F16" s="615" t="s">
        <v>445</v>
      </c>
      <c r="G16" s="615" t="s">
        <v>445</v>
      </c>
      <c r="H16" s="615" t="s">
        <v>445</v>
      </c>
      <c r="I16" s="615"/>
      <c r="J16" s="615">
        <f t="shared" ref="J16:J21" si="1">J15</f>
        <v>8</v>
      </c>
      <c r="K16" s="615" t="s">
        <v>23</v>
      </c>
      <c r="L16" s="618">
        <v>1000000</v>
      </c>
      <c r="M16" s="618">
        <f t="shared" si="0"/>
        <v>8000000</v>
      </c>
      <c r="N16" s="615" t="s">
        <v>440</v>
      </c>
      <c r="O16" s="615"/>
      <c r="P16" s="615"/>
      <c r="Q16" s="615"/>
      <c r="R16" s="615"/>
      <c r="S16" s="1158" t="s">
        <v>441</v>
      </c>
      <c r="T16" s="1158"/>
    </row>
    <row r="17" spans="1:20" ht="75" customHeight="1">
      <c r="A17" s="1160">
        <v>3</v>
      </c>
      <c r="B17" s="616" t="s">
        <v>442</v>
      </c>
      <c r="C17" s="1164" t="s">
        <v>443</v>
      </c>
      <c r="D17" s="617" t="s">
        <v>446</v>
      </c>
      <c r="E17" s="615" t="s">
        <v>447</v>
      </c>
      <c r="F17" s="615" t="s">
        <v>439</v>
      </c>
      <c r="G17" s="615" t="s">
        <v>439</v>
      </c>
      <c r="H17" s="615"/>
      <c r="I17" s="615"/>
      <c r="J17" s="615">
        <f t="shared" si="1"/>
        <v>8</v>
      </c>
      <c r="K17" s="615" t="s">
        <v>23</v>
      </c>
      <c r="L17" s="618">
        <v>250000</v>
      </c>
      <c r="M17" s="618">
        <f t="shared" si="0"/>
        <v>2000000</v>
      </c>
      <c r="N17" s="615" t="s">
        <v>440</v>
      </c>
      <c r="O17" s="615"/>
      <c r="P17" s="615"/>
      <c r="Q17" s="615"/>
      <c r="R17" s="615"/>
      <c r="S17" s="1158" t="str">
        <f>+S16</f>
        <v>Registro fotografico; Actas</v>
      </c>
      <c r="T17" s="1158"/>
    </row>
    <row r="18" spans="1:20" ht="84.75" customHeight="1">
      <c r="A18" s="1161"/>
      <c r="B18" s="620" t="s">
        <v>448</v>
      </c>
      <c r="C18" s="1165"/>
      <c r="D18" s="621" t="s">
        <v>449</v>
      </c>
      <c r="E18" s="622" t="s">
        <v>450</v>
      </c>
      <c r="F18" s="615" t="s">
        <v>439</v>
      </c>
      <c r="G18" s="615" t="s">
        <v>439</v>
      </c>
      <c r="H18" s="615"/>
      <c r="I18" s="615"/>
      <c r="J18" s="615">
        <f t="shared" si="1"/>
        <v>8</v>
      </c>
      <c r="K18" s="615" t="s">
        <v>23</v>
      </c>
      <c r="L18" s="618">
        <v>750000</v>
      </c>
      <c r="M18" s="618">
        <f t="shared" si="0"/>
        <v>6000000</v>
      </c>
      <c r="N18" s="615" t="s">
        <v>440</v>
      </c>
      <c r="O18" s="615"/>
      <c r="P18" s="615"/>
      <c r="Q18" s="615"/>
      <c r="R18" s="615"/>
      <c r="S18" s="1158" t="str">
        <f>+S17</f>
        <v>Registro fotografico; Actas</v>
      </c>
      <c r="T18" s="1158"/>
    </row>
    <row r="19" spans="1:20" ht="31.5" customHeight="1">
      <c r="A19" s="1160">
        <v>4</v>
      </c>
      <c r="B19" s="1162" t="s">
        <v>451</v>
      </c>
      <c r="C19" s="1164" t="s">
        <v>452</v>
      </c>
      <c r="D19" s="1164" t="s">
        <v>453</v>
      </c>
      <c r="E19" s="622" t="s">
        <v>454</v>
      </c>
      <c r="F19" s="615" t="s">
        <v>439</v>
      </c>
      <c r="G19" s="615" t="s">
        <v>439</v>
      </c>
      <c r="H19" s="615"/>
      <c r="I19" s="615"/>
      <c r="J19" s="615">
        <f t="shared" si="1"/>
        <v>8</v>
      </c>
      <c r="K19" s="615" t="s">
        <v>6</v>
      </c>
      <c r="L19" s="618">
        <v>1360000</v>
      </c>
      <c r="M19" s="618">
        <f t="shared" si="0"/>
        <v>10880000</v>
      </c>
      <c r="N19" s="615" t="s">
        <v>440</v>
      </c>
      <c r="O19" s="615"/>
      <c r="P19" s="615"/>
      <c r="Q19" s="615"/>
      <c r="R19" s="615"/>
      <c r="S19" s="1158" t="str">
        <f>+S18</f>
        <v>Registro fotografico; Actas</v>
      </c>
      <c r="T19" s="1158"/>
    </row>
    <row r="20" spans="1:20" ht="45" customHeight="1">
      <c r="A20" s="1161"/>
      <c r="B20" s="1163"/>
      <c r="C20" s="1165"/>
      <c r="D20" s="1165"/>
      <c r="E20" s="622" t="s">
        <v>455</v>
      </c>
      <c r="F20" s="615"/>
      <c r="G20" s="615"/>
      <c r="H20" s="615"/>
      <c r="I20" s="615"/>
      <c r="J20" s="615">
        <f t="shared" si="1"/>
        <v>8</v>
      </c>
      <c r="K20" s="615" t="s">
        <v>23</v>
      </c>
      <c r="L20" s="618">
        <v>350000</v>
      </c>
      <c r="M20" s="618">
        <f t="shared" si="0"/>
        <v>2800000</v>
      </c>
      <c r="N20" s="615" t="s">
        <v>440</v>
      </c>
      <c r="O20" s="615"/>
      <c r="P20" s="615"/>
      <c r="Q20" s="615"/>
      <c r="R20" s="615"/>
      <c r="S20" s="1158" t="str">
        <f>+S19</f>
        <v>Registro fotografico; Actas</v>
      </c>
      <c r="T20" s="1158"/>
    </row>
    <row r="21" spans="1:20" ht="33" customHeight="1">
      <c r="A21" s="615">
        <v>5</v>
      </c>
      <c r="B21" s="616" t="s">
        <v>456</v>
      </c>
      <c r="C21" s="617" t="s">
        <v>457</v>
      </c>
      <c r="D21" s="617" t="s">
        <v>458</v>
      </c>
      <c r="E21" s="617" t="s">
        <v>459</v>
      </c>
      <c r="F21" s="615" t="s">
        <v>439</v>
      </c>
      <c r="G21" s="615" t="s">
        <v>439</v>
      </c>
      <c r="H21" s="615"/>
      <c r="I21" s="615"/>
      <c r="J21" s="615">
        <f t="shared" si="1"/>
        <v>8</v>
      </c>
      <c r="K21" s="615" t="s">
        <v>23</v>
      </c>
      <c r="L21" s="618">
        <v>400000</v>
      </c>
      <c r="M21" s="618">
        <f>J21*L21</f>
        <v>3200000</v>
      </c>
      <c r="N21" s="615" t="s">
        <v>440</v>
      </c>
      <c r="O21" s="615"/>
      <c r="P21" s="615"/>
      <c r="Q21" s="615"/>
      <c r="R21" s="615"/>
      <c r="S21" s="1158" t="str">
        <f>S20</f>
        <v>Registro fotografico; Actas</v>
      </c>
      <c r="T21" s="1158"/>
    </row>
    <row r="22" spans="1:20" ht="63.75" customHeight="1">
      <c r="A22" s="615">
        <v>6</v>
      </c>
      <c r="B22" s="616" t="s">
        <v>456</v>
      </c>
      <c r="C22" s="617" t="s">
        <v>457</v>
      </c>
      <c r="D22" s="617" t="s">
        <v>458</v>
      </c>
      <c r="E22" s="617" t="s">
        <v>460</v>
      </c>
      <c r="F22" s="615" t="s">
        <v>439</v>
      </c>
      <c r="G22" s="615" t="s">
        <v>439</v>
      </c>
      <c r="H22" s="615"/>
      <c r="I22" s="615"/>
      <c r="J22" s="615">
        <v>5000</v>
      </c>
      <c r="K22" s="615" t="s">
        <v>7</v>
      </c>
      <c r="L22" s="618">
        <v>5500</v>
      </c>
      <c r="M22" s="618">
        <f>J22*L22</f>
        <v>27500000</v>
      </c>
      <c r="N22" s="615" t="s">
        <v>440</v>
      </c>
      <c r="O22" s="615"/>
      <c r="P22" s="615"/>
      <c r="Q22" s="615"/>
      <c r="R22" s="615"/>
      <c r="S22" s="1158" t="s">
        <v>461</v>
      </c>
      <c r="T22" s="1158"/>
    </row>
    <row r="23" spans="1:20" ht="63.75" customHeight="1">
      <c r="A23" s="1160">
        <v>7</v>
      </c>
      <c r="B23" s="1162" t="s">
        <v>462</v>
      </c>
      <c r="C23" s="1164" t="s">
        <v>463</v>
      </c>
      <c r="D23" s="1164" t="s">
        <v>463</v>
      </c>
      <c r="E23" s="622" t="s">
        <v>464</v>
      </c>
      <c r="F23" s="615"/>
      <c r="G23" s="615" t="s">
        <v>439</v>
      </c>
      <c r="H23" s="615"/>
      <c r="I23" s="615"/>
      <c r="J23" s="615">
        <v>4</v>
      </c>
      <c r="K23" s="615" t="s">
        <v>7</v>
      </c>
      <c r="L23" s="618">
        <v>400000</v>
      </c>
      <c r="M23" s="618">
        <f>J23*L23</f>
        <v>1600000</v>
      </c>
      <c r="N23" s="615" t="s">
        <v>440</v>
      </c>
      <c r="O23" s="615"/>
      <c r="P23" s="615"/>
      <c r="Q23" s="615"/>
      <c r="R23" s="615"/>
      <c r="S23" s="1158" t="s">
        <v>461</v>
      </c>
      <c r="T23" s="1158"/>
    </row>
    <row r="24" spans="1:20" ht="42" customHeight="1">
      <c r="A24" s="1161"/>
      <c r="B24" s="1163"/>
      <c r="C24" s="1165"/>
      <c r="D24" s="1165"/>
      <c r="E24" s="623" t="s">
        <v>465</v>
      </c>
      <c r="F24" s="615"/>
      <c r="G24" s="615" t="s">
        <v>439</v>
      </c>
      <c r="H24" s="615"/>
      <c r="I24" s="615"/>
      <c r="J24" s="615">
        <v>4</v>
      </c>
      <c r="K24" s="615" t="s">
        <v>7</v>
      </c>
      <c r="L24" s="618">
        <v>472036</v>
      </c>
      <c r="M24" s="618">
        <f>J24*L24</f>
        <v>1888144</v>
      </c>
      <c r="N24" s="615" t="s">
        <v>440</v>
      </c>
      <c r="O24" s="615"/>
      <c r="P24" s="615"/>
      <c r="Q24" s="615"/>
      <c r="R24" s="615"/>
      <c r="S24" s="1158" t="s">
        <v>461</v>
      </c>
      <c r="T24" s="1158"/>
    </row>
    <row r="25" spans="1:20" ht="15.75" customHeight="1">
      <c r="A25" s="1154" t="s">
        <v>466</v>
      </c>
      <c r="B25" s="1154"/>
      <c r="C25" s="1154"/>
      <c r="D25" s="1154"/>
      <c r="E25" s="1154"/>
      <c r="F25" s="1154"/>
      <c r="G25" s="1154"/>
      <c r="H25" s="1154"/>
      <c r="I25" s="1154"/>
      <c r="J25" s="1154"/>
      <c r="K25" s="1154"/>
      <c r="L25" s="1154"/>
      <c r="M25" s="618">
        <f>SUM(M15:M24)</f>
        <v>81468144</v>
      </c>
      <c r="N25" s="624"/>
      <c r="O25" s="624"/>
      <c r="P25" s="624"/>
      <c r="Q25" s="624"/>
      <c r="R25" s="606"/>
      <c r="S25" s="625"/>
      <c r="T25" s="625"/>
    </row>
    <row r="26" spans="1:20" ht="58.5" customHeight="1">
      <c r="A26" s="615">
        <v>8</v>
      </c>
      <c r="B26" s="1155" t="s">
        <v>467</v>
      </c>
      <c r="C26" s="1156"/>
      <c r="D26" s="1156"/>
      <c r="E26" s="1157"/>
      <c r="F26" s="615"/>
      <c r="G26" s="615"/>
      <c r="H26" s="615"/>
      <c r="I26" s="615"/>
      <c r="J26" s="615">
        <f>J15</f>
        <v>8</v>
      </c>
      <c r="K26" s="615" t="s">
        <v>6</v>
      </c>
      <c r="L26" s="618">
        <v>4500000</v>
      </c>
      <c r="M26" s="618">
        <f>J26*L26</f>
        <v>36000000</v>
      </c>
      <c r="N26" s="615" t="s">
        <v>440</v>
      </c>
      <c r="O26" s="615"/>
      <c r="P26" s="615"/>
      <c r="Q26" s="615"/>
      <c r="R26" s="615"/>
      <c r="S26" s="1158" t="s">
        <v>468</v>
      </c>
      <c r="T26" s="1158"/>
    </row>
    <row r="27" spans="1:20" ht="15.75" customHeight="1">
      <c r="A27" s="1154" t="s">
        <v>469</v>
      </c>
      <c r="B27" s="1154"/>
      <c r="C27" s="1154"/>
      <c r="D27" s="1154"/>
      <c r="E27" s="1154"/>
      <c r="F27" s="1154"/>
      <c r="G27" s="1154"/>
      <c r="H27" s="1154"/>
      <c r="I27" s="1154"/>
      <c r="J27" s="1154"/>
      <c r="K27" s="1154"/>
      <c r="L27" s="1154"/>
      <c r="M27" s="618">
        <f>M25+M26</f>
        <v>117468144</v>
      </c>
      <c r="N27" s="624"/>
      <c r="O27" s="624"/>
      <c r="P27" s="624"/>
      <c r="Q27" s="624"/>
      <c r="R27" s="606"/>
      <c r="S27" s="625"/>
      <c r="T27" s="625"/>
    </row>
    <row r="28" spans="1:20" ht="15.75" customHeight="1">
      <c r="A28" s="626" t="s">
        <v>470</v>
      </c>
      <c r="B28" s="626"/>
      <c r="C28" s="626"/>
      <c r="D28" s="626"/>
      <c r="E28" s="626"/>
      <c r="F28" s="626"/>
      <c r="G28" s="626"/>
      <c r="H28" s="626"/>
      <c r="I28" s="626"/>
      <c r="J28" s="626"/>
      <c r="K28" s="626"/>
      <c r="L28" s="626"/>
      <c r="M28" s="627"/>
      <c r="N28" s="628"/>
      <c r="O28" s="628"/>
      <c r="P28" s="628"/>
      <c r="Q28" s="628"/>
      <c r="R28" s="602"/>
      <c r="S28" s="629"/>
      <c r="T28" s="629"/>
    </row>
    <row r="29" spans="1:20" ht="15">
      <c r="A29" s="1159" t="s">
        <v>471</v>
      </c>
      <c r="B29" s="1159"/>
      <c r="C29" s="1159"/>
      <c r="D29" s="1159"/>
      <c r="E29" s="1159"/>
      <c r="F29" s="1159"/>
      <c r="G29" s="1159"/>
      <c r="H29" s="1159"/>
      <c r="I29" s="1159"/>
      <c r="J29" s="1159"/>
      <c r="K29" s="1159"/>
      <c r="L29" s="1159"/>
      <c r="M29" s="1159"/>
      <c r="N29" s="1159"/>
      <c r="O29" s="1159"/>
      <c r="P29" s="1159"/>
      <c r="Q29" s="1159"/>
      <c r="R29" s="1159"/>
      <c r="S29" s="1159"/>
      <c r="T29" s="1159"/>
    </row>
    <row r="30" spans="1:20" ht="20.25">
      <c r="D30" s="172"/>
      <c r="E30" s="630"/>
      <c r="F30" s="218"/>
      <c r="G30" s="631"/>
    </row>
    <row r="31" spans="1:20" ht="20.25">
      <c r="D31" s="172"/>
      <c r="E31" s="630"/>
      <c r="F31" s="218"/>
      <c r="G31" s="631"/>
    </row>
    <row r="32" spans="1:20" ht="18">
      <c r="D32" s="172"/>
      <c r="E32" s="632"/>
      <c r="F32" s="284"/>
      <c r="G32" s="633"/>
    </row>
    <row r="33" spans="1:13" ht="15.75">
      <c r="A33" s="1153"/>
      <c r="B33" s="1153"/>
      <c r="C33" s="1153"/>
      <c r="D33" s="172"/>
      <c r="E33" s="519"/>
      <c r="F33" s="736" t="s">
        <v>685</v>
      </c>
      <c r="G33" s="633"/>
    </row>
    <row r="34" spans="1:13" ht="15.75">
      <c r="A34" s="1153"/>
      <c r="B34" s="1153"/>
      <c r="C34" s="1153"/>
      <c r="D34" s="172"/>
      <c r="E34" s="519"/>
      <c r="F34" s="736" t="s">
        <v>686</v>
      </c>
      <c r="G34" s="633"/>
    </row>
    <row r="37" spans="1:13" ht="15">
      <c r="M37" s="634"/>
    </row>
    <row r="38" spans="1:13" ht="14.25">
      <c r="M38" s="635"/>
    </row>
  </sheetData>
  <mergeCells count="55">
    <mergeCell ref="C6:Q6"/>
    <mergeCell ref="R6:R7"/>
    <mergeCell ref="S6:S7"/>
    <mergeCell ref="T6:T7"/>
    <mergeCell ref="U6:U7"/>
    <mergeCell ref="C1:Q1"/>
    <mergeCell ref="R1:R2"/>
    <mergeCell ref="S1:U2"/>
    <mergeCell ref="C2:Q2"/>
    <mergeCell ref="C3:Q3"/>
    <mergeCell ref="R3:R5"/>
    <mergeCell ref="S3:U5"/>
    <mergeCell ref="C4:Q4"/>
    <mergeCell ref="C5:Q5"/>
    <mergeCell ref="N13:Q13"/>
    <mergeCell ref="R13:R14"/>
    <mergeCell ref="S13:T14"/>
    <mergeCell ref="A7:B7"/>
    <mergeCell ref="C7:Q7"/>
    <mergeCell ref="B10:M10"/>
    <mergeCell ref="A13:A14"/>
    <mergeCell ref="B13:B14"/>
    <mergeCell ref="C13:E13"/>
    <mergeCell ref="F13:I13"/>
    <mergeCell ref="J13:J14"/>
    <mergeCell ref="K13:K14"/>
    <mergeCell ref="L13:L14"/>
    <mergeCell ref="M13:M14"/>
    <mergeCell ref="S15:T15"/>
    <mergeCell ref="S16:T16"/>
    <mergeCell ref="A19:A20"/>
    <mergeCell ref="B19:B20"/>
    <mergeCell ref="C19:C20"/>
    <mergeCell ref="D19:D20"/>
    <mergeCell ref="S19:T19"/>
    <mergeCell ref="S20:T20"/>
    <mergeCell ref="A17:A18"/>
    <mergeCell ref="C17:C18"/>
    <mergeCell ref="S17:T17"/>
    <mergeCell ref="S18:T18"/>
    <mergeCell ref="S21:T21"/>
    <mergeCell ref="S22:T22"/>
    <mergeCell ref="A23:A24"/>
    <mergeCell ref="B23:B24"/>
    <mergeCell ref="C23:C24"/>
    <mergeCell ref="D23:D24"/>
    <mergeCell ref="S23:T23"/>
    <mergeCell ref="S24:T24"/>
    <mergeCell ref="A34:C34"/>
    <mergeCell ref="A25:L25"/>
    <mergeCell ref="B26:E26"/>
    <mergeCell ref="S26:T26"/>
    <mergeCell ref="A27:L27"/>
    <mergeCell ref="A29:T29"/>
    <mergeCell ref="A33:C33"/>
  </mergeCells>
  <printOptions horizontalCentered="1" verticalCentered="1"/>
  <pageMargins left="0.70866141732283472" right="0.70866141732283472" top="0.74803149606299213" bottom="0.74803149606299213" header="0" footer="0"/>
  <pageSetup scale="42" orientation="landscape" r:id="rId1"/>
  <ignoredErrors>
    <ignoredError sqref="M25" formula="1"/>
  </ignoredError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2">
    <tabColor rgb="FFFFC000"/>
  </sheetPr>
  <dimension ref="A1:P94"/>
  <sheetViews>
    <sheetView view="pageBreakPreview" workbookViewId="0">
      <selection activeCell="M11" sqref="M11"/>
    </sheetView>
  </sheetViews>
  <sheetFormatPr baseColWidth="10" defaultColWidth="11.42578125" defaultRowHeight="10.5"/>
  <cols>
    <col min="1" max="1" width="7.42578125" style="139" customWidth="1"/>
    <col min="2" max="2" width="23.28515625" style="138" customWidth="1"/>
    <col min="3" max="3" width="8.42578125" style="138" customWidth="1"/>
    <col min="4" max="4" width="13.7109375" style="138" customWidth="1"/>
    <col min="5" max="5" width="9.42578125" style="138" bestFit="1" customWidth="1"/>
    <col min="6" max="6" width="9" style="138" customWidth="1"/>
    <col min="7" max="7" width="8.140625" style="138" customWidth="1"/>
    <col min="8" max="8" width="16.7109375" style="138" customWidth="1"/>
    <col min="9" max="9" width="11.42578125" style="138"/>
    <col min="10" max="10" width="12.42578125" style="138" customWidth="1"/>
    <col min="11" max="11" width="12.28515625" style="138" bestFit="1" customWidth="1"/>
    <col min="12" max="12" width="2.5703125" style="138" customWidth="1"/>
    <col min="13" max="13" width="14.7109375" style="138" customWidth="1"/>
    <col min="14" max="14" width="22.42578125" style="138" customWidth="1"/>
    <col min="15" max="16384" width="11.42578125" style="138"/>
  </cols>
  <sheetData>
    <row r="1" spans="1:15" ht="23.25" customHeight="1">
      <c r="A1" s="1194" t="s">
        <v>1039</v>
      </c>
      <c r="B1" s="1194"/>
      <c r="C1" s="1194"/>
      <c r="D1" s="1194"/>
      <c r="E1" s="1194"/>
      <c r="F1" s="1194"/>
      <c r="G1" s="1194"/>
      <c r="H1" s="1194"/>
      <c r="I1" s="1194"/>
      <c r="J1" s="1194"/>
      <c r="K1" s="1194"/>
    </row>
    <row r="2" spans="1:15" ht="12" thickBot="1">
      <c r="J2" s="1195"/>
      <c r="K2" s="1195"/>
    </row>
    <row r="3" spans="1:15" ht="14.25" customHeight="1">
      <c r="A3" s="140"/>
      <c r="B3" s="141"/>
      <c r="C3" s="1196" t="str">
        <f>PPTO!$D$3</f>
        <v>PRESUPUESTO
MUNICIPIO EL BAGRE (ANTIOQUIA).</v>
      </c>
      <c r="D3" s="1197"/>
      <c r="E3" s="1197"/>
      <c r="F3" s="1197"/>
      <c r="G3" s="1197"/>
      <c r="H3" s="1197"/>
      <c r="I3" s="1197"/>
      <c r="J3" s="1197"/>
      <c r="K3" s="1198"/>
    </row>
    <row r="4" spans="1:15" ht="21.75" customHeight="1">
      <c r="A4" s="142"/>
      <c r="B4" s="143"/>
      <c r="C4" s="1199"/>
      <c r="D4" s="1200"/>
      <c r="E4" s="1200"/>
      <c r="F4" s="1200"/>
      <c r="G4" s="1200"/>
      <c r="H4" s="1200"/>
      <c r="I4" s="1200"/>
      <c r="J4" s="1200"/>
      <c r="K4" s="1201"/>
    </row>
    <row r="5" spans="1:15" ht="15.75" customHeight="1" thickBot="1">
      <c r="A5" s="142"/>
      <c r="B5" s="143"/>
      <c r="C5" s="1202"/>
      <c r="D5" s="1203"/>
      <c r="E5" s="1203"/>
      <c r="F5" s="1203"/>
      <c r="G5" s="1203"/>
      <c r="H5" s="1203"/>
      <c r="I5" s="1203"/>
      <c r="J5" s="1203"/>
      <c r="K5" s="1204"/>
      <c r="M5" s="138" t="s">
        <v>401</v>
      </c>
      <c r="N5" s="138">
        <v>10</v>
      </c>
    </row>
    <row r="6" spans="1:15" ht="21.75" customHeight="1" thickBot="1">
      <c r="A6" s="142"/>
      <c r="B6" s="143"/>
      <c r="C6" s="1205" t="s">
        <v>886</v>
      </c>
      <c r="D6" s="1206"/>
      <c r="E6" s="1206"/>
      <c r="F6" s="1206"/>
      <c r="G6" s="1206"/>
      <c r="H6" s="1206"/>
      <c r="I6" s="1206"/>
      <c r="J6" s="1206"/>
      <c r="K6" s="1207"/>
    </row>
    <row r="7" spans="1:15" ht="55.5" customHeight="1" thickBot="1">
      <c r="A7" s="144"/>
      <c r="B7" s="145"/>
      <c r="C7" s="1205" t="str">
        <f>PPTO!$D$5</f>
        <v>PROYECTO DE MEJORAMIENTO VIAL, ESPACIO PUBLICO Y OBRAS COMPLEMENTARIAS DE LA AVENIDA LA JUVENTUD Y TRAMOS ADYACENTES Y PRIORITARIOS DEL SECTOR URBANO EN EL MUNICIPIO EL BAGRE ANTIOQUIA.</v>
      </c>
      <c r="D7" s="1206"/>
      <c r="E7" s="1206"/>
      <c r="F7" s="1206"/>
      <c r="G7" s="1206"/>
      <c r="H7" s="1206"/>
      <c r="I7" s="1206"/>
      <c r="J7" s="1206"/>
      <c r="K7" s="1207"/>
      <c r="N7" s="138" t="s">
        <v>400</v>
      </c>
      <c r="O7" s="138">
        <v>828116</v>
      </c>
    </row>
    <row r="8" spans="1:15" ht="13.5" customHeight="1">
      <c r="A8" s="1214" t="str">
        <f>CONCATENATE("PLAN DE MANEJO DE TRAFICO PARA EL ",C7)</f>
        <v>PLAN DE MANEJO DE TRAFICO PARA EL PROYECTO DE MEJORAMIENTO VIAL, ESPACIO PUBLICO Y OBRAS COMPLEMENTARIAS DE LA AVENIDA LA JUVENTUD Y TRAMOS ADYACENTES Y PRIORITARIOS DEL SECTOR URBANO EN EL MUNICIPIO EL BAGRE ANTIOQUIA.</v>
      </c>
      <c r="B8" s="1215"/>
      <c r="C8" s="1215"/>
      <c r="D8" s="1215"/>
      <c r="E8" s="1215"/>
      <c r="F8" s="1215"/>
      <c r="G8" s="1215"/>
      <c r="H8" s="1215"/>
      <c r="I8" s="1215"/>
      <c r="J8" s="1215"/>
      <c r="K8" s="1216"/>
      <c r="N8" s="138" t="s">
        <v>399</v>
      </c>
      <c r="O8" s="138">
        <v>925148</v>
      </c>
    </row>
    <row r="9" spans="1:15" ht="14.25" customHeight="1">
      <c r="A9" s="1217"/>
      <c r="B9" s="1218"/>
      <c r="C9" s="1218"/>
      <c r="D9" s="1218"/>
      <c r="E9" s="1218"/>
      <c r="F9" s="1218"/>
      <c r="G9" s="1218"/>
      <c r="H9" s="1218"/>
      <c r="I9" s="1218"/>
      <c r="J9" s="1218"/>
      <c r="K9" s="1219"/>
    </row>
    <row r="10" spans="1:15" ht="36.75" customHeight="1" thickBot="1">
      <c r="A10" s="1220"/>
      <c r="B10" s="1221"/>
      <c r="C10" s="1221"/>
      <c r="D10" s="1221"/>
      <c r="E10" s="1221"/>
      <c r="F10" s="1221"/>
      <c r="G10" s="1221"/>
      <c r="H10" s="1221"/>
      <c r="I10" s="1221"/>
      <c r="J10" s="1221"/>
      <c r="K10" s="1222"/>
    </row>
    <row r="11" spans="1:15" ht="36" customHeight="1">
      <c r="A11" s="146" t="s">
        <v>10</v>
      </c>
      <c r="B11" s="1223" t="s">
        <v>87</v>
      </c>
      <c r="C11" s="1224"/>
      <c r="D11" s="147" t="s">
        <v>398</v>
      </c>
      <c r="E11" s="147" t="s">
        <v>89</v>
      </c>
      <c r="F11" s="147" t="s">
        <v>397</v>
      </c>
      <c r="G11" s="517" t="s">
        <v>396</v>
      </c>
      <c r="H11" s="147" t="s">
        <v>91</v>
      </c>
      <c r="I11" s="147" t="s">
        <v>92</v>
      </c>
      <c r="J11" s="147" t="s">
        <v>93</v>
      </c>
      <c r="K11" s="149" t="s">
        <v>85</v>
      </c>
    </row>
    <row r="12" spans="1:15" ht="15.75" customHeight="1">
      <c r="A12" s="150">
        <v>1</v>
      </c>
      <c r="B12" s="1225" t="s">
        <v>94</v>
      </c>
      <c r="C12" s="1226"/>
      <c r="D12" s="151"/>
      <c r="E12" s="151"/>
      <c r="F12" s="151"/>
      <c r="G12" s="151"/>
      <c r="H12" s="151"/>
      <c r="I12" s="151"/>
      <c r="J12" s="151"/>
      <c r="K12" s="152"/>
    </row>
    <row r="13" spans="1:15" ht="17.25" customHeight="1">
      <c r="A13" s="153">
        <f>A12+0.1</f>
        <v>1.1000000000000001</v>
      </c>
      <c r="B13" s="1227" t="s">
        <v>395</v>
      </c>
      <c r="C13" s="1228"/>
      <c r="D13" s="154">
        <v>6</v>
      </c>
      <c r="E13" s="155">
        <v>925148</v>
      </c>
      <c r="F13" s="594">
        <f>E13*50%</f>
        <v>462574</v>
      </c>
      <c r="G13" s="593">
        <v>0.44790000000000002</v>
      </c>
      <c r="H13" s="592">
        <v>1</v>
      </c>
      <c r="I13" s="155">
        <f>(E13+F13)*(1+G13)*H13</f>
        <v>2009283</v>
      </c>
      <c r="J13" s="154">
        <v>10</v>
      </c>
      <c r="K13" s="157">
        <f>D13*I13*J13</f>
        <v>120556980</v>
      </c>
    </row>
    <row r="14" spans="1:15" ht="16.5" customHeight="1">
      <c r="A14" s="158"/>
      <c r="B14" s="1208" t="s">
        <v>95</v>
      </c>
      <c r="C14" s="1209"/>
      <c r="D14" s="1209"/>
      <c r="E14" s="1209"/>
      <c r="F14" s="1209"/>
      <c r="G14" s="1209"/>
      <c r="H14" s="1209"/>
      <c r="I14" s="1210"/>
      <c r="J14" s="1211"/>
      <c r="K14" s="159">
        <f>SUM(K13:K13)</f>
        <v>120556980</v>
      </c>
      <c r="M14" s="160"/>
    </row>
    <row r="15" spans="1:15" s="511" customFormat="1" ht="23.25" customHeight="1">
      <c r="A15" s="161" t="s">
        <v>10</v>
      </c>
      <c r="B15" s="162" t="s">
        <v>96</v>
      </c>
      <c r="C15" s="163"/>
      <c r="D15" s="1212" t="s">
        <v>7</v>
      </c>
      <c r="E15" s="1213"/>
      <c r="F15" s="591"/>
      <c r="G15" s="1212" t="s">
        <v>88</v>
      </c>
      <c r="H15" s="1213"/>
      <c r="I15" s="1212" t="s">
        <v>394</v>
      </c>
      <c r="J15" s="1213"/>
      <c r="K15" s="164" t="s">
        <v>85</v>
      </c>
    </row>
    <row r="16" spans="1:15" ht="15.75" customHeight="1">
      <c r="A16" s="150">
        <v>2</v>
      </c>
      <c r="B16" s="590" t="s">
        <v>393</v>
      </c>
      <c r="C16" s="589"/>
      <c r="D16" s="589"/>
      <c r="E16" s="151"/>
      <c r="F16" s="151"/>
      <c r="G16" s="151"/>
      <c r="H16" s="151"/>
      <c r="I16" s="151"/>
      <c r="J16" s="151"/>
      <c r="K16" s="152"/>
    </row>
    <row r="17" spans="1:16" ht="18.75" customHeight="1">
      <c r="A17" s="153">
        <f>A16+0.1</f>
        <v>2.1</v>
      </c>
      <c r="B17" s="1232" t="s">
        <v>392</v>
      </c>
      <c r="C17" s="1233"/>
      <c r="D17" s="1234" t="s">
        <v>7</v>
      </c>
      <c r="E17" s="1235"/>
      <c r="F17" s="588"/>
      <c r="G17" s="1236">
        <f>D13*2</f>
        <v>12</v>
      </c>
      <c r="H17" s="1237"/>
      <c r="I17" s="1238">
        <v>80000</v>
      </c>
      <c r="J17" s="1239"/>
      <c r="K17" s="157">
        <f t="shared" ref="K17:K22" si="0">G17*I17</f>
        <v>960000</v>
      </c>
      <c r="M17" s="160"/>
    </row>
    <row r="18" spans="1:16" ht="27" customHeight="1">
      <c r="A18" s="153">
        <f>A17+0.1</f>
        <v>2.2000000000000002</v>
      </c>
      <c r="B18" s="1232" t="s">
        <v>391</v>
      </c>
      <c r="C18" s="1233"/>
      <c r="D18" s="1234" t="s">
        <v>7</v>
      </c>
      <c r="E18" s="1235"/>
      <c r="F18" s="588"/>
      <c r="G18" s="1236">
        <f>D13*7</f>
        <v>42</v>
      </c>
      <c r="H18" s="1237"/>
      <c r="I18" s="1238">
        <v>250000</v>
      </c>
      <c r="J18" s="1239"/>
      <c r="K18" s="157">
        <f t="shared" si="0"/>
        <v>10500000</v>
      </c>
      <c r="M18" s="160"/>
    </row>
    <row r="19" spans="1:16" ht="18.75" customHeight="1">
      <c r="A19" s="153">
        <f>A18+0.1</f>
        <v>2.2999999999999998</v>
      </c>
      <c r="B19" s="1232" t="s">
        <v>390</v>
      </c>
      <c r="C19" s="1233"/>
      <c r="D19" s="1234" t="s">
        <v>7</v>
      </c>
      <c r="E19" s="1235"/>
      <c r="F19" s="588"/>
      <c r="G19" s="1236">
        <f>D13*2</f>
        <v>12</v>
      </c>
      <c r="H19" s="1237"/>
      <c r="I19" s="1238">
        <v>250000</v>
      </c>
      <c r="J19" s="1239"/>
      <c r="K19" s="157">
        <f t="shared" si="0"/>
        <v>3000000</v>
      </c>
      <c r="M19" s="160"/>
    </row>
    <row r="20" spans="1:16" ht="18.75" customHeight="1">
      <c r="A20" s="153">
        <f>A19+0.1</f>
        <v>2.4</v>
      </c>
      <c r="B20" s="1232" t="s">
        <v>389</v>
      </c>
      <c r="C20" s="1233"/>
      <c r="D20" s="1234" t="s">
        <v>7</v>
      </c>
      <c r="E20" s="1235"/>
      <c r="F20" s="588"/>
      <c r="G20" s="1236">
        <f>D13*2</f>
        <v>12</v>
      </c>
      <c r="H20" s="1237"/>
      <c r="I20" s="1238">
        <v>250000</v>
      </c>
      <c r="J20" s="1239"/>
      <c r="K20" s="157">
        <f t="shared" si="0"/>
        <v>3000000</v>
      </c>
      <c r="M20" s="160"/>
    </row>
    <row r="21" spans="1:16" ht="18.75" customHeight="1">
      <c r="A21" s="153">
        <f>A20+0.1</f>
        <v>2.5</v>
      </c>
      <c r="B21" s="1232" t="s">
        <v>388</v>
      </c>
      <c r="C21" s="1233"/>
      <c r="D21" s="1234" t="s">
        <v>7</v>
      </c>
      <c r="E21" s="1235"/>
      <c r="F21" s="588"/>
      <c r="G21" s="1236">
        <f>D13/2*60*3/2</f>
        <v>270</v>
      </c>
      <c r="H21" s="1237"/>
      <c r="I21" s="1238">
        <v>85000</v>
      </c>
      <c r="J21" s="1239"/>
      <c r="K21" s="157">
        <f t="shared" si="0"/>
        <v>22950000</v>
      </c>
      <c r="M21" s="160"/>
    </row>
    <row r="22" spans="1:16" ht="24" customHeight="1">
      <c r="A22" s="153">
        <f>A18+0.1</f>
        <v>2.2999999999999998</v>
      </c>
      <c r="B22" s="1232" t="s">
        <v>387</v>
      </c>
      <c r="C22" s="1233"/>
      <c r="D22" s="1234" t="s">
        <v>7</v>
      </c>
      <c r="E22" s="1235"/>
      <c r="F22" s="588"/>
      <c r="G22" s="1236">
        <f>D13*4</f>
        <v>24</v>
      </c>
      <c r="H22" s="1237"/>
      <c r="I22" s="1238">
        <v>850000</v>
      </c>
      <c r="J22" s="1239"/>
      <c r="K22" s="157">
        <f t="shared" si="0"/>
        <v>20400000</v>
      </c>
      <c r="M22" s="160"/>
    </row>
    <row r="23" spans="1:16" ht="16.5" customHeight="1">
      <c r="A23" s="158"/>
      <c r="B23" s="1208" t="s">
        <v>386</v>
      </c>
      <c r="C23" s="1209"/>
      <c r="D23" s="1209"/>
      <c r="E23" s="1209"/>
      <c r="F23" s="1209"/>
      <c r="G23" s="1209"/>
      <c r="H23" s="1209"/>
      <c r="I23" s="1210"/>
      <c r="J23" s="1211"/>
      <c r="K23" s="159">
        <f>SUM(K17:K22)</f>
        <v>60810000</v>
      </c>
      <c r="M23" s="160"/>
    </row>
    <row r="24" spans="1:16" ht="6" customHeight="1">
      <c r="A24" s="158"/>
      <c r="B24" s="513"/>
      <c r="C24" s="514"/>
      <c r="D24" s="514"/>
      <c r="E24" s="514"/>
      <c r="F24" s="514"/>
      <c r="G24" s="514"/>
      <c r="H24" s="514"/>
      <c r="I24" s="515"/>
      <c r="J24" s="516"/>
      <c r="K24" s="159"/>
      <c r="M24" s="160"/>
    </row>
    <row r="25" spans="1:16" ht="23.25" customHeight="1" thickBot="1">
      <c r="A25" s="169"/>
      <c r="B25" s="1240" t="s">
        <v>33</v>
      </c>
      <c r="C25" s="1240"/>
      <c r="D25" s="1240"/>
      <c r="E25" s="1240"/>
      <c r="F25" s="1240"/>
      <c r="G25" s="1240"/>
      <c r="H25" s="1240"/>
      <c r="I25" s="1240"/>
      <c r="J25" s="1240"/>
      <c r="K25" s="170">
        <f>ROUND(K14+K23,0)</f>
        <v>181366980</v>
      </c>
      <c r="L25" s="160"/>
      <c r="M25" s="171"/>
      <c r="N25" s="160"/>
    </row>
    <row r="26" spans="1:16">
      <c r="A26" s="172"/>
      <c r="B26" s="173"/>
      <c r="C26" s="174"/>
      <c r="D26" s="174"/>
      <c r="E26" s="174"/>
      <c r="F26" s="174"/>
      <c r="G26" s="174"/>
      <c r="H26" s="174"/>
      <c r="I26" s="174"/>
      <c r="J26" s="173"/>
      <c r="K26" s="175"/>
      <c r="L26" s="176"/>
      <c r="N26" s="160"/>
      <c r="O26" s="160"/>
    </row>
    <row r="27" spans="1:16">
      <c r="A27" s="172"/>
      <c r="B27" s="173"/>
      <c r="C27" s="174"/>
      <c r="D27" s="174"/>
      <c r="E27" s="174"/>
      <c r="F27" s="174"/>
      <c r="G27" s="174"/>
      <c r="K27" s="175"/>
      <c r="N27" s="160"/>
    </row>
    <row r="28" spans="1:16" ht="20.25">
      <c r="A28" s="172"/>
      <c r="B28" s="218"/>
      <c r="C28" s="174"/>
      <c r="D28" s="174"/>
      <c r="E28" s="174"/>
      <c r="F28" s="174"/>
      <c r="G28" s="174"/>
      <c r="K28" s="175"/>
      <c r="N28" s="160"/>
    </row>
    <row r="29" spans="1:16" ht="21" thickBot="1">
      <c r="A29" s="172"/>
      <c r="B29" s="218"/>
      <c r="C29" s="174"/>
      <c r="D29" s="174"/>
      <c r="E29" s="174"/>
      <c r="F29" s="174"/>
      <c r="G29" s="174"/>
      <c r="K29" s="175"/>
      <c r="N29" s="160"/>
    </row>
    <row r="30" spans="1:16" ht="18">
      <c r="A30" s="172"/>
      <c r="B30" s="284"/>
      <c r="C30" s="174"/>
      <c r="D30" s="174"/>
      <c r="E30" s="174"/>
      <c r="F30" s="174"/>
      <c r="G30" s="174"/>
      <c r="H30" s="174"/>
      <c r="I30" s="174"/>
      <c r="J30" s="173"/>
      <c r="K30" s="175"/>
      <c r="N30" s="587"/>
      <c r="O30" s="586"/>
      <c r="P30" s="585"/>
    </row>
    <row r="31" spans="1:16" ht="15">
      <c r="A31" s="172"/>
      <c r="B31" s="736" t="s">
        <v>685</v>
      </c>
      <c r="C31" s="174"/>
      <c r="D31" s="174"/>
      <c r="E31" s="174"/>
      <c r="F31" s="174"/>
      <c r="G31" s="174"/>
      <c r="H31" s="174"/>
      <c r="I31" s="174"/>
      <c r="J31" s="173"/>
      <c r="K31" s="175"/>
      <c r="N31" s="584"/>
      <c r="O31" s="583"/>
      <c r="P31" s="582"/>
    </row>
    <row r="32" spans="1:16" ht="15.75" thickBot="1">
      <c r="A32" s="172"/>
      <c r="B32" s="736" t="s">
        <v>686</v>
      </c>
      <c r="C32" s="578"/>
      <c r="D32" s="578"/>
      <c r="E32" s="577"/>
      <c r="F32" s="577"/>
      <c r="G32" s="1230"/>
      <c r="H32" s="1230"/>
      <c r="I32" s="1230"/>
      <c r="J32" s="1230"/>
      <c r="K32" s="1230"/>
      <c r="N32" s="581"/>
      <c r="O32" s="580"/>
      <c r="P32" s="579"/>
    </row>
    <row r="33" spans="1:11" ht="15">
      <c r="A33" s="172"/>
      <c r="B33" s="578"/>
      <c r="C33" s="578"/>
      <c r="D33" s="578"/>
      <c r="E33" s="577"/>
      <c r="F33" s="577"/>
      <c r="G33" s="1229"/>
      <c r="H33" s="1229"/>
      <c r="I33" s="1229"/>
      <c r="J33" s="1229"/>
      <c r="K33" s="1229"/>
    </row>
    <row r="34" spans="1:11" ht="15">
      <c r="A34" s="172"/>
      <c r="B34" s="578"/>
      <c r="C34" s="578"/>
      <c r="D34" s="578"/>
      <c r="E34" s="577"/>
      <c r="F34" s="577"/>
      <c r="G34" s="1230"/>
      <c r="H34" s="1230"/>
      <c r="I34" s="1230"/>
      <c r="J34" s="1230"/>
      <c r="K34" s="1230"/>
    </row>
    <row r="35" spans="1:11">
      <c r="A35" s="172"/>
      <c r="B35" s="1231"/>
      <c r="C35" s="1231"/>
      <c r="D35" s="1231"/>
      <c r="E35" s="1231"/>
      <c r="F35" s="1231"/>
      <c r="G35" s="1231"/>
      <c r="H35" s="1231"/>
      <c r="I35" s="1231"/>
      <c r="J35" s="1231"/>
      <c r="K35" s="1231"/>
    </row>
    <row r="36" spans="1:11">
      <c r="A36" s="172"/>
      <c r="B36" s="1231"/>
      <c r="C36" s="1231"/>
      <c r="D36" s="1231"/>
      <c r="E36" s="1231"/>
      <c r="F36" s="1231"/>
      <c r="G36" s="1231"/>
      <c r="H36" s="1231"/>
      <c r="I36" s="1231"/>
      <c r="J36" s="1231"/>
      <c r="K36" s="1231"/>
    </row>
    <row r="37" spans="1:11" ht="11.25" customHeight="1">
      <c r="B37" s="1200"/>
      <c r="C37" s="1200"/>
      <c r="D37" s="1200"/>
      <c r="E37" s="1200"/>
      <c r="F37" s="1200"/>
      <c r="G37" s="1200"/>
      <c r="H37" s="1200"/>
      <c r="I37" s="1200"/>
      <c r="J37" s="1200"/>
      <c r="K37" s="1200"/>
    </row>
    <row r="38" spans="1:11">
      <c r="B38" s="177"/>
      <c r="C38" s="177"/>
      <c r="D38" s="177"/>
      <c r="E38" s="178"/>
      <c r="F38" s="178"/>
      <c r="G38" s="177"/>
      <c r="H38" s="177"/>
      <c r="I38" s="179"/>
      <c r="K38" s="160"/>
    </row>
    <row r="39" spans="1:11">
      <c r="B39" s="1241"/>
      <c r="C39" s="1241"/>
      <c r="D39" s="1241"/>
      <c r="E39" s="1241"/>
      <c r="F39" s="1241"/>
      <c r="G39" s="1241"/>
      <c r="H39" s="1241"/>
      <c r="I39" s="1241"/>
      <c r="J39" s="1241"/>
      <c r="K39" s="1241"/>
    </row>
    <row r="40" spans="1:11">
      <c r="B40" s="1241"/>
      <c r="C40" s="1241"/>
      <c r="D40" s="1241"/>
      <c r="E40" s="1241"/>
      <c r="F40" s="1241"/>
      <c r="G40" s="1241"/>
      <c r="H40" s="1241"/>
      <c r="I40" s="1241"/>
      <c r="J40" s="1241"/>
      <c r="K40" s="1241"/>
    </row>
    <row r="41" spans="1:11">
      <c r="B41" s="1241"/>
      <c r="C41" s="1241"/>
      <c r="D41" s="1241"/>
      <c r="E41" s="1241"/>
      <c r="F41" s="1241"/>
      <c r="G41" s="1241"/>
      <c r="H41" s="1241"/>
      <c r="I41" s="1241"/>
      <c r="J41" s="1241"/>
      <c r="K41" s="1241"/>
    </row>
    <row r="42" spans="1:11">
      <c r="B42" s="1241"/>
      <c r="C42" s="1241"/>
      <c r="D42" s="1241"/>
      <c r="E42" s="1241"/>
      <c r="F42" s="1241"/>
      <c r="G42" s="1241"/>
      <c r="H42" s="1241"/>
      <c r="I42" s="1241"/>
      <c r="J42" s="1241"/>
      <c r="K42" s="1241"/>
    </row>
    <row r="43" spans="1:11">
      <c r="B43" s="177"/>
      <c r="C43" s="177"/>
      <c r="D43" s="177"/>
      <c r="E43" s="178"/>
      <c r="F43" s="178"/>
      <c r="G43" s="177"/>
      <c r="H43" s="177"/>
      <c r="I43" s="179"/>
      <c r="K43" s="160"/>
    </row>
    <row r="44" spans="1:11">
      <c r="B44" s="512"/>
      <c r="K44" s="181"/>
    </row>
    <row r="45" spans="1:11" ht="25.5" customHeight="1">
      <c r="A45" s="1242"/>
      <c r="B45" s="1242"/>
      <c r="C45" s="1242"/>
      <c r="D45" s="1242"/>
      <c r="E45" s="1242"/>
      <c r="F45" s="1242"/>
      <c r="G45" s="1242"/>
      <c r="H45" s="1242"/>
      <c r="I45" s="1242"/>
      <c r="J45" s="1242"/>
      <c r="K45" s="1242"/>
    </row>
    <row r="46" spans="1:11">
      <c r="A46" s="182"/>
      <c r="B46" s="183"/>
      <c r="C46" s="184"/>
      <c r="D46" s="184"/>
      <c r="E46" s="184"/>
      <c r="F46" s="184"/>
      <c r="G46" s="184"/>
      <c r="H46" s="184"/>
      <c r="I46" s="184"/>
      <c r="J46" s="184"/>
      <c r="K46" s="185"/>
    </row>
    <row r="47" spans="1:11">
      <c r="A47" s="182"/>
      <c r="B47" s="184"/>
      <c r="C47" s="184"/>
      <c r="D47" s="184"/>
      <c r="E47" s="184"/>
      <c r="F47" s="184"/>
      <c r="G47" s="184"/>
      <c r="H47" s="184"/>
      <c r="I47" s="184"/>
      <c r="J47" s="184"/>
      <c r="K47" s="184"/>
    </row>
    <row r="48" spans="1:11">
      <c r="A48" s="182"/>
      <c r="B48" s="184"/>
      <c r="C48" s="184"/>
      <c r="D48" s="184"/>
      <c r="E48" s="184"/>
      <c r="F48" s="184"/>
      <c r="G48" s="184"/>
      <c r="H48" s="184"/>
      <c r="I48" s="184"/>
      <c r="J48" s="184"/>
      <c r="K48" s="184"/>
    </row>
    <row r="49" spans="2:11">
      <c r="C49" s="143"/>
      <c r="D49" s="143"/>
      <c r="E49" s="177"/>
      <c r="F49" s="177"/>
      <c r="G49" s="177"/>
      <c r="H49" s="177"/>
      <c r="I49" s="177"/>
      <c r="J49" s="177"/>
      <c r="K49" s="186"/>
    </row>
    <row r="50" spans="2:11">
      <c r="C50" s="143"/>
      <c r="D50" s="143"/>
      <c r="E50" s="177"/>
      <c r="F50" s="177"/>
      <c r="G50" s="177"/>
      <c r="H50" s="177"/>
      <c r="I50" s="177"/>
      <c r="J50" s="512"/>
      <c r="K50" s="187"/>
    </row>
    <row r="51" spans="2:11">
      <c r="C51" s="143"/>
      <c r="D51" s="1243"/>
      <c r="E51" s="1243"/>
      <c r="F51" s="1243"/>
      <c r="G51" s="1243"/>
      <c r="H51" s="1243"/>
      <c r="I51" s="177"/>
      <c r="J51" s="512"/>
      <c r="K51" s="187"/>
    </row>
    <row r="52" spans="2:11">
      <c r="C52" s="143"/>
      <c r="D52" s="143"/>
      <c r="E52" s="177"/>
      <c r="F52" s="177"/>
      <c r="G52" s="177"/>
      <c r="H52" s="177"/>
      <c r="I52" s="177"/>
      <c r="J52" s="512"/>
      <c r="K52" s="187"/>
    </row>
    <row r="53" spans="2:11">
      <c r="C53" s="143"/>
      <c r="D53" s="143"/>
      <c r="E53" s="177"/>
      <c r="F53" s="177"/>
      <c r="G53" s="177"/>
      <c r="H53" s="177"/>
      <c r="I53" s="177"/>
      <c r="J53" s="512"/>
      <c r="K53" s="187"/>
    </row>
    <row r="54" spans="2:11">
      <c r="E54" s="512"/>
      <c r="F54" s="512"/>
      <c r="G54" s="512"/>
      <c r="H54" s="512"/>
      <c r="I54" s="512"/>
      <c r="J54" s="512"/>
      <c r="K54" s="187"/>
    </row>
    <row r="55" spans="2:11">
      <c r="E55" s="512"/>
      <c r="F55" s="512"/>
      <c r="G55" s="512"/>
      <c r="H55" s="512"/>
      <c r="I55" s="512"/>
      <c r="J55" s="512"/>
      <c r="K55" s="187"/>
    </row>
    <row r="56" spans="2:11">
      <c r="G56" s="512"/>
      <c r="H56" s="512"/>
      <c r="I56" s="512"/>
      <c r="J56" s="512"/>
      <c r="K56" s="187"/>
    </row>
    <row r="57" spans="2:11">
      <c r="E57" s="512"/>
      <c r="F57" s="512"/>
      <c r="I57" s="188"/>
      <c r="K57" s="187"/>
    </row>
    <row r="58" spans="2:11">
      <c r="K58" s="187"/>
    </row>
    <row r="61" spans="2:11">
      <c r="B61" s="512"/>
      <c r="C61" s="512"/>
      <c r="D61" s="512"/>
      <c r="E61" s="512"/>
      <c r="F61" s="512"/>
      <c r="G61" s="512"/>
      <c r="H61" s="512"/>
      <c r="I61" s="512"/>
      <c r="J61" s="512"/>
      <c r="K61" s="512"/>
    </row>
    <row r="62" spans="2:11">
      <c r="B62" s="512"/>
      <c r="C62" s="512"/>
      <c r="D62" s="512"/>
      <c r="E62" s="512"/>
      <c r="F62" s="512"/>
      <c r="G62" s="512"/>
      <c r="H62" s="512"/>
      <c r="I62" s="512"/>
      <c r="J62" s="512"/>
      <c r="K62" s="512"/>
    </row>
    <row r="63" spans="2:11">
      <c r="B63" s="512"/>
      <c r="C63" s="512"/>
      <c r="D63" s="512"/>
      <c r="E63" s="512"/>
      <c r="F63" s="512"/>
      <c r="G63" s="512"/>
      <c r="H63" s="512"/>
      <c r="I63" s="512"/>
      <c r="J63" s="512"/>
      <c r="K63" s="512"/>
    </row>
    <row r="64" spans="2:11">
      <c r="B64" s="512"/>
      <c r="C64" s="512"/>
      <c r="D64" s="512"/>
      <c r="E64" s="512"/>
      <c r="F64" s="512"/>
      <c r="G64" s="512"/>
      <c r="H64" s="512"/>
      <c r="I64" s="512"/>
      <c r="J64" s="512"/>
      <c r="K64" s="512"/>
    </row>
    <row r="65" spans="2:11">
      <c r="B65" s="512"/>
      <c r="C65" s="512"/>
      <c r="D65" s="512"/>
      <c r="E65" s="512"/>
      <c r="F65" s="512"/>
      <c r="G65" s="512"/>
      <c r="H65" s="512"/>
      <c r="I65" s="512"/>
      <c r="J65" s="512"/>
      <c r="K65" s="512"/>
    </row>
    <row r="66" spans="2:11">
      <c r="B66" s="512"/>
      <c r="C66" s="512"/>
      <c r="D66" s="512"/>
      <c r="E66" s="512"/>
      <c r="F66" s="512"/>
      <c r="G66" s="512"/>
      <c r="H66" s="512"/>
      <c r="I66" s="512"/>
      <c r="J66" s="512"/>
      <c r="K66" s="512"/>
    </row>
    <row r="67" spans="2:11">
      <c r="B67" s="512"/>
      <c r="C67" s="512"/>
      <c r="D67" s="512"/>
      <c r="E67" s="512"/>
      <c r="F67" s="512"/>
      <c r="G67" s="512"/>
      <c r="H67" s="512"/>
      <c r="I67" s="512"/>
      <c r="J67" s="512"/>
      <c r="K67" s="512"/>
    </row>
    <row r="68" spans="2:11">
      <c r="B68" s="512"/>
      <c r="C68" s="512"/>
      <c r="D68" s="512"/>
      <c r="E68" s="512"/>
      <c r="F68" s="512"/>
      <c r="G68" s="512"/>
      <c r="H68" s="512"/>
      <c r="I68" s="512"/>
      <c r="J68" s="512"/>
      <c r="K68" s="512"/>
    </row>
    <row r="69" spans="2:11">
      <c r="B69" s="512"/>
      <c r="C69" s="512"/>
      <c r="D69" s="512"/>
      <c r="E69" s="512"/>
      <c r="F69" s="512"/>
      <c r="G69" s="512"/>
      <c r="H69" s="512"/>
      <c r="I69" s="512"/>
      <c r="J69" s="512"/>
      <c r="K69" s="512"/>
    </row>
    <row r="70" spans="2:11">
      <c r="B70" s="512"/>
      <c r="C70" s="512"/>
      <c r="D70" s="512"/>
      <c r="E70" s="512"/>
      <c r="F70" s="512"/>
      <c r="G70" s="512"/>
      <c r="H70" s="512"/>
      <c r="I70" s="512"/>
      <c r="J70" s="512"/>
      <c r="K70" s="512"/>
    </row>
    <row r="71" spans="2:11">
      <c r="B71" s="512"/>
      <c r="C71" s="512"/>
      <c r="D71" s="512"/>
      <c r="E71" s="512"/>
      <c r="F71" s="512"/>
      <c r="G71" s="512"/>
      <c r="H71" s="512"/>
      <c r="I71" s="512"/>
      <c r="J71" s="512"/>
      <c r="K71" s="512"/>
    </row>
    <row r="72" spans="2:11">
      <c r="B72" s="512"/>
      <c r="C72" s="512"/>
      <c r="D72" s="512"/>
      <c r="E72" s="512"/>
      <c r="F72" s="512"/>
      <c r="G72" s="512"/>
      <c r="H72" s="512"/>
      <c r="I72" s="512"/>
      <c r="J72" s="512"/>
      <c r="K72" s="512"/>
    </row>
    <row r="73" spans="2:11">
      <c r="B73" s="512"/>
      <c r="C73" s="512"/>
      <c r="D73" s="512"/>
      <c r="E73" s="512"/>
      <c r="F73" s="512"/>
      <c r="G73" s="512"/>
      <c r="H73" s="512"/>
      <c r="I73" s="512"/>
      <c r="J73" s="512"/>
      <c r="K73" s="512"/>
    </row>
    <row r="74" spans="2:11">
      <c r="B74" s="512"/>
      <c r="C74" s="512"/>
      <c r="D74" s="512"/>
      <c r="E74" s="512"/>
      <c r="F74" s="512"/>
      <c r="G74" s="512"/>
      <c r="H74" s="512"/>
      <c r="I74" s="512"/>
      <c r="J74" s="512"/>
      <c r="K74" s="512"/>
    </row>
    <row r="75" spans="2:11">
      <c r="B75" s="512"/>
      <c r="C75" s="512"/>
      <c r="D75" s="512"/>
      <c r="E75" s="512"/>
      <c r="F75" s="512"/>
      <c r="G75" s="512"/>
      <c r="H75" s="512"/>
      <c r="I75" s="512"/>
      <c r="J75" s="512"/>
      <c r="K75" s="512"/>
    </row>
    <row r="76" spans="2:11">
      <c r="B76" s="512"/>
      <c r="C76" s="512"/>
      <c r="D76" s="512"/>
      <c r="E76" s="512"/>
      <c r="F76" s="512"/>
      <c r="G76" s="512"/>
      <c r="H76" s="512"/>
      <c r="I76" s="512"/>
      <c r="J76" s="512"/>
      <c r="K76" s="512"/>
    </row>
    <row r="77" spans="2:11">
      <c r="B77" s="512"/>
      <c r="C77" s="512"/>
      <c r="D77" s="512"/>
      <c r="E77" s="512"/>
      <c r="F77" s="512"/>
      <c r="G77" s="512"/>
      <c r="H77" s="512"/>
      <c r="I77" s="512"/>
      <c r="J77" s="512"/>
      <c r="K77" s="512"/>
    </row>
    <row r="78" spans="2:11">
      <c r="B78" s="512"/>
      <c r="C78" s="512"/>
      <c r="D78" s="512"/>
      <c r="E78" s="512"/>
      <c r="F78" s="512"/>
      <c r="G78" s="512"/>
      <c r="H78" s="512"/>
      <c r="I78" s="512"/>
      <c r="J78" s="512"/>
      <c r="K78" s="512"/>
    </row>
    <row r="79" spans="2:11">
      <c r="B79" s="512"/>
      <c r="C79" s="512"/>
      <c r="D79" s="512"/>
      <c r="E79" s="512"/>
      <c r="F79" s="512"/>
      <c r="G79" s="512"/>
      <c r="H79" s="512"/>
      <c r="I79" s="512"/>
      <c r="J79" s="512"/>
      <c r="K79" s="512"/>
    </row>
    <row r="80" spans="2:11">
      <c r="B80" s="512"/>
      <c r="C80" s="512"/>
      <c r="D80" s="512"/>
      <c r="E80" s="512"/>
      <c r="F80" s="512"/>
      <c r="G80" s="512"/>
      <c r="H80" s="512"/>
      <c r="I80" s="512"/>
      <c r="J80" s="512"/>
      <c r="K80" s="512"/>
    </row>
    <row r="81" spans="2:11">
      <c r="B81" s="512"/>
      <c r="C81" s="512"/>
      <c r="D81" s="512"/>
      <c r="E81" s="512"/>
      <c r="F81" s="512"/>
      <c r="G81" s="512"/>
      <c r="H81" s="512"/>
      <c r="I81" s="512"/>
      <c r="J81" s="512"/>
      <c r="K81" s="512"/>
    </row>
    <row r="82" spans="2:11">
      <c r="B82" s="512"/>
      <c r="C82" s="512"/>
      <c r="D82" s="512"/>
      <c r="E82" s="512"/>
      <c r="F82" s="512"/>
      <c r="G82" s="512"/>
      <c r="H82" s="512"/>
      <c r="I82" s="512"/>
      <c r="J82" s="512"/>
      <c r="K82" s="512"/>
    </row>
    <row r="83" spans="2:11">
      <c r="B83" s="512"/>
      <c r="C83" s="512"/>
      <c r="D83" s="512"/>
      <c r="E83" s="512"/>
      <c r="F83" s="512"/>
      <c r="G83" s="512"/>
      <c r="H83" s="512"/>
      <c r="I83" s="512"/>
      <c r="J83" s="512"/>
      <c r="K83" s="512"/>
    </row>
    <row r="84" spans="2:11">
      <c r="B84" s="512"/>
      <c r="C84" s="512"/>
      <c r="D84" s="512"/>
      <c r="E84" s="512"/>
      <c r="F84" s="512"/>
      <c r="G84" s="512"/>
      <c r="H84" s="512"/>
      <c r="I84" s="512"/>
      <c r="J84" s="512"/>
      <c r="K84" s="512"/>
    </row>
    <row r="85" spans="2:11">
      <c r="B85" s="512"/>
      <c r="C85" s="512"/>
      <c r="D85" s="512"/>
      <c r="E85" s="512"/>
      <c r="F85" s="512"/>
      <c r="G85" s="512"/>
      <c r="H85" s="512"/>
      <c r="I85" s="512"/>
      <c r="J85" s="512"/>
      <c r="K85" s="512"/>
    </row>
    <row r="86" spans="2:11">
      <c r="B86" s="512"/>
      <c r="C86" s="512"/>
      <c r="D86" s="512"/>
      <c r="E86" s="512"/>
      <c r="F86" s="512"/>
      <c r="G86" s="512"/>
      <c r="H86" s="512"/>
      <c r="I86" s="512"/>
      <c r="J86" s="512"/>
      <c r="K86" s="512"/>
    </row>
    <row r="87" spans="2:11">
      <c r="B87" s="512"/>
      <c r="C87" s="512"/>
      <c r="D87" s="512"/>
      <c r="E87" s="512"/>
      <c r="F87" s="512"/>
      <c r="G87" s="512"/>
      <c r="H87" s="512"/>
      <c r="I87" s="512"/>
      <c r="J87" s="512"/>
      <c r="K87" s="512"/>
    </row>
    <row r="88" spans="2:11">
      <c r="B88" s="189"/>
      <c r="C88" s="512"/>
      <c r="D88" s="512"/>
      <c r="E88" s="512"/>
      <c r="F88" s="512"/>
      <c r="G88" s="512"/>
      <c r="H88" s="512"/>
      <c r="I88" s="512"/>
      <c r="J88" s="512"/>
      <c r="K88" s="512"/>
    </row>
    <row r="89" spans="2:11">
      <c r="B89" s="512"/>
      <c r="C89" s="512"/>
      <c r="D89" s="512"/>
      <c r="E89" s="512"/>
      <c r="F89" s="512"/>
      <c r="G89" s="512"/>
      <c r="H89" s="512"/>
      <c r="I89" s="512"/>
      <c r="J89" s="512"/>
      <c r="K89" s="512"/>
    </row>
    <row r="90" spans="2:11">
      <c r="B90" s="512"/>
      <c r="C90" s="512"/>
      <c r="D90" s="512"/>
      <c r="E90" s="512"/>
      <c r="F90" s="512"/>
      <c r="G90" s="512"/>
      <c r="H90" s="512"/>
      <c r="I90" s="512"/>
      <c r="J90" s="512"/>
      <c r="K90" s="512"/>
    </row>
    <row r="91" spans="2:11">
      <c r="B91" s="512"/>
      <c r="C91" s="512"/>
      <c r="D91" s="512"/>
      <c r="E91" s="512"/>
      <c r="F91" s="512"/>
      <c r="G91" s="512"/>
      <c r="H91" s="512"/>
      <c r="I91" s="512"/>
      <c r="J91" s="512"/>
      <c r="K91" s="512"/>
    </row>
    <row r="92" spans="2:11">
      <c r="B92" s="512"/>
      <c r="C92" s="512"/>
      <c r="D92" s="512"/>
      <c r="E92" s="512"/>
      <c r="F92" s="512"/>
      <c r="G92" s="512"/>
      <c r="H92" s="512"/>
      <c r="I92" s="512"/>
      <c r="J92" s="512"/>
      <c r="K92" s="512"/>
    </row>
    <row r="93" spans="2:11">
      <c r="B93" s="512"/>
      <c r="C93" s="512"/>
      <c r="D93" s="512"/>
      <c r="E93" s="512"/>
      <c r="F93" s="512"/>
      <c r="G93" s="512"/>
      <c r="H93" s="512"/>
      <c r="I93" s="512"/>
      <c r="J93" s="512"/>
      <c r="K93" s="512"/>
    </row>
    <row r="94" spans="2:11">
      <c r="B94" s="512"/>
      <c r="C94" s="512"/>
      <c r="D94" s="512"/>
      <c r="E94" s="512"/>
      <c r="F94" s="512"/>
      <c r="G94" s="512"/>
      <c r="H94" s="512"/>
      <c r="I94" s="512"/>
      <c r="J94" s="512"/>
      <c r="K94" s="512"/>
    </row>
  </sheetData>
  <mergeCells count="51">
    <mergeCell ref="B39:K39"/>
    <mergeCell ref="B41:K41"/>
    <mergeCell ref="B42:K42"/>
    <mergeCell ref="A45:K45"/>
    <mergeCell ref="D51:H51"/>
    <mergeCell ref="B40:K40"/>
    <mergeCell ref="D18:E18"/>
    <mergeCell ref="G18:H18"/>
    <mergeCell ref="I18:J18"/>
    <mergeCell ref="B22:C22"/>
    <mergeCell ref="I20:J20"/>
    <mergeCell ref="B21:C21"/>
    <mergeCell ref="D21:E21"/>
    <mergeCell ref="G21:H21"/>
    <mergeCell ref="I21:J21"/>
    <mergeCell ref="I22:J22"/>
    <mergeCell ref="B18:C18"/>
    <mergeCell ref="G32:K32"/>
    <mergeCell ref="B23:J23"/>
    <mergeCell ref="B17:C17"/>
    <mergeCell ref="D17:E17"/>
    <mergeCell ref="G17:H17"/>
    <mergeCell ref="I17:J17"/>
    <mergeCell ref="B25:J25"/>
    <mergeCell ref="B19:C19"/>
    <mergeCell ref="D19:E19"/>
    <mergeCell ref="G19:H19"/>
    <mergeCell ref="I19:J19"/>
    <mergeCell ref="B20:C20"/>
    <mergeCell ref="D20:E20"/>
    <mergeCell ref="G20:H20"/>
    <mergeCell ref="D22:E22"/>
    <mergeCell ref="G22:H22"/>
    <mergeCell ref="G33:K33"/>
    <mergeCell ref="G34:K34"/>
    <mergeCell ref="B35:K35"/>
    <mergeCell ref="B36:K36"/>
    <mergeCell ref="B37:K37"/>
    <mergeCell ref="B14:J14"/>
    <mergeCell ref="D15:E15"/>
    <mergeCell ref="G15:H15"/>
    <mergeCell ref="I15:J15"/>
    <mergeCell ref="A8:K10"/>
    <mergeCell ref="B11:C11"/>
    <mergeCell ref="B12:C12"/>
    <mergeCell ref="B13:C13"/>
    <mergeCell ref="A1:K1"/>
    <mergeCell ref="J2:K2"/>
    <mergeCell ref="C3:K5"/>
    <mergeCell ref="C6:K6"/>
    <mergeCell ref="C7:K7"/>
  </mergeCells>
  <printOptions horizontalCentered="1"/>
  <pageMargins left="0.78740157480314965" right="0.78740157480314965" top="0.78740157480314965" bottom="0.78740157480314965" header="0" footer="0"/>
  <pageSetup scale="66" orientation="portrait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tabColor theme="1"/>
  </sheetPr>
  <dimension ref="B1:N661"/>
  <sheetViews>
    <sheetView view="pageBreakPreview" zoomScaleNormal="100" zoomScaleSheetLayoutView="100" workbookViewId="0">
      <selection activeCell="E121" sqref="E121"/>
    </sheetView>
  </sheetViews>
  <sheetFormatPr baseColWidth="10" defaultColWidth="11.42578125" defaultRowHeight="15"/>
  <cols>
    <col min="1" max="1" width="2.85546875" style="196" customWidth="1"/>
    <col min="2" max="2" width="73.140625" style="196" customWidth="1"/>
    <col min="3" max="3" width="22.140625" style="196" customWidth="1"/>
    <col min="4" max="4" width="8.28515625" style="196" customWidth="1"/>
    <col min="5" max="5" width="11.28515625" style="196" customWidth="1"/>
    <col min="6" max="16384" width="11.42578125" style="196"/>
  </cols>
  <sheetData>
    <row r="1" spans="2:14" ht="7.5" customHeight="1"/>
    <row r="2" spans="2:14" ht="21.75" customHeight="1">
      <c r="B2" s="1261" t="s">
        <v>121</v>
      </c>
      <c r="C2" s="1261"/>
      <c r="D2" s="1261"/>
      <c r="E2" s="195"/>
      <c r="F2" s="195"/>
      <c r="G2" s="195"/>
      <c r="H2" s="195"/>
      <c r="I2" s="195"/>
      <c r="J2" s="195"/>
      <c r="K2" s="195"/>
      <c r="L2" s="195"/>
      <c r="M2" s="195"/>
      <c r="N2" s="195"/>
    </row>
    <row r="3" spans="2:14" ht="31.5" customHeight="1">
      <c r="B3" s="1262" t="s">
        <v>167</v>
      </c>
      <c r="C3" s="1263"/>
      <c r="D3" s="1263"/>
    </row>
    <row r="4" spans="2:14" ht="15.75">
      <c r="B4" s="1264" t="s">
        <v>173</v>
      </c>
      <c r="C4" s="1264"/>
      <c r="D4" s="1264"/>
    </row>
    <row r="5" spans="2:14" ht="15.75">
      <c r="B5" s="1250" t="s">
        <v>14</v>
      </c>
      <c r="C5" s="1251"/>
      <c r="D5" s="1252"/>
    </row>
    <row r="6" spans="2:14" ht="15.75">
      <c r="B6" s="313" t="s">
        <v>803</v>
      </c>
      <c r="C6" s="306">
        <v>0.22</v>
      </c>
      <c r="D6" s="204" t="s">
        <v>122</v>
      </c>
    </row>
    <row r="7" spans="2:14" ht="15.75">
      <c r="B7" s="313" t="s">
        <v>174</v>
      </c>
      <c r="C7" s="306">
        <v>0</v>
      </c>
      <c r="D7" s="204" t="s">
        <v>122</v>
      </c>
    </row>
    <row r="8" spans="2:14" ht="15.75">
      <c r="B8" s="313" t="s">
        <v>188</v>
      </c>
      <c r="C8" s="306">
        <v>0.2</v>
      </c>
      <c r="D8" s="204" t="s">
        <v>122</v>
      </c>
    </row>
    <row r="9" spans="2:14" ht="15.75">
      <c r="B9" s="313" t="s">
        <v>730</v>
      </c>
      <c r="C9" s="306">
        <v>0.3</v>
      </c>
      <c r="D9" s="204" t="s">
        <v>122</v>
      </c>
    </row>
    <row r="10" spans="2:14" ht="15.75">
      <c r="B10" s="323" t="s">
        <v>175</v>
      </c>
      <c r="C10" s="324">
        <f>SUM(C6:C9)</f>
        <v>0.72</v>
      </c>
      <c r="D10" s="325" t="s">
        <v>122</v>
      </c>
    </row>
    <row r="11" spans="2:14" ht="8.25" customHeight="1">
      <c r="B11" s="299"/>
      <c r="C11" s="300"/>
      <c r="D11" s="301"/>
    </row>
    <row r="12" spans="2:14" ht="15.75">
      <c r="B12" s="1250" t="s">
        <v>176</v>
      </c>
      <c r="C12" s="1251"/>
      <c r="D12" s="1252"/>
    </row>
    <row r="13" spans="2:14" ht="15.75">
      <c r="B13" s="313" t="s">
        <v>688</v>
      </c>
      <c r="C13" s="306">
        <v>0.15</v>
      </c>
      <c r="D13" s="204" t="s">
        <v>122</v>
      </c>
    </row>
    <row r="14" spans="2:14" ht="15.75">
      <c r="B14" s="313" t="s">
        <v>730</v>
      </c>
      <c r="C14" s="306">
        <v>0.3</v>
      </c>
      <c r="D14" s="204" t="s">
        <v>122</v>
      </c>
    </row>
    <row r="15" spans="2:14" ht="15.75">
      <c r="B15" s="323" t="s">
        <v>175</v>
      </c>
      <c r="C15" s="324">
        <f>SUM(C13:C14)</f>
        <v>0.45</v>
      </c>
      <c r="D15" s="325" t="s">
        <v>122</v>
      </c>
    </row>
    <row r="16" spans="2:14" ht="8.25" customHeight="1">
      <c r="B16" s="299"/>
      <c r="C16" s="300"/>
      <c r="D16" s="301"/>
    </row>
    <row r="17" spans="2:4" ht="15.75">
      <c r="B17" s="1250" t="s">
        <v>179</v>
      </c>
      <c r="C17" s="1251"/>
      <c r="D17" s="1252"/>
    </row>
    <row r="18" spans="2:4" ht="15.75">
      <c r="B18" s="313" t="s">
        <v>800</v>
      </c>
      <c r="C18" s="306">
        <v>3.5</v>
      </c>
      <c r="D18" s="204" t="s">
        <v>123</v>
      </c>
    </row>
    <row r="19" spans="2:4" ht="15.75" hidden="1">
      <c r="B19" s="1250" t="s">
        <v>215</v>
      </c>
      <c r="C19" s="1251"/>
      <c r="D19" s="1252"/>
    </row>
    <row r="20" spans="2:4" ht="18.75" hidden="1" customHeight="1">
      <c r="B20" s="342" t="s">
        <v>217</v>
      </c>
      <c r="C20" s="343" t="s">
        <v>216</v>
      </c>
      <c r="D20" s="344"/>
    </row>
    <row r="21" spans="2:4" ht="18.75" hidden="1" customHeight="1">
      <c r="B21" s="366">
        <v>10</v>
      </c>
      <c r="C21" s="367">
        <v>0</v>
      </c>
      <c r="D21" s="204" t="s">
        <v>122</v>
      </c>
    </row>
    <row r="22" spans="2:4" ht="18.75" hidden="1" customHeight="1">
      <c r="B22" s="366">
        <v>12</v>
      </c>
      <c r="C22" s="367">
        <v>0</v>
      </c>
      <c r="D22" s="204" t="s">
        <v>122</v>
      </c>
    </row>
    <row r="23" spans="2:4" ht="18.75" hidden="1" customHeight="1">
      <c r="B23" s="366">
        <v>14</v>
      </c>
      <c r="C23" s="367">
        <v>0</v>
      </c>
      <c r="D23" s="204" t="s">
        <v>122</v>
      </c>
    </row>
    <row r="24" spans="2:4" ht="18.75" hidden="1" customHeight="1">
      <c r="B24" s="366">
        <v>16</v>
      </c>
      <c r="C24" s="367">
        <v>0</v>
      </c>
      <c r="D24" s="204" t="s">
        <v>122</v>
      </c>
    </row>
    <row r="25" spans="2:4" ht="18.75" hidden="1" customHeight="1">
      <c r="B25" s="366">
        <v>18</v>
      </c>
      <c r="C25" s="367">
        <v>0</v>
      </c>
      <c r="D25" s="204" t="s">
        <v>122</v>
      </c>
    </row>
    <row r="26" spans="2:4" ht="18.75" hidden="1" customHeight="1">
      <c r="B26" s="366">
        <v>20</v>
      </c>
      <c r="C26" s="367">
        <v>0</v>
      </c>
      <c r="D26" s="204" t="s">
        <v>122</v>
      </c>
    </row>
    <row r="27" spans="2:4" ht="18.75" hidden="1" customHeight="1">
      <c r="B27" s="366">
        <v>24</v>
      </c>
      <c r="C27" s="367">
        <v>0</v>
      </c>
      <c r="D27" s="204" t="s">
        <v>122</v>
      </c>
    </row>
    <row r="28" spans="2:4" ht="18.75" hidden="1" customHeight="1">
      <c r="B28" s="366">
        <v>27</v>
      </c>
      <c r="C28" s="367">
        <v>0</v>
      </c>
      <c r="D28" s="204" t="s">
        <v>122</v>
      </c>
    </row>
    <row r="29" spans="2:4" ht="18.75" hidden="1" customHeight="1">
      <c r="B29" s="366">
        <v>30</v>
      </c>
      <c r="C29" s="367">
        <v>0</v>
      </c>
      <c r="D29" s="204" t="s">
        <v>122</v>
      </c>
    </row>
    <row r="30" spans="2:4" ht="18.75" hidden="1" customHeight="1">
      <c r="B30" s="366">
        <v>33</v>
      </c>
      <c r="C30" s="367">
        <v>0</v>
      </c>
      <c r="D30" s="204" t="s">
        <v>122</v>
      </c>
    </row>
    <row r="31" spans="2:4" ht="18.75" hidden="1" customHeight="1">
      <c r="B31" s="366">
        <v>36</v>
      </c>
      <c r="C31" s="367">
        <v>0</v>
      </c>
      <c r="D31" s="204" t="s">
        <v>122</v>
      </c>
    </row>
    <row r="32" spans="2:4" ht="18.75" hidden="1" customHeight="1">
      <c r="B32" s="366">
        <v>39</v>
      </c>
      <c r="C32" s="367">
        <v>0</v>
      </c>
      <c r="D32" s="204" t="s">
        <v>122</v>
      </c>
    </row>
    <row r="33" spans="2:4" ht="18.75" hidden="1" customHeight="1">
      <c r="B33" s="366">
        <v>42</v>
      </c>
      <c r="C33" s="367">
        <v>0</v>
      </c>
      <c r="D33" s="204" t="s">
        <v>122</v>
      </c>
    </row>
    <row r="34" spans="2:4" ht="18.75" hidden="1" customHeight="1">
      <c r="B34" s="366">
        <v>48</v>
      </c>
      <c r="C34" s="367">
        <v>0</v>
      </c>
      <c r="D34" s="204" t="s">
        <v>122</v>
      </c>
    </row>
    <row r="35" spans="2:4" ht="15.75">
      <c r="B35" s="1250" t="s">
        <v>218</v>
      </c>
      <c r="C35" s="1251"/>
      <c r="D35" s="1252"/>
    </row>
    <row r="36" spans="2:4" ht="18.75" customHeight="1">
      <c r="B36" s="342" t="s">
        <v>217</v>
      </c>
      <c r="C36" s="343" t="s">
        <v>216</v>
      </c>
      <c r="D36" s="344"/>
    </row>
    <row r="37" spans="2:4" ht="18.75" customHeight="1">
      <c r="B37" s="366">
        <v>8</v>
      </c>
      <c r="C37" s="367">
        <f>'CANT ALC'!B8</f>
        <v>2025.12</v>
      </c>
      <c r="D37" s="204" t="s">
        <v>122</v>
      </c>
    </row>
    <row r="38" spans="2:4" ht="18.75" customHeight="1">
      <c r="B38" s="366">
        <v>10</v>
      </c>
      <c r="C38" s="367">
        <f>'CANT ALC'!B9</f>
        <v>252.5</v>
      </c>
      <c r="D38" s="204" t="s">
        <v>122</v>
      </c>
    </row>
    <row r="39" spans="2:4" ht="18.75" customHeight="1">
      <c r="B39" s="366">
        <v>12</v>
      </c>
      <c r="C39" s="367">
        <f>'CANT ALC'!B10</f>
        <v>132.82</v>
      </c>
      <c r="D39" s="204" t="s">
        <v>122</v>
      </c>
    </row>
    <row r="40" spans="2:4" ht="18.75" customHeight="1">
      <c r="B40" s="366">
        <v>14</v>
      </c>
      <c r="C40" s="367">
        <f>'CANT ALC'!B11</f>
        <v>334.98</v>
      </c>
      <c r="D40" s="204" t="s">
        <v>122</v>
      </c>
    </row>
    <row r="41" spans="2:4" ht="18.75" customHeight="1">
      <c r="B41" s="366">
        <v>16</v>
      </c>
      <c r="C41" s="367">
        <f>'CANT ALC'!B12</f>
        <v>368.02</v>
      </c>
      <c r="D41" s="204" t="s">
        <v>122</v>
      </c>
    </row>
    <row r="42" spans="2:4" ht="18.75" customHeight="1">
      <c r="B42" s="366">
        <v>18</v>
      </c>
      <c r="C42" s="367">
        <f>'CANT ALC'!B13</f>
        <v>27.72</v>
      </c>
      <c r="D42" s="204" t="s">
        <v>122</v>
      </c>
    </row>
    <row r="43" spans="2:4" ht="18.75" customHeight="1">
      <c r="B43" s="366">
        <v>20</v>
      </c>
      <c r="C43" s="367">
        <f>'CANT ALC'!B14</f>
        <v>433.58</v>
      </c>
      <c r="D43" s="204" t="s">
        <v>122</v>
      </c>
    </row>
    <row r="44" spans="2:4" ht="15.75">
      <c r="B44" s="1250" t="s">
        <v>696</v>
      </c>
      <c r="C44" s="1251"/>
      <c r="D44" s="1252"/>
    </row>
    <row r="45" spans="2:4" ht="18.75" customHeight="1">
      <c r="B45" s="738" t="s">
        <v>4</v>
      </c>
      <c r="C45" s="739"/>
      <c r="D45" s="740"/>
    </row>
    <row r="46" spans="2:4" ht="18.75" customHeight="1">
      <c r="B46" s="366">
        <v>18</v>
      </c>
      <c r="C46" s="367"/>
      <c r="D46" s="204" t="s">
        <v>119</v>
      </c>
    </row>
    <row r="47" spans="2:4" ht="18.75" customHeight="1">
      <c r="B47" s="738" t="s">
        <v>217</v>
      </c>
      <c r="C47" s="739" t="s">
        <v>216</v>
      </c>
      <c r="D47" s="740"/>
    </row>
    <row r="48" spans="2:4" ht="18.75" customHeight="1">
      <c r="B48" s="366">
        <v>12</v>
      </c>
      <c r="C48" s="367">
        <f>B46*8</f>
        <v>144</v>
      </c>
      <c r="D48" s="204" t="s">
        <v>122</v>
      </c>
    </row>
    <row r="49" spans="2:6" ht="15.75">
      <c r="B49" s="1250" t="s">
        <v>887</v>
      </c>
      <c r="C49" s="1251"/>
      <c r="D49" s="1252"/>
    </row>
    <row r="50" spans="2:6" ht="18.75" customHeight="1">
      <c r="B50" s="878" t="s">
        <v>217</v>
      </c>
      <c r="C50" s="879" t="s">
        <v>216</v>
      </c>
      <c r="D50" s="880"/>
      <c r="F50" s="894" t="s">
        <v>888</v>
      </c>
    </row>
    <row r="51" spans="2:6" ht="18.75" hidden="1" customHeight="1">
      <c r="B51" s="893">
        <v>0.5</v>
      </c>
      <c r="C51" s="367">
        <v>0</v>
      </c>
      <c r="D51" s="204" t="s">
        <v>122</v>
      </c>
      <c r="F51" s="895">
        <f>B51*25.4</f>
        <v>13</v>
      </c>
    </row>
    <row r="52" spans="2:6" ht="18.75" hidden="1" customHeight="1">
      <c r="B52" s="893">
        <v>0.75</v>
      </c>
      <c r="C52" s="367">
        <v>0</v>
      </c>
      <c r="D52" s="204" t="s">
        <v>122</v>
      </c>
      <c r="F52" s="895">
        <f t="shared" ref="F52:F64" si="0">B52*25.4</f>
        <v>19</v>
      </c>
    </row>
    <row r="53" spans="2:6" ht="18.75" hidden="1" customHeight="1">
      <c r="B53" s="366">
        <v>1</v>
      </c>
      <c r="C53" s="367">
        <v>0</v>
      </c>
      <c r="D53" s="204" t="s">
        <v>122</v>
      </c>
      <c r="F53" s="895">
        <f t="shared" si="0"/>
        <v>25</v>
      </c>
    </row>
    <row r="54" spans="2:6" ht="18.75" hidden="1" customHeight="1">
      <c r="B54" s="893">
        <v>1.5</v>
      </c>
      <c r="C54" s="367">
        <v>0</v>
      </c>
      <c r="D54" s="204" t="s">
        <v>122</v>
      </c>
      <c r="F54" s="895">
        <f t="shared" si="0"/>
        <v>38</v>
      </c>
    </row>
    <row r="55" spans="2:6" ht="18.75" hidden="1" customHeight="1">
      <c r="B55" s="366">
        <v>2</v>
      </c>
      <c r="C55" s="367">
        <v>0</v>
      </c>
      <c r="D55" s="204" t="s">
        <v>122</v>
      </c>
      <c r="F55" s="895">
        <f t="shared" si="0"/>
        <v>51</v>
      </c>
    </row>
    <row r="56" spans="2:6" ht="18.75" customHeight="1">
      <c r="B56" s="366">
        <v>3</v>
      </c>
      <c r="C56" s="367">
        <f>ACUDT!G40</f>
        <v>1381.8</v>
      </c>
      <c r="D56" s="204" t="s">
        <v>122</v>
      </c>
      <c r="F56" s="895">
        <f t="shared" si="0"/>
        <v>76</v>
      </c>
    </row>
    <row r="57" spans="2:6" ht="18.75" customHeight="1">
      <c r="B57" s="366">
        <v>4</v>
      </c>
      <c r="C57" s="367">
        <f>ACUDT!G41</f>
        <v>654.5</v>
      </c>
      <c r="D57" s="204" t="s">
        <v>122</v>
      </c>
      <c r="F57" s="895">
        <f t="shared" si="0"/>
        <v>102</v>
      </c>
    </row>
    <row r="58" spans="2:6" ht="18.75" customHeight="1">
      <c r="B58" s="366">
        <v>6</v>
      </c>
      <c r="C58" s="367">
        <f>ACUDT!G42</f>
        <v>889.4</v>
      </c>
      <c r="D58" s="204" t="s">
        <v>122</v>
      </c>
      <c r="F58" s="895">
        <f t="shared" si="0"/>
        <v>152</v>
      </c>
    </row>
    <row r="59" spans="2:6" ht="18.75" hidden="1" customHeight="1">
      <c r="B59" s="366">
        <v>8</v>
      </c>
      <c r="C59" s="367">
        <v>0</v>
      </c>
      <c r="D59" s="204" t="s">
        <v>122</v>
      </c>
      <c r="F59" s="895">
        <f t="shared" si="0"/>
        <v>203</v>
      </c>
    </row>
    <row r="60" spans="2:6" ht="18.75" customHeight="1">
      <c r="B60" s="366">
        <v>10</v>
      </c>
      <c r="C60" s="367">
        <f>ACUDT!G43</f>
        <v>510.5</v>
      </c>
      <c r="D60" s="204" t="s">
        <v>122</v>
      </c>
      <c r="F60" s="895">
        <f t="shared" si="0"/>
        <v>254</v>
      </c>
    </row>
    <row r="61" spans="2:6" ht="18.75" hidden="1" customHeight="1">
      <c r="B61" s="366">
        <v>12</v>
      </c>
      <c r="C61" s="367">
        <v>0</v>
      </c>
      <c r="D61" s="204" t="s">
        <v>122</v>
      </c>
      <c r="F61" s="895">
        <f t="shared" si="0"/>
        <v>305</v>
      </c>
    </row>
    <row r="62" spans="2:6" ht="18.75" hidden="1" customHeight="1">
      <c r="B62" s="366">
        <v>14</v>
      </c>
      <c r="C62" s="367">
        <v>0</v>
      </c>
      <c r="D62" s="204" t="s">
        <v>122</v>
      </c>
      <c r="F62" s="895">
        <f t="shared" si="0"/>
        <v>356</v>
      </c>
    </row>
    <row r="63" spans="2:6" ht="18.75" hidden="1" customHeight="1">
      <c r="B63" s="366">
        <v>16</v>
      </c>
      <c r="C63" s="367">
        <v>0</v>
      </c>
      <c r="D63" s="204" t="s">
        <v>122</v>
      </c>
      <c r="F63" s="895">
        <f t="shared" si="0"/>
        <v>406</v>
      </c>
    </row>
    <row r="64" spans="2:6" ht="18.75" customHeight="1">
      <c r="B64" s="366">
        <v>18</v>
      </c>
      <c r="C64" s="367">
        <f>ACUDT!G44</f>
        <v>360</v>
      </c>
      <c r="D64" s="204" t="s">
        <v>122</v>
      </c>
      <c r="F64" s="895">
        <f t="shared" si="0"/>
        <v>457</v>
      </c>
    </row>
    <row r="65" spans="2:6" ht="18.75" customHeight="1">
      <c r="B65" s="366">
        <v>20</v>
      </c>
      <c r="C65" s="367">
        <v>0</v>
      </c>
      <c r="D65" s="204" t="s">
        <v>122</v>
      </c>
      <c r="F65" s="895">
        <f>B65*25.4</f>
        <v>508</v>
      </c>
    </row>
    <row r="66" spans="2:6" ht="18.75" customHeight="1">
      <c r="B66" s="891"/>
      <c r="C66" s="892"/>
      <c r="D66" s="309"/>
      <c r="F66" s="895"/>
    </row>
    <row r="67" spans="2:6" ht="18.75" customHeight="1">
      <c r="B67" s="891" t="s">
        <v>978</v>
      </c>
      <c r="C67" s="892">
        <f>ACUDT!D47</f>
        <v>72</v>
      </c>
      <c r="D67" s="309"/>
      <c r="F67" s="895"/>
    </row>
    <row r="68" spans="2:6" ht="18.75" customHeight="1">
      <c r="B68" s="891" t="s">
        <v>979</v>
      </c>
      <c r="C68" s="892">
        <f>ACUDT!D48</f>
        <v>78</v>
      </c>
      <c r="D68" s="309"/>
      <c r="F68" s="895"/>
    </row>
    <row r="69" spans="2:6" ht="8.25" customHeight="1">
      <c r="B69" s="299"/>
      <c r="C69" s="300"/>
      <c r="D69" s="301"/>
    </row>
    <row r="70" spans="2:6" ht="15.75">
      <c r="B70" s="878" t="s">
        <v>996</v>
      </c>
      <c r="C70" s="879" t="s">
        <v>284</v>
      </c>
      <c r="D70" s="880"/>
    </row>
    <row r="71" spans="2:6">
      <c r="B71" s="905" t="str">
        <f>ACUDT!B50</f>
        <v>TEE 4 x 3</v>
      </c>
      <c r="C71" s="905">
        <f>ACUDT!D50</f>
        <v>5</v>
      </c>
      <c r="D71" s="905"/>
    </row>
    <row r="72" spans="2:6">
      <c r="B72" s="905" t="str">
        <f>ACUDT!B51</f>
        <v>TEE 4 x 4</v>
      </c>
      <c r="C72" s="905">
        <f>ACUDT!D51</f>
        <v>3</v>
      </c>
      <c r="D72" s="905"/>
    </row>
    <row r="73" spans="2:6">
      <c r="B73" s="905" t="str">
        <f>ACUDT!B52</f>
        <v>TEE 3 x 3</v>
      </c>
      <c r="C73" s="905">
        <f>ACUDT!D52</f>
        <v>9</v>
      </c>
      <c r="D73" s="905"/>
    </row>
    <row r="74" spans="2:6">
      <c r="B74" s="905" t="str">
        <f>ACUDT!B53</f>
        <v>TEE 6 x 3</v>
      </c>
      <c r="C74" s="905">
        <f>ACUDT!D53</f>
        <v>11</v>
      </c>
      <c r="D74" s="905"/>
    </row>
    <row r="75" spans="2:6">
      <c r="B75" s="905" t="str">
        <f>ACUDT!B54</f>
        <v>TEE 6 x 4</v>
      </c>
      <c r="C75" s="905">
        <f>ACUDT!D54</f>
        <v>1</v>
      </c>
      <c r="D75" s="905"/>
    </row>
    <row r="76" spans="2:6">
      <c r="B76" s="905" t="str">
        <f>ACUDT!B55</f>
        <v>TEE 10 x 3</v>
      </c>
      <c r="C76" s="905">
        <f>ACUDT!D55</f>
        <v>8</v>
      </c>
      <c r="D76" s="905"/>
    </row>
    <row r="77" spans="2:6">
      <c r="B77" s="905"/>
      <c r="C77" s="905"/>
      <c r="D77" s="905"/>
    </row>
    <row r="78" spans="2:6">
      <c r="B78" s="905" t="s">
        <v>1004</v>
      </c>
      <c r="C78" s="905">
        <f>ACUDT!H40</f>
        <v>231</v>
      </c>
      <c r="D78" s="905"/>
    </row>
    <row r="79" spans="2:6">
      <c r="B79" s="905" t="s">
        <v>1005</v>
      </c>
      <c r="C79" s="905">
        <f>ACUDT!H41</f>
        <v>110</v>
      </c>
      <c r="D79" s="905"/>
    </row>
    <row r="80" spans="2:6">
      <c r="B80" s="905" t="s">
        <v>1006</v>
      </c>
      <c r="C80" s="905">
        <f>ACUDT!H42</f>
        <v>149</v>
      </c>
      <c r="D80" s="905"/>
    </row>
    <row r="81" spans="2:4">
      <c r="B81" s="905" t="s">
        <v>1007</v>
      </c>
      <c r="C81" s="905">
        <f>ACUDT!H43</f>
        <v>86</v>
      </c>
      <c r="D81" s="905"/>
    </row>
    <row r="82" spans="2:4">
      <c r="B82" s="905" t="s">
        <v>1008</v>
      </c>
      <c r="C82" s="905">
        <f>ACUDT!H44</f>
        <v>60</v>
      </c>
      <c r="D82" s="905"/>
    </row>
    <row r="83" spans="2:4">
      <c r="B83" s="905"/>
      <c r="C83" s="905"/>
      <c r="D83" s="905"/>
    </row>
    <row r="84" spans="2:4">
      <c r="B84" s="905" t="s">
        <v>1009</v>
      </c>
      <c r="C84" s="905">
        <f>ACUDT!I40</f>
        <v>7</v>
      </c>
      <c r="D84" s="905"/>
    </row>
    <row r="85" spans="2:4">
      <c r="B85" s="905" t="s">
        <v>1010</v>
      </c>
      <c r="C85" s="905">
        <f>ACUDT!I41</f>
        <v>4</v>
      </c>
      <c r="D85" s="905"/>
    </row>
    <row r="86" spans="2:4">
      <c r="B86" s="905" t="s">
        <v>1011</v>
      </c>
      <c r="C86" s="905">
        <f>ACUDT!I42</f>
        <v>5</v>
      </c>
      <c r="D86" s="905"/>
    </row>
    <row r="87" spans="2:4">
      <c r="B87" s="905" t="s">
        <v>1012</v>
      </c>
      <c r="C87" s="905">
        <f>ACUDT!I43</f>
        <v>3</v>
      </c>
      <c r="D87" s="905"/>
    </row>
    <row r="88" spans="2:4">
      <c r="B88" s="905" t="s">
        <v>1013</v>
      </c>
      <c r="C88" s="905">
        <f>ACUDT!I44</f>
        <v>2</v>
      </c>
      <c r="D88" s="905"/>
    </row>
    <row r="89" spans="2:4">
      <c r="B89" s="905"/>
      <c r="C89" s="905"/>
      <c r="D89" s="905"/>
    </row>
    <row r="90" spans="2:4">
      <c r="B90" s="905" t="str">
        <f>ACUDT!B58</f>
        <v>Reduccion 6 a 4</v>
      </c>
      <c r="C90" s="905">
        <f>ACUDT!E58</f>
        <v>6</v>
      </c>
      <c r="D90" s="905"/>
    </row>
    <row r="91" spans="2:4">
      <c r="B91" s="905" t="str">
        <f>ACUDT!B59</f>
        <v>Reduccion 4 a 3</v>
      </c>
      <c r="C91" s="905">
        <f>ACUDT!E59</f>
        <v>6</v>
      </c>
      <c r="D91" s="905"/>
    </row>
    <row r="92" spans="2:4">
      <c r="B92" s="905" t="str">
        <f>ACUDT!B60</f>
        <v>Reduccion 10 a 6</v>
      </c>
      <c r="C92" s="905">
        <f>ACUDT!E60</f>
        <v>6</v>
      </c>
      <c r="D92" s="905"/>
    </row>
    <row r="93" spans="2:4" ht="8.25" customHeight="1">
      <c r="B93" s="905"/>
      <c r="C93" s="905"/>
      <c r="D93" s="905"/>
    </row>
    <row r="94" spans="2:4" ht="24" customHeight="1">
      <c r="B94" s="1264" t="s">
        <v>168</v>
      </c>
      <c r="C94" s="1264"/>
      <c r="D94" s="1264"/>
    </row>
    <row r="95" spans="2:4" ht="18.75" customHeight="1">
      <c r="B95" s="1250" t="s">
        <v>744</v>
      </c>
      <c r="C95" s="1251"/>
      <c r="D95" s="1252"/>
    </row>
    <row r="96" spans="2:4" ht="30">
      <c r="B96" s="313" t="s">
        <v>745</v>
      </c>
      <c r="C96" s="306">
        <f>1692.44+34</f>
        <v>1726.44</v>
      </c>
      <c r="D96" s="204" t="s">
        <v>72</v>
      </c>
    </row>
    <row r="97" spans="2:8" ht="8.25" customHeight="1">
      <c r="B97" s="299"/>
      <c r="C97" s="300"/>
      <c r="D97" s="301"/>
    </row>
    <row r="98" spans="2:8" ht="18.75" customHeight="1">
      <c r="B98" s="1250" t="s">
        <v>731</v>
      </c>
      <c r="C98" s="1251"/>
      <c r="D98" s="1252"/>
    </row>
    <row r="99" spans="2:8" ht="18.75" customHeight="1">
      <c r="B99" s="768" t="s">
        <v>732</v>
      </c>
      <c r="C99" s="304">
        <v>119.92</v>
      </c>
      <c r="D99" s="305" t="s">
        <v>122</v>
      </c>
    </row>
    <row r="100" spans="2:8" ht="18.75" customHeight="1">
      <c r="B100" s="768" t="s">
        <v>733</v>
      </c>
      <c r="C100" s="304">
        <v>12</v>
      </c>
      <c r="D100" s="305" t="s">
        <v>122</v>
      </c>
      <c r="G100" s="196">
        <f>C99*C100</f>
        <v>1439.04</v>
      </c>
    </row>
    <row r="101" spans="2:8" ht="18.75" customHeight="1">
      <c r="B101" s="768" t="s">
        <v>734</v>
      </c>
      <c r="C101" s="304">
        <v>221.59</v>
      </c>
      <c r="D101" s="769" t="s">
        <v>122</v>
      </c>
    </row>
    <row r="102" spans="2:8" ht="18.75" customHeight="1">
      <c r="B102" s="768" t="s">
        <v>735</v>
      </c>
      <c r="C102" s="304">
        <v>8</v>
      </c>
      <c r="D102" s="769" t="s">
        <v>122</v>
      </c>
      <c r="G102" s="196">
        <f>C101*C102</f>
        <v>1772.72</v>
      </c>
    </row>
    <row r="103" spans="2:8" ht="18.75" customHeight="1">
      <c r="B103" s="768" t="s">
        <v>736</v>
      </c>
      <c r="C103" s="304">
        <v>523.77</v>
      </c>
      <c r="D103" s="769" t="s">
        <v>122</v>
      </c>
    </row>
    <row r="104" spans="2:8" ht="18.75" customHeight="1">
      <c r="B104" s="768" t="s">
        <v>737</v>
      </c>
      <c r="C104" s="304">
        <v>12</v>
      </c>
      <c r="D104" s="769" t="s">
        <v>122</v>
      </c>
      <c r="G104" s="196">
        <f>C103*C104</f>
        <v>6285.24</v>
      </c>
    </row>
    <row r="105" spans="2:8" ht="18.75" customHeight="1">
      <c r="B105" s="773" t="s">
        <v>741</v>
      </c>
      <c r="C105" s="304">
        <f>1152.41-455.1</f>
        <v>697.31</v>
      </c>
      <c r="D105" s="769" t="s">
        <v>72</v>
      </c>
    </row>
    <row r="106" spans="2:8" ht="18.75" customHeight="1">
      <c r="B106" s="773" t="s">
        <v>749</v>
      </c>
      <c r="C106" s="304">
        <f>-(54.67+62.94+57.47+143.31+44.1+29.33+25.11+39.84)</f>
        <v>-456.77</v>
      </c>
      <c r="D106" s="774" t="s">
        <v>72</v>
      </c>
    </row>
    <row r="107" spans="2:8" ht="18.75" customHeight="1">
      <c r="B107" s="205" t="s">
        <v>738</v>
      </c>
      <c r="C107" s="306">
        <f>10649.41-455.1+C106</f>
        <v>9737.5400000000009</v>
      </c>
      <c r="D107" s="204" t="s">
        <v>72</v>
      </c>
      <c r="G107" s="196">
        <f>SUM(G100:G104)</f>
        <v>9497</v>
      </c>
      <c r="H107" s="770">
        <f>C107-G107</f>
        <v>240.54</v>
      </c>
    </row>
    <row r="108" spans="2:8" ht="18.75" customHeight="1">
      <c r="B108" s="1250" t="s">
        <v>739</v>
      </c>
      <c r="C108" s="1251"/>
      <c r="D108" s="1252"/>
    </row>
    <row r="109" spans="2:8" ht="18.75" customHeight="1">
      <c r="B109" s="314" t="str">
        <f>CONCATENATE("Longitud ",$B$108)</f>
        <v>Longitud Via EJE No.1</v>
      </c>
      <c r="C109" s="304">
        <v>470.85</v>
      </c>
      <c r="D109" s="305" t="s">
        <v>122</v>
      </c>
    </row>
    <row r="110" spans="2:8" ht="18.75" customHeight="1">
      <c r="B110" s="314" t="str">
        <f>CONCATENATE("Ancho de calzada ",$B$108)</f>
        <v>Ancho de calzada Via EJE No.1</v>
      </c>
      <c r="C110" s="304">
        <v>6</v>
      </c>
      <c r="D110" s="305" t="s">
        <v>122</v>
      </c>
      <c r="G110" s="196">
        <f>C109*C110</f>
        <v>2825.1</v>
      </c>
      <c r="H110" s="770">
        <f>C112-G110</f>
        <v>519.83000000000004</v>
      </c>
    </row>
    <row r="111" spans="2:8" ht="18.75" customHeight="1">
      <c r="B111" s="773" t="s">
        <v>740</v>
      </c>
      <c r="C111" s="304">
        <v>519.83000000000004</v>
      </c>
      <c r="D111" s="769" t="s">
        <v>72</v>
      </c>
    </row>
    <row r="112" spans="2:8" ht="30">
      <c r="B112" s="313" t="str">
        <f>CONCATENATE("Area Total de Intervencion en Calzada de ",$B$108,"
(Fuente: Autocad; Hatch: Pavimento)")</f>
        <v>Area Total de Intervencion en Calzada de Via EJE No.1
(Fuente: Autocad; Hatch: Pavimento)</v>
      </c>
      <c r="C112" s="306">
        <v>3344.93</v>
      </c>
      <c r="D112" s="204" t="s">
        <v>72</v>
      </c>
    </row>
    <row r="113" spans="2:8" ht="18.75" customHeight="1">
      <c r="B113" s="1250" t="s">
        <v>742</v>
      </c>
      <c r="C113" s="1251"/>
      <c r="D113" s="1252"/>
    </row>
    <row r="114" spans="2:8" ht="18.75" customHeight="1">
      <c r="B114" s="314" t="str">
        <f>CONCATENATE("Longitud ",$B$113)</f>
        <v>Longitud Via EJE No.2</v>
      </c>
      <c r="C114" s="304">
        <v>280.55</v>
      </c>
      <c r="D114" s="305" t="s">
        <v>122</v>
      </c>
    </row>
    <row r="115" spans="2:8" ht="18.75" customHeight="1">
      <c r="B115" s="314" t="str">
        <f>CONCATENATE("Ancho de calzada ",$B$113)</f>
        <v>Ancho de calzada Via EJE No.2</v>
      </c>
      <c r="C115" s="304">
        <v>5</v>
      </c>
      <c r="D115" s="305" t="s">
        <v>122</v>
      </c>
      <c r="G115" s="196">
        <f>C114*C115</f>
        <v>1402.75</v>
      </c>
      <c r="H115" s="770">
        <f>C117-G115</f>
        <v>528.36</v>
      </c>
    </row>
    <row r="116" spans="2:8" ht="18.75" customHeight="1">
      <c r="B116" s="773" t="s">
        <v>743</v>
      </c>
      <c r="C116" s="304">
        <v>528.36</v>
      </c>
      <c r="D116" s="769" t="s">
        <v>72</v>
      </c>
    </row>
    <row r="117" spans="2:8" ht="30">
      <c r="B117" s="313" t="str">
        <f>CONCATENATE("Area Total de Intervencion en Calzada de ",$B$113,"
(Fuente: Autocad; Hatch: Pavimento)")</f>
        <v>Area Total de Intervencion en Calzada de Via EJE No.2
(Fuente: Autocad; Hatch: Pavimento)</v>
      </c>
      <c r="C117" s="306">
        <v>1931.11</v>
      </c>
      <c r="D117" s="204" t="s">
        <v>72</v>
      </c>
    </row>
    <row r="118" spans="2:8" ht="18.75" customHeight="1">
      <c r="B118" s="1250" t="s">
        <v>746</v>
      </c>
      <c r="C118" s="1251"/>
      <c r="D118" s="1252"/>
    </row>
    <row r="119" spans="2:8" ht="18.75" customHeight="1">
      <c r="B119" s="314" t="str">
        <f>CONCATENATE("Longitud ",$B$118)</f>
        <v>Longitud Via EJE No.101 (Detras del BancaMia)</v>
      </c>
      <c r="C119" s="304">
        <v>53.84</v>
      </c>
      <c r="D119" s="305" t="s">
        <v>122</v>
      </c>
    </row>
    <row r="120" spans="2:8" ht="18.75" customHeight="1">
      <c r="B120" s="314" t="str">
        <f>CONCATENATE("Ancho de calzada ",$B$118)</f>
        <v>Ancho de calzada Via EJE No.101 (Detras del BancaMia)</v>
      </c>
      <c r="C120" s="304">
        <v>3.5</v>
      </c>
      <c r="D120" s="305" t="s">
        <v>122</v>
      </c>
      <c r="G120" s="196">
        <f>C119*C120</f>
        <v>188.44</v>
      </c>
      <c r="H120" s="770">
        <f>C121-G120</f>
        <v>-1.06</v>
      </c>
    </row>
    <row r="121" spans="2:8" ht="30">
      <c r="B121" s="313" t="str">
        <f>CONCATENATE("Area Total de Intervencion en Calzada de ",$B$118,"
(Fuente: Autocad; Hatch: Pavimento)")</f>
        <v>Area Total de Intervencion en Calzada de Via EJE No.101 (Detras del BancaMia)
(Fuente: Autocad; Hatch: Pavimento)</v>
      </c>
      <c r="C121" s="306">
        <v>187.38</v>
      </c>
      <c r="D121" s="204" t="s">
        <v>72</v>
      </c>
    </row>
    <row r="122" spans="2:8" ht="18.75" customHeight="1">
      <c r="B122" s="1250" t="s">
        <v>747</v>
      </c>
      <c r="C122" s="1251"/>
      <c r="D122" s="1252"/>
    </row>
    <row r="123" spans="2:8" ht="18.75" customHeight="1">
      <c r="B123" s="314" t="str">
        <f>CONCATENATE("Longitud ",$B122)</f>
        <v>Longitud Via EJE No.301</v>
      </c>
      <c r="C123" s="304">
        <v>90.77</v>
      </c>
      <c r="D123" s="305" t="s">
        <v>122</v>
      </c>
    </row>
    <row r="124" spans="2:8" ht="18.75" customHeight="1">
      <c r="B124" s="314" t="str">
        <f>CONCATENATE("Ancho de calzada ",$B122)</f>
        <v>Ancho de calzada Via EJE No.301</v>
      </c>
      <c r="C124" s="304">
        <v>5</v>
      </c>
      <c r="D124" s="305" t="s">
        <v>122</v>
      </c>
      <c r="G124" s="196">
        <f>C123*C124</f>
        <v>453.85</v>
      </c>
      <c r="H124" s="770">
        <f>C126-G124</f>
        <v>109.97</v>
      </c>
    </row>
    <row r="125" spans="2:8" ht="18.75" customHeight="1">
      <c r="B125" s="773" t="s">
        <v>748</v>
      </c>
      <c r="C125" s="304">
        <v>108.72</v>
      </c>
      <c r="D125" s="769" t="s">
        <v>72</v>
      </c>
    </row>
    <row r="126" spans="2:8" ht="30">
      <c r="B126" s="313" t="str">
        <f>CONCATENATE("Area Total de Intervencion en Calzada de ",$B122,"
(Fuente: Autocad; Hatch: Pavimento)")</f>
        <v>Area Total de Intervencion en Calzada de Via EJE No.301
(Fuente: Autocad; Hatch: Pavimento)</v>
      </c>
      <c r="C126" s="306">
        <f>455.1+108.72</f>
        <v>563.82000000000005</v>
      </c>
      <c r="D126" s="204" t="s">
        <v>72</v>
      </c>
    </row>
    <row r="127" spans="2:8" ht="18.75" customHeight="1">
      <c r="B127" s="1250" t="s">
        <v>750</v>
      </c>
      <c r="C127" s="1251"/>
      <c r="D127" s="1252"/>
    </row>
    <row r="128" spans="2:8" ht="18.75" customHeight="1">
      <c r="B128" s="773" t="s">
        <v>751</v>
      </c>
      <c r="C128" s="304">
        <v>304.17</v>
      </c>
      <c r="D128" s="305" t="s">
        <v>122</v>
      </c>
    </row>
    <row r="129" spans="2:8" ht="18.75" customHeight="1">
      <c r="B129" s="773" t="s">
        <v>752</v>
      </c>
      <c r="C129" s="304">
        <v>5</v>
      </c>
      <c r="D129" s="305" t="s">
        <v>122</v>
      </c>
      <c r="G129" s="196">
        <f>C128*C129</f>
        <v>1520.85</v>
      </c>
      <c r="H129" s="770"/>
    </row>
    <row r="130" spans="2:8" ht="18.75" customHeight="1">
      <c r="B130" s="773" t="s">
        <v>753</v>
      </c>
      <c r="C130" s="304">
        <v>25.65</v>
      </c>
      <c r="D130" s="305" t="s">
        <v>122</v>
      </c>
    </row>
    <row r="131" spans="2:8" ht="18.75" customHeight="1">
      <c r="B131" s="773" t="s">
        <v>754</v>
      </c>
      <c r="C131" s="304">
        <v>5</v>
      </c>
      <c r="D131" s="305" t="s">
        <v>122</v>
      </c>
      <c r="G131" s="196">
        <f>C130*C131</f>
        <v>128.25</v>
      </c>
      <c r="H131" s="770"/>
    </row>
    <row r="132" spans="2:8" ht="18.75" customHeight="1">
      <c r="B132" s="773" t="s">
        <v>755</v>
      </c>
      <c r="C132" s="304">
        <v>694.3</v>
      </c>
      <c r="D132" s="769" t="s">
        <v>72</v>
      </c>
    </row>
    <row r="133" spans="2:8" ht="30">
      <c r="B133" s="313" t="str">
        <f>CONCATENATE("Area Total de Intervencion en Calzada de ",$B127,"
(Fuente: Autocad; Hatch: Pavimento)")</f>
        <v>Area Total de Intervencion en Calzada de Via EJE No. 401 y 402
(Fuente: Autocad; Hatch: Pavimento)</v>
      </c>
      <c r="C133" s="306">
        <f>1233.57+1109.83</f>
        <v>2343.4</v>
      </c>
      <c r="D133" s="204" t="s">
        <v>72</v>
      </c>
      <c r="G133" s="196">
        <f>SUM(G129:G132)</f>
        <v>1649.1</v>
      </c>
      <c r="H133" s="770">
        <f>C133-G133</f>
        <v>694.3</v>
      </c>
    </row>
    <row r="134" spans="2:8" ht="18.75" customHeight="1">
      <c r="B134" s="1250" t="s">
        <v>756</v>
      </c>
      <c r="C134" s="1251"/>
      <c r="D134" s="1252"/>
    </row>
    <row r="135" spans="2:8" ht="18.75" customHeight="1">
      <c r="B135" s="773" t="s">
        <v>757</v>
      </c>
      <c r="C135" s="304">
        <v>144.61000000000001</v>
      </c>
      <c r="D135" s="305" t="s">
        <v>122</v>
      </c>
    </row>
    <row r="136" spans="2:8" ht="18.75" customHeight="1">
      <c r="B136" s="773" t="s">
        <v>758</v>
      </c>
      <c r="C136" s="304">
        <v>10</v>
      </c>
      <c r="D136" s="305" t="s">
        <v>122</v>
      </c>
      <c r="G136" s="196">
        <f>C135*C136</f>
        <v>1446.1</v>
      </c>
      <c r="H136" s="770"/>
    </row>
    <row r="137" spans="2:8" ht="18.75" customHeight="1">
      <c r="B137" s="773" t="s">
        <v>759</v>
      </c>
      <c r="C137" s="304">
        <v>45.26</v>
      </c>
      <c r="D137" s="305" t="s">
        <v>122</v>
      </c>
    </row>
    <row r="138" spans="2:8" ht="18.75" customHeight="1">
      <c r="B138" s="773" t="s">
        <v>760</v>
      </c>
      <c r="C138" s="304">
        <v>6</v>
      </c>
      <c r="D138" s="305" t="s">
        <v>122</v>
      </c>
      <c r="G138" s="196">
        <f>C137*C138</f>
        <v>271.56</v>
      </c>
      <c r="H138" s="770"/>
    </row>
    <row r="139" spans="2:8" ht="18.75" customHeight="1">
      <c r="B139" s="773" t="s">
        <v>762</v>
      </c>
      <c r="C139" s="304">
        <v>167.93</v>
      </c>
      <c r="D139" s="305" t="s">
        <v>122</v>
      </c>
    </row>
    <row r="140" spans="2:8" ht="18.75" customHeight="1">
      <c r="B140" s="773" t="s">
        <v>763</v>
      </c>
      <c r="C140" s="304">
        <v>6</v>
      </c>
      <c r="D140" s="305" t="s">
        <v>122</v>
      </c>
      <c r="G140" s="196">
        <f>C139*C140</f>
        <v>1007.58</v>
      </c>
      <c r="H140" s="770"/>
    </row>
    <row r="141" spans="2:8" ht="18.75" customHeight="1">
      <c r="B141" s="773" t="s">
        <v>761</v>
      </c>
      <c r="C141" s="304">
        <v>155.93</v>
      </c>
      <c r="D141" s="769" t="s">
        <v>72</v>
      </c>
    </row>
    <row r="142" spans="2:8" ht="30">
      <c r="B142" s="313" t="str">
        <f>CONCATENATE("Area Total de Intervencion en Calzada de ",$B134,"
(Fuente: Autocad; Hatch: Pavimento)")</f>
        <v>Area Total de Intervencion en Calzada de Via EJE No. 403, 404 y 405
(Fuente: Autocad; Hatch: Pavimento)</v>
      </c>
      <c r="C142" s="306">
        <v>2881.17</v>
      </c>
      <c r="D142" s="204" t="s">
        <v>72</v>
      </c>
      <c r="G142" s="196">
        <f>SUM(G136:G141)</f>
        <v>2725.24</v>
      </c>
      <c r="H142" s="770">
        <f>C142-G142</f>
        <v>155.93</v>
      </c>
    </row>
    <row r="143" spans="2:8" ht="18.75" customHeight="1">
      <c r="B143" s="1250" t="s">
        <v>764</v>
      </c>
      <c r="C143" s="1251"/>
      <c r="D143" s="1252"/>
    </row>
    <row r="144" spans="2:8" ht="18.75" customHeight="1">
      <c r="B144" s="314" t="str">
        <f>CONCATENATE("Longitud ",$B143)</f>
        <v>Longitud Via EJE No.6</v>
      </c>
      <c r="C144" s="304">
        <v>109.56</v>
      </c>
      <c r="D144" s="305" t="s">
        <v>122</v>
      </c>
    </row>
    <row r="145" spans="2:8" ht="18.75" customHeight="1">
      <c r="B145" s="314" t="str">
        <f>CONCATENATE("Ancho de calzada ",$B143)</f>
        <v>Ancho de calzada Via EJE No.6</v>
      </c>
      <c r="C145" s="304">
        <v>5</v>
      </c>
      <c r="D145" s="305" t="s">
        <v>122</v>
      </c>
      <c r="G145" s="196">
        <f>C144*C145</f>
        <v>547.79999999999995</v>
      </c>
      <c r="H145" s="770"/>
    </row>
    <row r="146" spans="2:8" ht="30">
      <c r="B146" s="313" t="str">
        <f>CONCATENATE("Area Total de Intervencion en Calzada de ",$B143,"
(Fuente: Autocad; Hatch: Pavimento)")</f>
        <v>Area Total de Intervencion en Calzada de Via EJE No.6
(Fuente: Autocad; Hatch: Pavimento)</v>
      </c>
      <c r="C146" s="306">
        <v>547.07000000000005</v>
      </c>
      <c r="D146" s="204" t="s">
        <v>72</v>
      </c>
    </row>
    <row r="147" spans="2:8" ht="18.75" customHeight="1">
      <c r="B147" s="1250" t="s">
        <v>772</v>
      </c>
      <c r="C147" s="1251"/>
      <c r="D147" s="1252"/>
    </row>
    <row r="148" spans="2:8" ht="18.75" customHeight="1">
      <c r="B148" s="314" t="str">
        <f>CONCATENATE("Longitud ",$B147)</f>
        <v>Longitud Via EJE No.601</v>
      </c>
      <c r="C148" s="304">
        <v>267.72000000000003</v>
      </c>
      <c r="D148" s="305" t="s">
        <v>122</v>
      </c>
    </row>
    <row r="149" spans="2:8" ht="18.75" customHeight="1">
      <c r="B149" s="314" t="str">
        <f>CONCATENATE("Ancho de calzada ",$B147)</f>
        <v>Ancho de calzada Via EJE No.601</v>
      </c>
      <c r="C149" s="304">
        <v>12</v>
      </c>
      <c r="D149" s="305" t="s">
        <v>122</v>
      </c>
      <c r="G149" s="196">
        <f>C148*C149</f>
        <v>3212.64</v>
      </c>
      <c r="H149" s="770"/>
    </row>
    <row r="150" spans="2:8" ht="30">
      <c r="B150" s="313" t="str">
        <f>CONCATENATE("Area Total de Intervencion en Calzada de ",$B147,"
(Fuente: Autocad; Hatch: Pavimento)")</f>
        <v>Area Total de Intervencion en Calzada de Via EJE No.601
(Fuente: Autocad; Hatch: Pavimento)</v>
      </c>
      <c r="C150" s="306">
        <f>C148*C149</f>
        <v>3212.64</v>
      </c>
      <c r="D150" s="204" t="s">
        <v>72</v>
      </c>
    </row>
    <row r="151" spans="2:8" ht="15.75">
      <c r="B151" s="318"/>
      <c r="C151" s="308"/>
      <c r="D151" s="309"/>
    </row>
    <row r="152" spans="2:8" ht="15.75">
      <c r="B152" s="349" t="s">
        <v>182</v>
      </c>
      <c r="C152" s="350">
        <f>C96+C107+C112+C117+C121+C126+C133+C142+C146+C150</f>
        <v>26475.5</v>
      </c>
      <c r="D152" s="351" t="s">
        <v>72</v>
      </c>
      <c r="F152" s="196">
        <f>(C152-C150)*(0.22+0.2+0.3)+C150*0.42</f>
        <v>18098.567999999999</v>
      </c>
    </row>
    <row r="153" spans="2:8" ht="15.75">
      <c r="B153" s="318"/>
      <c r="C153" s="308"/>
      <c r="D153" s="309"/>
      <c r="F153" s="770">
        <f>F152-C250</f>
        <v>0</v>
      </c>
    </row>
    <row r="154" spans="2:8" ht="18.75" customHeight="1">
      <c r="B154" s="1250" t="s">
        <v>166</v>
      </c>
      <c r="C154" s="1251"/>
      <c r="D154" s="1252"/>
    </row>
    <row r="155" spans="2:8">
      <c r="B155" s="775" t="s">
        <v>765</v>
      </c>
      <c r="C155" s="304">
        <f>25*2+35+26</f>
        <v>111</v>
      </c>
      <c r="D155" s="305" t="s">
        <v>122</v>
      </c>
      <c r="E155" s="311"/>
    </row>
    <row r="156" spans="2:8">
      <c r="B156" s="775" t="s">
        <v>766</v>
      </c>
      <c r="C156" s="304">
        <f>(C99+C101+C103)*2</f>
        <v>1730.56</v>
      </c>
      <c r="D156" s="774" t="s">
        <v>122</v>
      </c>
      <c r="E156" s="311"/>
    </row>
    <row r="157" spans="2:8">
      <c r="B157" s="775" t="s">
        <v>767</v>
      </c>
      <c r="C157" s="304">
        <f>C109*2</f>
        <v>941.7</v>
      </c>
      <c r="D157" s="774" t="s">
        <v>122</v>
      </c>
      <c r="E157" s="311"/>
    </row>
    <row r="158" spans="2:8">
      <c r="B158" s="775" t="s">
        <v>769</v>
      </c>
      <c r="C158" s="304">
        <f>C114*2</f>
        <v>561.1</v>
      </c>
      <c r="D158" s="774" t="s">
        <v>122</v>
      </c>
      <c r="E158" s="311"/>
    </row>
    <row r="159" spans="2:8">
      <c r="B159" s="775" t="s">
        <v>773</v>
      </c>
      <c r="C159" s="304">
        <f>C144*2</f>
        <v>219.12</v>
      </c>
      <c r="D159" s="774" t="s">
        <v>122</v>
      </c>
      <c r="E159" s="311"/>
    </row>
    <row r="160" spans="2:8">
      <c r="B160" s="775" t="s">
        <v>770</v>
      </c>
      <c r="C160" s="304">
        <f>C123*2</f>
        <v>181.54</v>
      </c>
      <c r="D160" s="774" t="s">
        <v>122</v>
      </c>
      <c r="E160" s="311"/>
    </row>
    <row r="161" spans="2:5">
      <c r="B161" s="775" t="s">
        <v>771</v>
      </c>
      <c r="C161" s="304">
        <f>(C135+C137+C139)*2</f>
        <v>715.6</v>
      </c>
      <c r="D161" s="774" t="s">
        <v>122</v>
      </c>
      <c r="E161" s="311"/>
    </row>
    <row r="162" spans="2:5">
      <c r="B162" s="775" t="s">
        <v>776</v>
      </c>
      <c r="C162" s="304">
        <f>C148*2</f>
        <v>535.44000000000005</v>
      </c>
      <c r="D162" s="774" t="s">
        <v>122</v>
      </c>
      <c r="E162" s="311"/>
    </row>
    <row r="163" spans="2:5">
      <c r="B163" s="775" t="s">
        <v>778</v>
      </c>
      <c r="C163" s="304">
        <f>35*10</f>
        <v>350</v>
      </c>
      <c r="D163" s="774" t="s">
        <v>122</v>
      </c>
      <c r="E163" s="311"/>
    </row>
    <row r="164" spans="2:5">
      <c r="B164" s="775" t="s">
        <v>774</v>
      </c>
      <c r="C164" s="304">
        <f>SUM(C155:C163)</f>
        <v>5346.06</v>
      </c>
      <c r="D164" s="774" t="s">
        <v>122</v>
      </c>
      <c r="E164" s="311"/>
    </row>
    <row r="165" spans="2:5">
      <c r="B165" s="776" t="s">
        <v>768</v>
      </c>
      <c r="C165" s="777">
        <v>1.2</v>
      </c>
      <c r="D165" s="778" t="s">
        <v>122</v>
      </c>
      <c r="E165" s="311"/>
    </row>
    <row r="166" spans="2:5">
      <c r="B166" s="313" t="s">
        <v>775</v>
      </c>
      <c r="C166" s="361">
        <f>C164*C165</f>
        <v>6415.27</v>
      </c>
      <c r="D166" s="204" t="s">
        <v>72</v>
      </c>
      <c r="E166" s="311"/>
    </row>
    <row r="167" spans="2:5" ht="10.5" customHeight="1">
      <c r="B167" s="313"/>
      <c r="C167" s="361"/>
      <c r="D167" s="204"/>
      <c r="E167" s="311"/>
    </row>
    <row r="168" spans="2:5">
      <c r="B168" s="775" t="s">
        <v>777</v>
      </c>
      <c r="C168" s="779">
        <f>(C128+C130)*2</f>
        <v>659.64</v>
      </c>
      <c r="D168" s="774"/>
      <c r="E168" s="311"/>
    </row>
    <row r="169" spans="2:5">
      <c r="B169" s="775" t="s">
        <v>768</v>
      </c>
      <c r="C169" s="304">
        <v>1</v>
      </c>
      <c r="D169" s="305" t="s">
        <v>122</v>
      </c>
      <c r="E169" s="311"/>
    </row>
    <row r="170" spans="2:5">
      <c r="B170" s="313" t="s">
        <v>779</v>
      </c>
      <c r="C170" s="361">
        <f>C168*C169</f>
        <v>659.64</v>
      </c>
      <c r="D170" s="204" t="s">
        <v>72</v>
      </c>
    </row>
    <row r="171" spans="2:5" ht="30">
      <c r="B171" s="313" t="s">
        <v>689</v>
      </c>
      <c r="C171" s="306">
        <f>C166+C170</f>
        <v>7074.91</v>
      </c>
      <c r="D171" s="204" t="s">
        <v>72</v>
      </c>
    </row>
    <row r="172" spans="2:5" ht="8.25" customHeight="1">
      <c r="B172" s="1260"/>
      <c r="C172" s="1260"/>
      <c r="D172" s="1260"/>
    </row>
    <row r="173" spans="2:5" ht="18.75" customHeight="1">
      <c r="B173" s="1250" t="s">
        <v>197</v>
      </c>
      <c r="C173" s="1251"/>
      <c r="D173" s="1252"/>
    </row>
    <row r="174" spans="2:5">
      <c r="B174" s="775" t="s">
        <v>780</v>
      </c>
      <c r="C174" s="304">
        <f>12*5+8+6*5</f>
        <v>98</v>
      </c>
      <c r="D174" s="360" t="s">
        <v>122</v>
      </c>
    </row>
    <row r="175" spans="2:5">
      <c r="B175" s="359"/>
      <c r="C175" s="304"/>
      <c r="D175" s="360"/>
    </row>
    <row r="176" spans="2:5" ht="15.75">
      <c r="B176" s="313"/>
      <c r="C176" s="306"/>
      <c r="D176" s="204"/>
    </row>
    <row r="177" spans="2:5" ht="18.75" customHeight="1">
      <c r="B177" s="1250" t="s">
        <v>198</v>
      </c>
      <c r="C177" s="1251"/>
      <c r="D177" s="1252"/>
    </row>
    <row r="178" spans="2:5" ht="18.75" customHeight="1">
      <c r="B178" s="950" t="s">
        <v>1200</v>
      </c>
      <c r="C178" s="304"/>
      <c r="D178" s="360"/>
    </row>
    <row r="179" spans="2:5">
      <c r="B179" s="355"/>
      <c r="C179" s="304"/>
      <c r="D179" s="305"/>
      <c r="E179" s="311"/>
    </row>
    <row r="180" spans="2:5" ht="8.25" customHeight="1">
      <c r="B180" s="1260"/>
      <c r="C180" s="1260"/>
      <c r="D180" s="1260"/>
    </row>
    <row r="181" spans="2:5" ht="20.25" customHeight="1">
      <c r="B181" s="1264" t="s">
        <v>169</v>
      </c>
      <c r="C181" s="1264"/>
      <c r="D181" s="1264"/>
    </row>
    <row r="182" spans="2:5" ht="20.25" customHeight="1">
      <c r="B182" s="1246" t="str">
        <f>PPTO!$E$10</f>
        <v>TRABAJOS PRELIMINARES</v>
      </c>
      <c r="C182" s="1246"/>
      <c r="D182" s="1246"/>
    </row>
    <row r="183" spans="2:5" ht="8.25" customHeight="1">
      <c r="B183" s="1260"/>
      <c r="C183" s="1260"/>
      <c r="D183" s="1260"/>
    </row>
    <row r="184" spans="2:5" ht="15.75">
      <c r="B184" s="1244" t="str">
        <f>+PPTO!$E$11</f>
        <v>Malla de cerramiento (tela aditiva; h=2,1 m ) y madera rolliza cada 3 mts</v>
      </c>
      <c r="C184" s="1245"/>
      <c r="D184" s="332">
        <f>+PPTO!$D$11</f>
        <v>1.1000000000000001</v>
      </c>
    </row>
    <row r="185" spans="2:5">
      <c r="B185" s="775" t="s">
        <v>783</v>
      </c>
      <c r="C185" s="781">
        <f>C96/15</f>
        <v>115.1</v>
      </c>
      <c r="D185" s="780" t="s">
        <v>122</v>
      </c>
    </row>
    <row r="186" spans="2:5">
      <c r="B186" s="775" t="s">
        <v>784</v>
      </c>
      <c r="C186" s="312">
        <f>C99</f>
        <v>119.92</v>
      </c>
      <c r="D186" s="379" t="s">
        <v>122</v>
      </c>
    </row>
    <row r="187" spans="2:5">
      <c r="B187" s="775" t="s">
        <v>785</v>
      </c>
      <c r="C187" s="307">
        <f>C101</f>
        <v>221.59</v>
      </c>
      <c r="D187" s="379" t="s">
        <v>122</v>
      </c>
    </row>
    <row r="188" spans="2:5">
      <c r="B188" s="775" t="s">
        <v>786</v>
      </c>
      <c r="C188" s="307">
        <f>C103</f>
        <v>523.77</v>
      </c>
      <c r="D188" s="379" t="s">
        <v>122</v>
      </c>
    </row>
    <row r="189" spans="2:5">
      <c r="B189" s="775" t="s">
        <v>787</v>
      </c>
      <c r="C189" s="359">
        <f>C109</f>
        <v>470.85</v>
      </c>
      <c r="D189" s="379" t="s">
        <v>122</v>
      </c>
    </row>
    <row r="190" spans="2:5">
      <c r="B190" s="775" t="s">
        <v>788</v>
      </c>
      <c r="C190" s="359">
        <f>C114</f>
        <v>280.55</v>
      </c>
      <c r="D190" s="780" t="s">
        <v>122</v>
      </c>
    </row>
    <row r="191" spans="2:5">
      <c r="B191" s="775" t="s">
        <v>789</v>
      </c>
      <c r="C191" s="359">
        <f>C119</f>
        <v>53.84</v>
      </c>
      <c r="D191" s="780" t="s">
        <v>122</v>
      </c>
    </row>
    <row r="192" spans="2:5">
      <c r="B192" s="775" t="s">
        <v>790</v>
      </c>
      <c r="C192" s="359">
        <f>C123</f>
        <v>90.77</v>
      </c>
      <c r="D192" s="780" t="s">
        <v>122</v>
      </c>
    </row>
    <row r="193" spans="2:4">
      <c r="B193" s="775" t="s">
        <v>791</v>
      </c>
      <c r="C193" s="359">
        <f>C128</f>
        <v>304.17</v>
      </c>
      <c r="D193" s="780" t="s">
        <v>122</v>
      </c>
    </row>
    <row r="194" spans="2:4">
      <c r="B194" s="775" t="s">
        <v>792</v>
      </c>
      <c r="C194" s="359">
        <f>C130</f>
        <v>25.65</v>
      </c>
      <c r="D194" s="780" t="s">
        <v>122</v>
      </c>
    </row>
    <row r="195" spans="2:4">
      <c r="B195" s="775" t="s">
        <v>793</v>
      </c>
      <c r="C195" s="359">
        <f>C135</f>
        <v>144.61000000000001</v>
      </c>
      <c r="D195" s="780" t="s">
        <v>122</v>
      </c>
    </row>
    <row r="196" spans="2:4">
      <c r="B196" s="775" t="s">
        <v>794</v>
      </c>
      <c r="C196" s="359">
        <f>C137</f>
        <v>45.26</v>
      </c>
      <c r="D196" s="780" t="s">
        <v>122</v>
      </c>
    </row>
    <row r="197" spans="2:4">
      <c r="B197" s="775" t="s">
        <v>795</v>
      </c>
      <c r="C197" s="359">
        <f>C139</f>
        <v>167.93</v>
      </c>
      <c r="D197" s="780" t="s">
        <v>122</v>
      </c>
    </row>
    <row r="198" spans="2:4">
      <c r="B198" s="775" t="s">
        <v>796</v>
      </c>
      <c r="C198" s="359">
        <f>C144</f>
        <v>109.56</v>
      </c>
      <c r="D198" s="780" t="s">
        <v>122</v>
      </c>
    </row>
    <row r="199" spans="2:4">
      <c r="B199" s="775" t="s">
        <v>797</v>
      </c>
      <c r="C199" s="359">
        <f>C148</f>
        <v>267.72000000000003</v>
      </c>
      <c r="D199" s="780" t="s">
        <v>122</v>
      </c>
    </row>
    <row r="200" spans="2:4">
      <c r="B200" s="775" t="s">
        <v>782</v>
      </c>
      <c r="C200" s="782">
        <f>SUM(C185:C199)</f>
        <v>2941.29</v>
      </c>
      <c r="D200" s="780"/>
    </row>
    <row r="201" spans="2:4" ht="9" customHeight="1">
      <c r="B201" s="359"/>
      <c r="C201" s="307"/>
      <c r="D201" s="379"/>
    </row>
    <row r="202" spans="2:4">
      <c r="B202" s="775" t="s">
        <v>781</v>
      </c>
      <c r="C202" s="307">
        <v>2</v>
      </c>
      <c r="D202" s="379"/>
    </row>
    <row r="203" spans="2:4" ht="15.75">
      <c r="B203" s="315" t="str">
        <f>CONCATENATE("TOTAL ",B184)</f>
        <v>TOTAL Malla de cerramiento (tela aditiva; h=2,1 m ) y madera rolliza cada 3 mts</v>
      </c>
      <c r="C203" s="316">
        <f>C200*C202</f>
        <v>5882.58</v>
      </c>
      <c r="D203" s="317" t="str">
        <f>+D187</f>
        <v>m</v>
      </c>
    </row>
    <row r="204" spans="2:4" ht="8.25" customHeight="1">
      <c r="B204" s="1260"/>
      <c r="C204" s="1260"/>
      <c r="D204" s="1260"/>
    </row>
    <row r="205" spans="2:4" ht="15.75">
      <c r="B205" s="1244" t="str">
        <f>+PPTO!$E$12</f>
        <v>Demolicion de Pavimento y Andenes existentes en sector de proyecto, espesor y resistencia variables.</v>
      </c>
      <c r="C205" s="1245"/>
      <c r="D205" s="332">
        <f>+PPTO!$D$12</f>
        <v>1.2</v>
      </c>
    </row>
    <row r="206" spans="2:4" ht="30">
      <c r="B206" s="775" t="str">
        <f>B96</f>
        <v>Sector EJE No.201 y 202 (GLORIETA Y CONEXIONES).
(Fuente: Autocad; Hatch: Pavimento)</v>
      </c>
      <c r="C206" s="775">
        <f t="shared" ref="C206:D206" si="1">C96</f>
        <v>1726.44</v>
      </c>
      <c r="D206" s="775" t="str">
        <f t="shared" si="1"/>
        <v>m2</v>
      </c>
    </row>
    <row r="207" spans="2:4">
      <c r="B207" s="775" t="str">
        <f>B107</f>
        <v>Area Total de Intervencion de la Calzada del Eje No. 3, 4 y 5.</v>
      </c>
      <c r="C207" s="775">
        <f t="shared" ref="C207:D207" si="2">C107</f>
        <v>9737.5400000000009</v>
      </c>
      <c r="D207" s="775" t="str">
        <f t="shared" si="2"/>
        <v>m2</v>
      </c>
    </row>
    <row r="208" spans="2:4" ht="30">
      <c r="B208" s="775" t="str">
        <f>B112</f>
        <v>Area Total de Intervencion en Calzada de Via EJE No.1
(Fuente: Autocad; Hatch: Pavimento)</v>
      </c>
      <c r="C208" s="775">
        <f t="shared" ref="C208:D208" si="3">C112</f>
        <v>3344.93</v>
      </c>
      <c r="D208" s="775" t="str">
        <f t="shared" si="3"/>
        <v>m2</v>
      </c>
    </row>
    <row r="209" spans="2:5" ht="30">
      <c r="B209" s="775" t="str">
        <f>B117</f>
        <v>Area Total de Intervencion en Calzada de Via EJE No.2
(Fuente: Autocad; Hatch: Pavimento)</v>
      </c>
      <c r="C209" s="775">
        <f t="shared" ref="C209:D209" si="4">C117</f>
        <v>1931.11</v>
      </c>
      <c r="D209" s="775" t="str">
        <f t="shared" si="4"/>
        <v>m2</v>
      </c>
    </row>
    <row r="210" spans="2:5" ht="30">
      <c r="B210" s="775" t="str">
        <f>B133</f>
        <v>Area Total de Intervencion en Calzada de Via EJE No. 401 y 402
(Fuente: Autocad; Hatch: Pavimento)</v>
      </c>
      <c r="C210" s="775">
        <f t="shared" ref="C210:D210" si="5">C133</f>
        <v>2343.4</v>
      </c>
      <c r="D210" s="775" t="str">
        <f t="shared" si="5"/>
        <v>m2</v>
      </c>
    </row>
    <row r="211" spans="2:5" ht="30">
      <c r="B211" s="775" t="str">
        <f>B142</f>
        <v>Area Total de Intervencion en Calzada de Via EJE No. 403, 404 y 405
(Fuente: Autocad; Hatch: Pavimento)</v>
      </c>
      <c r="C211" s="775">
        <f t="shared" ref="C211:D211" si="6">C142</f>
        <v>2881.17</v>
      </c>
      <c r="D211" s="775" t="str">
        <f t="shared" si="6"/>
        <v>m2</v>
      </c>
    </row>
    <row r="212" spans="2:5">
      <c r="B212" s="951" t="s">
        <v>1202</v>
      </c>
      <c r="C212" s="307">
        <f>C171-(C159+C160+C162)*C165</f>
        <v>5951.59</v>
      </c>
      <c r="D212" s="775" t="s">
        <v>72</v>
      </c>
    </row>
    <row r="213" spans="2:5" ht="15.75">
      <c r="B213" s="315" t="str">
        <f>CONCATENATE("TOTAL ",B205)</f>
        <v>TOTAL Demolicion de Pavimento y Andenes existentes en sector de proyecto, espesor y resistencia variables.</v>
      </c>
      <c r="C213" s="316">
        <f>SUM(C206:C212)</f>
        <v>27916.18</v>
      </c>
      <c r="D213" s="317" t="str">
        <f>+D208</f>
        <v>m2</v>
      </c>
    </row>
    <row r="214" spans="2:5" ht="8.25" customHeight="1">
      <c r="B214" s="1260"/>
      <c r="C214" s="1260"/>
      <c r="D214" s="1260"/>
    </row>
    <row r="215" spans="2:5" ht="20.25" customHeight="1">
      <c r="B215" s="1246" t="str">
        <f>PPTO!$E$14</f>
        <v>MOVIMIENTOS DE TIERRA Y ADECUACIONES</v>
      </c>
      <c r="C215" s="1246"/>
      <c r="D215" s="1246"/>
    </row>
    <row r="216" spans="2:5" ht="30.75" customHeight="1">
      <c r="B216" s="1265" t="str">
        <f>+PPTO!$E$15</f>
        <v>Excavación manual para perfilado en sector de andenes y obras de arte, en material común de 0.0 - 2.0 mts</v>
      </c>
      <c r="C216" s="1266"/>
      <c r="D216" s="331">
        <f>+PPTO!$D$15</f>
        <v>2.1</v>
      </c>
    </row>
    <row r="217" spans="2:5" ht="15.75">
      <c r="B217" s="1253" t="s">
        <v>180</v>
      </c>
      <c r="C217" s="1254"/>
      <c r="D217" s="1255"/>
    </row>
    <row r="218" spans="2:5" ht="30">
      <c r="B218" s="303" t="str">
        <f>B171</f>
        <v>Area Total de Intervencion de Andenes del Proyecto incluye los Bordillos
(Fuente: Autocad; Hatch: Andenes Proyecto)</v>
      </c>
      <c r="C218" s="326">
        <f>C171</f>
        <v>7074.91</v>
      </c>
      <c r="D218" s="319" t="str">
        <f>D171</f>
        <v>m2</v>
      </c>
      <c r="E218" s="203"/>
    </row>
    <row r="219" spans="2:5">
      <c r="B219" s="298" t="s">
        <v>178</v>
      </c>
      <c r="C219" s="197">
        <v>0.05</v>
      </c>
      <c r="D219" s="327" t="s">
        <v>122</v>
      </c>
    </row>
    <row r="220" spans="2:5">
      <c r="B220" s="199" t="str">
        <f>CONCATENATE("TOTAL ",B217)</f>
        <v>TOTAL PERFILADO MANUAL ANDENES</v>
      </c>
      <c r="C220" s="200">
        <f>C218*C219</f>
        <v>353.75</v>
      </c>
      <c r="D220" s="320" t="s">
        <v>44</v>
      </c>
    </row>
    <row r="221" spans="2:5" ht="15.75">
      <c r="B221" s="1253" t="s">
        <v>1035</v>
      </c>
      <c r="C221" s="1254"/>
      <c r="D221" s="1255"/>
    </row>
    <row r="222" spans="2:5">
      <c r="B222" s="910" t="s">
        <v>1029</v>
      </c>
      <c r="C222" s="326">
        <f>0.3*0.5</f>
        <v>0.15</v>
      </c>
      <c r="D222" s="911" t="s">
        <v>72</v>
      </c>
    </row>
    <row r="223" spans="2:5">
      <c r="B223" s="493" t="s">
        <v>1032</v>
      </c>
      <c r="C223" s="912">
        <f>SUM($C$56:$C$58)*C222</f>
        <v>438.86</v>
      </c>
      <c r="D223" s="913" t="s">
        <v>44</v>
      </c>
    </row>
    <row r="224" spans="2:5">
      <c r="B224" s="910" t="s">
        <v>1030</v>
      </c>
      <c r="C224" s="326">
        <f>0.4*0.5</f>
        <v>0.2</v>
      </c>
      <c r="D224" s="911" t="s">
        <v>72</v>
      </c>
    </row>
    <row r="225" spans="2:5">
      <c r="B225" s="493" t="s">
        <v>1033</v>
      </c>
      <c r="C225" s="912">
        <f>SUM($C$60)*C224</f>
        <v>102.1</v>
      </c>
      <c r="D225" s="913" t="s">
        <v>44</v>
      </c>
    </row>
    <row r="226" spans="2:5">
      <c r="B226" s="910" t="s">
        <v>1031</v>
      </c>
      <c r="C226" s="326">
        <f>0.5*0.5</f>
        <v>0.25</v>
      </c>
      <c r="D226" s="911" t="s">
        <v>72</v>
      </c>
    </row>
    <row r="227" spans="2:5">
      <c r="B227" s="493" t="s">
        <v>1034</v>
      </c>
      <c r="C227" s="912">
        <f>SUM($C$64)*C226</f>
        <v>90</v>
      </c>
      <c r="D227" s="913" t="s">
        <v>44</v>
      </c>
    </row>
    <row r="228" spans="2:5" ht="15.75">
      <c r="B228" s="199" t="str">
        <f>CONCATENATE("TOTAL ",B221)</f>
        <v>TOTAL EXCAVACION ACUEDUCTO</v>
      </c>
      <c r="C228" s="914">
        <f>C223+C225+C227</f>
        <v>630.96</v>
      </c>
      <c r="D228" s="320" t="s">
        <v>44</v>
      </c>
    </row>
    <row r="229" spans="2:5" ht="30">
      <c r="B229" s="202" t="str">
        <f>CONCATENATE("TOTAL ",B216)</f>
        <v>TOTAL Excavación manual para perfilado en sector de andenes y obras de arte, en material común de 0.0 - 2.0 mts</v>
      </c>
      <c r="C229" s="328">
        <f>C220+C228</f>
        <v>984.71</v>
      </c>
      <c r="D229" s="329" t="s">
        <v>44</v>
      </c>
    </row>
    <row r="230" spans="2:5" ht="7.5" customHeight="1">
      <c r="B230" s="201"/>
      <c r="C230" s="201"/>
      <c r="D230" s="201"/>
    </row>
    <row r="231" spans="2:5" ht="15.75">
      <c r="B231" s="1244" t="str">
        <f>+PPTO!$E$16</f>
        <v>Excavación mecánica de 0 a 2m (Incluye fractura de placas y corte )</v>
      </c>
      <c r="C231" s="1245"/>
      <c r="D231" s="330">
        <f>PPTO!$D$16</f>
        <v>2.2000000000000002</v>
      </c>
    </row>
    <row r="232" spans="2:5" ht="15.75">
      <c r="B232" s="1253" t="s">
        <v>170</v>
      </c>
      <c r="C232" s="1254"/>
      <c r="D232" s="1255"/>
    </row>
    <row r="233" spans="2:5">
      <c r="B233" s="783" t="str">
        <f t="shared" ref="B233:B247" si="7">B185</f>
        <v>Glorieta</v>
      </c>
      <c r="C233" s="304">
        <f>152.57+216.33</f>
        <v>368.9</v>
      </c>
      <c r="D233" s="327" t="s">
        <v>44</v>
      </c>
      <c r="E233" s="203"/>
    </row>
    <row r="234" spans="2:5">
      <c r="B234" s="783" t="str">
        <f t="shared" si="7"/>
        <v>Eje No.3</v>
      </c>
      <c r="C234" s="304">
        <v>1216.3900000000001</v>
      </c>
      <c r="D234" s="327" t="s">
        <v>44</v>
      </c>
      <c r="E234" s="203"/>
    </row>
    <row r="235" spans="2:5">
      <c r="B235" s="783" t="str">
        <f t="shared" si="7"/>
        <v>Eje No.4</v>
      </c>
      <c r="C235" s="304">
        <v>1528.07</v>
      </c>
      <c r="D235" s="327" t="s">
        <v>44</v>
      </c>
      <c r="E235" s="203"/>
    </row>
    <row r="236" spans="2:5">
      <c r="B236" s="783" t="str">
        <f t="shared" si="7"/>
        <v>Eje No.5</v>
      </c>
      <c r="C236" s="304">
        <v>4903.63</v>
      </c>
      <c r="D236" s="327" t="s">
        <v>44</v>
      </c>
      <c r="E236" s="203"/>
    </row>
    <row r="237" spans="2:5">
      <c r="B237" s="783" t="str">
        <f t="shared" si="7"/>
        <v>EJE No.1</v>
      </c>
      <c r="C237" s="304">
        <v>2156.4</v>
      </c>
      <c r="D237" s="327" t="s">
        <v>44</v>
      </c>
      <c r="E237" s="203"/>
    </row>
    <row r="238" spans="2:5">
      <c r="B238" s="783" t="str">
        <f t="shared" si="7"/>
        <v>EJE No.2</v>
      </c>
      <c r="C238" s="304">
        <v>1065.77</v>
      </c>
      <c r="D238" s="327" t="s">
        <v>44</v>
      </c>
      <c r="E238" s="203"/>
    </row>
    <row r="239" spans="2:5">
      <c r="B239" s="783" t="str">
        <f t="shared" si="7"/>
        <v>EJE No.101 (Detras del BancaMia)</v>
      </c>
      <c r="C239" s="304">
        <v>205.26</v>
      </c>
      <c r="D239" s="327" t="s">
        <v>44</v>
      </c>
    </row>
    <row r="240" spans="2:5">
      <c r="B240" s="783" t="str">
        <f t="shared" si="7"/>
        <v>EJE No.301</v>
      </c>
      <c r="C240" s="304">
        <v>410.52</v>
      </c>
      <c r="D240" s="327" t="s">
        <v>44</v>
      </c>
    </row>
    <row r="241" spans="2:10">
      <c r="B241" s="783" t="str">
        <f t="shared" si="7"/>
        <v>EJE No. 401</v>
      </c>
      <c r="C241" s="304">
        <v>1309.98</v>
      </c>
      <c r="D241" s="327" t="s">
        <v>44</v>
      </c>
    </row>
    <row r="242" spans="2:10">
      <c r="B242" s="783" t="str">
        <f t="shared" si="7"/>
        <v>EJE No. 402</v>
      </c>
      <c r="C242" s="304">
        <v>97.4</v>
      </c>
      <c r="D242" s="327" t="s">
        <v>44</v>
      </c>
    </row>
    <row r="243" spans="2:10">
      <c r="B243" s="783" t="str">
        <f t="shared" si="7"/>
        <v>EJE No. 403</v>
      </c>
      <c r="C243" s="304">
        <v>1188.78</v>
      </c>
      <c r="D243" s="327" t="s">
        <v>44</v>
      </c>
      <c r="F243" s="784"/>
      <c r="G243" s="784"/>
      <c r="H243" s="784"/>
      <c r="I243" s="760"/>
      <c r="J243" s="760"/>
    </row>
    <row r="244" spans="2:10">
      <c r="B244" s="783" t="str">
        <f t="shared" si="7"/>
        <v>EJE No. 404</v>
      </c>
      <c r="C244" s="304">
        <v>836.7</v>
      </c>
      <c r="D244" s="327" t="s">
        <v>44</v>
      </c>
      <c r="F244" s="784"/>
      <c r="G244" s="784"/>
      <c r="H244" s="784"/>
    </row>
    <row r="245" spans="2:10">
      <c r="B245" s="783" t="str">
        <f t="shared" si="7"/>
        <v>EJE No. 405</v>
      </c>
      <c r="C245" s="304">
        <v>220.82</v>
      </c>
      <c r="D245" s="327" t="s">
        <v>44</v>
      </c>
      <c r="F245" s="784"/>
      <c r="G245" s="784"/>
      <c r="H245" s="784"/>
    </row>
    <row r="246" spans="2:10">
      <c r="B246" s="783" t="str">
        <f t="shared" si="7"/>
        <v>EJE No.6</v>
      </c>
      <c r="C246" s="304">
        <v>401.4</v>
      </c>
      <c r="D246" s="327" t="s">
        <v>44</v>
      </c>
      <c r="F246" s="784"/>
      <c r="G246" s="784"/>
      <c r="H246" s="784"/>
    </row>
    <row r="247" spans="2:10">
      <c r="B247" s="783" t="str">
        <f t="shared" si="7"/>
        <v>EJE No.601</v>
      </c>
      <c r="C247" s="304">
        <v>596.02</v>
      </c>
      <c r="D247" s="327" t="s">
        <v>44</v>
      </c>
      <c r="F247" s="784"/>
      <c r="G247" s="784"/>
      <c r="H247" s="784"/>
    </row>
    <row r="248" spans="2:10">
      <c r="B248" s="783" t="s">
        <v>798</v>
      </c>
      <c r="C248" s="304">
        <v>1592.53</v>
      </c>
      <c r="D248" s="785" t="s">
        <v>44</v>
      </c>
      <c r="F248" s="784"/>
      <c r="G248" s="784"/>
      <c r="H248" s="784"/>
    </row>
    <row r="249" spans="2:10">
      <c r="B249" s="783"/>
      <c r="C249" s="304"/>
      <c r="D249" s="327"/>
      <c r="F249" s="784"/>
      <c r="G249" s="784"/>
      <c r="H249" s="784"/>
    </row>
    <row r="250" spans="2:10" ht="15.75">
      <c r="B250" s="199" t="str">
        <f>CONCATENATE("Volumen Excavacion ",B232)</f>
        <v>Volumen Excavacion CALZADAS Y GLORIETA</v>
      </c>
      <c r="C250" s="321">
        <f>SUM(C233:C249)</f>
        <v>18098.57</v>
      </c>
      <c r="D250" s="320" t="s">
        <v>44</v>
      </c>
      <c r="F250" s="784"/>
      <c r="G250" s="784"/>
      <c r="H250" s="784"/>
    </row>
    <row r="251" spans="2:10" ht="15.75">
      <c r="B251" s="1253" t="s">
        <v>171</v>
      </c>
      <c r="C251" s="1254"/>
      <c r="D251" s="1255"/>
    </row>
    <row r="252" spans="2:10" ht="30">
      <c r="B252" s="303" t="str">
        <f>B171</f>
        <v>Area Total de Intervencion de Andenes del Proyecto incluye los Bordillos
(Fuente: Autocad; Hatch: Andenes Proyecto)</v>
      </c>
      <c r="C252" s="304">
        <f>C171</f>
        <v>7074.91</v>
      </c>
      <c r="D252" s="322" t="str">
        <f>D171</f>
        <v>m2</v>
      </c>
      <c r="E252" s="203"/>
    </row>
    <row r="253" spans="2:10">
      <c r="B253" s="303" t="s">
        <v>172</v>
      </c>
      <c r="C253" s="304">
        <f>C15</f>
        <v>0.45</v>
      </c>
      <c r="D253" s="322" t="str">
        <f>D15</f>
        <v>m</v>
      </c>
    </row>
    <row r="254" spans="2:10" ht="15.75">
      <c r="B254" s="199" t="str">
        <f>CONCATENATE("Volumen Excavacion ",B251)</f>
        <v>Volumen Excavacion ANDENES</v>
      </c>
      <c r="C254" s="321">
        <f>C252*C253</f>
        <v>3183.71</v>
      </c>
      <c r="D254" s="198" t="s">
        <v>44</v>
      </c>
    </row>
    <row r="255" spans="2:10" ht="15.75">
      <c r="B255" s="1253" t="s">
        <v>193</v>
      </c>
      <c r="C255" s="1254"/>
      <c r="D255" s="1255"/>
    </row>
    <row r="256" spans="2:10" ht="30">
      <c r="B256" s="757" t="s">
        <v>718</v>
      </c>
      <c r="C256" s="304"/>
      <c r="D256" s="356" t="s">
        <v>44</v>
      </c>
      <c r="E256" s="203"/>
    </row>
    <row r="257" spans="2:6">
      <c r="B257" s="757" t="s">
        <v>723</v>
      </c>
      <c r="C257" s="304"/>
      <c r="D257" s="758" t="s">
        <v>44</v>
      </c>
      <c r="E257" s="203"/>
    </row>
    <row r="258" spans="2:6" ht="45">
      <c r="B258" s="757" t="s">
        <v>719</v>
      </c>
      <c r="C258" s="361"/>
      <c r="D258" s="362" t="s">
        <v>44</v>
      </c>
      <c r="E258" s="203"/>
    </row>
    <row r="259" spans="2:6">
      <c r="B259" s="745"/>
      <c r="C259" s="361"/>
      <c r="D259" s="362"/>
      <c r="E259" s="203"/>
    </row>
    <row r="260" spans="2:6">
      <c r="B260" s="749" t="s">
        <v>699</v>
      </c>
      <c r="C260" s="361">
        <f>B46*2*1</f>
        <v>36</v>
      </c>
      <c r="D260" s="362" t="s">
        <v>44</v>
      </c>
      <c r="E260" s="203"/>
    </row>
    <row r="261" spans="2:6">
      <c r="B261" s="749" t="s">
        <v>701</v>
      </c>
      <c r="C261" s="361">
        <f>C48*0.9*1.4</f>
        <v>181.44</v>
      </c>
      <c r="D261" s="362" t="s">
        <v>44</v>
      </c>
      <c r="E261" s="203"/>
    </row>
    <row r="262" spans="2:6">
      <c r="B262" s="355"/>
      <c r="C262" s="304"/>
      <c r="D262" s="356"/>
      <c r="E262" s="203"/>
    </row>
    <row r="263" spans="2:6">
      <c r="B263" s="757" t="s">
        <v>720</v>
      </c>
      <c r="C263" s="304">
        <f>'CANT ALC'!P15</f>
        <v>3943.12</v>
      </c>
      <c r="D263" s="356" t="s">
        <v>44</v>
      </c>
      <c r="E263" s="203"/>
    </row>
    <row r="264" spans="2:6">
      <c r="B264" s="757" t="s">
        <v>722</v>
      </c>
      <c r="C264" s="304">
        <f>POZOS!A98*'CANT ALC'!D15*PI()*(1.2^2)/4</f>
        <v>285.10000000000002</v>
      </c>
      <c r="D264" s="758" t="s">
        <v>44</v>
      </c>
      <c r="E264" s="203"/>
      <c r="F264" s="203"/>
    </row>
    <row r="265" spans="2:6" ht="45">
      <c r="B265" s="757" t="s">
        <v>721</v>
      </c>
      <c r="C265" s="304">
        <f>C263+C264</f>
        <v>4228.22</v>
      </c>
      <c r="D265" s="362" t="s">
        <v>44</v>
      </c>
      <c r="E265" s="203"/>
    </row>
    <row r="266" spans="2:6">
      <c r="B266" s="355"/>
      <c r="C266" s="304"/>
      <c r="D266" s="356"/>
      <c r="E266" s="203"/>
    </row>
    <row r="267" spans="2:6" ht="15.75">
      <c r="B267" s="199" t="str">
        <f>CONCATENATE("Volumen Excavacion ",B255)</f>
        <v>Volumen Excavacion ALCANTARILLADO</v>
      </c>
      <c r="C267" s="321">
        <f>C257+C258+C260+C264+C265</f>
        <v>4549.32</v>
      </c>
      <c r="D267" s="354" t="s">
        <v>44</v>
      </c>
    </row>
    <row r="268" spans="2:6" ht="15.75">
      <c r="B268" s="333" t="str">
        <f>CONCATENATE("TOTAL ",B231)</f>
        <v>TOTAL Excavación mecánica de 0 a 2m (Incluye fractura de placas y corte )</v>
      </c>
      <c r="C268" s="310">
        <f>C250+C254+C267</f>
        <v>25831.599999999999</v>
      </c>
      <c r="D268" s="329" t="s">
        <v>44</v>
      </c>
    </row>
    <row r="269" spans="2:6" ht="6" customHeight="1">
      <c r="B269" s="199"/>
      <c r="C269" s="321"/>
      <c r="D269" s="198"/>
    </row>
    <row r="270" spans="2:6" ht="15.75">
      <c r="B270" s="1244" t="str">
        <f>+PPTO!$E$17</f>
        <v>Acarreo material de excavación sobrante (Incluye cargue y Transporte)</v>
      </c>
      <c r="C270" s="1245"/>
      <c r="D270" s="330">
        <f>PPTO!$D$17</f>
        <v>2.2999999999999998</v>
      </c>
    </row>
    <row r="271" spans="2:6" ht="15.75">
      <c r="B271" s="1247" t="s">
        <v>170</v>
      </c>
      <c r="C271" s="1248"/>
      <c r="D271" s="1249"/>
    </row>
    <row r="272" spans="2:6" ht="15.75">
      <c r="B272" s="298" t="str">
        <f>CONCATENATE("Volumen Excavacion ",B271)</f>
        <v>Volumen Excavacion CALZADAS Y GLORIETA</v>
      </c>
      <c r="C272" s="321">
        <f>C250</f>
        <v>18098.57</v>
      </c>
      <c r="D272" s="327" t="s">
        <v>44</v>
      </c>
    </row>
    <row r="273" spans="2:5" ht="15.75">
      <c r="B273" s="1247" t="s">
        <v>171</v>
      </c>
      <c r="C273" s="1248"/>
      <c r="D273" s="1249"/>
    </row>
    <row r="274" spans="2:5" ht="15.75">
      <c r="B274" s="298" t="str">
        <f>CONCATENATE("Volumen Excavacion ",B273)</f>
        <v>Volumen Excavacion ANDENES</v>
      </c>
      <c r="C274" s="321">
        <f>C254</f>
        <v>3183.71</v>
      </c>
      <c r="D274" s="302" t="s">
        <v>44</v>
      </c>
    </row>
    <row r="275" spans="2:5" ht="15.75">
      <c r="B275" s="1247" t="s">
        <v>192</v>
      </c>
      <c r="C275" s="1248"/>
      <c r="D275" s="1249"/>
    </row>
    <row r="276" spans="2:5" ht="15.75">
      <c r="B276" s="357" t="str">
        <f>CONCATENATE("Volumen Excavacion ",B275)</f>
        <v>Volumen Excavacion ESTRUCTURAS DE MANEJO HIDRAULICO</v>
      </c>
      <c r="C276" s="321"/>
      <c r="D276" s="363" t="s">
        <v>44</v>
      </c>
    </row>
    <row r="277" spans="2:5" ht="15.75">
      <c r="B277" s="1247" t="s">
        <v>190</v>
      </c>
      <c r="C277" s="1248"/>
      <c r="D277" s="1249"/>
    </row>
    <row r="278" spans="2:5" ht="15.75">
      <c r="B278" s="357" t="str">
        <f>CONCATENATE("Volumen Excavacion ",B277)</f>
        <v>Volumen Excavacion MUROS DE CONTENCION</v>
      </c>
      <c r="C278" s="334"/>
      <c r="D278" s="363" t="s">
        <v>44</v>
      </c>
    </row>
    <row r="279" spans="2:5" ht="15.75">
      <c r="B279" s="1247" t="s">
        <v>193</v>
      </c>
      <c r="C279" s="1248"/>
      <c r="D279" s="1249"/>
    </row>
    <row r="280" spans="2:5">
      <c r="B280" s="355" t="s">
        <v>194</v>
      </c>
      <c r="C280" s="364"/>
      <c r="D280" s="356" t="s">
        <v>44</v>
      </c>
      <c r="E280" s="203"/>
    </row>
    <row r="281" spans="2:5">
      <c r="B281" s="355" t="s">
        <v>195</v>
      </c>
      <c r="C281" s="364">
        <f>C265-C302</f>
        <v>4228.22</v>
      </c>
      <c r="D281" s="356" t="s">
        <v>44</v>
      </c>
      <c r="E281" s="203"/>
    </row>
    <row r="282" spans="2:5" ht="15.75">
      <c r="B282" s="199" t="str">
        <f>CONCATENATE("Volumen Excavacion ",B279)</f>
        <v>Volumen Excavacion ALCANTARILLADO</v>
      </c>
      <c r="C282" s="321">
        <f>SUM(C280:C281)</f>
        <v>4228.22</v>
      </c>
      <c r="D282" s="354" t="s">
        <v>44</v>
      </c>
    </row>
    <row r="283" spans="2:5" ht="6.75" customHeight="1">
      <c r="B283" s="199"/>
      <c r="C283" s="321"/>
      <c r="D283" s="198"/>
    </row>
    <row r="284" spans="2:5" ht="18.75">
      <c r="B284" s="336" t="s">
        <v>181</v>
      </c>
      <c r="C284" s="335">
        <f>C18</f>
        <v>3.5</v>
      </c>
      <c r="D284" s="337" t="s">
        <v>123</v>
      </c>
    </row>
    <row r="285" spans="2:5" ht="15.75">
      <c r="B285" s="333" t="str">
        <f>CONCATENATE("TOTAL ",B270)</f>
        <v>TOTAL Acarreo material de excavación sobrante (Incluye cargue y Transporte)</v>
      </c>
      <c r="C285" s="310">
        <f>(C272+C274+C276+C282)*C284</f>
        <v>89286.75</v>
      </c>
      <c r="D285" s="329" t="s">
        <v>124</v>
      </c>
    </row>
    <row r="286" spans="2:5" ht="6" customHeight="1">
      <c r="B286" s="199"/>
      <c r="C286" s="321"/>
      <c r="D286" s="198"/>
    </row>
    <row r="287" spans="2:5" ht="15.75">
      <c r="B287" s="1244" t="str">
        <f>+PPTO!$E$18</f>
        <v>Relleno con material tipo II (Gravo-Arcilloso) para suelo estabilizado con CAL</v>
      </c>
      <c r="C287" s="1245"/>
      <c r="D287" s="330">
        <f>PPTO!$D$18</f>
        <v>2.4</v>
      </c>
    </row>
    <row r="288" spans="2:5" ht="15.75">
      <c r="B288" s="298" t="str">
        <f>B152</f>
        <v>Area Total con Pavimento</v>
      </c>
      <c r="C288" s="334">
        <f>C152</f>
        <v>26475.5</v>
      </c>
      <c r="D288" s="339" t="str">
        <f>D152</f>
        <v>m2</v>
      </c>
    </row>
    <row r="289" spans="2:5" ht="15.75">
      <c r="B289" s="756" t="s">
        <v>713</v>
      </c>
      <c r="C289" s="334">
        <f>C288</f>
        <v>26475.5</v>
      </c>
      <c r="D289" s="339" t="s">
        <v>72</v>
      </c>
    </row>
    <row r="290" spans="2:5" ht="15.75">
      <c r="B290" s="298" t="s">
        <v>183</v>
      </c>
      <c r="C290" s="334">
        <f>C9</f>
        <v>0.3</v>
      </c>
      <c r="D290" s="339" t="s">
        <v>122</v>
      </c>
    </row>
    <row r="291" spans="2:5" ht="15.75">
      <c r="B291" s="199" t="s">
        <v>714</v>
      </c>
      <c r="C291" s="321">
        <f>C289*C290</f>
        <v>7942.65</v>
      </c>
      <c r="D291" s="338" t="s">
        <v>44</v>
      </c>
    </row>
    <row r="292" spans="2:5" ht="7.5" customHeight="1">
      <c r="B292" s="199"/>
      <c r="C292" s="321"/>
      <c r="D292" s="198"/>
    </row>
    <row r="293" spans="2:5" ht="15.75">
      <c r="B293" s="783" t="s">
        <v>801</v>
      </c>
      <c r="C293" s="334">
        <f>C171</f>
        <v>7074.91</v>
      </c>
      <c r="D293" s="339" t="str">
        <f>D171</f>
        <v>m2</v>
      </c>
    </row>
    <row r="294" spans="2:5" ht="15.75">
      <c r="B294" s="298" t="s">
        <v>184</v>
      </c>
      <c r="C294" s="334">
        <f>C14</f>
        <v>0.3</v>
      </c>
      <c r="D294" s="339" t="s">
        <v>122</v>
      </c>
    </row>
    <row r="295" spans="2:5" ht="15.75">
      <c r="B295" s="493" t="s">
        <v>690</v>
      </c>
      <c r="C295" s="321">
        <f>C293*C294</f>
        <v>2122.4699999999998</v>
      </c>
      <c r="D295" s="339" t="s">
        <v>44</v>
      </c>
    </row>
    <row r="296" spans="2:5" ht="15.75">
      <c r="B296" s="199" t="s">
        <v>185</v>
      </c>
      <c r="C296" s="321">
        <f>C295</f>
        <v>2122.4699999999998</v>
      </c>
      <c r="D296" s="338" t="s">
        <v>44</v>
      </c>
    </row>
    <row r="297" spans="2:5" ht="28.5" customHeight="1">
      <c r="B297" s="333" t="str">
        <f>CONCATENATE("TOTAL ",B287)</f>
        <v>TOTAL Relleno con material tipo II (Gravo-Arcilloso) para suelo estabilizado con CAL</v>
      </c>
      <c r="C297" s="310">
        <f>C291+C296</f>
        <v>10065.120000000001</v>
      </c>
      <c r="D297" s="329" t="s">
        <v>44</v>
      </c>
    </row>
    <row r="298" spans="2:5" ht="8.25" customHeight="1">
      <c r="B298" s="199"/>
      <c r="C298" s="321"/>
      <c r="D298" s="198"/>
    </row>
    <row r="299" spans="2:5" ht="30.75" customHeight="1">
      <c r="B299" s="1244" t="str">
        <f>+PPTO!$E$19</f>
        <v>Seleccion, extendido, conformación y compactación de material seleccionado proveniente de la excavacion.</v>
      </c>
      <c r="C299" s="1245"/>
      <c r="D299" s="330">
        <f>PPTO!$D$19</f>
        <v>2.5</v>
      </c>
    </row>
    <row r="300" spans="2:5" ht="15.75">
      <c r="B300" s="1247" t="s">
        <v>193</v>
      </c>
      <c r="C300" s="1248"/>
      <c r="D300" s="1249"/>
    </row>
    <row r="301" spans="2:5" ht="30">
      <c r="B301" s="883" t="s">
        <v>874</v>
      </c>
      <c r="C301" s="304">
        <f>'CANT ALC'!M15</f>
        <v>2469.65</v>
      </c>
      <c r="D301" s="884" t="s">
        <v>44</v>
      </c>
      <c r="E301" s="203"/>
    </row>
    <row r="302" spans="2:5">
      <c r="B302" s="355"/>
      <c r="C302" s="304"/>
      <c r="D302" s="356"/>
      <c r="E302" s="203"/>
    </row>
    <row r="303" spans="2:5" ht="15.75">
      <c r="B303" s="199" t="str">
        <f>CONCATENATE("Volumen Excavacion ",B300)</f>
        <v>Volumen Excavacion ALCANTARILLADO</v>
      </c>
      <c r="C303" s="321">
        <f>SUM(C301:C302)</f>
        <v>2469.65</v>
      </c>
      <c r="D303" s="354" t="s">
        <v>44</v>
      </c>
    </row>
    <row r="304" spans="2:5" ht="15.75">
      <c r="B304" s="1253" t="s">
        <v>1036</v>
      </c>
      <c r="C304" s="1254"/>
      <c r="D304" s="1255"/>
    </row>
    <row r="305" spans="2:5">
      <c r="B305" s="910" t="s">
        <v>1029</v>
      </c>
      <c r="C305" s="326">
        <f>0.3*0.5-PI()*(0.0254*4.5)^2/4</f>
        <v>0.14000000000000001</v>
      </c>
      <c r="D305" s="911" t="s">
        <v>72</v>
      </c>
    </row>
    <row r="306" spans="2:5">
      <c r="B306" s="493" t="s">
        <v>1032</v>
      </c>
      <c r="C306" s="912">
        <f>SUM($C$56:$C$58)*C305</f>
        <v>409.6</v>
      </c>
      <c r="D306" s="913" t="s">
        <v>44</v>
      </c>
    </row>
    <row r="307" spans="2:5">
      <c r="B307" s="910" t="s">
        <v>1030</v>
      </c>
      <c r="C307" s="326">
        <f>0.4*0.5-PI()*(0.0254*10)^2/4</f>
        <v>0.15</v>
      </c>
      <c r="D307" s="911" t="s">
        <v>72</v>
      </c>
    </row>
    <row r="308" spans="2:5">
      <c r="B308" s="493" t="s">
        <v>1033</v>
      </c>
      <c r="C308" s="912">
        <f>SUM($C$60)*C307</f>
        <v>76.58</v>
      </c>
      <c r="D308" s="913" t="s">
        <v>44</v>
      </c>
    </row>
    <row r="309" spans="2:5">
      <c r="B309" s="910" t="s">
        <v>1031</v>
      </c>
      <c r="C309" s="326">
        <f>0.5*0.5-PI()*(0.0254*18)^2/4</f>
        <v>0.09</v>
      </c>
      <c r="D309" s="911" t="s">
        <v>72</v>
      </c>
    </row>
    <row r="310" spans="2:5">
      <c r="B310" s="493" t="s">
        <v>1034</v>
      </c>
      <c r="C310" s="912">
        <f>SUM($C$64)*C309</f>
        <v>32.4</v>
      </c>
      <c r="D310" s="913" t="s">
        <v>44</v>
      </c>
    </row>
    <row r="311" spans="2:5" ht="15.75">
      <c r="B311" s="199" t="str">
        <f>CONCATENATE("TOTAL ",B304)</f>
        <v>TOTAL RELLENO TIPO III ACUEDUCTO</v>
      </c>
      <c r="C311" s="914">
        <f>C306+C308+C310</f>
        <v>518.58000000000004</v>
      </c>
      <c r="D311" s="320" t="s">
        <v>44</v>
      </c>
    </row>
    <row r="312" spans="2:5" ht="28.5" customHeight="1">
      <c r="B312" s="333" t="str">
        <f>CONCATENATE("TOTAL ",B299)</f>
        <v>TOTAL Seleccion, extendido, conformación y compactación de material seleccionado proveniente de la excavacion.</v>
      </c>
      <c r="C312" s="310">
        <f>+C303+C311</f>
        <v>2988.23</v>
      </c>
      <c r="D312" s="329" t="s">
        <v>44</v>
      </c>
    </row>
    <row r="313" spans="2:5" ht="8.25" customHeight="1">
      <c r="B313" s="199"/>
      <c r="C313" s="321"/>
      <c r="D313" s="198"/>
    </row>
    <row r="314" spans="2:5" ht="30.75" customHeight="1">
      <c r="B314" s="1244" t="str">
        <f>+PPTO!$E$20</f>
        <v>Suministro, extendido, conformación y compactación de arena para proteccion de tuberia de Alcantarillado.</v>
      </c>
      <c r="C314" s="1245"/>
      <c r="D314" s="330">
        <f>PPTO!$D$20</f>
        <v>2.6</v>
      </c>
    </row>
    <row r="315" spans="2:5" ht="15.75">
      <c r="B315" s="1253" t="s">
        <v>193</v>
      </c>
      <c r="C315" s="1254"/>
      <c r="D315" s="1255"/>
    </row>
    <row r="316" spans="2:5">
      <c r="B316" s="355"/>
      <c r="C316" s="304"/>
      <c r="D316" s="356"/>
      <c r="E316" s="203"/>
    </row>
    <row r="317" spans="2:5">
      <c r="B317" s="355" t="s">
        <v>195</v>
      </c>
      <c r="C317" s="304">
        <f>'CANT ALC'!N15</f>
        <v>1211.92</v>
      </c>
      <c r="D317" s="356" t="s">
        <v>44</v>
      </c>
      <c r="E317" s="203"/>
    </row>
    <row r="318" spans="2:5">
      <c r="B318" s="749" t="s">
        <v>700</v>
      </c>
      <c r="C318" s="304">
        <f>0.9*0.45*C48-PI()*((B48*0.0254)/2)^2</f>
        <v>58.25</v>
      </c>
      <c r="D318" s="750" t="s">
        <v>44</v>
      </c>
      <c r="E318" s="203"/>
    </row>
    <row r="319" spans="2:5" ht="15.75">
      <c r="B319" s="199" t="str">
        <f>CONCATENATE("Volumen Excavacion ",B315)</f>
        <v>Volumen Excavacion ALCANTARILLADO</v>
      </c>
      <c r="C319" s="321">
        <f>SUM(C316:C318)</f>
        <v>1270.17</v>
      </c>
      <c r="D319" s="354" t="s">
        <v>44</v>
      </c>
    </row>
    <row r="320" spans="2:5" ht="28.5" customHeight="1">
      <c r="B320" s="333" t="str">
        <f>CONCATENATE("TOTAL ",B314)</f>
        <v>TOTAL Suministro, extendido, conformación y compactación de arena para proteccion de tuberia de Alcantarillado.</v>
      </c>
      <c r="C320" s="310">
        <f>C319</f>
        <v>1270.17</v>
      </c>
      <c r="D320" s="329" t="s">
        <v>44</v>
      </c>
    </row>
    <row r="321" spans="2:4" ht="8.25" customHeight="1">
      <c r="B321" s="199"/>
      <c r="C321" s="321"/>
      <c r="D321" s="198"/>
    </row>
    <row r="322" spans="2:4" ht="33.75" customHeight="1">
      <c r="B322" s="1244" t="str">
        <f>+PPTO!$E$21</f>
        <v>Colchon filtrante en material de entre 1 1/2" y 2 1/2" detrás de muros de contencion separado del suelo por Geotextil NT, e=0.30, incluye lloraderos de D=2"</v>
      </c>
      <c r="C322" s="1245"/>
      <c r="D322" s="330">
        <f>PPTO!$D$21</f>
        <v>2.7</v>
      </c>
    </row>
    <row r="323" spans="2:4" ht="15.75">
      <c r="B323" s="1247" t="s">
        <v>190</v>
      </c>
      <c r="C323" s="1248"/>
      <c r="D323" s="1249"/>
    </row>
    <row r="324" spans="2:4" ht="15.75">
      <c r="B324" s="205"/>
      <c r="C324" s="321"/>
      <c r="D324" s="320"/>
    </row>
    <row r="325" spans="2:4" ht="15.75">
      <c r="B325" s="205"/>
      <c r="C325" s="321"/>
      <c r="D325" s="320"/>
    </row>
    <row r="326" spans="2:4" ht="49.5" customHeight="1">
      <c r="B326" s="333" t="str">
        <f>CONCATENATE("TOTAL ",$B$322)</f>
        <v>TOTAL Colchon filtrante en material de entre 1 1/2" y 2 1/2" detrás de muros de contencion separado del suelo por Geotextil NT, e=0.30, incluye lloraderos de D=2"</v>
      </c>
      <c r="C326" s="310">
        <f>SUM(C324:C325)</f>
        <v>0</v>
      </c>
      <c r="D326" s="329" t="s">
        <v>72</v>
      </c>
    </row>
    <row r="327" spans="2:4" ht="6" customHeight="1">
      <c r="B327" s="199"/>
      <c r="C327" s="321"/>
      <c r="D327" s="198"/>
    </row>
    <row r="328" spans="2:4" ht="20.25" customHeight="1">
      <c r="B328" s="1246" t="str">
        <f>PPTO!$E$23</f>
        <v>ESTRUCTURA DE PAVIMENTO</v>
      </c>
      <c r="C328" s="1246"/>
      <c r="D328" s="1246"/>
    </row>
    <row r="329" spans="2:4" ht="15.75">
      <c r="B329" s="1244" t="str">
        <f>+PPTO!$E$24</f>
        <v>Suministro, extendido, conformación y compactación de Sub-base granular.</v>
      </c>
      <c r="C329" s="1245"/>
      <c r="D329" s="330">
        <f>PPTO!$D$24</f>
        <v>3.1</v>
      </c>
    </row>
    <row r="330" spans="2:4" ht="15.75">
      <c r="B330" s="298" t="str">
        <f>$B$152</f>
        <v>Area Total con Pavimento</v>
      </c>
      <c r="C330" s="334">
        <f>$C$152</f>
        <v>26475.5</v>
      </c>
      <c r="D330" s="339" t="str">
        <f>$D$152</f>
        <v>m2</v>
      </c>
    </row>
    <row r="331" spans="2:4" ht="15.75">
      <c r="B331" s="340" t="str">
        <f>$B$8</f>
        <v>Sub- Base Granular</v>
      </c>
      <c r="C331" s="334">
        <f>$C$8</f>
        <v>0.2</v>
      </c>
      <c r="D331" s="339" t="s">
        <v>122</v>
      </c>
    </row>
    <row r="332" spans="2:4" ht="28.5" customHeight="1">
      <c r="B332" s="333" t="str">
        <f>CONCATENATE("TOTAL ",B329)</f>
        <v>TOTAL Suministro, extendido, conformación y compactación de Sub-base granular.</v>
      </c>
      <c r="C332" s="310">
        <f>C330*C331</f>
        <v>5295.1</v>
      </c>
      <c r="D332" s="329" t="s">
        <v>44</v>
      </c>
    </row>
    <row r="333" spans="2:4" ht="6" customHeight="1">
      <c r="B333" s="199"/>
      <c r="C333" s="321"/>
      <c r="D333" s="198"/>
    </row>
    <row r="334" spans="2:4" ht="15.75">
      <c r="B334" s="1244" t="str">
        <f>+PPTO!$E$25</f>
        <v>Suministro, extendido, conformación y compactación de base granular.</v>
      </c>
      <c r="C334" s="1245"/>
      <c r="D334" s="330">
        <f>PPTO!$D$25</f>
        <v>3.2</v>
      </c>
    </row>
    <row r="335" spans="2:4" ht="15.75">
      <c r="B335" s="298" t="str">
        <f>$B$152</f>
        <v>Area Total con Pavimento</v>
      </c>
      <c r="C335" s="334">
        <f>$C$152</f>
        <v>26475.5</v>
      </c>
      <c r="D335" s="339" t="str">
        <f>$D$152</f>
        <v>m2</v>
      </c>
    </row>
    <row r="336" spans="2:4" ht="15.75">
      <c r="B336" s="340" t="str">
        <f>$B$7</f>
        <v>Base Granular</v>
      </c>
      <c r="C336" s="334">
        <f>$C$7</f>
        <v>0</v>
      </c>
      <c r="D336" s="339" t="str">
        <f>$D$7</f>
        <v>m</v>
      </c>
    </row>
    <row r="337" spans="2:5" ht="28.5" customHeight="1">
      <c r="B337" s="333" t="str">
        <f>CONCATENATE("TOTAL ",B334)</f>
        <v>TOTAL Suministro, extendido, conformación y compactación de base granular.</v>
      </c>
      <c r="C337" s="310">
        <f>C335*C336</f>
        <v>0</v>
      </c>
      <c r="D337" s="329" t="s">
        <v>44</v>
      </c>
    </row>
    <row r="338" spans="2:5" ht="6" customHeight="1">
      <c r="B338" s="199"/>
      <c r="C338" s="321"/>
      <c r="D338" s="198"/>
    </row>
    <row r="339" spans="2:5" ht="15.75">
      <c r="B339" s="1244" t="str">
        <f>+PPTO!$E$26</f>
        <v>Suministro e Instalacion de Concreto de 4000PSI para Placas de Pavimento Rigido e=22cm.</v>
      </c>
      <c r="C339" s="1245"/>
      <c r="D339" s="330">
        <f>PPTO!$D$26</f>
        <v>3.3</v>
      </c>
    </row>
    <row r="340" spans="2:5" ht="15.75">
      <c r="B340" s="298" t="str">
        <f>$B$152</f>
        <v>Area Total con Pavimento</v>
      </c>
      <c r="C340" s="334">
        <f>$C$152</f>
        <v>26475.5</v>
      </c>
      <c r="D340" s="339" t="str">
        <f>$D$152</f>
        <v>m2</v>
      </c>
    </row>
    <row r="341" spans="2:5" ht="15.75">
      <c r="B341" s="340" t="str">
        <f>$B$6</f>
        <v>Pavimento Rigido Concreto 4000PSI</v>
      </c>
      <c r="C341" s="334">
        <f>$C$6</f>
        <v>0.22</v>
      </c>
      <c r="D341" s="339" t="str">
        <f>$D$7</f>
        <v>m</v>
      </c>
    </row>
    <row r="342" spans="2:5" ht="28.5" customHeight="1">
      <c r="B342" s="333" t="str">
        <f>CONCATENATE("TOTAL ",B339)</f>
        <v>TOTAL Suministro e Instalacion de Concreto de 4000PSI para Placas de Pavimento Rigido e=22cm.</v>
      </c>
      <c r="C342" s="310">
        <f>C340</f>
        <v>26475.5</v>
      </c>
      <c r="D342" s="329" t="s">
        <v>72</v>
      </c>
    </row>
    <row r="343" spans="2:5" ht="6" customHeight="1">
      <c r="B343" s="199"/>
      <c r="C343" s="321"/>
      <c r="D343" s="198"/>
    </row>
    <row r="344" spans="2:5" ht="15.75">
      <c r="B344" s="1244" t="str">
        <f>+PPTO!$E$27</f>
        <v>Corte y sello para juntas inducidas de pavimento rígido, incluye sikaflex, sikarod o similar</v>
      </c>
      <c r="C344" s="1245"/>
      <c r="D344" s="330">
        <f>PPTO!$D$27</f>
        <v>3.4</v>
      </c>
    </row>
    <row r="345" spans="2:5" ht="15.75">
      <c r="B345" s="1257" t="s">
        <v>859</v>
      </c>
      <c r="C345" s="1258"/>
      <c r="D345" s="1259"/>
    </row>
    <row r="346" spans="2:5">
      <c r="B346" s="874" t="s">
        <v>853</v>
      </c>
      <c r="C346" s="197">
        <f>$C$152</f>
        <v>26475.5</v>
      </c>
      <c r="D346" s="198" t="s">
        <v>72</v>
      </c>
      <c r="E346" s="875"/>
    </row>
    <row r="347" spans="2:5">
      <c r="B347" s="874" t="s">
        <v>860</v>
      </c>
      <c r="C347" s="876" t="s">
        <v>858</v>
      </c>
      <c r="D347" s="198"/>
      <c r="E347" s="203"/>
    </row>
    <row r="348" spans="2:5">
      <c r="B348" s="874" t="s">
        <v>861</v>
      </c>
      <c r="C348" s="197">
        <f>ROUND(C346/(3*3),0)</f>
        <v>2942</v>
      </c>
      <c r="D348" s="198" t="s">
        <v>119</v>
      </c>
      <c r="E348" s="203"/>
    </row>
    <row r="349" spans="2:5" ht="15.75">
      <c r="B349" s="333" t="s">
        <v>862</v>
      </c>
      <c r="C349" s="310">
        <f>C348*1.5+(C99+C103)*2</f>
        <v>5700.38</v>
      </c>
      <c r="D349" s="329" t="s">
        <v>122</v>
      </c>
      <c r="E349" s="203"/>
    </row>
    <row r="350" spans="2:5" ht="6" customHeight="1">
      <c r="B350" s="199"/>
      <c r="C350" s="321"/>
      <c r="D350" s="198"/>
    </row>
    <row r="351" spans="2:5" ht="15.75">
      <c r="B351" s="1244" t="str">
        <f>+PPTO!$E$28</f>
        <v xml:space="preserve">Acero de transferencia para placas de concreto de 60000 psi </v>
      </c>
      <c r="C351" s="1245"/>
      <c r="D351" s="330">
        <f>PPTO!$D$28</f>
        <v>3.5</v>
      </c>
    </row>
    <row r="352" spans="2:5" ht="15.75">
      <c r="B352" s="1257" t="s">
        <v>863</v>
      </c>
      <c r="C352" s="1258"/>
      <c r="D352" s="1259"/>
      <c r="E352" s="203"/>
    </row>
    <row r="353" spans="2:6">
      <c r="B353" s="874" t="s">
        <v>853</v>
      </c>
      <c r="C353" s="197">
        <f>$C$152</f>
        <v>26475.5</v>
      </c>
      <c r="D353" s="198" t="s">
        <v>72</v>
      </c>
      <c r="E353" s="875"/>
    </row>
    <row r="354" spans="2:6">
      <c r="B354" s="874" t="s">
        <v>856</v>
      </c>
      <c r="C354" s="197">
        <f>15.69/9</f>
        <v>1.74</v>
      </c>
      <c r="D354" s="198" t="s">
        <v>855</v>
      </c>
      <c r="E354" s="203">
        <f>PI()*((0.0254*(1+1/8))^2)/4*7850*0.4</f>
        <v>2.0099999999999998</v>
      </c>
      <c r="F354" s="196">
        <f>E354*8</f>
        <v>16.079999999999998</v>
      </c>
    </row>
    <row r="355" spans="2:6">
      <c r="B355" s="199" t="s">
        <v>857</v>
      </c>
      <c r="C355" s="200">
        <f>+C354*C353</f>
        <v>46067.37</v>
      </c>
      <c r="D355" s="198" t="s">
        <v>53</v>
      </c>
    </row>
    <row r="356" spans="2:6" ht="7.5" customHeight="1">
      <c r="B356" s="1256"/>
      <c r="C356" s="1256"/>
      <c r="D356" s="1256"/>
    </row>
    <row r="357" spans="2:6" ht="15.75">
      <c r="B357" s="333" t="str">
        <f>CONCATENATE("TOTAL ",B351)</f>
        <v xml:space="preserve">TOTAL Acero de transferencia para placas de concreto de 60000 psi </v>
      </c>
      <c r="C357" s="310">
        <f>+C355</f>
        <v>46067.37</v>
      </c>
      <c r="D357" s="329" t="str">
        <f>+D355</f>
        <v>kg</v>
      </c>
    </row>
    <row r="358" spans="2:6" ht="7.5" customHeight="1">
      <c r="B358" s="201"/>
      <c r="C358" s="201"/>
      <c r="D358" s="201"/>
    </row>
    <row r="359" spans="2:6" ht="9" customHeight="1">
      <c r="B359" s="199"/>
      <c r="C359" s="321"/>
      <c r="D359" s="198"/>
    </row>
    <row r="360" spans="2:6" ht="20.25" customHeight="1">
      <c r="B360" s="1246" t="str">
        <f>PPTO!$E$30</f>
        <v>ELEMENTOS COMPLEMENTARIOS EN CONCRETO</v>
      </c>
      <c r="C360" s="1246"/>
      <c r="D360" s="1246"/>
    </row>
    <row r="361" spans="2:6" ht="52.5" customHeight="1">
      <c r="B361" s="1244" t="str">
        <f>+PPTO!$E$31</f>
        <v>Suministro e instalacion de Bordillos de concreto de 3000 Psi, para confinamiento de calzada, dimensiones h=0.15, e=0.15 (Incluye refuerzo longitudinal y transversal, bordillo sobrepuesto en Placas de Pavimento Dilatados cada placa)</v>
      </c>
      <c r="C361" s="1245"/>
      <c r="D361" s="330">
        <f>PPTO!$D$31</f>
        <v>4.0999999999999996</v>
      </c>
    </row>
    <row r="362" spans="2:6" ht="30">
      <c r="B362" s="347" t="s">
        <v>189</v>
      </c>
      <c r="C362" s="334">
        <f>C200*2</f>
        <v>5882.58</v>
      </c>
      <c r="D362" s="339" t="s">
        <v>122</v>
      </c>
    </row>
    <row r="363" spans="2:6" ht="28.5" customHeight="1">
      <c r="B363" s="333" t="str">
        <f>CONCATENATE("TOTAL ",B361)</f>
        <v>TOTAL Suministro e instalacion de Bordillos de concreto de 3000 Psi, para confinamiento de calzada, dimensiones h=0.15, e=0.15 (Incluye refuerzo longitudinal y transversal, bordillo sobrepuesto en Placas de Pavimento Dilatados cada placa)</v>
      </c>
      <c r="C363" s="310">
        <f>C362</f>
        <v>5882.58</v>
      </c>
      <c r="D363" s="329" t="s">
        <v>122</v>
      </c>
    </row>
    <row r="364" spans="2:6" ht="15.75">
      <c r="B364" s="199"/>
      <c r="C364" s="321"/>
      <c r="D364" s="198"/>
    </row>
    <row r="365" spans="2:6" ht="33.75" customHeight="1">
      <c r="B365" s="1244" t="str">
        <f>+PPTO!$E$32</f>
        <v>Suministro e instalacion de Concreto Estampado y Pigmentado para Zonas Peatonales en perimetrales de la via en concreto de 3000 Psi.</v>
      </c>
      <c r="C365" s="1245"/>
      <c r="D365" s="330">
        <f>PPTO!$D$32</f>
        <v>4.2</v>
      </c>
    </row>
    <row r="366" spans="2:6" ht="30.75" customHeight="1">
      <c r="B366" s="883" t="s">
        <v>867</v>
      </c>
      <c r="C366" s="334">
        <v>1138.76</v>
      </c>
      <c r="D366" s="339" t="s">
        <v>122</v>
      </c>
    </row>
    <row r="367" spans="2:6" ht="30.75" customHeight="1">
      <c r="B367" s="883" t="s">
        <v>868</v>
      </c>
      <c r="C367" s="334">
        <v>1004.02</v>
      </c>
      <c r="D367" s="339" t="s">
        <v>122</v>
      </c>
    </row>
    <row r="368" spans="2:6" ht="30.75" customHeight="1">
      <c r="B368" s="883" t="s">
        <v>869</v>
      </c>
      <c r="C368" s="334">
        <v>376.75</v>
      </c>
      <c r="D368" s="339" t="s">
        <v>122</v>
      </c>
    </row>
    <row r="369" spans="2:4" ht="28.5" customHeight="1">
      <c r="B369" s="333" t="str">
        <f>CONCATENATE("TOTAL ",B365)</f>
        <v>TOTAL Suministro e instalacion de Concreto Estampado y Pigmentado para Zonas Peatonales en perimetrales de la via en concreto de 3000 Psi.</v>
      </c>
      <c r="C369" s="310">
        <f>SUM(C366:C368)</f>
        <v>2519.5300000000002</v>
      </c>
      <c r="D369" s="329" t="s">
        <v>122</v>
      </c>
    </row>
    <row r="370" spans="2:4" ht="15.75">
      <c r="B370" s="199"/>
      <c r="C370" s="321"/>
      <c r="D370" s="198"/>
    </row>
    <row r="371" spans="2:4" ht="33.75" customHeight="1">
      <c r="B371" s="1244" t="str">
        <f>+PPTO!$E$33</f>
        <v>Construccion de Carcamos para obras de paso hidraulico en concreto de 3000 PSI (Incluye tapas de conceto con escotillas para limpieza).</v>
      </c>
      <c r="C371" s="1245"/>
      <c r="D371" s="330">
        <f>PPTO!$D$33</f>
        <v>4.3</v>
      </c>
    </row>
    <row r="372" spans="2:4">
      <c r="B372" s="205" t="str">
        <f>B174</f>
        <v>Carcamos de Paso Hidraulico</v>
      </c>
      <c r="C372" s="205">
        <f>C174</f>
        <v>98</v>
      </c>
      <c r="D372" s="205" t="str">
        <f>D174</f>
        <v>m</v>
      </c>
    </row>
    <row r="373" spans="2:4" ht="15.75">
      <c r="B373" s="205"/>
      <c r="C373" s="321"/>
      <c r="D373" s="320"/>
    </row>
    <row r="374" spans="2:4" ht="28.5" customHeight="1">
      <c r="B374" s="333" t="str">
        <f>CONCATENATE("TOTAL ",$B$371)</f>
        <v>TOTAL Construccion de Carcamos para obras de paso hidraulico en concreto de 3000 PSI (Incluye tapas de conceto con escotillas para limpieza).</v>
      </c>
      <c r="C374" s="310">
        <f>SUM(C372:C373)</f>
        <v>98</v>
      </c>
      <c r="D374" s="329" t="s">
        <v>122</v>
      </c>
    </row>
    <row r="375" spans="2:4" ht="10.5" customHeight="1">
      <c r="B375" s="299"/>
      <c r="C375" s="300"/>
      <c r="D375" s="301"/>
    </row>
    <row r="376" spans="2:4" ht="48.75" customHeight="1">
      <c r="B376" s="1244" t="str">
        <f>PPTO!$E$34</f>
        <v>Suministro e instalacion de Bordillos de concreto de 3000 Psi, para Separadores centrales de calzada, dimensiones h=0.25, e=0.15 (Incluye refuerzo longitudinal y transversal, bordillo sobrepuesto en Placas de Pavimento Dilatados cada placa)</v>
      </c>
      <c r="C376" s="1245"/>
      <c r="D376" s="330">
        <f>PPTO!$D$34</f>
        <v>4.4000000000000004</v>
      </c>
    </row>
    <row r="377" spans="2:4" ht="15.75">
      <c r="B377" s="885" t="s">
        <v>877</v>
      </c>
      <c r="C377" s="334">
        <f>41.6+24.4+7.74+8.5+1.114+44.12+48+11.11+110.91+127.45+116.5+288.19+89.76+60.23+51.79+81.25</f>
        <v>1112.6600000000001</v>
      </c>
      <c r="D377" s="339"/>
    </row>
    <row r="378" spans="2:4" ht="9" customHeight="1">
      <c r="B378" s="737"/>
      <c r="C378" s="334"/>
      <c r="D378" s="339"/>
    </row>
    <row r="379" spans="2:4" ht="28.5" customHeight="1">
      <c r="B379" s="333" t="str">
        <f>CONCATENATE("TOTAL ",B376)</f>
        <v>TOTAL Suministro e instalacion de Bordillos de concreto de 3000 Psi, para Separadores centrales de calzada, dimensiones h=0.25, e=0.15 (Incluye refuerzo longitudinal y transversal, bordillo sobrepuesto en Placas de Pavimento Dilatados cada placa)</v>
      </c>
      <c r="C379" s="310">
        <f>SUM(C377:C378)</f>
        <v>1112.6600000000001</v>
      </c>
      <c r="D379" s="348" t="s">
        <v>44</v>
      </c>
    </row>
    <row r="380" spans="2:4">
      <c r="B380" s="299"/>
      <c r="C380" s="300"/>
      <c r="D380" s="301"/>
    </row>
    <row r="381" spans="2:4" ht="33.75" customHeight="1">
      <c r="B381" s="1244" t="str">
        <f>+PPTO!$E$35</f>
        <v>Concreto de 4000 psi para resalto vehicular, con protuberancia de 10 cm y longitud a lo largo de la vía de 3,70 mt. (incluye refuerzo)</v>
      </c>
      <c r="C381" s="1245"/>
      <c r="D381" s="330">
        <f>PPTO!$D$35</f>
        <v>4.5</v>
      </c>
    </row>
    <row r="382" spans="2:4" ht="15.75">
      <c r="B382" s="1247" t="s">
        <v>252</v>
      </c>
      <c r="C382" s="1248"/>
      <c r="D382" s="1249"/>
    </row>
    <row r="383" spans="2:4" ht="15.75">
      <c r="B383" s="786" t="s">
        <v>808</v>
      </c>
      <c r="C383" s="334">
        <f>11.8</f>
        <v>11.8</v>
      </c>
      <c r="D383" s="358" t="s">
        <v>122</v>
      </c>
    </row>
    <row r="384" spans="2:4" ht="15.75">
      <c r="B384" s="786" t="s">
        <v>806</v>
      </c>
      <c r="C384" s="334">
        <f>5.3*2</f>
        <v>10.6</v>
      </c>
      <c r="D384" s="358" t="s">
        <v>122</v>
      </c>
    </row>
    <row r="385" spans="2:5" ht="15.75">
      <c r="B385" s="786" t="s">
        <v>807</v>
      </c>
      <c r="C385" s="334">
        <f>7.8</f>
        <v>7.8</v>
      </c>
      <c r="D385" s="358" t="s">
        <v>122</v>
      </c>
    </row>
    <row r="386" spans="2:5" ht="15.75">
      <c r="B386" s="786" t="s">
        <v>809</v>
      </c>
      <c r="C386" s="334">
        <f>5.8*4</f>
        <v>23.2</v>
      </c>
      <c r="D386" s="358" t="s">
        <v>122</v>
      </c>
    </row>
    <row r="387" spans="2:5" ht="15.75">
      <c r="B387" s="786" t="s">
        <v>810</v>
      </c>
      <c r="C387" s="334">
        <v>3.3</v>
      </c>
      <c r="D387" s="358" t="s">
        <v>122</v>
      </c>
    </row>
    <row r="388" spans="2:5" ht="15.75">
      <c r="B388" s="786" t="s">
        <v>811</v>
      </c>
      <c r="C388" s="334">
        <v>4.8</v>
      </c>
      <c r="D388" s="358" t="s">
        <v>122</v>
      </c>
    </row>
    <row r="389" spans="2:5" ht="28.5" customHeight="1">
      <c r="B389" s="333" t="str">
        <f>CONCATENATE("TOTAL ",$B$381)</f>
        <v>TOTAL Concreto de 4000 psi para resalto vehicular, con protuberancia de 10 cm y longitud a lo largo de la vía de 3,70 mt. (incluye refuerzo)</v>
      </c>
      <c r="C389" s="310">
        <f>SUM(C383:C388)</f>
        <v>61.5</v>
      </c>
      <c r="D389" s="329" t="s">
        <v>122</v>
      </c>
    </row>
    <row r="390" spans="2:5">
      <c r="B390" s="299"/>
      <c r="C390" s="300"/>
      <c r="D390" s="301"/>
    </row>
    <row r="391" spans="2:5" ht="33.75" customHeight="1">
      <c r="B391" s="1244" t="str">
        <f>+PPTO!$E$36</f>
        <v>Anden en concreto de 3000 psi e=0.15 mts (incluye malla electrosoldada) Incluye linea de Losetas tipo Braille y rampas de acceso de Movilidad reducida.</v>
      </c>
      <c r="C391" s="1245"/>
      <c r="D391" s="330">
        <f>PPTO!$D$36</f>
        <v>4.5999999999999996</v>
      </c>
    </row>
    <row r="392" spans="2:5" ht="15.75">
      <c r="B392" s="1247" t="s">
        <v>171</v>
      </c>
      <c r="C392" s="1248"/>
      <c r="D392" s="1249"/>
    </row>
    <row r="393" spans="2:5" ht="15.75">
      <c r="B393" s="466" t="s">
        <v>244</v>
      </c>
      <c r="C393" s="321">
        <f>C171</f>
        <v>7074.91</v>
      </c>
      <c r="D393" s="320" t="s">
        <v>72</v>
      </c>
    </row>
    <row r="394" spans="2:5" ht="15.75">
      <c r="B394" s="199"/>
      <c r="C394" s="321"/>
      <c r="D394" s="320"/>
    </row>
    <row r="395" spans="2:5" ht="28.5" customHeight="1">
      <c r="B395" s="333" t="str">
        <f>CONCATENATE("TOTAL ",$B$391)</f>
        <v>TOTAL Anden en concreto de 3000 psi e=0.15 mts (incluye malla electrosoldada) Incluye linea de Losetas tipo Braille y rampas de acceso de Movilidad reducida.</v>
      </c>
      <c r="C395" s="310">
        <f>SUM(C393:C394)</f>
        <v>7074.91</v>
      </c>
      <c r="D395" s="329" t="s">
        <v>72</v>
      </c>
    </row>
    <row r="396" spans="2:5">
      <c r="B396" s="299"/>
      <c r="C396" s="300"/>
      <c r="D396" s="301"/>
    </row>
    <row r="397" spans="2:5" ht="33.75" customHeight="1">
      <c r="B397" s="1244" t="str">
        <f>+PPTO!$E$39</f>
        <v xml:space="preserve">Acero de refuerzo 60000 psi </v>
      </c>
      <c r="C397" s="1245"/>
      <c r="D397" s="330">
        <f>PPTO!$D$39</f>
        <v>4.9000000000000004</v>
      </c>
    </row>
    <row r="398" spans="2:5">
      <c r="B398" s="874" t="s">
        <v>853</v>
      </c>
      <c r="C398" s="197">
        <f>$C$152</f>
        <v>26475.5</v>
      </c>
      <c r="D398" s="198" t="s">
        <v>72</v>
      </c>
      <c r="E398" s="875"/>
    </row>
    <row r="399" spans="2:5">
      <c r="B399" s="874" t="s">
        <v>854</v>
      </c>
      <c r="C399" s="197">
        <f>2.72/9</f>
        <v>0.3</v>
      </c>
      <c r="D399" s="198" t="s">
        <v>855</v>
      </c>
      <c r="E399" s="203">
        <f>0.4*3.96</f>
        <v>1.58</v>
      </c>
    </row>
    <row r="400" spans="2:5" ht="15.75">
      <c r="B400" s="199"/>
      <c r="C400" s="321"/>
      <c r="D400" s="320"/>
    </row>
    <row r="401" spans="2:4" ht="15.75">
      <c r="B401" s="952" t="s">
        <v>1206</v>
      </c>
      <c r="C401" s="334">
        <f>0.566*4*4</f>
        <v>9.06</v>
      </c>
      <c r="D401" s="953" t="s">
        <v>1207</v>
      </c>
    </row>
    <row r="402" spans="2:4" ht="15.75">
      <c r="B402" s="952" t="s">
        <v>1208</v>
      </c>
      <c r="C402" s="334">
        <f>C152*5%</f>
        <v>1323.78</v>
      </c>
      <c r="D402" s="953" t="s">
        <v>72</v>
      </c>
    </row>
    <row r="403" spans="2:4" ht="15.75">
      <c r="B403" s="199" t="s">
        <v>1209</v>
      </c>
      <c r="C403" s="321">
        <f>C401*C402</f>
        <v>11993.45</v>
      </c>
      <c r="D403" s="320" t="s">
        <v>1207</v>
      </c>
    </row>
    <row r="404" spans="2:4" ht="15.75">
      <c r="B404" s="952"/>
      <c r="C404" s="334"/>
      <c r="D404" s="953"/>
    </row>
    <row r="405" spans="2:4" ht="28.5" customHeight="1">
      <c r="B405" s="333" t="str">
        <f>CONCATENATE("TOTAL ",$B$371)</f>
        <v>TOTAL Construccion de Carcamos para obras de paso hidraulico en concreto de 3000 PSI (Incluye tapas de conceto con escotillas para limpieza).</v>
      </c>
      <c r="C405" s="310">
        <f>C398*C399+C403</f>
        <v>19936.099999999999</v>
      </c>
      <c r="D405" s="329" t="s">
        <v>53</v>
      </c>
    </row>
    <row r="406" spans="2:4">
      <c r="B406" s="299"/>
      <c r="C406" s="300"/>
      <c r="D406" s="301"/>
    </row>
    <row r="407" spans="2:4" ht="33.75" customHeight="1">
      <c r="B407" s="1244" t="str">
        <f>+PPTO!$E$40</f>
        <v>Solado de limpieza de e=5cm de concreto de 2000psi , bajo estructuras.</v>
      </c>
      <c r="C407" s="1245"/>
      <c r="D407" s="500" t="str">
        <f>PPTO!$D$40</f>
        <v>4.10</v>
      </c>
    </row>
    <row r="408" spans="2:4" ht="15.75">
      <c r="B408" s="1247"/>
      <c r="C408" s="1248"/>
      <c r="D408" s="1249"/>
    </row>
    <row r="409" spans="2:4" ht="15.75">
      <c r="B409" s="199"/>
      <c r="C409" s="321"/>
      <c r="D409" s="320"/>
    </row>
    <row r="410" spans="2:4" ht="28.5" customHeight="1">
      <c r="B410" s="333" t="str">
        <f>CONCATENATE("TOTAL ",$B$371)</f>
        <v>TOTAL Construccion de Carcamos para obras de paso hidraulico en concreto de 3000 PSI (Incluye tapas de conceto con escotillas para limpieza).</v>
      </c>
      <c r="C410" s="310">
        <f>SUM(C409:C409)</f>
        <v>0</v>
      </c>
      <c r="D410" s="329" t="s">
        <v>72</v>
      </c>
    </row>
    <row r="411" spans="2:4">
      <c r="B411" s="299"/>
      <c r="C411" s="300"/>
      <c r="D411" s="301"/>
    </row>
    <row r="412" spans="2:4" ht="20.25" customHeight="1">
      <c r="B412" s="1246" t="str">
        <f>PPTO!$E$42</f>
        <v xml:space="preserve">SEÑALIZACION Y DEMARCACIONES </v>
      </c>
      <c r="C412" s="1246"/>
      <c r="D412" s="1246"/>
    </row>
    <row r="413" spans="2:4">
      <c r="B413" s="299"/>
      <c r="C413" s="300"/>
      <c r="D413" s="301"/>
    </row>
    <row r="414" spans="2:4" ht="33.75" customHeight="1">
      <c r="B414" s="1244" t="str">
        <f>+PPTO!$E$43</f>
        <v>Linea de 0.12 en pintura de trafico para señalización horizontal. (Manual Señalizacion MinT Colombia 2015)</v>
      </c>
      <c r="C414" s="1245"/>
      <c r="D414" s="330">
        <f>PPTO!$D$43</f>
        <v>5.0999999999999996</v>
      </c>
    </row>
    <row r="415" spans="2:4" ht="15.75">
      <c r="B415" s="1247" t="s">
        <v>288</v>
      </c>
      <c r="C415" s="1248"/>
      <c r="D415" s="1249"/>
    </row>
    <row r="416" spans="2:4" ht="15.75">
      <c r="B416" s="783" t="s">
        <v>812</v>
      </c>
      <c r="C416" s="334">
        <f>C200*2</f>
        <v>5882.58</v>
      </c>
      <c r="D416" s="339" t="s">
        <v>122</v>
      </c>
    </row>
    <row r="417" spans="2:4" ht="15.75">
      <c r="B417" s="783" t="s">
        <v>813</v>
      </c>
      <c r="C417" s="334">
        <f>2*PI()*7.2</f>
        <v>45.24</v>
      </c>
      <c r="D417" s="339" t="s">
        <v>122</v>
      </c>
    </row>
    <row r="418" spans="2:4" ht="15.75">
      <c r="B418" s="783" t="s">
        <v>814</v>
      </c>
      <c r="C418" s="334">
        <f>35*8*2</f>
        <v>560</v>
      </c>
      <c r="D418" s="339" t="s">
        <v>122</v>
      </c>
    </row>
    <row r="419" spans="2:4" ht="15.75">
      <c r="B419" s="493" t="s">
        <v>291</v>
      </c>
      <c r="C419" s="321">
        <f>SUM(C416:C418)</f>
        <v>6487.82</v>
      </c>
      <c r="D419" s="338" t="s">
        <v>122</v>
      </c>
    </row>
    <row r="420" spans="2:4" ht="15.75">
      <c r="B420" s="492"/>
      <c r="C420" s="334"/>
      <c r="D420" s="339"/>
    </row>
    <row r="421" spans="2:4" ht="15.75">
      <c r="B421" s="1247" t="s">
        <v>819</v>
      </c>
      <c r="C421" s="1248"/>
      <c r="D421" s="1249"/>
    </row>
    <row r="422" spans="2:4" ht="15.75">
      <c r="B422" s="492" t="s">
        <v>290</v>
      </c>
      <c r="C422" s="334">
        <f>275/2+100</f>
        <v>237.5</v>
      </c>
      <c r="D422" s="339" t="s">
        <v>122</v>
      </c>
    </row>
    <row r="423" spans="2:4" ht="15.75">
      <c r="B423" s="783" t="s">
        <v>830</v>
      </c>
      <c r="C423" s="334">
        <f>C119/2</f>
        <v>26.92</v>
      </c>
      <c r="D423" s="339" t="s">
        <v>122</v>
      </c>
    </row>
    <row r="424" spans="2:4" ht="15.75">
      <c r="B424" s="783" t="s">
        <v>822</v>
      </c>
      <c r="C424" s="334">
        <f>C123</f>
        <v>90.77</v>
      </c>
      <c r="D424" s="339" t="s">
        <v>122</v>
      </c>
    </row>
    <row r="425" spans="2:4" ht="15.75">
      <c r="B425" s="783" t="s">
        <v>824</v>
      </c>
      <c r="C425" s="334">
        <f>C193/2</f>
        <v>152.09</v>
      </c>
      <c r="D425" s="339" t="s">
        <v>122</v>
      </c>
    </row>
    <row r="426" spans="2:4" ht="15.75">
      <c r="B426" s="783" t="s">
        <v>825</v>
      </c>
      <c r="C426" s="334">
        <f>C194/2</f>
        <v>12.83</v>
      </c>
      <c r="D426" s="339" t="s">
        <v>122</v>
      </c>
    </row>
    <row r="427" spans="2:4" ht="15.75">
      <c r="B427" s="783" t="s">
        <v>826</v>
      </c>
      <c r="C427" s="334">
        <f>C195/2</f>
        <v>72.31</v>
      </c>
      <c r="D427" s="339" t="s">
        <v>122</v>
      </c>
    </row>
    <row r="428" spans="2:4" ht="15.75">
      <c r="B428" s="783" t="s">
        <v>827</v>
      </c>
      <c r="C428" s="334">
        <f>C196/2</f>
        <v>22.63</v>
      </c>
      <c r="D428" s="339" t="s">
        <v>122</v>
      </c>
    </row>
    <row r="429" spans="2:4" ht="15.75">
      <c r="B429" s="783" t="s">
        <v>828</v>
      </c>
      <c r="C429" s="334">
        <f>C197/2</f>
        <v>83.97</v>
      </c>
      <c r="D429" s="339" t="s">
        <v>122</v>
      </c>
    </row>
    <row r="430" spans="2:4" ht="15.75">
      <c r="B430" s="783" t="s">
        <v>829</v>
      </c>
      <c r="C430" s="334">
        <f>C148*3/2</f>
        <v>401.58</v>
      </c>
      <c r="D430" s="339" t="s">
        <v>122</v>
      </c>
    </row>
    <row r="431" spans="2:4" ht="15.75">
      <c r="B431" s="783" t="s">
        <v>823</v>
      </c>
      <c r="C431" s="334">
        <f>C144/2</f>
        <v>54.78</v>
      </c>
      <c r="D431" s="339" t="s">
        <v>122</v>
      </c>
    </row>
    <row r="432" spans="2:4" ht="15.75">
      <c r="B432" s="783" t="s">
        <v>821</v>
      </c>
      <c r="C432" s="334">
        <f>C103*2/2</f>
        <v>523.77</v>
      </c>
      <c r="D432" s="339" t="s">
        <v>122</v>
      </c>
    </row>
    <row r="433" spans="2:4" ht="15.75">
      <c r="B433" s="783" t="s">
        <v>820</v>
      </c>
      <c r="C433" s="334">
        <f>C101/2/2</f>
        <v>55.4</v>
      </c>
      <c r="D433" s="339" t="s">
        <v>122</v>
      </c>
    </row>
    <row r="434" spans="2:4" ht="15.75">
      <c r="B434" s="783" t="s">
        <v>818</v>
      </c>
      <c r="C434" s="334">
        <f>C99/2*2</f>
        <v>119.92</v>
      </c>
      <c r="D434" s="339" t="s">
        <v>122</v>
      </c>
    </row>
    <row r="435" spans="2:4" ht="15.75">
      <c r="B435" s="783" t="s">
        <v>815</v>
      </c>
      <c r="C435" s="334">
        <f>C114</f>
        <v>280.55</v>
      </c>
      <c r="D435" s="339" t="s">
        <v>122</v>
      </c>
    </row>
    <row r="436" spans="2:4" ht="15.75">
      <c r="B436" s="783" t="s">
        <v>817</v>
      </c>
      <c r="C436" s="334">
        <f>C109/2/2</f>
        <v>117.71</v>
      </c>
      <c r="D436" s="339" t="s">
        <v>122</v>
      </c>
    </row>
    <row r="437" spans="2:4" ht="15.75">
      <c r="B437" s="493" t="s">
        <v>292</v>
      </c>
      <c r="C437" s="321">
        <f>SUM(C422:C436)</f>
        <v>2252.73</v>
      </c>
      <c r="D437" s="338" t="s">
        <v>122</v>
      </c>
    </row>
    <row r="438" spans="2:4" ht="15.75">
      <c r="B438" s="492"/>
      <c r="C438" s="334"/>
      <c r="D438" s="339"/>
    </row>
    <row r="439" spans="2:4" ht="15.75">
      <c r="B439" s="1247" t="s">
        <v>289</v>
      </c>
      <c r="C439" s="1248"/>
      <c r="D439" s="1249"/>
    </row>
    <row r="440" spans="2:4" ht="15.75">
      <c r="B440" s="783" t="s">
        <v>816</v>
      </c>
      <c r="C440" s="334">
        <f>C109/2*2</f>
        <v>470.85</v>
      </c>
      <c r="D440" s="339" t="s">
        <v>122</v>
      </c>
    </row>
    <row r="441" spans="2:4" ht="15.75">
      <c r="B441" s="783" t="s">
        <v>831</v>
      </c>
      <c r="C441" s="334">
        <f>C101*2/2</f>
        <v>221.59</v>
      </c>
      <c r="D441" s="339" t="s">
        <v>122</v>
      </c>
    </row>
    <row r="442" spans="2:4" ht="15.75">
      <c r="B442" s="493" t="s">
        <v>285</v>
      </c>
      <c r="C442" s="321">
        <f>SUM(C440:C441)</f>
        <v>692.44</v>
      </c>
      <c r="D442" s="338" t="s">
        <v>122</v>
      </c>
    </row>
    <row r="443" spans="2:4" ht="15.75">
      <c r="B443" s="492"/>
      <c r="C443" s="334"/>
      <c r="D443" s="339"/>
    </row>
    <row r="444" spans="2:4" ht="28.5" customHeight="1">
      <c r="B444" s="333" t="str">
        <f>CONCATENATE("TOTAL ",B414)</f>
        <v>TOTAL Linea de 0.12 en pintura de trafico para señalización horizontal. (Manual Señalizacion MinT Colombia 2015)</v>
      </c>
      <c r="C444" s="310">
        <f>C419+C437+C442</f>
        <v>9432.99</v>
      </c>
      <c r="D444" s="348" t="str">
        <f>D422</f>
        <v>m</v>
      </c>
    </row>
    <row r="445" spans="2:4" ht="15.75">
      <c r="B445" s="199"/>
      <c r="C445" s="321"/>
      <c r="D445" s="198"/>
    </row>
    <row r="446" spans="2:4" ht="46.5" customHeight="1">
      <c r="B446" s="1244" t="str">
        <f>+PPTO!$E$44</f>
        <v>Suminstro e instalación de elementos de Señales verticales en fondo reflectivo Tipo Alta Intensidad con tablero en lámina cal 16, terminados en pintura electrostática blanca. (Manual Señalizacion MinT Colombia 2015)</v>
      </c>
      <c r="C446" s="1245"/>
      <c r="D446" s="330">
        <f>PPTO!$D$44</f>
        <v>5.2</v>
      </c>
    </row>
    <row r="447" spans="2:4" ht="15.75">
      <c r="B447" s="492" t="s">
        <v>295</v>
      </c>
      <c r="C447" s="334">
        <v>104</v>
      </c>
      <c r="D447" s="339" t="s">
        <v>119</v>
      </c>
    </row>
    <row r="448" spans="2:4" ht="60.75" customHeight="1">
      <c r="B448" s="333" t="str">
        <f>CONCATENATE("TOTAL ",B446)</f>
        <v>TOTAL Suminstro e instalación de elementos de Señales verticales en fondo reflectivo Tipo Alta Intensidad con tablero en lámina cal 16, terminados en pintura electrostática blanca. (Manual Señalizacion MinT Colombia 2015)</v>
      </c>
      <c r="C448" s="310">
        <f>C447</f>
        <v>104</v>
      </c>
      <c r="D448" s="348" t="s">
        <v>119</v>
      </c>
    </row>
    <row r="449" spans="2:4" ht="15.75">
      <c r="B449" s="199"/>
      <c r="C449" s="321"/>
      <c r="D449" s="198"/>
    </row>
    <row r="450" spans="2:4" ht="34.5" customHeight="1">
      <c r="B450" s="1244" t="str">
        <f>+PPTO!$E$45</f>
        <v>Señal horizontal de fecha sencilla de giro en Pintura acrilica de Trafico. (Manual Señalizacion MinT Colombia 2015)</v>
      </c>
      <c r="C450" s="1245"/>
      <c r="D450" s="330">
        <f>PPTO!$D$45</f>
        <v>5.3</v>
      </c>
    </row>
    <row r="451" spans="2:4" ht="15.75">
      <c r="B451" s="492" t="s">
        <v>298</v>
      </c>
      <c r="C451" s="334">
        <v>95</v>
      </c>
      <c r="D451" s="339" t="s">
        <v>119</v>
      </c>
    </row>
    <row r="452" spans="2:4" ht="32.25" customHeight="1">
      <c r="B452" s="333" t="str">
        <f>CONCATENATE("TOTAL ",B450)</f>
        <v>TOTAL Señal horizontal de fecha sencilla de giro en Pintura acrilica de Trafico. (Manual Señalizacion MinT Colombia 2015)</v>
      </c>
      <c r="C452" s="310">
        <f>C451</f>
        <v>95</v>
      </c>
      <c r="D452" s="348" t="s">
        <v>119</v>
      </c>
    </row>
    <row r="453" spans="2:4" ht="15.75">
      <c r="B453" s="199"/>
      <c r="C453" s="321"/>
      <c r="D453" s="198"/>
    </row>
    <row r="454" spans="2:4" ht="34.5" customHeight="1">
      <c r="B454" s="1244" t="str">
        <f>+PPTO!$E$46</f>
        <v>Señal horizontal de fecha doble de giro en Pintura acrilica de Trafico. (Manual Señalizacion MinT Colombia 2015)</v>
      </c>
      <c r="C454" s="1245"/>
      <c r="D454" s="330">
        <f>PPTO!$D$46</f>
        <v>5.4</v>
      </c>
    </row>
    <row r="455" spans="2:4" ht="15.75">
      <c r="B455" s="492" t="s">
        <v>297</v>
      </c>
      <c r="C455" s="334">
        <v>45</v>
      </c>
      <c r="D455" s="339" t="s">
        <v>119</v>
      </c>
    </row>
    <row r="456" spans="2:4" ht="32.25" customHeight="1">
      <c r="B456" s="333" t="str">
        <f>CONCATENATE("TOTAL ",B454)</f>
        <v>TOTAL Señal horizontal de fecha doble de giro en Pintura acrilica de Trafico. (Manual Señalizacion MinT Colombia 2015)</v>
      </c>
      <c r="C456" s="310">
        <f>C455</f>
        <v>45</v>
      </c>
      <c r="D456" s="348" t="s">
        <v>119</v>
      </c>
    </row>
    <row r="457" spans="2:4" ht="15.75">
      <c r="B457" s="199"/>
      <c r="C457" s="321"/>
      <c r="D457" s="198"/>
    </row>
    <row r="458" spans="2:4" ht="33.75" customHeight="1">
      <c r="B458" s="1244" t="str">
        <f>+PPTO!$E$47</f>
        <v>Señal horizontal para cruce via en cebra en Pintura acrilica de Trafico. (Manual Señalizacion MinT Colombia 2015)</v>
      </c>
      <c r="C458" s="1245"/>
      <c r="D458" s="330">
        <f>PPTO!$D$47</f>
        <v>5.5</v>
      </c>
    </row>
    <row r="459" spans="2:4" ht="15.75">
      <c r="B459" s="1247" t="s">
        <v>294</v>
      </c>
      <c r="C459" s="1248"/>
      <c r="D459" s="1249"/>
    </row>
    <row r="460" spans="2:4" ht="30">
      <c r="B460" s="877" t="s">
        <v>865</v>
      </c>
      <c r="C460" s="334">
        <v>1368.04</v>
      </c>
      <c r="D460" s="339" t="s">
        <v>72</v>
      </c>
    </row>
    <row r="461" spans="2:4" ht="28.5" customHeight="1">
      <c r="B461" s="333" t="str">
        <f>CONCATENATE("TOTAL ",B458)</f>
        <v>TOTAL Señal horizontal para cruce via en cebra en Pintura acrilica de Trafico. (Manual Señalizacion MinT Colombia 2015)</v>
      </c>
      <c r="C461" s="310">
        <f>C460</f>
        <v>1368.04</v>
      </c>
      <c r="D461" s="348" t="s">
        <v>72</v>
      </c>
    </row>
    <row r="462" spans="2:4" ht="15.75">
      <c r="B462" s="199"/>
      <c r="C462" s="321"/>
      <c r="D462" s="198"/>
    </row>
    <row r="463" spans="2:4" ht="57.75" customHeight="1">
      <c r="B463" s="1244" t="str">
        <f>+PPTO!$E$48</f>
        <v>Suministro e Instalación de Señal vertical de gran tamaño con descripción de Destino y ubicación, en fondo reflectivo Tipo Alta Intensidad con tablero en lámina cal 16, terminados en pintura electrostática blanca. (Manual Señalización MinT Colombia 2015)</v>
      </c>
      <c r="C463" s="1245"/>
      <c r="D463" s="330">
        <f>PPTO!$D$48</f>
        <v>5.6</v>
      </c>
    </row>
    <row r="464" spans="2:4" ht="15.75">
      <c r="B464" s="783" t="s">
        <v>832</v>
      </c>
      <c r="C464" s="334">
        <v>1</v>
      </c>
      <c r="D464" s="339" t="s">
        <v>119</v>
      </c>
    </row>
    <row r="465" spans="2:4" ht="66" customHeight="1">
      <c r="B465" s="333" t="str">
        <f>CONCATENATE("TOTAL ",B463)</f>
        <v>TOTAL Suministro e Instalación de Señal vertical de gran tamaño con descripción de Destino y ubicación, en fondo reflectivo Tipo Alta Intensidad con tablero en lámina cal 16, terminados en pintura electrostática blanca. (Manual Señalización MinT Colombia 2015)</v>
      </c>
      <c r="C465" s="310">
        <f>C464</f>
        <v>1</v>
      </c>
      <c r="D465" s="348" t="s">
        <v>119</v>
      </c>
    </row>
    <row r="466" spans="2:4" ht="15.75">
      <c r="B466" s="199"/>
      <c r="C466" s="321"/>
      <c r="D466" s="198"/>
    </row>
    <row r="467" spans="2:4" ht="30" customHeight="1">
      <c r="B467" s="1244" t="str">
        <f>+PPTO!$E$49</f>
        <v>Señal horizontal de PARE  con linea delimitadora en Pintura acrilica de Trafico. (Manual Señalizacion MinT Colombia 2015)</v>
      </c>
      <c r="C467" s="1245"/>
      <c r="D467" s="330">
        <f>PPTO!$D$49</f>
        <v>5.7</v>
      </c>
    </row>
    <row r="468" spans="2:4" ht="15.75">
      <c r="B468" s="492" t="s">
        <v>306</v>
      </c>
      <c r="C468" s="334">
        <v>42</v>
      </c>
      <c r="D468" s="339" t="s">
        <v>119</v>
      </c>
    </row>
    <row r="469" spans="2:4" ht="30" customHeight="1">
      <c r="B469" s="333" t="str">
        <f>CONCATENATE("TOTAL ",B467)</f>
        <v>TOTAL Señal horizontal de PARE  con linea delimitadora en Pintura acrilica de Trafico. (Manual Señalizacion MinT Colombia 2015)</v>
      </c>
      <c r="C469" s="310">
        <f>C468</f>
        <v>42</v>
      </c>
      <c r="D469" s="348" t="s">
        <v>119</v>
      </c>
    </row>
    <row r="470" spans="2:4" ht="15.75">
      <c r="B470" s="199"/>
      <c r="C470" s="321"/>
      <c r="D470" s="198"/>
    </row>
    <row r="471" spans="2:4" ht="30" customHeight="1">
      <c r="B471" s="1244" t="str">
        <f>+PPTO!$E$50</f>
        <v>Suministro e Instalacion deTachas reflectivas Bidireccionales. (Manual Señalizacion MinT Colombia 2015)</v>
      </c>
      <c r="C471" s="1245"/>
      <c r="D471" s="330">
        <f>PPTO!$D$50</f>
        <v>5.8</v>
      </c>
    </row>
    <row r="472" spans="2:4" ht="15.75">
      <c r="B472" s="492" t="s">
        <v>309</v>
      </c>
      <c r="C472" s="334">
        <f>ROUNDUP(C200/1.5*3+350,0)</f>
        <v>6233</v>
      </c>
      <c r="D472" s="339" t="s">
        <v>119</v>
      </c>
    </row>
    <row r="473" spans="2:4" ht="30" customHeight="1">
      <c r="B473" s="333" t="str">
        <f>CONCATENATE("TOTAL ",B471)</f>
        <v>TOTAL Suministro e Instalacion deTachas reflectivas Bidireccionales. (Manual Señalizacion MinT Colombia 2015)</v>
      </c>
      <c r="C473" s="310">
        <f>C472</f>
        <v>6233</v>
      </c>
      <c r="D473" s="348" t="s">
        <v>119</v>
      </c>
    </row>
    <row r="474" spans="2:4" ht="15.75">
      <c r="B474" s="199"/>
      <c r="C474" s="321"/>
      <c r="D474" s="198"/>
    </row>
    <row r="475" spans="2:4" ht="30" customHeight="1">
      <c r="B475" s="1244" t="str">
        <f>+PPTO!$E$51</f>
        <v xml:space="preserve">Suministro e Instalacion de Tachas Solares. </v>
      </c>
      <c r="C475" s="1245"/>
      <c r="D475" s="330">
        <f>PPTO!$D$51</f>
        <v>5.9</v>
      </c>
    </row>
    <row r="476" spans="2:4" ht="15.75">
      <c r="B476" s="492" t="s">
        <v>319</v>
      </c>
      <c r="C476" s="334">
        <f>ROUNDUP(C417/0.4,0)</f>
        <v>114</v>
      </c>
      <c r="D476" s="339" t="s">
        <v>119</v>
      </c>
    </row>
    <row r="477" spans="2:4" ht="30" customHeight="1">
      <c r="B477" s="333" t="str">
        <f>CONCATENATE("TOTAL ",B475)</f>
        <v xml:space="preserve">TOTAL Suministro e Instalacion de Tachas Solares. </v>
      </c>
      <c r="C477" s="310">
        <f>C476</f>
        <v>114</v>
      </c>
      <c r="D477" s="348" t="s">
        <v>119</v>
      </c>
    </row>
    <row r="478" spans="2:4" ht="15.75">
      <c r="B478" s="199"/>
      <c r="C478" s="321"/>
      <c r="D478" s="198"/>
    </row>
    <row r="479" spans="2:4" ht="30" customHeight="1">
      <c r="B479" s="1244" t="str">
        <f>+PPTO!$E$52</f>
        <v>Suministro e Instalacion de tachon reflectivo 8x15x40 cm</v>
      </c>
      <c r="C479" s="1245"/>
      <c r="D479" s="500" t="str">
        <f>PPTO!$D$52</f>
        <v>5.10</v>
      </c>
    </row>
    <row r="480" spans="2:4" ht="15.75">
      <c r="B480" s="492" t="s">
        <v>322</v>
      </c>
      <c r="C480" s="334">
        <v>350</v>
      </c>
      <c r="D480" s="339" t="s">
        <v>122</v>
      </c>
    </row>
    <row r="481" spans="2:4" ht="15.75">
      <c r="B481" s="492" t="s">
        <v>324</v>
      </c>
      <c r="C481" s="334">
        <v>0.45</v>
      </c>
      <c r="D481" s="339" t="s">
        <v>122</v>
      </c>
    </row>
    <row r="482" spans="2:4" ht="15.75">
      <c r="B482" s="492" t="s">
        <v>323</v>
      </c>
      <c r="C482" s="334">
        <f>ROUNDUP(C480/C481,0)</f>
        <v>778</v>
      </c>
      <c r="D482" s="339" t="s">
        <v>119</v>
      </c>
    </row>
    <row r="483" spans="2:4" ht="30" customHeight="1">
      <c r="B483" s="333" t="str">
        <f>CONCATENATE("TOTAL ",B479)</f>
        <v>TOTAL Suministro e Instalacion de tachon reflectivo 8x15x40 cm</v>
      </c>
      <c r="C483" s="310">
        <f>C482</f>
        <v>778</v>
      </c>
      <c r="D483" s="348" t="s">
        <v>119</v>
      </c>
    </row>
    <row r="484" spans="2:4" ht="15.75">
      <c r="B484" s="199"/>
      <c r="C484" s="321"/>
      <c r="D484" s="198"/>
    </row>
    <row r="485" spans="2:4" ht="15.75">
      <c r="B485" s="199"/>
      <c r="C485" s="321"/>
      <c r="D485" s="198"/>
    </row>
    <row r="486" spans="2:4" ht="20.25" customHeight="1">
      <c r="B486" s="1246" t="str">
        <f>PPTO!$E$54</f>
        <v>SISTEMAS HIDROSANITARIOS</v>
      </c>
      <c r="C486" s="1246"/>
      <c r="D486" s="1246"/>
    </row>
    <row r="487" spans="2:4" ht="15.75">
      <c r="B487" s="1244" t="str">
        <f>+PPTO!$E$56</f>
        <v>Suministro e instalacion tuberia en concreto de Ø 36"</v>
      </c>
      <c r="C487" s="1245"/>
      <c r="D487" s="330">
        <f>PPTO!$D$56</f>
        <v>6.1</v>
      </c>
    </row>
    <row r="488" spans="2:4" ht="15.75">
      <c r="B488" s="347" t="str">
        <f>B487</f>
        <v>Suministro e instalacion tuberia en concreto de Ø 36"</v>
      </c>
      <c r="C488" s="334">
        <f>C175</f>
        <v>0</v>
      </c>
      <c r="D488" s="339" t="s">
        <v>122</v>
      </c>
    </row>
    <row r="489" spans="2:4" ht="15.75">
      <c r="B489" s="333" t="str">
        <f>CONCATENATE("TOTAL ",B487)</f>
        <v>TOTAL Suministro e instalacion tuberia en concreto de Ø 36"</v>
      </c>
      <c r="C489" s="310">
        <f>C488</f>
        <v>0</v>
      </c>
      <c r="D489" s="348" t="str">
        <f>D488</f>
        <v>m</v>
      </c>
    </row>
    <row r="490" spans="2:4" ht="6" customHeight="1">
      <c r="B490" s="199"/>
      <c r="C490" s="321"/>
      <c r="D490" s="198"/>
    </row>
    <row r="491" spans="2:4" ht="15.75">
      <c r="B491" s="1244" t="str">
        <f>+PPTO!$E$57</f>
        <v>Suministro e instalacion tuberia en concreto de Ø 48"</v>
      </c>
      <c r="C491" s="1245"/>
      <c r="D491" s="330">
        <f>PPTO!$D$57</f>
        <v>6.2</v>
      </c>
    </row>
    <row r="492" spans="2:4" ht="15.75">
      <c r="B492" s="347" t="str">
        <f>B491</f>
        <v>Suministro e instalacion tuberia en concreto de Ø 48"</v>
      </c>
      <c r="C492" s="334">
        <f>C174+C34</f>
        <v>98</v>
      </c>
      <c r="D492" s="339" t="s">
        <v>122</v>
      </c>
    </row>
    <row r="493" spans="2:4" ht="15.75">
      <c r="B493" s="333" t="str">
        <f>CONCATENATE("TOTAL ",B491)</f>
        <v>TOTAL Suministro e instalacion tuberia en concreto de Ø 48"</v>
      </c>
      <c r="C493" s="310">
        <f>C492</f>
        <v>98</v>
      </c>
      <c r="D493" s="348" t="str">
        <f>D492</f>
        <v>m</v>
      </c>
    </row>
    <row r="494" spans="2:4" ht="6" customHeight="1">
      <c r="B494" s="199"/>
      <c r="C494" s="321"/>
      <c r="D494" s="198"/>
    </row>
    <row r="495" spans="2:4" ht="15.75">
      <c r="B495" s="1244" t="str">
        <f>+PPTO!$E$58</f>
        <v>Suministro e instalacion tuberia en PVC Novafort 8"</v>
      </c>
      <c r="C495" s="1245"/>
      <c r="D495" s="330">
        <f>PPTO!$D$58</f>
        <v>6.3</v>
      </c>
    </row>
    <row r="496" spans="2:4" ht="15.75">
      <c r="B496" s="347" t="str">
        <f>B495</f>
        <v>Suministro e instalacion tuberia en PVC Novafort 8"</v>
      </c>
      <c r="C496" s="334">
        <f>C37</f>
        <v>2025.12</v>
      </c>
      <c r="D496" s="339" t="s">
        <v>122</v>
      </c>
    </row>
    <row r="497" spans="2:4" ht="15.75">
      <c r="B497" s="333" t="str">
        <f>CONCATENATE("TOTAL ",B495)</f>
        <v>TOTAL Suministro e instalacion tuberia en PVC Novafort 8"</v>
      </c>
      <c r="C497" s="310">
        <f>C496</f>
        <v>2025.12</v>
      </c>
      <c r="D497" s="348" t="str">
        <f>D496</f>
        <v>m</v>
      </c>
    </row>
    <row r="498" spans="2:4" ht="6" customHeight="1">
      <c r="B498" s="199"/>
      <c r="C498" s="321"/>
      <c r="D498" s="198"/>
    </row>
    <row r="499" spans="2:4" ht="15.75">
      <c r="B499" s="1244" t="str">
        <f>+PPTO!$E$59</f>
        <v>Suministro e instalacion tuberia en PVC Novafort 10"</v>
      </c>
      <c r="C499" s="1245"/>
      <c r="D499" s="330">
        <f>PPTO!$D$59</f>
        <v>6.4</v>
      </c>
    </row>
    <row r="500" spans="2:4" ht="15.75">
      <c r="B500" s="347" t="str">
        <f>B499</f>
        <v>Suministro e instalacion tuberia en PVC Novafort 10"</v>
      </c>
      <c r="C500" s="334">
        <f>C21+C38</f>
        <v>252.5</v>
      </c>
      <c r="D500" s="339" t="s">
        <v>122</v>
      </c>
    </row>
    <row r="501" spans="2:4" ht="15.75">
      <c r="B501" s="333" t="str">
        <f>CONCATENATE("TOTAL ",B499)</f>
        <v>TOTAL Suministro e instalacion tuberia en PVC Novafort 10"</v>
      </c>
      <c r="C501" s="310">
        <f>C500</f>
        <v>252.5</v>
      </c>
      <c r="D501" s="348" t="str">
        <f>D500</f>
        <v>m</v>
      </c>
    </row>
    <row r="502" spans="2:4" ht="6" customHeight="1">
      <c r="B502" s="199"/>
      <c r="C502" s="321"/>
      <c r="D502" s="198"/>
    </row>
    <row r="503" spans="2:4" ht="15.75">
      <c r="B503" s="1244" t="str">
        <f>+PPTO!$E$60</f>
        <v>Suministro e instalacion tuberia en PVC Novafort 12"</v>
      </c>
      <c r="C503" s="1245"/>
      <c r="D503" s="330">
        <f>PPTO!$D$60</f>
        <v>6.5</v>
      </c>
    </row>
    <row r="504" spans="2:4" ht="15.75">
      <c r="B504" s="347" t="str">
        <f>B503</f>
        <v>Suministro e instalacion tuberia en PVC Novafort 12"</v>
      </c>
      <c r="C504" s="334">
        <f>C22+C39</f>
        <v>132.82</v>
      </c>
      <c r="D504" s="339" t="s">
        <v>122</v>
      </c>
    </row>
    <row r="505" spans="2:4" ht="15.75">
      <c r="B505" s="333" t="str">
        <f>CONCATENATE("TOTAL ",B503)</f>
        <v>TOTAL Suministro e instalacion tuberia en PVC Novafort 12"</v>
      </c>
      <c r="C505" s="310">
        <f>C504</f>
        <v>132.82</v>
      </c>
      <c r="D505" s="348" t="str">
        <f>D504</f>
        <v>m</v>
      </c>
    </row>
    <row r="506" spans="2:4" ht="6" customHeight="1">
      <c r="B506" s="199"/>
      <c r="C506" s="321"/>
      <c r="D506" s="198"/>
    </row>
    <row r="507" spans="2:4" ht="15.75">
      <c r="B507" s="1244" t="str">
        <f>+PPTO!$E$61</f>
        <v>Suministro e instalacion tuberia en PVC Novafort 14"</v>
      </c>
      <c r="C507" s="1245"/>
      <c r="D507" s="330">
        <f>PPTO!$D$61</f>
        <v>6.6</v>
      </c>
    </row>
    <row r="508" spans="2:4" ht="15.75">
      <c r="B508" s="347" t="str">
        <f>B507</f>
        <v>Suministro e instalacion tuberia en PVC Novafort 14"</v>
      </c>
      <c r="C508" s="334">
        <f>C23+C40</f>
        <v>334.98</v>
      </c>
      <c r="D508" s="339" t="s">
        <v>122</v>
      </c>
    </row>
    <row r="509" spans="2:4" ht="15.75">
      <c r="B509" s="333" t="str">
        <f>CONCATENATE("TOTAL ",B507)</f>
        <v>TOTAL Suministro e instalacion tuberia en PVC Novafort 14"</v>
      </c>
      <c r="C509" s="310">
        <f>C508</f>
        <v>334.98</v>
      </c>
      <c r="D509" s="348" t="str">
        <f>D508</f>
        <v>m</v>
      </c>
    </row>
    <row r="510" spans="2:4" ht="6" customHeight="1">
      <c r="B510" s="199"/>
      <c r="C510" s="321"/>
      <c r="D510" s="198"/>
    </row>
    <row r="511" spans="2:4" ht="15.75">
      <c r="B511" s="1244" t="str">
        <f>+PPTO!$E$62</f>
        <v>Suministro e instalacion tuberia en PVC Novafort 16"</v>
      </c>
      <c r="C511" s="1245"/>
      <c r="D511" s="330">
        <f>PPTO!$D$62</f>
        <v>6.7</v>
      </c>
    </row>
    <row r="512" spans="2:4" ht="15.75">
      <c r="B512" s="347" t="str">
        <f>B511</f>
        <v>Suministro e instalacion tuberia en PVC Novafort 16"</v>
      </c>
      <c r="C512" s="334">
        <f>C24+C41</f>
        <v>368.02</v>
      </c>
      <c r="D512" s="339" t="s">
        <v>122</v>
      </c>
    </row>
    <row r="513" spans="2:4" ht="15.75">
      <c r="B513" s="333" t="str">
        <f>CONCATENATE("TOTAL ",B511)</f>
        <v>TOTAL Suministro e instalacion tuberia en PVC Novafort 16"</v>
      </c>
      <c r="C513" s="310">
        <f>C512</f>
        <v>368.02</v>
      </c>
      <c r="D513" s="348" t="str">
        <f>D512</f>
        <v>m</v>
      </c>
    </row>
    <row r="514" spans="2:4" ht="6" customHeight="1">
      <c r="B514" s="199"/>
      <c r="C514" s="321"/>
      <c r="D514" s="198"/>
    </row>
    <row r="515" spans="2:4" ht="15.75">
      <c r="B515" s="1244" t="str">
        <f>+PPTO!$E$63</f>
        <v>Suministro e instalacion tuberia en PVC Novafort 18"</v>
      </c>
      <c r="C515" s="1245"/>
      <c r="D515" s="330">
        <f>PPTO!$D$63</f>
        <v>6.8</v>
      </c>
    </row>
    <row r="516" spans="2:4" ht="15.75">
      <c r="B516" s="347" t="str">
        <f>B515</f>
        <v>Suministro e instalacion tuberia en PVC Novafort 18"</v>
      </c>
      <c r="C516" s="334">
        <f>C25+C42</f>
        <v>27.72</v>
      </c>
      <c r="D516" s="339" t="s">
        <v>122</v>
      </c>
    </row>
    <row r="517" spans="2:4" ht="15.75">
      <c r="B517" s="333" t="str">
        <f>CONCATENATE("TOTAL ",B515)</f>
        <v>TOTAL Suministro e instalacion tuberia en PVC Novafort 18"</v>
      </c>
      <c r="C517" s="310">
        <f>C516</f>
        <v>27.72</v>
      </c>
      <c r="D517" s="348" t="str">
        <f>D516</f>
        <v>m</v>
      </c>
    </row>
    <row r="518" spans="2:4" ht="6" customHeight="1">
      <c r="B518" s="199"/>
      <c r="C518" s="321"/>
      <c r="D518" s="198"/>
    </row>
    <row r="519" spans="2:4" ht="15.75">
      <c r="B519" s="1244" t="str">
        <f>+PPTO!$E$64</f>
        <v>Suministro e instalacion tuberia en PVC Novafort 20"</v>
      </c>
      <c r="C519" s="1245"/>
      <c r="D519" s="330">
        <f>PPTO!$D$64</f>
        <v>6.9</v>
      </c>
    </row>
    <row r="520" spans="2:4" ht="15.75">
      <c r="B520" s="347" t="str">
        <f>B519</f>
        <v>Suministro e instalacion tuberia en PVC Novafort 20"</v>
      </c>
      <c r="C520" s="334">
        <f>C26+C43</f>
        <v>433.58</v>
      </c>
      <c r="D520" s="339" t="s">
        <v>122</v>
      </c>
    </row>
    <row r="521" spans="2:4" ht="15.75">
      <c r="B521" s="333" t="str">
        <f>CONCATENATE("TOTAL ",B519)</f>
        <v>TOTAL Suministro e instalacion tuberia en PVC Novafort 20"</v>
      </c>
      <c r="C521" s="310">
        <f>C520</f>
        <v>433.58</v>
      </c>
      <c r="D521" s="348" t="str">
        <f>D520</f>
        <v>m</v>
      </c>
    </row>
    <row r="522" spans="2:4" ht="6" customHeight="1">
      <c r="B522" s="199"/>
      <c r="C522" s="321"/>
      <c r="D522" s="198"/>
    </row>
    <row r="523" spans="2:4" ht="15.75">
      <c r="B523" s="1244" t="str">
        <f>+PPTO!$E$65</f>
        <v>Suministro e instalacion tuberia en PVC Novafort 24"</v>
      </c>
      <c r="C523" s="1245"/>
      <c r="D523" s="330" t="str">
        <f>PPTO!$D$65</f>
        <v>6,10</v>
      </c>
    </row>
    <row r="524" spans="2:4" ht="15.75">
      <c r="B524" s="347" t="str">
        <f>B523</f>
        <v>Suministro e instalacion tuberia en PVC Novafort 24"</v>
      </c>
      <c r="C524" s="334">
        <f>C27</f>
        <v>0</v>
      </c>
      <c r="D524" s="339" t="s">
        <v>122</v>
      </c>
    </row>
    <row r="525" spans="2:4" ht="15.75">
      <c r="B525" s="333" t="str">
        <f>CONCATENATE("TOTAL ",B523)</f>
        <v>TOTAL Suministro e instalacion tuberia en PVC Novafort 24"</v>
      </c>
      <c r="C525" s="310">
        <f>C524</f>
        <v>0</v>
      </c>
      <c r="D525" s="348" t="str">
        <f>D524</f>
        <v>m</v>
      </c>
    </row>
    <row r="526" spans="2:4" ht="6" customHeight="1">
      <c r="B526" s="199"/>
      <c r="C526" s="321"/>
      <c r="D526" s="198"/>
    </row>
    <row r="527" spans="2:4" ht="15.75">
      <c r="B527" s="1244" t="str">
        <f>+PPTO!$E$66</f>
        <v>Suministro e instalacion tuberia en PVC Novafort 27"</v>
      </c>
      <c r="C527" s="1245"/>
      <c r="D527" s="330">
        <f>PPTO!$D$66</f>
        <v>6.11</v>
      </c>
    </row>
    <row r="528" spans="2:4" ht="15.75">
      <c r="B528" s="347" t="str">
        <f>B527</f>
        <v>Suministro e instalacion tuberia en PVC Novafort 27"</v>
      </c>
      <c r="C528" s="334">
        <f>C28</f>
        <v>0</v>
      </c>
      <c r="D528" s="339" t="s">
        <v>122</v>
      </c>
    </row>
    <row r="529" spans="2:4" ht="15.75">
      <c r="B529" s="333" t="str">
        <f>CONCATENATE("TOTAL ",B527)</f>
        <v>TOTAL Suministro e instalacion tuberia en PVC Novafort 27"</v>
      </c>
      <c r="C529" s="310">
        <f>C528</f>
        <v>0</v>
      </c>
      <c r="D529" s="348" t="str">
        <f>D528</f>
        <v>m</v>
      </c>
    </row>
    <row r="530" spans="2:4" ht="6" customHeight="1">
      <c r="B530" s="199"/>
      <c r="C530" s="321"/>
      <c r="D530" s="198"/>
    </row>
    <row r="531" spans="2:4" ht="15.75">
      <c r="B531" s="1244" t="str">
        <f>+PPTO!$E$67</f>
        <v>Suministro e instalacion tuberia en PVC Novafort 30"</v>
      </c>
      <c r="C531" s="1245"/>
      <c r="D531" s="330">
        <f>PPTO!$D$67</f>
        <v>6.12</v>
      </c>
    </row>
    <row r="532" spans="2:4" ht="15.75">
      <c r="B532" s="347" t="str">
        <f>B531</f>
        <v>Suministro e instalacion tuberia en PVC Novafort 30"</v>
      </c>
      <c r="C532" s="334">
        <f>C29</f>
        <v>0</v>
      </c>
      <c r="D532" s="339" t="s">
        <v>122</v>
      </c>
    </row>
    <row r="533" spans="2:4" ht="15.75">
      <c r="B533" s="333" t="str">
        <f>CONCATENATE("TOTAL ",B531)</f>
        <v>TOTAL Suministro e instalacion tuberia en PVC Novafort 30"</v>
      </c>
      <c r="C533" s="310">
        <f>C532</f>
        <v>0</v>
      </c>
      <c r="D533" s="348" t="str">
        <f>D532</f>
        <v>m</v>
      </c>
    </row>
    <row r="534" spans="2:4" ht="6" customHeight="1">
      <c r="B534" s="199"/>
      <c r="C534" s="321"/>
      <c r="D534" s="198"/>
    </row>
    <row r="535" spans="2:4" ht="15.75">
      <c r="B535" s="1244" t="str">
        <f>+PPTO!$E$68</f>
        <v>Suministro e instalacion tuberia en PVC Novafort 33"</v>
      </c>
      <c r="C535" s="1245"/>
      <c r="D535" s="330">
        <f>PPTO!$D$68</f>
        <v>6.13</v>
      </c>
    </row>
    <row r="536" spans="2:4" ht="15.75">
      <c r="B536" s="347" t="str">
        <f>B535</f>
        <v>Suministro e instalacion tuberia en PVC Novafort 33"</v>
      </c>
      <c r="C536" s="334">
        <f>C30</f>
        <v>0</v>
      </c>
      <c r="D536" s="339" t="s">
        <v>122</v>
      </c>
    </row>
    <row r="537" spans="2:4" ht="15.75">
      <c r="B537" s="333" t="str">
        <f>CONCATENATE("TOTAL ",B535)</f>
        <v>TOTAL Suministro e instalacion tuberia en PVC Novafort 33"</v>
      </c>
      <c r="C537" s="310">
        <f>C536</f>
        <v>0</v>
      </c>
      <c r="D537" s="348" t="str">
        <f>D536</f>
        <v>m</v>
      </c>
    </row>
    <row r="538" spans="2:4" ht="6" customHeight="1">
      <c r="B538" s="199"/>
      <c r="C538" s="321"/>
      <c r="D538" s="198"/>
    </row>
    <row r="539" spans="2:4" ht="15.75">
      <c r="B539" s="1244" t="str">
        <f>+PPTO!$E$69</f>
        <v>Suministro e instalacion tuberia en PVC Novafort 36"</v>
      </c>
      <c r="C539" s="1245"/>
      <c r="D539" s="330">
        <f>PPTO!$D$69</f>
        <v>6.14</v>
      </c>
    </row>
    <row r="540" spans="2:4" ht="15.75">
      <c r="B540" s="347" t="str">
        <f>B539</f>
        <v>Suministro e instalacion tuberia en PVC Novafort 36"</v>
      </c>
      <c r="C540" s="334">
        <f>C31</f>
        <v>0</v>
      </c>
      <c r="D540" s="339" t="s">
        <v>122</v>
      </c>
    </row>
    <row r="541" spans="2:4" ht="15.75">
      <c r="B541" s="333" t="str">
        <f>CONCATENATE("TOTAL ",B539)</f>
        <v>TOTAL Suministro e instalacion tuberia en PVC Novafort 36"</v>
      </c>
      <c r="C541" s="310">
        <f>C540</f>
        <v>0</v>
      </c>
      <c r="D541" s="348" t="str">
        <f>D540</f>
        <v>m</v>
      </c>
    </row>
    <row r="542" spans="2:4" ht="6" customHeight="1">
      <c r="B542" s="199"/>
      <c r="C542" s="321"/>
      <c r="D542" s="198"/>
    </row>
    <row r="543" spans="2:4" ht="15.75">
      <c r="B543" s="1244" t="str">
        <f>+PPTO!$E$70</f>
        <v>Suministro e instalacion tuberia en PVC Novafort 39"</v>
      </c>
      <c r="C543" s="1245"/>
      <c r="D543" s="330">
        <f>PPTO!$D$70</f>
        <v>6.15</v>
      </c>
    </row>
    <row r="544" spans="2:4" ht="15.75">
      <c r="B544" s="347" t="str">
        <f>B543</f>
        <v>Suministro e instalacion tuberia en PVC Novafort 39"</v>
      </c>
      <c r="C544" s="334">
        <f>C32</f>
        <v>0</v>
      </c>
      <c r="D544" s="339" t="s">
        <v>122</v>
      </c>
    </row>
    <row r="545" spans="2:4" ht="15.75">
      <c r="B545" s="333" t="str">
        <f>CONCATENATE("TOTAL ",B543)</f>
        <v>TOTAL Suministro e instalacion tuberia en PVC Novafort 39"</v>
      </c>
      <c r="C545" s="310">
        <f>C544</f>
        <v>0</v>
      </c>
      <c r="D545" s="348" t="str">
        <f>D544</f>
        <v>m</v>
      </c>
    </row>
    <row r="546" spans="2:4" ht="6" customHeight="1">
      <c r="B546" s="199"/>
      <c r="C546" s="321"/>
      <c r="D546" s="198"/>
    </row>
    <row r="547" spans="2:4" ht="15.75">
      <c r="B547" s="1244" t="str">
        <f>+PPTO!$E$71</f>
        <v>Suministro e instalacion tuberia en PVC Novafort 42"</v>
      </c>
      <c r="C547" s="1245"/>
      <c r="D547" s="330">
        <f>PPTO!$D$71</f>
        <v>6.16</v>
      </c>
    </row>
    <row r="548" spans="2:4" ht="15.75">
      <c r="B548" s="347" t="str">
        <f>B547</f>
        <v>Suministro e instalacion tuberia en PVC Novafort 42"</v>
      </c>
      <c r="C548" s="334">
        <f>C33</f>
        <v>0</v>
      </c>
      <c r="D548" s="339" t="s">
        <v>122</v>
      </c>
    </row>
    <row r="549" spans="2:4" ht="15.75">
      <c r="B549" s="333" t="str">
        <f>CONCATENATE("TOTAL ",B547)</f>
        <v>TOTAL Suministro e instalacion tuberia en PVC Novafort 42"</v>
      </c>
      <c r="C549" s="310">
        <f>C548</f>
        <v>0</v>
      </c>
      <c r="D549" s="348" t="str">
        <f>D548</f>
        <v>m</v>
      </c>
    </row>
    <row r="550" spans="2:4" ht="6" customHeight="1">
      <c r="B550" s="199"/>
      <c r="C550" s="321"/>
      <c r="D550" s="198"/>
    </row>
    <row r="551" spans="2:4" ht="15.75">
      <c r="B551" s="1244" t="str">
        <f>+PPTO!$E$101</f>
        <v>Pozos de Inspeccion D=1.20</v>
      </c>
      <c r="C551" s="1245"/>
      <c r="D551" s="500">
        <f>PPTO!$D$101</f>
        <v>6.44</v>
      </c>
    </row>
    <row r="552" spans="2:4" ht="15.75">
      <c r="B552" s="757" t="s">
        <v>215</v>
      </c>
      <c r="C552" s="334"/>
      <c r="D552" s="339"/>
    </row>
    <row r="553" spans="2:4" ht="15.75">
      <c r="B553" s="757" t="s">
        <v>218</v>
      </c>
      <c r="C553" s="334">
        <f>POZOS!A98*'CANT ALC'!D15</f>
        <v>252.08</v>
      </c>
      <c r="D553" s="339"/>
    </row>
    <row r="554" spans="2:4" ht="15.75">
      <c r="B554" s="333" t="str">
        <f>CONCATENATE("TOTAL ",B551)</f>
        <v>TOTAL Pozos de Inspeccion D=1.20</v>
      </c>
      <c r="C554" s="310">
        <f>SUM(C552:C553)</f>
        <v>252.08</v>
      </c>
      <c r="D554" s="348" t="str">
        <f>PPTO!$F$101</f>
        <v>m</v>
      </c>
    </row>
    <row r="555" spans="2:4" ht="6" customHeight="1">
      <c r="B555" s="199"/>
      <c r="C555" s="321"/>
      <c r="D555" s="198"/>
    </row>
    <row r="556" spans="2:4" ht="15.75">
      <c r="B556" s="1244" t="str">
        <f>+PPTO!$E$102</f>
        <v>Pozos de Inspeccion D=1.50</v>
      </c>
      <c r="C556" s="1245"/>
      <c r="D556" s="501">
        <f>PPTO!$D$102</f>
        <v>6.45</v>
      </c>
    </row>
    <row r="557" spans="2:4" ht="15.75">
      <c r="B557" s="757" t="s">
        <v>215</v>
      </c>
      <c r="C557" s="334"/>
      <c r="D557" s="339"/>
    </row>
    <row r="558" spans="2:4" ht="15.75">
      <c r="B558" s="757" t="s">
        <v>218</v>
      </c>
      <c r="C558" s="334">
        <v>0</v>
      </c>
      <c r="D558" s="339"/>
    </row>
    <row r="559" spans="2:4" ht="15.75">
      <c r="B559" s="333" t="str">
        <f>CONCATENATE("TOTAL ",B556)</f>
        <v>TOTAL Pozos de Inspeccion D=1.50</v>
      </c>
      <c r="C559" s="310">
        <f>SUM(C557:C558)</f>
        <v>0</v>
      </c>
      <c r="D559" s="348" t="str">
        <f>PPTO!$F$102</f>
        <v>m</v>
      </c>
    </row>
    <row r="560" spans="2:4" ht="6" customHeight="1">
      <c r="B560" s="199"/>
      <c r="C560" s="321"/>
      <c r="D560" s="198"/>
    </row>
    <row r="561" spans="2:4" ht="15.75">
      <c r="B561" s="1244" t="str">
        <f>+PPTO!$E$103</f>
        <v>Placas de fondo de concreto de 4000 PSI, para pozos de inspeccion D=1.20, e=0.20</v>
      </c>
      <c r="C561" s="1245"/>
      <c r="D561" s="501">
        <f>PPTO!$D$103</f>
        <v>6.46</v>
      </c>
    </row>
    <row r="562" spans="2:4" ht="15.75">
      <c r="B562" s="757" t="s">
        <v>215</v>
      </c>
      <c r="C562" s="334"/>
      <c r="D562" s="339"/>
    </row>
    <row r="563" spans="2:4" ht="15.75">
      <c r="B563" s="757" t="s">
        <v>218</v>
      </c>
      <c r="C563" s="334">
        <f>POZOS!A98</f>
        <v>92</v>
      </c>
      <c r="D563" s="339"/>
    </row>
    <row r="564" spans="2:4" ht="29.25" customHeight="1">
      <c r="B564" s="333" t="str">
        <f>CONCATENATE("TOTAL ",B561)</f>
        <v>TOTAL Placas de fondo de concreto de 4000 PSI, para pozos de inspeccion D=1.20, e=0.20</v>
      </c>
      <c r="C564" s="310">
        <f>SUM(C562:C563)</f>
        <v>92</v>
      </c>
      <c r="D564" s="348" t="str">
        <f>PPTO!$F$103</f>
        <v>und</v>
      </c>
    </row>
    <row r="565" spans="2:4" ht="6" customHeight="1">
      <c r="B565" s="199"/>
      <c r="C565" s="321"/>
      <c r="D565" s="198"/>
    </row>
    <row r="566" spans="2:4" ht="15.75">
      <c r="B566" s="1244" t="str">
        <f>+PPTO!$E$104</f>
        <v>Placas de fondo de concreto de 4000 PSI, para pozos de inspeccion D=1.50, e=0.20</v>
      </c>
      <c r="C566" s="1245"/>
      <c r="D566" s="501">
        <f>PPTO!$D$104</f>
        <v>6.47</v>
      </c>
    </row>
    <row r="567" spans="2:4" ht="15.75">
      <c r="B567" s="757" t="s">
        <v>215</v>
      </c>
      <c r="C567" s="334"/>
      <c r="D567" s="339"/>
    </row>
    <row r="568" spans="2:4" ht="15.75">
      <c r="B568" s="757" t="s">
        <v>218</v>
      </c>
      <c r="C568" s="334">
        <v>0</v>
      </c>
      <c r="D568" s="339"/>
    </row>
    <row r="569" spans="2:4" ht="29.25" customHeight="1">
      <c r="B569" s="333" t="str">
        <f>CONCATENATE("TOTAL ",B566)</f>
        <v>TOTAL Placas de fondo de concreto de 4000 PSI, para pozos de inspeccion D=1.50, e=0.20</v>
      </c>
      <c r="C569" s="310">
        <f>SUM(C567:C568)</f>
        <v>0</v>
      </c>
      <c r="D569" s="348" t="str">
        <f>PPTO!$F$104</f>
        <v>und</v>
      </c>
    </row>
    <row r="570" spans="2:4" ht="6" customHeight="1">
      <c r="B570" s="199"/>
      <c r="C570" s="321"/>
      <c r="D570" s="198"/>
    </row>
    <row r="571" spans="2:4" ht="15.75">
      <c r="B571" s="1244" t="str">
        <f>+PPTO!$E$105</f>
        <v>Tapas de concreto D=1.20, para pozo de inspeccion con tapa de aro con nucleo de concreto</v>
      </c>
      <c r="C571" s="1245"/>
      <c r="D571" s="501">
        <f>PPTO!$D$105</f>
        <v>6.48</v>
      </c>
    </row>
    <row r="572" spans="2:4" ht="15.75">
      <c r="B572" s="757" t="s">
        <v>215</v>
      </c>
      <c r="C572" s="334"/>
      <c r="D572" s="339"/>
    </row>
    <row r="573" spans="2:4" ht="15.75">
      <c r="B573" s="757" t="s">
        <v>218</v>
      </c>
      <c r="C573" s="334">
        <f>C563</f>
        <v>92</v>
      </c>
      <c r="D573" s="339"/>
    </row>
    <row r="574" spans="2:4" ht="29.25" customHeight="1">
      <c r="B574" s="333" t="str">
        <f>CONCATENATE("TOTAL ",B571)</f>
        <v>TOTAL Tapas de concreto D=1.20, para pozo de inspeccion con tapa de aro con nucleo de concreto</v>
      </c>
      <c r="C574" s="310">
        <f>SUM(C572:C573)</f>
        <v>92</v>
      </c>
      <c r="D574" s="348" t="str">
        <f>PPTO!$F$105</f>
        <v>und</v>
      </c>
    </row>
    <row r="575" spans="2:4" ht="6" customHeight="1">
      <c r="B575" s="199"/>
      <c r="C575" s="321"/>
      <c r="D575" s="198"/>
    </row>
    <row r="576" spans="2:4" ht="15.75">
      <c r="B576" s="1244" t="str">
        <f>+PPTO!$E$106</f>
        <v>Tapas de concreto D=1.50, para pozo de inspeccion con tapa de aro con nucleo de concreto</v>
      </c>
      <c r="C576" s="1245"/>
      <c r="D576" s="501">
        <f>PPTO!$D$106</f>
        <v>6.49</v>
      </c>
    </row>
    <row r="577" spans="2:4" ht="15.75">
      <c r="B577" s="757" t="s">
        <v>215</v>
      </c>
      <c r="C577" s="334"/>
      <c r="D577" s="339"/>
    </row>
    <row r="578" spans="2:4" ht="15.75">
      <c r="B578" s="757" t="s">
        <v>218</v>
      </c>
      <c r="C578" s="334">
        <v>0</v>
      </c>
      <c r="D578" s="339"/>
    </row>
    <row r="579" spans="2:4" ht="29.25" customHeight="1">
      <c r="B579" s="333" t="str">
        <f>CONCATENATE("TOTAL ",B576)</f>
        <v>TOTAL Tapas de concreto D=1.50, para pozo de inspeccion con tapa de aro con nucleo de concreto</v>
      </c>
      <c r="C579" s="310">
        <f>SUM(C577:C578)</f>
        <v>0</v>
      </c>
      <c r="D579" s="348" t="str">
        <f>PPTO!$F$106</f>
        <v>und</v>
      </c>
    </row>
    <row r="580" spans="2:4" ht="6" customHeight="1">
      <c r="B580" s="199"/>
      <c r="C580" s="321"/>
      <c r="D580" s="198"/>
    </row>
    <row r="581" spans="2:4" ht="15.75">
      <c r="B581" s="1244" t="str">
        <f>+PPTO!$E$107</f>
        <v>Sumidero Lateral en Concreto de 3000 PSI,  dimensiones externas L=2.00m, A=1.00, fondo Trapezoidal:  h menor= 0.65, h mayor= 1.60; e muros y placa de fondo=0.15; placa superior= 0.10</v>
      </c>
      <c r="C581" s="1245"/>
      <c r="D581" s="501" t="str">
        <f>PPTO!$D$107</f>
        <v>6,50</v>
      </c>
    </row>
    <row r="582" spans="2:4" ht="39">
      <c r="B582" s="746" t="str">
        <f>B581</f>
        <v>Sumidero Lateral en Concreto de 3000 PSI,  dimensiones externas L=2.00m, A=1.00, fondo Trapezoidal:  h menor= 0.65, h mayor= 1.60; e muros y placa de fondo=0.15; placa superior= 0.10</v>
      </c>
      <c r="C582" s="747">
        <f>B46</f>
        <v>18</v>
      </c>
      <c r="D582" s="748" t="s">
        <v>119</v>
      </c>
    </row>
    <row r="583" spans="2:4" ht="45">
      <c r="B583" s="333" t="str">
        <f>CONCATENATE("TOTAL ",B581)</f>
        <v>TOTAL Sumidero Lateral en Concreto de 3000 PSI,  dimensiones externas L=2.00m, A=1.00, fondo Trapezoidal:  h menor= 0.65, h mayor= 1.60; e muros y placa de fondo=0.15; placa superior= 0.10</v>
      </c>
      <c r="C583" s="310">
        <f>SUM(C582:C582)</f>
        <v>18</v>
      </c>
      <c r="D583" s="348" t="s">
        <v>119</v>
      </c>
    </row>
    <row r="584" spans="2:4" ht="6.75" customHeight="1">
      <c r="B584" s="199"/>
      <c r="C584" s="321"/>
      <c r="D584" s="198"/>
    </row>
    <row r="585" spans="2:4" ht="15.75">
      <c r="B585" s="1244" t="str">
        <f>+PPTO!$E$108</f>
        <v>TUBERIA PVC Ø 160 mm (Incluye accesorios, hidrosellos y lubricante) 6" para reposicion de conexiones domiciliarias</v>
      </c>
      <c r="C585" s="1245"/>
      <c r="D585" s="501">
        <f>PPTO!$D$108</f>
        <v>6.51</v>
      </c>
    </row>
    <row r="586" spans="2:4">
      <c r="B586" s="505" t="s">
        <v>329</v>
      </c>
      <c r="C586" s="506" t="s">
        <v>328</v>
      </c>
      <c r="D586" s="502" t="s">
        <v>327</v>
      </c>
    </row>
    <row r="587" spans="2:4">
      <c r="B587" s="744">
        <f t="shared" ref="B587:B593" si="8">C37</f>
        <v>2025.12</v>
      </c>
      <c r="C587" s="504">
        <f>ROUNDUP(($B587/10)*2*8,0)</f>
        <v>3241</v>
      </c>
      <c r="D587" s="503">
        <f t="shared" ref="D587:D593" si="9">B37</f>
        <v>8</v>
      </c>
    </row>
    <row r="588" spans="2:4">
      <c r="B588" s="744">
        <f t="shared" si="8"/>
        <v>252.5</v>
      </c>
      <c r="C588" s="504">
        <f t="shared" ref="C588:C593" si="10">ROUNDUP(($B588/10)*2*8,0)</f>
        <v>404</v>
      </c>
      <c r="D588" s="503">
        <f t="shared" si="9"/>
        <v>10</v>
      </c>
    </row>
    <row r="589" spans="2:4">
      <c r="B589" s="744">
        <f t="shared" si="8"/>
        <v>132.82</v>
      </c>
      <c r="C589" s="504">
        <f t="shared" si="10"/>
        <v>213</v>
      </c>
      <c r="D589" s="503">
        <f t="shared" si="9"/>
        <v>12</v>
      </c>
    </row>
    <row r="590" spans="2:4">
      <c r="B590" s="744">
        <f t="shared" si="8"/>
        <v>334.98</v>
      </c>
      <c r="C590" s="504">
        <f t="shared" si="10"/>
        <v>536</v>
      </c>
      <c r="D590" s="503">
        <f t="shared" si="9"/>
        <v>14</v>
      </c>
    </row>
    <row r="591" spans="2:4">
      <c r="B591" s="744">
        <f t="shared" si="8"/>
        <v>368.02</v>
      </c>
      <c r="C591" s="504">
        <f t="shared" si="10"/>
        <v>589</v>
      </c>
      <c r="D591" s="503">
        <f t="shared" si="9"/>
        <v>16</v>
      </c>
    </row>
    <row r="592" spans="2:4">
      <c r="B592" s="744">
        <f t="shared" si="8"/>
        <v>27.72</v>
      </c>
      <c r="C592" s="504">
        <f t="shared" si="10"/>
        <v>45</v>
      </c>
      <c r="D592" s="503">
        <f t="shared" si="9"/>
        <v>18</v>
      </c>
    </row>
    <row r="593" spans="2:4">
      <c r="B593" s="744">
        <f t="shared" si="8"/>
        <v>433.58</v>
      </c>
      <c r="C593" s="504">
        <f t="shared" si="10"/>
        <v>694</v>
      </c>
      <c r="D593" s="503">
        <f t="shared" si="9"/>
        <v>20</v>
      </c>
    </row>
    <row r="594" spans="2:4" ht="30">
      <c r="B594" s="333" t="str">
        <f>CONCATENATE("TOTAL ",B585)</f>
        <v>TOTAL TUBERIA PVC Ø 160 mm (Incluye accesorios, hidrosellos y lubricante) 6" para reposicion de conexiones domiciliarias</v>
      </c>
      <c r="C594" s="310">
        <f>SUM(C587:C593)</f>
        <v>5722</v>
      </c>
      <c r="D594" s="348" t="s">
        <v>122</v>
      </c>
    </row>
    <row r="595" spans="2:4" ht="6.75" customHeight="1">
      <c r="B595" s="199"/>
      <c r="C595" s="321"/>
      <c r="D595" s="198"/>
    </row>
    <row r="596" spans="2:4" ht="15.75">
      <c r="B596" s="1244" t="str">
        <f>+PPTO!$E$109</f>
        <v>KIT SILLA YEE Ø8" x Ø6" (INCLUYE HIDROSELLOS Y LUBRICANTES)</v>
      </c>
      <c r="C596" s="1245"/>
      <c r="D596" s="501">
        <f>PPTO!$D$109</f>
        <v>6.52</v>
      </c>
    </row>
    <row r="597" spans="2:4" ht="15.75">
      <c r="B597" s="1244" t="str">
        <f>+PPTO!$E$110</f>
        <v>KIT SILLA YEE Ø10" x Ø6" (INCLUYE HIDROSELLOS Y LUBRICANTES)</v>
      </c>
      <c r="C597" s="1245"/>
      <c r="D597" s="501">
        <f>PPTO!$D$110</f>
        <v>6.53</v>
      </c>
    </row>
    <row r="598" spans="2:4" ht="15.75">
      <c r="B598" s="1244" t="str">
        <f>+PPTO!$E$111</f>
        <v>KIT SILLA YEE Ø12" x Ø6" (INCLUYE HIDROSELLOS Y LUBRICANTES)</v>
      </c>
      <c r="C598" s="1245"/>
      <c r="D598" s="501">
        <f>PPTO!$D$111</f>
        <v>6.54</v>
      </c>
    </row>
    <row r="599" spans="2:4" ht="15.75">
      <c r="B599" s="1244" t="str">
        <f>+PPTO!$E$112</f>
        <v>KIT SILLA YEE Ø14" x Ø6" (INCLUYE HIDROSELLOS Y LUBRICANTES)</v>
      </c>
      <c r="C599" s="1245"/>
      <c r="D599" s="501">
        <f>PPTO!$D$112</f>
        <v>6.55</v>
      </c>
    </row>
    <row r="600" spans="2:4" ht="15.75">
      <c r="B600" s="1244" t="str">
        <f>+PPTO!$E$113</f>
        <v>KIT SILLA YEE Ø16" x Ø6" (INCLUYE HIDROSELLOS Y LUBRICANTES)</v>
      </c>
      <c r="C600" s="1245"/>
      <c r="D600" s="501">
        <f>PPTO!$D$113</f>
        <v>6.56</v>
      </c>
    </row>
    <row r="601" spans="2:4" ht="15.75">
      <c r="B601" s="1244" t="str">
        <f>+PPTO!$E$114</f>
        <v>KIT SILLA YEE Ø18" x Ø6" (INCLUYE HIDROSELLOS Y LUBRICANTES)</v>
      </c>
      <c r="C601" s="1245"/>
      <c r="D601" s="501">
        <f>PPTO!$D$114</f>
        <v>6.57</v>
      </c>
    </row>
    <row r="602" spans="2:4" ht="25.5">
      <c r="B602" s="505" t="s">
        <v>329</v>
      </c>
      <c r="C602" s="507" t="s">
        <v>330</v>
      </c>
      <c r="D602" s="508" t="s">
        <v>327</v>
      </c>
    </row>
    <row r="603" spans="2:4">
      <c r="B603" s="503">
        <f>B587</f>
        <v>2025.12</v>
      </c>
      <c r="C603" s="504">
        <f>ROUNDUP(($B603/10)*2,0)</f>
        <v>406</v>
      </c>
      <c r="D603" s="503">
        <f>D587</f>
        <v>8</v>
      </c>
    </row>
    <row r="604" spans="2:4">
      <c r="B604" s="503">
        <f t="shared" ref="B604:B609" si="11">B588</f>
        <v>252.5</v>
      </c>
      <c r="C604" s="504">
        <f t="shared" ref="C604:C609" si="12">ROUNDUP(($B604/10)*2,0)</f>
        <v>51</v>
      </c>
      <c r="D604" s="503">
        <f t="shared" ref="D604:D609" si="13">D588</f>
        <v>10</v>
      </c>
    </row>
    <row r="605" spans="2:4">
      <c r="B605" s="503">
        <f t="shared" si="11"/>
        <v>132.82</v>
      </c>
      <c r="C605" s="504">
        <f t="shared" si="12"/>
        <v>27</v>
      </c>
      <c r="D605" s="503">
        <f>D589</f>
        <v>12</v>
      </c>
    </row>
    <row r="606" spans="2:4">
      <c r="B606" s="503">
        <f t="shared" si="11"/>
        <v>334.98</v>
      </c>
      <c r="C606" s="504">
        <f t="shared" si="12"/>
        <v>67</v>
      </c>
      <c r="D606" s="503">
        <f t="shared" si="13"/>
        <v>14</v>
      </c>
    </row>
    <row r="607" spans="2:4">
      <c r="B607" s="503">
        <f t="shared" si="11"/>
        <v>368.02</v>
      </c>
      <c r="C607" s="504">
        <f t="shared" si="12"/>
        <v>74</v>
      </c>
      <c r="D607" s="503">
        <f t="shared" si="13"/>
        <v>16</v>
      </c>
    </row>
    <row r="608" spans="2:4">
      <c r="B608" s="503">
        <f t="shared" si="11"/>
        <v>27.72</v>
      </c>
      <c r="C608" s="504">
        <f t="shared" si="12"/>
        <v>6</v>
      </c>
      <c r="D608" s="503">
        <f t="shared" si="13"/>
        <v>18</v>
      </c>
    </row>
    <row r="609" spans="2:4">
      <c r="B609" s="503">
        <f t="shared" si="11"/>
        <v>433.58</v>
      </c>
      <c r="C609" s="504">
        <f t="shared" si="12"/>
        <v>87</v>
      </c>
      <c r="D609" s="503">
        <f t="shared" si="13"/>
        <v>20</v>
      </c>
    </row>
    <row r="610" spans="2:4" ht="15.75">
      <c r="B610" s="333" t="str">
        <f>CONCATENATE("TOTAL ",B596)</f>
        <v>TOTAL KIT SILLA YEE Ø8" x Ø6" (INCLUYE HIDROSELLOS Y LUBRICANTES)</v>
      </c>
      <c r="C610" s="310">
        <f>SUM(C603:C609)</f>
        <v>718</v>
      </c>
      <c r="D610" s="348" t="s">
        <v>119</v>
      </c>
    </row>
    <row r="611" spans="2:4" ht="12" customHeight="1">
      <c r="B611" s="199"/>
      <c r="C611" s="321"/>
      <c r="D611" s="198"/>
    </row>
    <row r="612" spans="2:4" ht="15.75">
      <c r="B612" s="1244" t="str">
        <f>+PPTO!$E$116</f>
        <v>Pozos de Inspeccion D=2.00</v>
      </c>
      <c r="C612" s="1245"/>
      <c r="D612" s="501">
        <f>PPTO!$D$116</f>
        <v>6.59</v>
      </c>
    </row>
    <row r="613" spans="2:4" ht="15.75">
      <c r="B613" s="757" t="s">
        <v>215</v>
      </c>
      <c r="C613" s="334"/>
      <c r="D613" s="339"/>
    </row>
    <row r="614" spans="2:4" ht="15.75">
      <c r="B614" s="757" t="s">
        <v>218</v>
      </c>
      <c r="C614" s="334">
        <v>0</v>
      </c>
      <c r="D614" s="339"/>
    </row>
    <row r="615" spans="2:4" ht="15.75">
      <c r="B615" s="333" t="str">
        <f>CONCATENATE("TOTAL ",B612)</f>
        <v>TOTAL Pozos de Inspeccion D=2.00</v>
      </c>
      <c r="C615" s="310">
        <f>SUM(C613:C614)</f>
        <v>0</v>
      </c>
      <c r="D615" s="348" t="str">
        <f>PPTO!$F$116</f>
        <v>m</v>
      </c>
    </row>
    <row r="616" spans="2:4" ht="6" customHeight="1">
      <c r="B616" s="199"/>
      <c r="C616" s="321"/>
      <c r="D616" s="198"/>
    </row>
    <row r="617" spans="2:4" ht="15.75">
      <c r="B617" s="1244" t="str">
        <f>+PPTO!$E$117</f>
        <v>Placas de fondo de concreto de 4000 PSI, para pozos de inspeccion D=2.00, e=0.20</v>
      </c>
      <c r="C617" s="1245"/>
      <c r="D617" s="501" t="str">
        <f>PPTO!$D$117</f>
        <v>6.60</v>
      </c>
    </row>
    <row r="618" spans="2:4" ht="15.75">
      <c r="B618" s="757" t="s">
        <v>215</v>
      </c>
      <c r="C618" s="334"/>
      <c r="D618" s="339"/>
    </row>
    <row r="619" spans="2:4" ht="15.75">
      <c r="B619" s="757" t="s">
        <v>218</v>
      </c>
      <c r="C619" s="334">
        <v>0</v>
      </c>
      <c r="D619" s="339"/>
    </row>
    <row r="620" spans="2:4" ht="27" customHeight="1">
      <c r="B620" s="333" t="str">
        <f>CONCATENATE("TOTAL ",B617)</f>
        <v>TOTAL Placas de fondo de concreto de 4000 PSI, para pozos de inspeccion D=2.00, e=0.20</v>
      </c>
      <c r="C620" s="310">
        <f>SUM(C618:C619)</f>
        <v>0</v>
      </c>
      <c r="D620" s="348" t="str">
        <f>PPTO!$F$117</f>
        <v>und</v>
      </c>
    </row>
    <row r="621" spans="2:4" ht="6" customHeight="1">
      <c r="B621" s="199"/>
      <c r="C621" s="321"/>
      <c r="D621" s="198"/>
    </row>
    <row r="622" spans="2:4" ht="15.75">
      <c r="B622" s="1244" t="str">
        <f>+PPTO!$E$118</f>
        <v>Tapas de concreto D=2.00, para pozo de inspeccion con tapa de aro con nucleo de concreto</v>
      </c>
      <c r="C622" s="1245"/>
      <c r="D622" s="501" t="e">
        <f>PPTO!$D$118</f>
        <v>#VALUE!</v>
      </c>
    </row>
    <row r="623" spans="2:4" ht="15.75">
      <c r="B623" s="757" t="s">
        <v>215</v>
      </c>
      <c r="C623" s="334"/>
      <c r="D623" s="339"/>
    </row>
    <row r="624" spans="2:4" ht="15.75">
      <c r="B624" s="757" t="s">
        <v>218</v>
      </c>
      <c r="C624" s="334">
        <v>0</v>
      </c>
      <c r="D624" s="339"/>
    </row>
    <row r="625" spans="2:4" ht="27" customHeight="1">
      <c r="B625" s="333" t="str">
        <f>CONCATENATE("TOTAL ",B622)</f>
        <v>TOTAL Tapas de concreto D=2.00, para pozo de inspeccion con tapa de aro con nucleo de concreto</v>
      </c>
      <c r="C625" s="310">
        <f>SUM(C623:C624)</f>
        <v>0</v>
      </c>
      <c r="D625" s="348" t="str">
        <f>PPTO!$F$118</f>
        <v>und</v>
      </c>
    </row>
    <row r="626" spans="2:4" ht="6" customHeight="1">
      <c r="B626" s="199"/>
      <c r="C626" s="321"/>
      <c r="D626" s="198"/>
    </row>
    <row r="627" spans="2:4" ht="35.25" customHeight="1">
      <c r="B627" s="1244" t="str">
        <f>+PPTO!$E$121</f>
        <v>Suministro e instalación de juego de Sillas y Mesa para zonas urbanisticas en material de madera reciclada para exteriores</v>
      </c>
      <c r="C627" s="1245"/>
      <c r="D627" s="887">
        <f>PPTO!$D$121</f>
        <v>7.1</v>
      </c>
    </row>
    <row r="628" spans="2:4" ht="15.75">
      <c r="B628" s="883" t="s">
        <v>881</v>
      </c>
      <c r="C628" s="334">
        <v>31</v>
      </c>
      <c r="D628" s="339" t="s">
        <v>119</v>
      </c>
    </row>
    <row r="629" spans="2:4" ht="15.75">
      <c r="B629" s="759"/>
      <c r="C629" s="334"/>
      <c r="D629" s="339"/>
    </row>
    <row r="630" spans="2:4" ht="27" customHeight="1">
      <c r="B630" s="333" t="str">
        <f>CONCATENATE("TOTAL ",B627)</f>
        <v>TOTAL Suministro e instalación de juego de Sillas y Mesa para zonas urbanisticas en material de madera reciclada para exteriores</v>
      </c>
      <c r="C630" s="310">
        <f>SUM(C628:C629)</f>
        <v>31</v>
      </c>
      <c r="D630" s="348" t="str">
        <f>PPTO!$F$122</f>
        <v>und</v>
      </c>
    </row>
    <row r="631" spans="2:4" ht="6" customHeight="1">
      <c r="B631" s="199"/>
      <c r="C631" s="321"/>
      <c r="D631" s="198"/>
    </row>
    <row r="632" spans="2:4" ht="15.75">
      <c r="B632" s="1244" t="str">
        <f>+PPTO!$E$122</f>
        <v>Bolardo Plastico Peso: 2 Kg
Alto: 75 cms. Diámetro del cuerpo : 8 cms Diámetro de la base : 20 cms.</v>
      </c>
      <c r="C632" s="1245"/>
      <c r="D632" s="887">
        <f>PPTO!$D$122</f>
        <v>7.2</v>
      </c>
    </row>
    <row r="633" spans="2:4" ht="15.75">
      <c r="B633" s="759" t="s">
        <v>724</v>
      </c>
      <c r="C633" s="334"/>
      <c r="D633" s="339" t="s">
        <v>39</v>
      </c>
    </row>
    <row r="634" spans="2:4" ht="15.75">
      <c r="B634" s="759" t="s">
        <v>725</v>
      </c>
      <c r="C634" s="334">
        <v>120</v>
      </c>
      <c r="D634" s="339"/>
    </row>
    <row r="635" spans="2:4" ht="27" customHeight="1">
      <c r="B635" s="333" t="str">
        <f>CONCATENATE("TOTAL ",B632)</f>
        <v>TOTAL Bolardo Plastico Peso: 2 Kg
Alto: 75 cms. Diámetro del cuerpo : 8 cms Diámetro de la base : 20 cms.</v>
      </c>
      <c r="C635" s="310">
        <f>C634</f>
        <v>120</v>
      </c>
      <c r="D635" s="348" t="str">
        <f>PPTO!$F$122</f>
        <v>und</v>
      </c>
    </row>
    <row r="636" spans="2:4" ht="6" customHeight="1">
      <c r="B636" s="199"/>
      <c r="C636" s="321"/>
      <c r="D636" s="198"/>
    </row>
    <row r="637" spans="2:4" ht="15.75">
      <c r="B637" s="199"/>
      <c r="C637" s="321"/>
      <c r="D637" s="198"/>
    </row>
    <row r="638" spans="2:4" ht="15.75">
      <c r="B638" s="199"/>
      <c r="C638" s="321"/>
      <c r="D638" s="198"/>
    </row>
    <row r="639" spans="2:4" ht="15.75">
      <c r="B639" s="199"/>
      <c r="C639" s="321"/>
      <c r="D639" s="198"/>
    </row>
    <row r="640" spans="2:4" ht="15.75">
      <c r="B640" s="199"/>
      <c r="C640" s="321"/>
      <c r="D640" s="198"/>
    </row>
    <row r="641" spans="2:4" ht="15.75">
      <c r="B641" s="199"/>
      <c r="C641" s="321"/>
      <c r="D641" s="198"/>
    </row>
    <row r="642" spans="2:4" ht="15.75">
      <c r="B642" s="199"/>
      <c r="C642" s="321"/>
      <c r="D642" s="198"/>
    </row>
    <row r="643" spans="2:4" ht="15.75">
      <c r="B643" s="199"/>
      <c r="C643" s="321"/>
      <c r="D643" s="198"/>
    </row>
    <row r="644" spans="2:4" ht="15.75">
      <c r="B644" s="199"/>
      <c r="C644" s="321"/>
      <c r="D644" s="198"/>
    </row>
    <row r="645" spans="2:4" ht="15.75">
      <c r="B645" s="199"/>
      <c r="C645" s="321"/>
      <c r="D645" s="198"/>
    </row>
    <row r="646" spans="2:4" ht="15.75">
      <c r="B646" s="199"/>
      <c r="C646" s="321"/>
      <c r="D646" s="198"/>
    </row>
    <row r="647" spans="2:4" ht="15.75">
      <c r="B647" s="199"/>
      <c r="C647" s="321"/>
      <c r="D647" s="198"/>
    </row>
    <row r="648" spans="2:4" ht="15.75">
      <c r="B648" s="199"/>
      <c r="C648" s="321"/>
      <c r="D648" s="198"/>
    </row>
    <row r="649" spans="2:4" ht="15.75">
      <c r="B649" s="199"/>
      <c r="C649" s="321"/>
      <c r="D649" s="198"/>
    </row>
    <row r="650" spans="2:4" ht="15.75">
      <c r="B650" s="199"/>
      <c r="C650" s="321"/>
      <c r="D650" s="198"/>
    </row>
    <row r="651" spans="2:4" ht="15.75">
      <c r="B651" s="199"/>
      <c r="C651" s="321"/>
      <c r="D651" s="198"/>
    </row>
    <row r="652" spans="2:4" ht="15.75">
      <c r="B652" s="199"/>
      <c r="C652" s="321"/>
      <c r="D652" s="198"/>
    </row>
    <row r="653" spans="2:4" ht="15.75">
      <c r="B653" s="199"/>
      <c r="C653" s="321"/>
      <c r="D653" s="198"/>
    </row>
    <row r="654" spans="2:4" ht="15.75">
      <c r="B654" s="199"/>
      <c r="C654" s="321"/>
      <c r="D654" s="198"/>
    </row>
    <row r="655" spans="2:4" ht="15.75">
      <c r="B655" s="199"/>
      <c r="C655" s="321"/>
      <c r="D655" s="198"/>
    </row>
    <row r="656" spans="2:4" ht="15.75">
      <c r="B656" s="199"/>
      <c r="C656" s="321"/>
      <c r="D656" s="198"/>
    </row>
    <row r="657" spans="2:4" ht="15.75">
      <c r="B657" s="199"/>
      <c r="C657" s="321"/>
      <c r="D657" s="198"/>
    </row>
    <row r="658" spans="2:4" ht="15.75">
      <c r="B658" s="199"/>
      <c r="C658" s="321"/>
      <c r="D658" s="198"/>
    </row>
    <row r="659" spans="2:4" ht="15.75">
      <c r="B659" s="199"/>
      <c r="C659" s="321"/>
      <c r="D659" s="198"/>
    </row>
    <row r="660" spans="2:4" ht="15.75">
      <c r="B660" s="199"/>
      <c r="C660" s="321"/>
      <c r="D660" s="198"/>
    </row>
    <row r="661" spans="2:4" ht="15.75">
      <c r="B661" s="199"/>
      <c r="C661" s="321"/>
      <c r="D661" s="198"/>
    </row>
  </sheetData>
  <mergeCells count="127">
    <mergeCell ref="B205:C205"/>
    <mergeCell ref="B214:D214"/>
    <mergeCell ref="B547:C547"/>
    <mergeCell ref="B511:C511"/>
    <mergeCell ref="B127:D127"/>
    <mergeCell ref="B134:D134"/>
    <mergeCell ref="B143:D143"/>
    <mergeCell ref="B147:D147"/>
    <mergeCell ref="B487:C487"/>
    <mergeCell ref="B519:C519"/>
    <mergeCell ref="B412:D412"/>
    <mergeCell ref="B376:C376"/>
    <mergeCell ref="B360:D360"/>
    <mergeCell ref="B361:C361"/>
    <mergeCell ref="B407:C407"/>
    <mergeCell ref="B408:D408"/>
    <mergeCell ref="B415:D415"/>
    <mergeCell ref="B414:C414"/>
    <mergeCell ref="B471:C471"/>
    <mergeCell ref="B397:C397"/>
    <mergeCell ref="B215:D215"/>
    <mergeCell ref="B231:C231"/>
    <mergeCell ref="B216:C216"/>
    <mergeCell ref="B271:D271"/>
    <mergeCell ref="B632:C632"/>
    <mergeCell ref="B507:C507"/>
    <mergeCell ref="B491:C491"/>
    <mergeCell ref="B600:C600"/>
    <mergeCell ref="B601:C601"/>
    <mergeCell ref="B576:C576"/>
    <mergeCell ref="B612:C612"/>
    <mergeCell ref="B617:C617"/>
    <mergeCell ref="B622:C622"/>
    <mergeCell ref="B585:C585"/>
    <mergeCell ref="B596:C596"/>
    <mergeCell ref="B581:C581"/>
    <mergeCell ref="B551:C551"/>
    <mergeCell ref="B556:C556"/>
    <mergeCell ref="B561:C561"/>
    <mergeCell ref="B566:C566"/>
    <mergeCell ref="B599:C599"/>
    <mergeCell ref="B527:C527"/>
    <mergeCell ref="B531:C531"/>
    <mergeCell ref="B495:C495"/>
    <mergeCell ref="B499:C499"/>
    <mergeCell ref="B598:C598"/>
    <mergeCell ref="B627:C627"/>
    <mergeCell ref="B232:D232"/>
    <mergeCell ref="B217:D217"/>
    <mergeCell ref="B300:D300"/>
    <mergeCell ref="B314:C314"/>
    <mergeCell ref="B277:D277"/>
    <mergeCell ref="B365:C365"/>
    <mergeCell ref="B371:C371"/>
    <mergeCell ref="B251:D251"/>
    <mergeCell ref="B273:D273"/>
    <mergeCell ref="B287:C287"/>
    <mergeCell ref="B299:C299"/>
    <mergeCell ref="B329:C329"/>
    <mergeCell ref="B328:D328"/>
    <mergeCell ref="B345:D345"/>
    <mergeCell ref="B2:D2"/>
    <mergeCell ref="B3:D3"/>
    <mergeCell ref="B172:D172"/>
    <mergeCell ref="B183:D183"/>
    <mergeCell ref="B94:D94"/>
    <mergeCell ref="B98:D98"/>
    <mergeCell ref="B154:D154"/>
    <mergeCell ref="B95:D95"/>
    <mergeCell ref="B108:D108"/>
    <mergeCell ref="B113:D113"/>
    <mergeCell ref="B181:D181"/>
    <mergeCell ref="B182:D182"/>
    <mergeCell ref="B4:D4"/>
    <mergeCell ref="B5:D5"/>
    <mergeCell ref="B12:D12"/>
    <mergeCell ref="B173:D173"/>
    <mergeCell ref="B180:D180"/>
    <mergeCell ref="B177:D177"/>
    <mergeCell ref="B17:D17"/>
    <mergeCell ref="B19:D19"/>
    <mergeCell ref="B35:D35"/>
    <mergeCell ref="B44:D44"/>
    <mergeCell ref="B118:D118"/>
    <mergeCell ref="B122:D122"/>
    <mergeCell ref="B49:D49"/>
    <mergeCell ref="B221:D221"/>
    <mergeCell ref="B304:D304"/>
    <mergeCell ref="B356:D356"/>
    <mergeCell ref="B344:C344"/>
    <mergeCell ref="B352:D352"/>
    <mergeCell ref="B351:C351"/>
    <mergeCell ref="B597:C597"/>
    <mergeCell ref="B334:C334"/>
    <mergeCell ref="B339:C339"/>
    <mergeCell ref="B270:C270"/>
    <mergeCell ref="B255:D255"/>
    <mergeCell ref="B315:D315"/>
    <mergeCell ref="B275:D275"/>
    <mergeCell ref="B279:D279"/>
    <mergeCell ref="B322:C322"/>
    <mergeCell ref="B323:D323"/>
    <mergeCell ref="B184:C184"/>
    <mergeCell ref="B204:D204"/>
    <mergeCell ref="B391:C391"/>
    <mergeCell ref="B392:D392"/>
    <mergeCell ref="B381:C381"/>
    <mergeCell ref="B382:D382"/>
    <mergeCell ref="B523:C523"/>
    <mergeCell ref="B421:D421"/>
    <mergeCell ref="B439:D439"/>
    <mergeCell ref="B458:C458"/>
    <mergeCell ref="B459:D459"/>
    <mergeCell ref="B446:C446"/>
    <mergeCell ref="B450:C450"/>
    <mergeCell ref="B454:C454"/>
    <mergeCell ref="B463:C463"/>
    <mergeCell ref="B467:C467"/>
    <mergeCell ref="B479:C479"/>
    <mergeCell ref="B571:C571"/>
    <mergeCell ref="B535:C535"/>
    <mergeCell ref="B539:C539"/>
    <mergeCell ref="B543:C543"/>
    <mergeCell ref="B475:C475"/>
    <mergeCell ref="B503:C503"/>
    <mergeCell ref="B515:C515"/>
    <mergeCell ref="B486:D486"/>
  </mergeCells>
  <pageMargins left="0.70866141732283472" right="0.70866141732283472" top="0.74803149606299213" bottom="0.74803149606299213" header="0.31496062992125984" footer="0.31496062992125984"/>
  <pageSetup scale="89" orientation="portrait" r:id="rId1"/>
  <rowBreaks count="1" manualBreakCount="1">
    <brk id="196" min="1" max="3" man="1"/>
  </rowBreaks>
  <ignoredErrors>
    <ignoredError sqref="C224 C603:C609" formula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8"/>
  <sheetViews>
    <sheetView view="pageBreakPreview" zoomScale="130" zoomScaleNormal="100" zoomScaleSheetLayoutView="130" workbookViewId="0">
      <selection activeCell="E121" sqref="E121"/>
    </sheetView>
  </sheetViews>
  <sheetFormatPr baseColWidth="10" defaultColWidth="10.7109375" defaultRowHeight="12.75"/>
  <cols>
    <col min="1" max="1" width="2.85546875" customWidth="1"/>
    <col min="2" max="2" width="6.7109375" bestFit="1" customWidth="1"/>
    <col min="3" max="3" width="6.42578125" bestFit="1" customWidth="1"/>
    <col min="4" max="4" width="6.28515625" bestFit="1" customWidth="1"/>
    <col min="5" max="5" width="7.42578125" bestFit="1" customWidth="1"/>
    <col min="6" max="6" width="8" bestFit="1" customWidth="1"/>
    <col min="7" max="7" width="7.28515625" bestFit="1" customWidth="1"/>
    <col min="8" max="8" width="7.42578125" bestFit="1" customWidth="1"/>
    <col min="9" max="9" width="8" bestFit="1" customWidth="1"/>
    <col min="10" max="10" width="2.85546875" customWidth="1"/>
    <col min="11" max="11" width="6.7109375" bestFit="1" customWidth="1"/>
    <col min="12" max="12" width="6.42578125" bestFit="1" customWidth="1"/>
    <col min="13" max="13" width="6.28515625" bestFit="1" customWidth="1"/>
    <col min="14" max="14" width="7.42578125" bestFit="1" customWidth="1"/>
    <col min="15" max="15" width="8" bestFit="1" customWidth="1"/>
    <col min="16" max="16" width="7.28515625" bestFit="1" customWidth="1"/>
    <col min="17" max="17" width="7.42578125" bestFit="1" customWidth="1"/>
    <col min="18" max="18" width="8" bestFit="1" customWidth="1"/>
    <col min="19" max="19" width="2.85546875" customWidth="1"/>
    <col min="20" max="20" width="6.7109375" bestFit="1" customWidth="1"/>
    <col min="21" max="21" width="6.42578125" bestFit="1" customWidth="1"/>
    <col min="22" max="22" width="6.28515625" bestFit="1" customWidth="1"/>
    <col min="23" max="23" width="7.42578125" bestFit="1" customWidth="1"/>
    <col min="24" max="24" width="8" bestFit="1" customWidth="1"/>
    <col min="25" max="25" width="7.28515625" bestFit="1" customWidth="1"/>
    <col min="26" max="26" width="7.42578125" bestFit="1" customWidth="1"/>
    <col min="27" max="27" width="8" bestFit="1" customWidth="1"/>
    <col min="28" max="28" width="2.85546875" customWidth="1"/>
    <col min="29" max="29" width="6.7109375" bestFit="1" customWidth="1"/>
    <col min="30" max="30" width="6.42578125" bestFit="1" customWidth="1"/>
    <col min="31" max="31" width="6.28515625" bestFit="1" customWidth="1"/>
    <col min="32" max="32" width="7.42578125" bestFit="1" customWidth="1"/>
    <col min="33" max="33" width="8" bestFit="1" customWidth="1"/>
    <col min="34" max="34" width="7.28515625" bestFit="1" customWidth="1"/>
    <col min="35" max="35" width="7.42578125" bestFit="1" customWidth="1"/>
    <col min="36" max="36" width="8" bestFit="1" customWidth="1"/>
    <col min="37" max="37" width="2.85546875" customWidth="1"/>
  </cols>
  <sheetData>
    <row r="1" spans="2:36">
      <c r="B1" s="1271" t="s">
        <v>887</v>
      </c>
      <c r="C1" s="1271"/>
      <c r="D1" s="1271"/>
      <c r="E1" s="1271"/>
      <c r="F1" s="1271"/>
      <c r="G1" s="1271"/>
      <c r="H1" s="1271"/>
      <c r="I1" s="1271"/>
      <c r="K1" s="1271" t="s">
        <v>887</v>
      </c>
      <c r="L1" s="1271"/>
      <c r="M1" s="1271"/>
      <c r="N1" s="1271"/>
      <c r="O1" s="1271"/>
      <c r="P1" s="1271"/>
      <c r="Q1" s="1271"/>
      <c r="R1" s="1271"/>
      <c r="T1" s="1271" t="s">
        <v>887</v>
      </c>
      <c r="U1" s="1271"/>
      <c r="V1" s="1271"/>
      <c r="W1" s="1271"/>
      <c r="X1" s="1271"/>
      <c r="Y1" s="1271"/>
      <c r="Z1" s="1271"/>
      <c r="AA1" s="1271"/>
      <c r="AC1" s="1271" t="s">
        <v>887</v>
      </c>
      <c r="AD1" s="1271"/>
      <c r="AE1" s="1271"/>
      <c r="AF1" s="1271"/>
      <c r="AG1" s="1271"/>
      <c r="AH1" s="1271"/>
      <c r="AI1" s="1271"/>
      <c r="AJ1" s="1271"/>
    </row>
    <row r="2" spans="2:36">
      <c r="B2" s="1272" t="s">
        <v>936</v>
      </c>
      <c r="C2" s="1273"/>
      <c r="D2" s="1273"/>
      <c r="E2" s="1273"/>
      <c r="F2" s="1273"/>
      <c r="G2" s="1273"/>
      <c r="H2" s="1273"/>
      <c r="I2" s="1274"/>
      <c r="K2" s="1272" t="s">
        <v>962</v>
      </c>
      <c r="L2" s="1273"/>
      <c r="M2" s="1273"/>
      <c r="N2" s="1273"/>
      <c r="O2" s="1273"/>
      <c r="P2" s="1273"/>
      <c r="Q2" s="1273"/>
      <c r="R2" s="1274"/>
      <c r="T2" s="1272" t="s">
        <v>907</v>
      </c>
      <c r="U2" s="1273"/>
      <c r="V2" s="1273"/>
      <c r="W2" s="1273"/>
      <c r="X2" s="1273"/>
      <c r="Y2" s="1273"/>
      <c r="Z2" s="1273"/>
      <c r="AA2" s="1274"/>
      <c r="AC2" s="1272" t="s">
        <v>963</v>
      </c>
      <c r="AD2" s="1273"/>
      <c r="AE2" s="1273"/>
      <c r="AF2" s="1273"/>
      <c r="AG2" s="1273"/>
      <c r="AH2" s="1273"/>
      <c r="AI2" s="1273"/>
      <c r="AJ2" s="1274"/>
    </row>
    <row r="3" spans="2:36">
      <c r="B3" s="901" t="s">
        <v>889</v>
      </c>
      <c r="C3" s="901" t="s">
        <v>890</v>
      </c>
      <c r="D3" s="901" t="s">
        <v>893</v>
      </c>
      <c r="E3" s="901" t="s">
        <v>888</v>
      </c>
      <c r="F3" s="901" t="s">
        <v>894</v>
      </c>
      <c r="G3" s="901" t="s">
        <v>897</v>
      </c>
      <c r="H3" s="901" t="s">
        <v>888</v>
      </c>
      <c r="I3" s="901" t="s">
        <v>894</v>
      </c>
      <c r="K3" s="901" t="s">
        <v>889</v>
      </c>
      <c r="L3" s="901" t="s">
        <v>890</v>
      </c>
      <c r="M3" s="901" t="s">
        <v>893</v>
      </c>
      <c r="N3" s="901" t="s">
        <v>888</v>
      </c>
      <c r="O3" s="901" t="s">
        <v>894</v>
      </c>
      <c r="P3" s="901" t="s">
        <v>897</v>
      </c>
      <c r="Q3" s="901" t="s">
        <v>888</v>
      </c>
      <c r="R3" s="901" t="s">
        <v>894</v>
      </c>
      <c r="T3" s="901" t="s">
        <v>889</v>
      </c>
      <c r="U3" s="901" t="s">
        <v>890</v>
      </c>
      <c r="V3" s="901" t="s">
        <v>893</v>
      </c>
      <c r="W3" s="901" t="s">
        <v>888</v>
      </c>
      <c r="X3" s="901" t="s">
        <v>894</v>
      </c>
      <c r="Y3" s="901" t="s">
        <v>897</v>
      </c>
      <c r="Z3" s="901" t="s">
        <v>888</v>
      </c>
      <c r="AA3" s="901" t="s">
        <v>894</v>
      </c>
      <c r="AC3" s="901" t="s">
        <v>889</v>
      </c>
      <c r="AD3" s="901" t="s">
        <v>890</v>
      </c>
      <c r="AE3" s="901" t="s">
        <v>893</v>
      </c>
      <c r="AF3" s="901" t="s">
        <v>888</v>
      </c>
      <c r="AG3" s="901" t="s">
        <v>894</v>
      </c>
      <c r="AH3" s="901" t="s">
        <v>897</v>
      </c>
      <c r="AI3" s="901" t="s">
        <v>888</v>
      </c>
      <c r="AJ3" s="901" t="s">
        <v>894</v>
      </c>
    </row>
    <row r="4" spans="2:36">
      <c r="B4" s="748" t="s">
        <v>891</v>
      </c>
      <c r="C4" s="748" t="s">
        <v>892</v>
      </c>
      <c r="D4" s="898">
        <v>25.38</v>
      </c>
      <c r="E4" s="898">
        <v>103.43</v>
      </c>
      <c r="F4" s="898">
        <f>ROUND(E4/25.4,0)</f>
        <v>4</v>
      </c>
      <c r="G4" s="899">
        <v>10</v>
      </c>
      <c r="H4" s="898">
        <v>80.430000000000007</v>
      </c>
      <c r="I4" s="898">
        <f t="shared" ref="I4:I36" si="0">ROUND(H4/25.4,0)</f>
        <v>3</v>
      </c>
      <c r="K4" s="748" t="s">
        <v>896</v>
      </c>
      <c r="L4" s="748" t="s">
        <v>898</v>
      </c>
      <c r="M4" s="898">
        <v>9.36</v>
      </c>
      <c r="N4" s="898">
        <v>103.43</v>
      </c>
      <c r="O4" s="898">
        <f>ROUND(N4/25.4,0)</f>
        <v>4</v>
      </c>
      <c r="P4" s="899"/>
      <c r="Q4" s="898"/>
      <c r="R4" s="898">
        <f t="shared" ref="R4:R13" si="1">ROUND(Q4/25.4,0)</f>
        <v>0</v>
      </c>
      <c r="T4" s="748" t="s">
        <v>900</v>
      </c>
      <c r="U4" s="748" t="s">
        <v>901</v>
      </c>
      <c r="V4" s="898">
        <v>81.81</v>
      </c>
      <c r="W4" s="898">
        <v>103.43</v>
      </c>
      <c r="X4" s="898">
        <f>ROUND(W4/25.4,0)</f>
        <v>4</v>
      </c>
      <c r="Y4" s="899"/>
      <c r="Z4" s="898"/>
      <c r="AA4" s="898">
        <f t="shared" ref="AA4:AA8" si="2">ROUND(Z4/25.4,0)</f>
        <v>0</v>
      </c>
      <c r="AC4" s="748" t="s">
        <v>946</v>
      </c>
      <c r="AD4" s="748" t="s">
        <v>947</v>
      </c>
      <c r="AE4" s="898">
        <v>54.86</v>
      </c>
      <c r="AF4" s="898">
        <v>254</v>
      </c>
      <c r="AG4" s="898">
        <f>ROUND(AF4/25.4,0)</f>
        <v>10</v>
      </c>
      <c r="AH4" s="899">
        <v>10</v>
      </c>
      <c r="AI4" s="898">
        <v>80.430000000000007</v>
      </c>
      <c r="AJ4" s="898">
        <f t="shared" ref="AJ4:AJ29" si="3">ROUND(AI4/25.4,0)</f>
        <v>3</v>
      </c>
    </row>
    <row r="5" spans="2:36">
      <c r="B5" s="898" t="str">
        <f>C4</f>
        <v>N562</v>
      </c>
      <c r="C5" s="748" t="s">
        <v>895</v>
      </c>
      <c r="D5" s="898">
        <v>49.38</v>
      </c>
      <c r="E5" s="898">
        <v>103.43</v>
      </c>
      <c r="F5" s="898">
        <f t="shared" ref="F5:F36" si="4">ROUND(E5/25.4,0)</f>
        <v>4</v>
      </c>
      <c r="G5" s="899">
        <v>10</v>
      </c>
      <c r="H5" s="898">
        <v>80.430000000000007</v>
      </c>
      <c r="I5" s="898">
        <f t="shared" si="0"/>
        <v>3</v>
      </c>
      <c r="K5" s="898" t="str">
        <f>L4</f>
        <v>N963</v>
      </c>
      <c r="L5" s="748" t="s">
        <v>937</v>
      </c>
      <c r="M5" s="898">
        <v>52.95</v>
      </c>
      <c r="N5" s="898">
        <v>80.430000000000007</v>
      </c>
      <c r="O5" s="898">
        <f t="shared" ref="O5:O13" si="5">ROUND(N5/25.4,0)</f>
        <v>3</v>
      </c>
      <c r="P5" s="899"/>
      <c r="Q5" s="898"/>
      <c r="R5" s="898">
        <f t="shared" si="1"/>
        <v>0</v>
      </c>
      <c r="T5" s="898" t="str">
        <f>U4</f>
        <v>N571</v>
      </c>
      <c r="U5" s="748" t="s">
        <v>902</v>
      </c>
      <c r="V5" s="898">
        <v>4.97</v>
      </c>
      <c r="W5" s="898">
        <v>80.430000000000007</v>
      </c>
      <c r="X5" s="898">
        <f t="shared" ref="X5:X8" si="6">ROUND(W5/25.4,0)</f>
        <v>3</v>
      </c>
      <c r="Y5" s="899">
        <v>5</v>
      </c>
      <c r="Z5" s="898">
        <v>80.430000000000007</v>
      </c>
      <c r="AA5" s="898">
        <f t="shared" si="2"/>
        <v>3</v>
      </c>
      <c r="AC5" s="898" t="str">
        <f>AD4</f>
        <v>N269</v>
      </c>
      <c r="AD5" s="748" t="s">
        <v>948</v>
      </c>
      <c r="AE5" s="898">
        <v>4.17</v>
      </c>
      <c r="AF5" s="898">
        <v>254</v>
      </c>
      <c r="AG5" s="898">
        <f t="shared" ref="AG5:AG29" si="7">ROUND(AF5/25.4,0)</f>
        <v>10</v>
      </c>
      <c r="AH5" s="899">
        <v>10</v>
      </c>
      <c r="AI5" s="898">
        <v>80.430000000000007</v>
      </c>
      <c r="AJ5" s="898">
        <f t="shared" si="3"/>
        <v>3</v>
      </c>
    </row>
    <row r="6" spans="2:36">
      <c r="B6" s="898" t="str">
        <f t="shared" ref="B6:B36" si="8">C5</f>
        <v>N561</v>
      </c>
      <c r="C6" s="748" t="s">
        <v>896</v>
      </c>
      <c r="D6" s="898">
        <v>29.56</v>
      </c>
      <c r="E6" s="898">
        <v>103.43</v>
      </c>
      <c r="F6" s="898">
        <f t="shared" si="4"/>
        <v>4</v>
      </c>
      <c r="G6" s="899"/>
      <c r="H6" s="898"/>
      <c r="I6" s="898">
        <f t="shared" si="0"/>
        <v>0</v>
      </c>
      <c r="K6" s="898" t="str">
        <f t="shared" ref="K6:K13" si="9">L5</f>
        <v>N962</v>
      </c>
      <c r="L6" s="748" t="s">
        <v>938</v>
      </c>
      <c r="M6" s="898">
        <v>65.069999999999993</v>
      </c>
      <c r="N6" s="898">
        <v>103.43</v>
      </c>
      <c r="O6" s="898">
        <f t="shared" si="5"/>
        <v>4</v>
      </c>
      <c r="P6" s="899"/>
      <c r="Q6" s="898"/>
      <c r="R6" s="898">
        <f t="shared" si="1"/>
        <v>0</v>
      </c>
      <c r="T6" s="898" t="str">
        <f t="shared" ref="T6:T7" si="10">U5</f>
        <v>N567</v>
      </c>
      <c r="U6" s="748" t="s">
        <v>903</v>
      </c>
      <c r="V6" s="898">
        <v>74.11</v>
      </c>
      <c r="W6" s="898">
        <v>80.430000000000007</v>
      </c>
      <c r="X6" s="898">
        <f t="shared" si="6"/>
        <v>3</v>
      </c>
      <c r="Y6" s="899">
        <v>33.090000000000003</v>
      </c>
      <c r="Z6" s="898">
        <v>80.430000000000007</v>
      </c>
      <c r="AA6" s="898">
        <f t="shared" si="2"/>
        <v>3</v>
      </c>
      <c r="AC6" s="898" t="str">
        <f t="shared" ref="AC6:AC29" si="11">AD5</f>
        <v>N268</v>
      </c>
      <c r="AD6" s="748" t="s">
        <v>949</v>
      </c>
      <c r="AE6" s="898">
        <v>6.37</v>
      </c>
      <c r="AF6" s="898">
        <v>254</v>
      </c>
      <c r="AG6" s="898">
        <f t="shared" si="7"/>
        <v>10</v>
      </c>
      <c r="AH6" s="899">
        <v>10</v>
      </c>
      <c r="AI6" s="898">
        <v>80.430000000000007</v>
      </c>
      <c r="AJ6" s="898">
        <f t="shared" si="3"/>
        <v>3</v>
      </c>
    </row>
    <row r="7" spans="2:36">
      <c r="B7" s="898" t="str">
        <f t="shared" si="8"/>
        <v>N560</v>
      </c>
      <c r="C7" s="748" t="s">
        <v>899</v>
      </c>
      <c r="D7" s="898">
        <v>11.26</v>
      </c>
      <c r="E7" s="898">
        <v>103.43</v>
      </c>
      <c r="F7" s="898">
        <f t="shared" si="4"/>
        <v>4</v>
      </c>
      <c r="G7" s="899"/>
      <c r="H7" s="898"/>
      <c r="I7" s="898">
        <f t="shared" si="0"/>
        <v>0</v>
      </c>
      <c r="K7" s="898" t="str">
        <f t="shared" si="9"/>
        <v>N979</v>
      </c>
      <c r="L7" s="748" t="s">
        <v>939</v>
      </c>
      <c r="M7" s="898">
        <v>74.19</v>
      </c>
      <c r="N7" s="898">
        <v>103.43</v>
      </c>
      <c r="O7" s="898">
        <f t="shared" si="5"/>
        <v>4</v>
      </c>
      <c r="P7" s="899">
        <v>10</v>
      </c>
      <c r="Q7" s="898">
        <v>80.430000000000007</v>
      </c>
      <c r="R7" s="898">
        <f t="shared" si="1"/>
        <v>3</v>
      </c>
      <c r="T7" s="898" t="str">
        <f t="shared" si="10"/>
        <v>N566</v>
      </c>
      <c r="U7" s="748" t="s">
        <v>904</v>
      </c>
      <c r="V7" s="898">
        <v>36.340000000000003</v>
      </c>
      <c r="W7" s="898">
        <v>80.430000000000007</v>
      </c>
      <c r="X7" s="898">
        <f t="shared" si="6"/>
        <v>3</v>
      </c>
      <c r="Y7" s="899">
        <v>10</v>
      </c>
      <c r="Z7" s="898">
        <v>80.430000000000007</v>
      </c>
      <c r="AA7" s="898">
        <f t="shared" si="2"/>
        <v>3</v>
      </c>
      <c r="AC7" s="898" t="str">
        <f t="shared" si="11"/>
        <v>N267</v>
      </c>
      <c r="AD7" s="748" t="s">
        <v>950</v>
      </c>
      <c r="AE7" s="898">
        <v>14.55</v>
      </c>
      <c r="AF7" s="898">
        <v>254</v>
      </c>
      <c r="AG7" s="898">
        <f t="shared" si="7"/>
        <v>10</v>
      </c>
      <c r="AH7" s="899"/>
      <c r="AI7" s="898"/>
      <c r="AJ7" s="898">
        <f t="shared" si="3"/>
        <v>0</v>
      </c>
    </row>
    <row r="8" spans="2:36">
      <c r="B8" s="898" t="str">
        <f t="shared" si="8"/>
        <v>N559</v>
      </c>
      <c r="C8" s="748" t="s">
        <v>900</v>
      </c>
      <c r="D8" s="898">
        <v>38.9</v>
      </c>
      <c r="E8" s="898">
        <v>103.43</v>
      </c>
      <c r="F8" s="898">
        <f t="shared" si="4"/>
        <v>4</v>
      </c>
      <c r="G8" s="899"/>
      <c r="H8" s="899"/>
      <c r="I8" s="898">
        <f t="shared" si="0"/>
        <v>0</v>
      </c>
      <c r="K8" s="898" t="str">
        <f t="shared" si="9"/>
        <v>N961</v>
      </c>
      <c r="L8" s="748" t="s">
        <v>940</v>
      </c>
      <c r="M8" s="898">
        <v>73.87</v>
      </c>
      <c r="N8" s="898">
        <v>103.43</v>
      </c>
      <c r="O8" s="898">
        <f t="shared" si="5"/>
        <v>4</v>
      </c>
      <c r="P8" s="899">
        <v>10</v>
      </c>
      <c r="Q8" s="899">
        <v>80.430000000000007</v>
      </c>
      <c r="R8" s="898">
        <f t="shared" si="1"/>
        <v>3</v>
      </c>
      <c r="T8" s="748" t="s">
        <v>905</v>
      </c>
      <c r="U8" s="748" t="s">
        <v>906</v>
      </c>
      <c r="V8" s="898">
        <v>41.24</v>
      </c>
      <c r="W8" s="898">
        <v>80.430000000000007</v>
      </c>
      <c r="X8" s="898">
        <f t="shared" si="6"/>
        <v>3</v>
      </c>
      <c r="Y8" s="899">
        <v>10</v>
      </c>
      <c r="Z8" s="898">
        <v>80.430000000000007</v>
      </c>
      <c r="AA8" s="898">
        <f t="shared" si="2"/>
        <v>3</v>
      </c>
      <c r="AC8" s="898" t="str">
        <f t="shared" si="11"/>
        <v>N266</v>
      </c>
      <c r="AD8" s="748" t="s">
        <v>951</v>
      </c>
      <c r="AE8" s="898">
        <v>54.28</v>
      </c>
      <c r="AF8" s="898">
        <v>254</v>
      </c>
      <c r="AG8" s="898">
        <f t="shared" si="7"/>
        <v>10</v>
      </c>
      <c r="AH8" s="899"/>
      <c r="AI8" s="899"/>
      <c r="AJ8" s="898">
        <f t="shared" si="3"/>
        <v>0</v>
      </c>
    </row>
    <row r="9" spans="2:36">
      <c r="B9" s="898" t="str">
        <f t="shared" si="8"/>
        <v>N558</v>
      </c>
      <c r="C9" s="748" t="s">
        <v>908</v>
      </c>
      <c r="D9" s="898">
        <v>62.48</v>
      </c>
      <c r="E9" s="898">
        <v>103.43</v>
      </c>
      <c r="F9" s="898">
        <f t="shared" si="4"/>
        <v>4</v>
      </c>
      <c r="G9" s="899">
        <v>14</v>
      </c>
      <c r="H9" s="898">
        <v>103.43</v>
      </c>
      <c r="I9" s="898">
        <f t="shared" si="0"/>
        <v>4</v>
      </c>
      <c r="K9" s="898" t="str">
        <f t="shared" si="9"/>
        <v>N593</v>
      </c>
      <c r="L9" s="748" t="s">
        <v>941</v>
      </c>
      <c r="M9" s="898">
        <v>70.03</v>
      </c>
      <c r="N9" s="898">
        <v>80.430000000000007</v>
      </c>
      <c r="O9" s="898">
        <f t="shared" si="5"/>
        <v>3</v>
      </c>
      <c r="P9" s="899">
        <v>10</v>
      </c>
      <c r="Q9" s="899">
        <v>80.430000000000007</v>
      </c>
      <c r="R9" s="898">
        <f t="shared" si="1"/>
        <v>3</v>
      </c>
      <c r="S9" s="900"/>
      <c r="T9" s="900"/>
      <c r="U9" s="900"/>
      <c r="V9" s="900"/>
      <c r="W9" s="900"/>
      <c r="X9" s="900"/>
      <c r="Y9" s="900"/>
      <c r="Z9" s="900"/>
      <c r="AA9" s="900"/>
      <c r="AB9" s="900"/>
      <c r="AC9" s="898" t="str">
        <f t="shared" si="11"/>
        <v>N504</v>
      </c>
      <c r="AD9" s="748" t="s">
        <v>952</v>
      </c>
      <c r="AE9" s="898">
        <v>29.72</v>
      </c>
      <c r="AF9" s="898">
        <v>254</v>
      </c>
      <c r="AG9" s="898">
        <f t="shared" si="7"/>
        <v>10</v>
      </c>
      <c r="AH9" s="899">
        <v>10</v>
      </c>
      <c r="AI9" s="899">
        <v>80.430000000000007</v>
      </c>
      <c r="AJ9" s="898">
        <f t="shared" si="3"/>
        <v>3</v>
      </c>
    </row>
    <row r="10" spans="2:36">
      <c r="B10" s="898" t="str">
        <f t="shared" si="8"/>
        <v>N557</v>
      </c>
      <c r="C10" s="748" t="s">
        <v>909</v>
      </c>
      <c r="D10" s="898">
        <v>74.11</v>
      </c>
      <c r="E10" s="898">
        <v>152.22999999999999</v>
      </c>
      <c r="F10" s="898">
        <f t="shared" si="4"/>
        <v>6</v>
      </c>
      <c r="G10" s="899">
        <v>10</v>
      </c>
      <c r="H10" s="899">
        <v>82.35</v>
      </c>
      <c r="I10" s="898">
        <f t="shared" si="0"/>
        <v>3</v>
      </c>
      <c r="K10" s="898"/>
      <c r="L10" s="898"/>
      <c r="M10" s="898"/>
      <c r="N10" s="898"/>
      <c r="O10" s="898"/>
      <c r="P10" s="899"/>
      <c r="Q10" s="899"/>
      <c r="R10" s="898"/>
      <c r="S10" s="900"/>
      <c r="T10" s="1271" t="s">
        <v>887</v>
      </c>
      <c r="U10" s="1271"/>
      <c r="V10" s="1271"/>
      <c r="W10" s="1271"/>
      <c r="X10" s="1271"/>
      <c r="Y10" s="1271"/>
      <c r="Z10" s="1271"/>
      <c r="AA10" s="1271"/>
      <c r="AB10" s="900"/>
      <c r="AC10" s="898" t="str">
        <f t="shared" si="11"/>
        <v>N265</v>
      </c>
      <c r="AD10" s="748" t="s">
        <v>953</v>
      </c>
      <c r="AE10" s="898">
        <v>25.63</v>
      </c>
      <c r="AF10" s="898">
        <v>254</v>
      </c>
      <c r="AG10" s="898">
        <f t="shared" si="7"/>
        <v>10</v>
      </c>
      <c r="AH10" s="899">
        <v>10</v>
      </c>
      <c r="AI10" s="899">
        <v>80.430000000000007</v>
      </c>
      <c r="AJ10" s="898">
        <f t="shared" si="3"/>
        <v>3</v>
      </c>
    </row>
    <row r="11" spans="2:36">
      <c r="B11" s="898" t="str">
        <f t="shared" si="8"/>
        <v>N637</v>
      </c>
      <c r="C11" s="748" t="s">
        <v>910</v>
      </c>
      <c r="D11" s="898">
        <v>52.12</v>
      </c>
      <c r="E11" s="898">
        <v>152.22999999999999</v>
      </c>
      <c r="F11" s="898">
        <f t="shared" si="4"/>
        <v>6</v>
      </c>
      <c r="G11" s="899">
        <v>10</v>
      </c>
      <c r="H11" s="899">
        <v>82.35</v>
      </c>
      <c r="I11" s="898">
        <f t="shared" si="0"/>
        <v>3</v>
      </c>
      <c r="K11" s="748" t="s">
        <v>942</v>
      </c>
      <c r="L11" s="748" t="s">
        <v>943</v>
      </c>
      <c r="M11" s="898">
        <v>46.18</v>
      </c>
      <c r="N11" s="898">
        <v>103.43</v>
      </c>
      <c r="O11" s="898">
        <f t="shared" si="5"/>
        <v>4</v>
      </c>
      <c r="P11" s="899">
        <v>20</v>
      </c>
      <c r="Q11" s="899">
        <v>80.430000000000007</v>
      </c>
      <c r="R11" s="898">
        <f t="shared" si="1"/>
        <v>3</v>
      </c>
      <c r="S11" s="900"/>
      <c r="T11" s="1272" t="s">
        <v>1193</v>
      </c>
      <c r="U11" s="1273"/>
      <c r="V11" s="1273"/>
      <c r="W11" s="1273"/>
      <c r="X11" s="1273"/>
      <c r="Y11" s="1273"/>
      <c r="Z11" s="1273"/>
      <c r="AA11" s="1274"/>
      <c r="AB11" s="900"/>
      <c r="AC11" s="898" t="str">
        <f t="shared" si="11"/>
        <v>N264</v>
      </c>
      <c r="AD11" s="748" t="s">
        <v>954</v>
      </c>
      <c r="AE11" s="898">
        <v>29.34</v>
      </c>
      <c r="AF11" s="898">
        <v>254</v>
      </c>
      <c r="AG11" s="898">
        <f t="shared" si="7"/>
        <v>10</v>
      </c>
      <c r="AH11" s="899">
        <v>10</v>
      </c>
      <c r="AI11" s="899">
        <v>80.430000000000007</v>
      </c>
      <c r="AJ11" s="898">
        <f t="shared" si="3"/>
        <v>3</v>
      </c>
    </row>
    <row r="12" spans="2:36">
      <c r="B12" s="898" t="str">
        <f t="shared" si="8"/>
        <v>N788</v>
      </c>
      <c r="C12" s="748" t="s">
        <v>911</v>
      </c>
      <c r="D12" s="898">
        <v>28.42</v>
      </c>
      <c r="E12" s="898">
        <v>152.22999999999999</v>
      </c>
      <c r="F12" s="898">
        <f t="shared" si="4"/>
        <v>6</v>
      </c>
      <c r="G12" s="899"/>
      <c r="H12" s="899"/>
      <c r="I12" s="898">
        <f t="shared" si="0"/>
        <v>0</v>
      </c>
      <c r="K12" s="898" t="str">
        <f t="shared" si="9"/>
        <v>N607</v>
      </c>
      <c r="L12" s="748" t="s">
        <v>944</v>
      </c>
      <c r="M12" s="898">
        <v>21.71</v>
      </c>
      <c r="N12" s="898">
        <v>152.22999999999999</v>
      </c>
      <c r="O12" s="898">
        <f t="shared" si="5"/>
        <v>6</v>
      </c>
      <c r="P12" s="899">
        <v>10</v>
      </c>
      <c r="Q12" s="899">
        <v>80.430000000000007</v>
      </c>
      <c r="R12" s="898">
        <f t="shared" si="1"/>
        <v>3</v>
      </c>
      <c r="S12" s="900"/>
      <c r="T12" s="901" t="s">
        <v>889</v>
      </c>
      <c r="U12" s="901" t="s">
        <v>890</v>
      </c>
      <c r="V12" s="901" t="s">
        <v>893</v>
      </c>
      <c r="W12" s="901" t="s">
        <v>888</v>
      </c>
      <c r="X12" s="901" t="s">
        <v>894</v>
      </c>
      <c r="Y12" s="901" t="s">
        <v>897</v>
      </c>
      <c r="Z12" s="901" t="s">
        <v>888</v>
      </c>
      <c r="AA12" s="901" t="s">
        <v>894</v>
      </c>
      <c r="AB12" s="900"/>
      <c r="AC12" s="898" t="str">
        <f t="shared" si="11"/>
        <v>N263</v>
      </c>
      <c r="AD12" s="748" t="s">
        <v>955</v>
      </c>
      <c r="AE12" s="898">
        <v>35.9</v>
      </c>
      <c r="AF12" s="898">
        <v>254</v>
      </c>
      <c r="AG12" s="898">
        <f t="shared" si="7"/>
        <v>10</v>
      </c>
      <c r="AH12" s="899">
        <v>10</v>
      </c>
      <c r="AI12" s="899">
        <v>80.430000000000007</v>
      </c>
      <c r="AJ12" s="898">
        <f t="shared" si="3"/>
        <v>3</v>
      </c>
    </row>
    <row r="13" spans="2:36">
      <c r="B13" s="898" t="str">
        <f t="shared" si="8"/>
        <v>N787</v>
      </c>
      <c r="C13" s="748" t="s">
        <v>912</v>
      </c>
      <c r="D13" s="898">
        <v>70.37</v>
      </c>
      <c r="E13" s="898">
        <v>152.22999999999999</v>
      </c>
      <c r="F13" s="898">
        <f t="shared" si="4"/>
        <v>6</v>
      </c>
      <c r="G13" s="899"/>
      <c r="H13" s="899"/>
      <c r="I13" s="898">
        <f t="shared" si="0"/>
        <v>0</v>
      </c>
      <c r="K13" s="898" t="str">
        <f t="shared" si="9"/>
        <v>N608</v>
      </c>
      <c r="L13" s="748" t="s">
        <v>945</v>
      </c>
      <c r="M13" s="898">
        <v>63.07</v>
      </c>
      <c r="N13" s="898">
        <v>103.43</v>
      </c>
      <c r="O13" s="898">
        <f t="shared" si="5"/>
        <v>4</v>
      </c>
      <c r="P13" s="899">
        <v>10</v>
      </c>
      <c r="Q13" s="899">
        <v>103.43</v>
      </c>
      <c r="R13" s="898">
        <f t="shared" si="1"/>
        <v>4</v>
      </c>
      <c r="S13" s="900"/>
      <c r="T13" s="748" t="s">
        <v>900</v>
      </c>
      <c r="U13" s="748" t="s">
        <v>1186</v>
      </c>
      <c r="V13" s="898">
        <v>132.63999999999999</v>
      </c>
      <c r="W13" s="898">
        <v>80.430000000000007</v>
      </c>
      <c r="X13" s="898">
        <f>ROUND(W13/25.4,0)</f>
        <v>3</v>
      </c>
      <c r="Y13" s="899">
        <v>5</v>
      </c>
      <c r="Z13" s="898">
        <v>80.430000000000007</v>
      </c>
      <c r="AA13" s="898">
        <f t="shared" ref="AA13:AA17" si="12">ROUND(Z13/25.4,0)</f>
        <v>3</v>
      </c>
      <c r="AB13" s="900"/>
      <c r="AC13" s="898" t="str">
        <f t="shared" si="11"/>
        <v>N749</v>
      </c>
      <c r="AD13" s="748" t="s">
        <v>956</v>
      </c>
      <c r="AE13" s="898">
        <v>65.73</v>
      </c>
      <c r="AF13" s="898">
        <v>254</v>
      </c>
      <c r="AG13" s="898">
        <f t="shared" si="7"/>
        <v>10</v>
      </c>
      <c r="AH13" s="899"/>
      <c r="AI13" s="899"/>
      <c r="AJ13" s="898">
        <f t="shared" si="3"/>
        <v>0</v>
      </c>
    </row>
    <row r="14" spans="2:36">
      <c r="B14" s="898" t="str">
        <f t="shared" si="8"/>
        <v>N971</v>
      </c>
      <c r="C14" s="748" t="s">
        <v>913</v>
      </c>
      <c r="D14" s="898">
        <v>43.68</v>
      </c>
      <c r="E14" s="898">
        <v>152.22999999999999</v>
      </c>
      <c r="F14" s="898">
        <f t="shared" si="4"/>
        <v>6</v>
      </c>
      <c r="G14" s="899">
        <v>10.5</v>
      </c>
      <c r="H14" s="899">
        <v>82.35</v>
      </c>
      <c r="I14" s="898">
        <f t="shared" si="0"/>
        <v>3</v>
      </c>
      <c r="J14" s="900"/>
      <c r="K14" s="900"/>
      <c r="L14" s="900"/>
      <c r="M14" s="900"/>
      <c r="N14" s="900"/>
      <c r="O14" s="900"/>
      <c r="P14" s="900"/>
      <c r="Q14" s="900"/>
      <c r="R14" s="900"/>
      <c r="S14" s="900"/>
      <c r="T14" s="748" t="s">
        <v>908</v>
      </c>
      <c r="U14" s="748" t="s">
        <v>1187</v>
      </c>
      <c r="V14" s="898">
        <v>61.74</v>
      </c>
      <c r="W14" s="898">
        <v>152.22999999999999</v>
      </c>
      <c r="X14" s="898">
        <f t="shared" ref="X14:X17" si="13">ROUND(W14/25.4,0)</f>
        <v>6</v>
      </c>
      <c r="Y14" s="899"/>
      <c r="Z14" s="898"/>
      <c r="AA14" s="898">
        <f t="shared" si="12"/>
        <v>0</v>
      </c>
      <c r="AB14" s="900"/>
      <c r="AC14" s="898" t="str">
        <f t="shared" si="11"/>
        <v>N262</v>
      </c>
      <c r="AD14" s="748" t="s">
        <v>957</v>
      </c>
      <c r="AE14" s="898">
        <v>68.430000000000007</v>
      </c>
      <c r="AF14" s="898">
        <v>254</v>
      </c>
      <c r="AG14" s="898">
        <f t="shared" si="7"/>
        <v>10</v>
      </c>
      <c r="AH14" s="899"/>
      <c r="AI14" s="899"/>
      <c r="AJ14" s="898">
        <f t="shared" si="3"/>
        <v>0</v>
      </c>
    </row>
    <row r="15" spans="2:36">
      <c r="B15" s="898" t="str">
        <f t="shared" si="8"/>
        <v>N556</v>
      </c>
      <c r="C15" s="748" t="s">
        <v>914</v>
      </c>
      <c r="D15" s="898">
        <v>56.75</v>
      </c>
      <c r="E15" s="898">
        <v>152.22999999999999</v>
      </c>
      <c r="F15" s="898">
        <f t="shared" si="4"/>
        <v>6</v>
      </c>
      <c r="G15" s="899"/>
      <c r="H15" s="899"/>
      <c r="I15" s="898">
        <f t="shared" si="0"/>
        <v>0</v>
      </c>
      <c r="J15" s="900"/>
      <c r="K15" s="748" t="s">
        <v>1194</v>
      </c>
      <c r="L15" s="748" t="s">
        <v>1195</v>
      </c>
      <c r="M15" s="898">
        <v>41.65</v>
      </c>
      <c r="N15" s="898">
        <v>80.430000000000007</v>
      </c>
      <c r="O15" s="898">
        <f t="shared" ref="O15:O20" si="14">ROUND(N15/25.4,0)</f>
        <v>3</v>
      </c>
      <c r="P15" s="899">
        <v>5</v>
      </c>
      <c r="Q15" s="899">
        <v>80.430000000000007</v>
      </c>
      <c r="R15" s="898">
        <f t="shared" ref="R15:R16" si="15">ROUND(Q15/25.4,0)</f>
        <v>3</v>
      </c>
      <c r="S15" s="900"/>
      <c r="T15" s="898" t="str">
        <f t="shared" ref="T15:T17" si="16">U14</f>
        <v>N786</v>
      </c>
      <c r="U15" s="748" t="s">
        <v>1188</v>
      </c>
      <c r="V15" s="898">
        <v>19.14</v>
      </c>
      <c r="W15" s="898">
        <v>152.22999999999999</v>
      </c>
      <c r="X15" s="898">
        <f t="shared" si="13"/>
        <v>6</v>
      </c>
      <c r="Y15" s="899">
        <v>5</v>
      </c>
      <c r="Z15" s="898">
        <v>80.430000000000007</v>
      </c>
      <c r="AA15" s="898">
        <f t="shared" si="12"/>
        <v>3</v>
      </c>
      <c r="AB15" s="900"/>
      <c r="AC15" s="898" t="str">
        <f t="shared" si="11"/>
        <v>N261</v>
      </c>
      <c r="AD15" s="748" t="s">
        <v>958</v>
      </c>
      <c r="AE15" s="898">
        <v>9.5299999999999994</v>
      </c>
      <c r="AF15" s="898">
        <v>254</v>
      </c>
      <c r="AG15" s="898">
        <f t="shared" si="7"/>
        <v>10</v>
      </c>
      <c r="AH15" s="899"/>
      <c r="AI15" s="899"/>
      <c r="AJ15" s="898">
        <f t="shared" si="3"/>
        <v>0</v>
      </c>
    </row>
    <row r="16" spans="2:36">
      <c r="B16" s="898" t="str">
        <f t="shared" si="8"/>
        <v>N555</v>
      </c>
      <c r="C16" s="748" t="s">
        <v>915</v>
      </c>
      <c r="D16" s="898">
        <v>10.1</v>
      </c>
      <c r="E16" s="898">
        <v>152.22999999999999</v>
      </c>
      <c r="F16" s="898">
        <f t="shared" si="4"/>
        <v>6</v>
      </c>
      <c r="G16" s="899"/>
      <c r="H16" s="899"/>
      <c r="I16" s="898">
        <f t="shared" si="0"/>
        <v>0</v>
      </c>
      <c r="J16" s="900"/>
      <c r="K16" s="748" t="str">
        <f>L15</f>
        <v>N612</v>
      </c>
      <c r="L16" s="748" t="s">
        <v>1196</v>
      </c>
      <c r="M16" s="898">
        <v>81.22</v>
      </c>
      <c r="N16" s="898">
        <v>80.430000000000007</v>
      </c>
      <c r="O16" s="898">
        <f t="shared" si="14"/>
        <v>3</v>
      </c>
      <c r="P16" s="899"/>
      <c r="Q16" s="899"/>
      <c r="R16" s="898">
        <f t="shared" si="15"/>
        <v>0</v>
      </c>
      <c r="S16" s="900"/>
      <c r="T16" s="898" t="str">
        <f t="shared" si="16"/>
        <v>N541</v>
      </c>
      <c r="U16" s="748" t="s">
        <v>1189</v>
      </c>
      <c r="V16" s="898">
        <v>82.49</v>
      </c>
      <c r="W16" s="898">
        <v>152.22999999999999</v>
      </c>
      <c r="X16" s="898">
        <f t="shared" si="13"/>
        <v>6</v>
      </c>
      <c r="Y16" s="899"/>
      <c r="Z16" s="898"/>
      <c r="AA16" s="898">
        <f t="shared" si="12"/>
        <v>0</v>
      </c>
      <c r="AB16" s="900"/>
      <c r="AC16" s="898" t="str">
        <f t="shared" si="11"/>
        <v>N746</v>
      </c>
      <c r="AD16" s="748" t="s">
        <v>959</v>
      </c>
      <c r="AE16" s="898">
        <v>44.33</v>
      </c>
      <c r="AF16" s="898">
        <v>254</v>
      </c>
      <c r="AG16" s="898">
        <f t="shared" si="7"/>
        <v>10</v>
      </c>
      <c r="AH16" s="899"/>
      <c r="AI16" s="899"/>
      <c r="AJ16" s="898">
        <f t="shared" si="3"/>
        <v>0</v>
      </c>
    </row>
    <row r="17" spans="2:37">
      <c r="B17" s="898" t="str">
        <f t="shared" si="8"/>
        <v>N554</v>
      </c>
      <c r="C17" s="748" t="s">
        <v>916</v>
      </c>
      <c r="D17" s="898">
        <v>48.85</v>
      </c>
      <c r="E17" s="898">
        <v>152.22999999999999</v>
      </c>
      <c r="F17" s="898">
        <f t="shared" si="4"/>
        <v>6</v>
      </c>
      <c r="G17" s="899">
        <v>10</v>
      </c>
      <c r="H17" s="899">
        <v>80.430000000000007</v>
      </c>
      <c r="I17" s="898">
        <f t="shared" si="0"/>
        <v>3</v>
      </c>
      <c r="J17" s="900"/>
      <c r="K17" s="900"/>
      <c r="L17" s="900"/>
      <c r="M17" s="900"/>
      <c r="N17" s="900"/>
      <c r="O17" s="900"/>
      <c r="P17" s="900"/>
      <c r="Q17" s="900"/>
      <c r="R17" s="900"/>
      <c r="S17" s="900"/>
      <c r="T17" s="898" t="str">
        <f t="shared" si="16"/>
        <v>N785</v>
      </c>
      <c r="U17" s="748" t="s">
        <v>1190</v>
      </c>
      <c r="V17" s="898">
        <v>3.34</v>
      </c>
      <c r="W17" s="898">
        <v>152.22999999999999</v>
      </c>
      <c r="X17" s="898">
        <f t="shared" si="13"/>
        <v>6</v>
      </c>
      <c r="Y17" s="899">
        <v>5</v>
      </c>
      <c r="Z17" s="898">
        <v>80.430000000000007</v>
      </c>
      <c r="AA17" s="898">
        <f t="shared" si="12"/>
        <v>3</v>
      </c>
      <c r="AB17" s="900"/>
      <c r="AC17" s="898" t="str">
        <f t="shared" si="11"/>
        <v>N745</v>
      </c>
      <c r="AD17" s="748" t="s">
        <v>960</v>
      </c>
      <c r="AE17" s="898">
        <v>23.23</v>
      </c>
      <c r="AF17" s="898">
        <v>254</v>
      </c>
      <c r="AG17" s="898">
        <f t="shared" si="7"/>
        <v>10</v>
      </c>
      <c r="AH17" s="899"/>
      <c r="AI17" s="899"/>
      <c r="AJ17" s="898">
        <f t="shared" si="3"/>
        <v>0</v>
      </c>
    </row>
    <row r="18" spans="2:37">
      <c r="B18" s="898" t="str">
        <f t="shared" si="8"/>
        <v>N551</v>
      </c>
      <c r="C18" s="748" t="s">
        <v>917</v>
      </c>
      <c r="D18" s="898">
        <v>45.45</v>
      </c>
      <c r="E18" s="898">
        <v>152.22999999999999</v>
      </c>
      <c r="F18" s="898">
        <f t="shared" si="4"/>
        <v>6</v>
      </c>
      <c r="G18" s="899">
        <v>10</v>
      </c>
      <c r="H18" s="899">
        <v>80.430000000000007</v>
      </c>
      <c r="I18" s="898">
        <f t="shared" si="0"/>
        <v>3</v>
      </c>
      <c r="J18" s="900"/>
      <c r="K18" s="748" t="s">
        <v>1197</v>
      </c>
      <c r="L18" s="748" t="s">
        <v>1198</v>
      </c>
      <c r="M18" s="898">
        <v>98.01</v>
      </c>
      <c r="N18" s="898">
        <v>80.430000000000007</v>
      </c>
      <c r="O18" s="898">
        <f t="shared" si="14"/>
        <v>3</v>
      </c>
      <c r="P18" s="899"/>
      <c r="Q18" s="899"/>
      <c r="R18" s="898"/>
      <c r="S18" s="900"/>
      <c r="T18" s="898" t="str">
        <f t="shared" ref="T18:T19" si="17">U17</f>
        <v>N955</v>
      </c>
      <c r="U18" s="748" t="s">
        <v>1191</v>
      </c>
      <c r="V18" s="898">
        <v>33.549999999999997</v>
      </c>
      <c r="W18" s="898">
        <v>80.430000000000007</v>
      </c>
      <c r="X18" s="898">
        <f t="shared" ref="X18:X19" si="18">ROUND(W18/25.4,0)</f>
        <v>3</v>
      </c>
      <c r="Y18" s="899">
        <v>5</v>
      </c>
      <c r="Z18" s="898">
        <v>80.430000000000007</v>
      </c>
      <c r="AA18" s="898">
        <f t="shared" ref="AA18:AA19" si="19">ROUND(Z18/25.4,0)</f>
        <v>3</v>
      </c>
      <c r="AB18" s="900"/>
      <c r="AC18" s="898" t="str">
        <f t="shared" si="11"/>
        <v>N811</v>
      </c>
      <c r="AD18" s="748" t="s">
        <v>961</v>
      </c>
      <c r="AE18" s="898">
        <v>5.26</v>
      </c>
      <c r="AF18" s="898">
        <v>254</v>
      </c>
      <c r="AG18" s="898">
        <f t="shared" si="7"/>
        <v>10</v>
      </c>
      <c r="AH18" s="899"/>
      <c r="AI18" s="899"/>
      <c r="AJ18" s="898">
        <f t="shared" si="3"/>
        <v>0</v>
      </c>
    </row>
    <row r="19" spans="2:37">
      <c r="B19" s="898" t="str">
        <f t="shared" si="8"/>
        <v>N548</v>
      </c>
      <c r="C19" s="748" t="s">
        <v>918</v>
      </c>
      <c r="D19" s="898">
        <v>21.71</v>
      </c>
      <c r="E19" s="898">
        <v>152.22999999999999</v>
      </c>
      <c r="F19" s="898">
        <f t="shared" si="4"/>
        <v>6</v>
      </c>
      <c r="G19" s="899">
        <v>10</v>
      </c>
      <c r="H19" s="899">
        <v>80.430000000000007</v>
      </c>
      <c r="I19" s="898">
        <f t="shared" si="0"/>
        <v>3</v>
      </c>
      <c r="J19" s="900"/>
      <c r="K19" s="748" t="str">
        <f>L18</f>
        <v>N820</v>
      </c>
      <c r="L19" s="748" t="s">
        <v>1199</v>
      </c>
      <c r="M19" s="898">
        <v>6.89</v>
      </c>
      <c r="N19" s="898">
        <v>152.22999999999999</v>
      </c>
      <c r="O19" s="898">
        <f t="shared" si="14"/>
        <v>6</v>
      </c>
      <c r="P19" s="899"/>
      <c r="Q19" s="899"/>
      <c r="R19" s="898"/>
      <c r="S19" s="900"/>
      <c r="T19" s="898" t="str">
        <f t="shared" si="17"/>
        <v>N776</v>
      </c>
      <c r="U19" s="748" t="s">
        <v>1192</v>
      </c>
      <c r="V19" s="898">
        <v>22.47</v>
      </c>
      <c r="W19" s="898">
        <v>80.430000000000007</v>
      </c>
      <c r="X19" s="898">
        <f t="shared" si="18"/>
        <v>3</v>
      </c>
      <c r="Y19" s="899">
        <v>5</v>
      </c>
      <c r="Z19" s="898">
        <v>80.430000000000007</v>
      </c>
      <c r="AA19" s="898">
        <f t="shared" si="19"/>
        <v>3</v>
      </c>
      <c r="AB19" s="900"/>
      <c r="AC19" s="898" t="str">
        <f t="shared" si="11"/>
        <v>N812</v>
      </c>
      <c r="AD19" s="748" t="s">
        <v>929</v>
      </c>
      <c r="AE19" s="898">
        <v>9.16</v>
      </c>
      <c r="AF19" s="898">
        <v>254</v>
      </c>
      <c r="AG19" s="898">
        <f t="shared" si="7"/>
        <v>10</v>
      </c>
      <c r="AH19" s="899"/>
      <c r="AI19" s="899"/>
      <c r="AJ19" s="898">
        <f t="shared" si="3"/>
        <v>0</v>
      </c>
    </row>
    <row r="20" spans="2:37">
      <c r="B20" s="898" t="str">
        <f t="shared" si="8"/>
        <v>N545</v>
      </c>
      <c r="C20" s="748" t="s">
        <v>919</v>
      </c>
      <c r="D20" s="898">
        <v>37.25</v>
      </c>
      <c r="E20" s="898">
        <v>152.22999999999999</v>
      </c>
      <c r="F20" s="898">
        <f t="shared" si="4"/>
        <v>6</v>
      </c>
      <c r="G20" s="899">
        <v>10</v>
      </c>
      <c r="H20" s="899">
        <v>80.430000000000007</v>
      </c>
      <c r="I20" s="898">
        <f t="shared" si="0"/>
        <v>3</v>
      </c>
      <c r="J20" s="900"/>
      <c r="K20" s="748" t="str">
        <f>L19</f>
        <v>N819</v>
      </c>
      <c r="L20" s="748" t="s">
        <v>926</v>
      </c>
      <c r="M20" s="898">
        <v>10.43</v>
      </c>
      <c r="N20" s="898">
        <v>152.22999999999999</v>
      </c>
      <c r="O20" s="898">
        <f t="shared" si="14"/>
        <v>6</v>
      </c>
      <c r="P20" s="899"/>
      <c r="Q20" s="899"/>
      <c r="R20" s="898"/>
      <c r="S20" s="900"/>
      <c r="T20" s="898"/>
      <c r="U20" s="748"/>
      <c r="V20" s="898"/>
      <c r="W20" s="898"/>
      <c r="X20" s="898"/>
      <c r="Y20" s="899"/>
      <c r="Z20" s="898"/>
      <c r="AA20" s="898"/>
      <c r="AB20" s="900"/>
      <c r="AC20" s="898"/>
      <c r="AD20" s="898"/>
      <c r="AE20" s="898"/>
      <c r="AF20" s="898"/>
      <c r="AG20" s="898"/>
      <c r="AH20" s="899"/>
      <c r="AI20" s="899"/>
      <c r="AJ20" s="898"/>
    </row>
    <row r="21" spans="2:37">
      <c r="B21" s="898" t="str">
        <f t="shared" si="8"/>
        <v>N544</v>
      </c>
      <c r="C21" s="748" t="s">
        <v>920</v>
      </c>
      <c r="D21" s="898">
        <v>34.840000000000003</v>
      </c>
      <c r="E21" s="898">
        <v>152.22999999999999</v>
      </c>
      <c r="F21" s="898">
        <f t="shared" si="4"/>
        <v>6</v>
      </c>
      <c r="G21" s="899">
        <v>51.38</v>
      </c>
      <c r="H21" s="899">
        <v>80.430000000000007</v>
      </c>
      <c r="I21" s="898">
        <f t="shared" si="0"/>
        <v>3</v>
      </c>
      <c r="J21" s="900"/>
      <c r="K21" s="748"/>
      <c r="L21" s="748"/>
      <c r="M21" s="898"/>
      <c r="N21" s="898"/>
      <c r="O21" s="898"/>
      <c r="P21" s="899"/>
      <c r="Q21" s="899"/>
      <c r="R21" s="898"/>
      <c r="S21" s="900"/>
      <c r="T21" s="898"/>
      <c r="U21" s="748"/>
      <c r="V21" s="898"/>
      <c r="W21" s="898"/>
      <c r="X21" s="898"/>
      <c r="Y21" s="899"/>
      <c r="Z21" s="898"/>
      <c r="AA21" s="898"/>
      <c r="AB21" s="900"/>
      <c r="AC21" s="748" t="s">
        <v>964</v>
      </c>
      <c r="AD21" s="748" t="s">
        <v>965</v>
      </c>
      <c r="AE21" s="898">
        <v>57.92</v>
      </c>
      <c r="AF21" s="898">
        <v>80.42</v>
      </c>
      <c r="AG21" s="898">
        <f t="shared" si="7"/>
        <v>3</v>
      </c>
      <c r="AH21" s="899">
        <v>10</v>
      </c>
      <c r="AI21" s="899">
        <v>80.430000000000007</v>
      </c>
      <c r="AJ21" s="898">
        <f t="shared" si="3"/>
        <v>3</v>
      </c>
    </row>
    <row r="22" spans="2:37">
      <c r="B22" s="898" t="str">
        <f t="shared" si="8"/>
        <v>N543</v>
      </c>
      <c r="C22" s="748" t="s">
        <v>921</v>
      </c>
      <c r="D22" s="898">
        <v>94.2</v>
      </c>
      <c r="E22" s="898">
        <v>152.22999999999999</v>
      </c>
      <c r="F22" s="898">
        <f t="shared" si="4"/>
        <v>6</v>
      </c>
      <c r="G22" s="899">
        <v>10</v>
      </c>
      <c r="H22" s="899">
        <v>76.2</v>
      </c>
      <c r="I22" s="898">
        <f t="shared" si="0"/>
        <v>3</v>
      </c>
      <c r="J22" s="900"/>
      <c r="K22" s="748"/>
      <c r="L22" s="748"/>
      <c r="M22" s="898"/>
      <c r="N22" s="898"/>
      <c r="O22" s="898"/>
      <c r="P22" s="899"/>
      <c r="Q22" s="899"/>
      <c r="R22" s="898"/>
      <c r="S22" s="900"/>
      <c r="T22" s="898"/>
      <c r="U22" s="748"/>
      <c r="V22" s="898"/>
      <c r="W22" s="898"/>
      <c r="X22" s="898"/>
      <c r="Y22" s="899"/>
      <c r="Z22" s="898"/>
      <c r="AA22" s="898"/>
      <c r="AB22" s="900"/>
      <c r="AC22" s="898" t="str">
        <f t="shared" si="11"/>
        <v>N510</v>
      </c>
      <c r="AD22" s="748" t="s">
        <v>966</v>
      </c>
      <c r="AE22" s="898">
        <v>32.5</v>
      </c>
      <c r="AF22" s="898">
        <v>80.42</v>
      </c>
      <c r="AG22" s="898">
        <f t="shared" si="7"/>
        <v>3</v>
      </c>
      <c r="AH22" s="899"/>
      <c r="AI22" s="899"/>
      <c r="AJ22" s="898">
        <f t="shared" si="3"/>
        <v>0</v>
      </c>
    </row>
    <row r="23" spans="2:37">
      <c r="B23" s="898" t="str">
        <f t="shared" si="8"/>
        <v>N534</v>
      </c>
      <c r="C23" s="748" t="s">
        <v>922</v>
      </c>
      <c r="D23" s="898">
        <v>39.65</v>
      </c>
      <c r="E23" s="898">
        <v>152.22999999999999</v>
      </c>
      <c r="F23" s="898">
        <f t="shared" si="4"/>
        <v>6</v>
      </c>
      <c r="G23" s="899"/>
      <c r="H23" s="899"/>
      <c r="I23" s="898">
        <f t="shared" si="0"/>
        <v>0</v>
      </c>
      <c r="J23" s="900"/>
      <c r="K23" s="748"/>
      <c r="L23" s="748"/>
      <c r="M23" s="898"/>
      <c r="N23" s="898"/>
      <c r="O23" s="898"/>
      <c r="P23" s="899"/>
      <c r="Q23" s="899"/>
      <c r="R23" s="898"/>
      <c r="S23" s="900"/>
      <c r="T23" s="898"/>
      <c r="U23" s="748"/>
      <c r="V23" s="898"/>
      <c r="W23" s="898"/>
      <c r="X23" s="898"/>
      <c r="Y23" s="899"/>
      <c r="Z23" s="898"/>
      <c r="AA23" s="898"/>
      <c r="AB23" s="900"/>
      <c r="AC23" s="898" t="str">
        <f t="shared" si="11"/>
        <v>N511</v>
      </c>
      <c r="AD23" s="748" t="s">
        <v>967</v>
      </c>
      <c r="AE23" s="898">
        <v>30.53</v>
      </c>
      <c r="AF23" s="898">
        <v>80.42</v>
      </c>
      <c r="AG23" s="898">
        <f t="shared" si="7"/>
        <v>3</v>
      </c>
      <c r="AH23" s="899">
        <v>10</v>
      </c>
      <c r="AI23" s="899">
        <v>80.430000000000007</v>
      </c>
      <c r="AJ23" s="898">
        <f t="shared" si="3"/>
        <v>3</v>
      </c>
    </row>
    <row r="24" spans="2:37">
      <c r="B24" s="898" t="str">
        <f t="shared" si="8"/>
        <v>N814</v>
      </c>
      <c r="C24" s="748" t="s">
        <v>923</v>
      </c>
      <c r="D24" s="898">
        <v>18.510000000000002</v>
      </c>
      <c r="E24" s="898">
        <v>152.22999999999999</v>
      </c>
      <c r="F24" s="898">
        <f t="shared" si="4"/>
        <v>6</v>
      </c>
      <c r="G24" s="899"/>
      <c r="H24" s="899"/>
      <c r="I24" s="898">
        <f t="shared" si="0"/>
        <v>0</v>
      </c>
      <c r="J24" s="900"/>
      <c r="K24" s="900"/>
      <c r="L24" s="900"/>
      <c r="M24" s="900"/>
      <c r="N24" s="900"/>
      <c r="O24" s="900"/>
      <c r="P24" s="900"/>
      <c r="Q24" s="900"/>
      <c r="R24" s="900"/>
      <c r="S24" s="900"/>
      <c r="T24" s="898"/>
      <c r="U24" s="748"/>
      <c r="V24" s="898"/>
      <c r="W24" s="898"/>
      <c r="X24" s="898"/>
      <c r="Y24" s="899"/>
      <c r="Z24" s="898"/>
      <c r="AA24" s="898"/>
      <c r="AB24" s="900"/>
      <c r="AC24" s="898" t="str">
        <f t="shared" si="11"/>
        <v>N748</v>
      </c>
      <c r="AD24" s="748" t="s">
        <v>968</v>
      </c>
      <c r="AE24" s="898">
        <v>38.5</v>
      </c>
      <c r="AF24" s="898">
        <v>80.42</v>
      </c>
      <c r="AG24" s="898">
        <f t="shared" si="7"/>
        <v>3</v>
      </c>
      <c r="AH24" s="899"/>
      <c r="AI24" s="899"/>
      <c r="AJ24" s="898">
        <f t="shared" si="3"/>
        <v>0</v>
      </c>
    </row>
    <row r="25" spans="2:37">
      <c r="B25" s="898" t="str">
        <f t="shared" si="8"/>
        <v>N741</v>
      </c>
      <c r="C25" s="748" t="s">
        <v>925</v>
      </c>
      <c r="D25" s="898">
        <v>4.05</v>
      </c>
      <c r="E25" s="898">
        <v>152.22999999999999</v>
      </c>
      <c r="F25" s="898">
        <f t="shared" si="4"/>
        <v>6</v>
      </c>
      <c r="G25" s="899"/>
      <c r="H25" s="899"/>
      <c r="I25" s="898">
        <f t="shared" si="0"/>
        <v>0</v>
      </c>
      <c r="J25" s="900"/>
      <c r="K25" s="900"/>
      <c r="L25" s="900"/>
      <c r="M25" s="900"/>
      <c r="N25" s="900"/>
      <c r="O25" s="900"/>
      <c r="P25" s="900"/>
      <c r="Q25" s="900"/>
      <c r="R25" s="900"/>
      <c r="S25" s="900"/>
      <c r="T25" s="898"/>
      <c r="U25" s="748"/>
      <c r="V25" s="898"/>
      <c r="W25" s="898"/>
      <c r="X25" s="898"/>
      <c r="Y25" s="899"/>
      <c r="Z25" s="898"/>
      <c r="AA25" s="898"/>
      <c r="AB25" s="900"/>
      <c r="AC25" s="898" t="str">
        <f t="shared" si="11"/>
        <v>N747</v>
      </c>
      <c r="AD25" s="748" t="s">
        <v>969</v>
      </c>
      <c r="AE25" s="898">
        <v>30.12</v>
      </c>
      <c r="AF25" s="898">
        <v>80.42</v>
      </c>
      <c r="AG25" s="898">
        <f t="shared" si="7"/>
        <v>3</v>
      </c>
      <c r="AH25" s="899"/>
      <c r="AI25" s="899"/>
      <c r="AJ25" s="898">
        <f t="shared" si="3"/>
        <v>0</v>
      </c>
    </row>
    <row r="26" spans="2:37">
      <c r="B26" s="898" t="str">
        <f t="shared" si="8"/>
        <v>N932</v>
      </c>
      <c r="C26" s="748" t="s">
        <v>924</v>
      </c>
      <c r="D26" s="898">
        <v>3.61</v>
      </c>
      <c r="E26" s="898">
        <v>152.22999999999999</v>
      </c>
      <c r="F26" s="898">
        <f t="shared" si="4"/>
        <v>6</v>
      </c>
      <c r="G26" s="899"/>
      <c r="H26" s="899"/>
      <c r="I26" s="898">
        <f t="shared" si="0"/>
        <v>0</v>
      </c>
      <c r="J26" s="900"/>
      <c r="K26" s="900"/>
      <c r="L26" s="900"/>
      <c r="M26" s="900"/>
      <c r="N26" s="900"/>
      <c r="O26" s="900"/>
      <c r="P26" s="900"/>
      <c r="Q26" s="900"/>
      <c r="R26" s="900"/>
      <c r="S26" s="900"/>
      <c r="T26" s="900"/>
      <c r="U26" s="900"/>
      <c r="V26" s="900"/>
      <c r="W26" s="900"/>
      <c r="X26" s="900"/>
      <c r="Y26" s="900"/>
      <c r="Z26" s="900"/>
      <c r="AA26" s="900"/>
      <c r="AB26" s="900"/>
      <c r="AC26" s="898" t="str">
        <f t="shared" si="11"/>
        <v>N523</v>
      </c>
      <c r="AD26" s="748" t="s">
        <v>970</v>
      </c>
      <c r="AE26" s="898">
        <v>42.34</v>
      </c>
      <c r="AF26" s="898">
        <v>80.42</v>
      </c>
      <c r="AG26" s="898">
        <f t="shared" si="7"/>
        <v>3</v>
      </c>
      <c r="AH26" s="899">
        <v>10</v>
      </c>
      <c r="AI26" s="899">
        <v>80.430000000000007</v>
      </c>
      <c r="AJ26" s="898">
        <f t="shared" si="3"/>
        <v>3</v>
      </c>
    </row>
    <row r="27" spans="2:37">
      <c r="B27" s="898" t="str">
        <f t="shared" si="8"/>
        <v>N933</v>
      </c>
      <c r="C27" s="748" t="s">
        <v>926</v>
      </c>
      <c r="D27" s="898">
        <v>4.49</v>
      </c>
      <c r="E27" s="898">
        <v>254</v>
      </c>
      <c r="F27" s="898">
        <f t="shared" si="4"/>
        <v>10</v>
      </c>
      <c r="G27" s="899"/>
      <c r="H27" s="899"/>
      <c r="I27" s="898">
        <f t="shared" si="0"/>
        <v>0</v>
      </c>
      <c r="J27" s="900"/>
      <c r="K27" s="900"/>
      <c r="L27" s="900"/>
      <c r="M27" s="900"/>
      <c r="N27" s="900"/>
      <c r="O27" s="900"/>
      <c r="P27" s="900"/>
      <c r="Q27" s="900"/>
      <c r="R27" s="900"/>
      <c r="S27" s="900"/>
      <c r="T27" s="900"/>
      <c r="U27" s="900"/>
      <c r="V27" s="900"/>
      <c r="W27" s="900"/>
      <c r="X27" s="900"/>
      <c r="Y27" s="900"/>
      <c r="Z27" s="900"/>
      <c r="AA27" s="900"/>
      <c r="AB27" s="900"/>
      <c r="AC27" s="898" t="str">
        <f t="shared" si="11"/>
        <v>N526</v>
      </c>
      <c r="AD27" s="748" t="s">
        <v>971</v>
      </c>
      <c r="AE27" s="898">
        <v>11.05</v>
      </c>
      <c r="AF27" s="898">
        <v>80.42</v>
      </c>
      <c r="AG27" s="898">
        <f t="shared" si="7"/>
        <v>3</v>
      </c>
      <c r="AH27" s="899"/>
      <c r="AI27" s="899"/>
      <c r="AJ27" s="898">
        <f t="shared" si="3"/>
        <v>0</v>
      </c>
    </row>
    <row r="28" spans="2:37">
      <c r="B28" s="898" t="str">
        <f t="shared" si="8"/>
        <v>N533</v>
      </c>
      <c r="C28" s="748" t="s">
        <v>927</v>
      </c>
      <c r="D28" s="898">
        <v>16.079999999999998</v>
      </c>
      <c r="E28" s="898">
        <v>254</v>
      </c>
      <c r="F28" s="898">
        <f t="shared" si="4"/>
        <v>10</v>
      </c>
      <c r="G28" s="899"/>
      <c r="H28" s="899"/>
      <c r="I28" s="898">
        <f t="shared" si="0"/>
        <v>0</v>
      </c>
      <c r="J28" s="900"/>
      <c r="K28" s="900"/>
      <c r="L28" s="900"/>
      <c r="M28" s="900"/>
      <c r="N28" s="900"/>
      <c r="O28" s="900"/>
      <c r="P28" s="900"/>
      <c r="Q28" s="900"/>
      <c r="R28" s="900"/>
      <c r="S28" s="900"/>
      <c r="T28" s="900"/>
      <c r="U28" s="900"/>
      <c r="V28" s="900"/>
      <c r="W28" s="900"/>
      <c r="X28" s="900"/>
      <c r="Y28" s="900"/>
      <c r="Z28" s="900"/>
      <c r="AA28" s="900"/>
      <c r="AB28" s="900"/>
      <c r="AC28" s="898" t="str">
        <f t="shared" si="11"/>
        <v>N260</v>
      </c>
      <c r="AD28" s="748" t="s">
        <v>972</v>
      </c>
      <c r="AE28" s="898">
        <v>44.33</v>
      </c>
      <c r="AF28" s="898">
        <v>80.42</v>
      </c>
      <c r="AG28" s="898">
        <f t="shared" si="7"/>
        <v>3</v>
      </c>
      <c r="AH28" s="899"/>
      <c r="AI28" s="899"/>
      <c r="AJ28" s="898">
        <f t="shared" si="3"/>
        <v>0</v>
      </c>
    </row>
    <row r="29" spans="2:37">
      <c r="B29" s="898" t="str">
        <f t="shared" si="8"/>
        <v>N935</v>
      </c>
      <c r="C29" s="748" t="s">
        <v>928</v>
      </c>
      <c r="D29" s="898">
        <v>4.92</v>
      </c>
      <c r="E29" s="898">
        <v>254</v>
      </c>
      <c r="F29" s="898">
        <f t="shared" si="4"/>
        <v>10</v>
      </c>
      <c r="G29" s="899"/>
      <c r="H29" s="899"/>
      <c r="I29" s="898">
        <f t="shared" si="0"/>
        <v>0</v>
      </c>
      <c r="J29" s="900"/>
      <c r="K29" s="900"/>
      <c r="L29" s="900"/>
      <c r="M29" s="900"/>
      <c r="N29" s="900"/>
      <c r="O29" s="900"/>
      <c r="P29" s="900"/>
      <c r="Q29" s="900"/>
      <c r="R29" s="900"/>
      <c r="S29" s="900"/>
      <c r="T29" s="900"/>
      <c r="U29" s="900"/>
      <c r="V29" s="900"/>
      <c r="W29" s="900"/>
      <c r="X29" s="900"/>
      <c r="Y29" s="900"/>
      <c r="Z29" s="900"/>
      <c r="AA29" s="900"/>
      <c r="AB29" s="900"/>
      <c r="AC29" s="898" t="str">
        <f t="shared" si="11"/>
        <v>N527</v>
      </c>
      <c r="AD29" s="748" t="s">
        <v>960</v>
      </c>
      <c r="AE29" s="898">
        <v>5.26</v>
      </c>
      <c r="AF29" s="898">
        <v>80.42</v>
      </c>
      <c r="AG29" s="898">
        <f t="shared" si="7"/>
        <v>3</v>
      </c>
      <c r="AH29" s="899"/>
      <c r="AI29" s="899"/>
      <c r="AJ29" s="898">
        <f t="shared" si="3"/>
        <v>0</v>
      </c>
    </row>
    <row r="30" spans="2:37">
      <c r="B30" s="898" t="str">
        <f t="shared" si="8"/>
        <v>N934</v>
      </c>
      <c r="C30" s="748" t="s">
        <v>929</v>
      </c>
      <c r="D30" s="898">
        <v>4.55</v>
      </c>
      <c r="E30" s="898">
        <v>254</v>
      </c>
      <c r="F30" s="898">
        <f t="shared" si="4"/>
        <v>10</v>
      </c>
      <c r="G30" s="899"/>
      <c r="H30" s="899"/>
      <c r="I30" s="898">
        <f t="shared" si="0"/>
        <v>0</v>
      </c>
      <c r="J30" s="900"/>
      <c r="K30" s="900"/>
      <c r="L30" s="900"/>
      <c r="M30" s="900"/>
      <c r="N30" s="900"/>
      <c r="O30" s="900"/>
      <c r="P30" s="900"/>
      <c r="Q30" s="900"/>
      <c r="R30" s="900"/>
      <c r="S30" s="900"/>
      <c r="T30" s="900"/>
      <c r="U30" s="900"/>
      <c r="V30" s="900"/>
      <c r="W30" s="900"/>
      <c r="X30" s="900"/>
      <c r="Y30" s="900"/>
      <c r="Z30" s="900"/>
      <c r="AA30" s="900"/>
      <c r="AB30" s="900"/>
      <c r="AC30" s="900"/>
      <c r="AD30" s="900"/>
      <c r="AE30" s="900"/>
      <c r="AF30" s="900"/>
      <c r="AG30" s="900"/>
      <c r="AH30" s="900"/>
      <c r="AI30" s="900"/>
      <c r="AJ30" s="900"/>
      <c r="AK30" s="900"/>
    </row>
    <row r="31" spans="2:37">
      <c r="B31" s="898" t="str">
        <f t="shared" si="8"/>
        <v>N532</v>
      </c>
      <c r="C31" s="748" t="s">
        <v>930</v>
      </c>
      <c r="D31" s="898">
        <v>6.03</v>
      </c>
      <c r="E31" s="898">
        <v>457</v>
      </c>
      <c r="F31" s="898">
        <f t="shared" si="4"/>
        <v>18</v>
      </c>
      <c r="G31" s="899"/>
      <c r="H31" s="899"/>
      <c r="I31" s="898">
        <f t="shared" si="0"/>
        <v>0</v>
      </c>
      <c r="J31" s="900"/>
      <c r="K31" s="900"/>
      <c r="L31" s="900"/>
      <c r="M31" s="900"/>
      <c r="N31" s="900"/>
      <c r="O31" s="900"/>
      <c r="P31" s="900"/>
      <c r="Q31" s="900"/>
      <c r="R31" s="900"/>
      <c r="S31" s="900"/>
      <c r="T31" s="900"/>
      <c r="U31" s="900"/>
      <c r="V31" s="900"/>
      <c r="W31" s="900"/>
      <c r="X31" s="900"/>
      <c r="Y31" s="900"/>
      <c r="Z31" s="900"/>
      <c r="AA31" s="900"/>
      <c r="AB31" s="900"/>
      <c r="AC31" s="900"/>
      <c r="AD31" s="900"/>
      <c r="AE31" s="900"/>
      <c r="AF31" s="900"/>
      <c r="AG31" s="900"/>
      <c r="AH31" s="900"/>
      <c r="AI31" s="900"/>
      <c r="AJ31" s="900"/>
      <c r="AK31" s="900"/>
    </row>
    <row r="32" spans="2:37">
      <c r="B32" s="898" t="str">
        <f t="shared" si="8"/>
        <v>N259</v>
      </c>
      <c r="C32" s="748" t="s">
        <v>931</v>
      </c>
      <c r="D32" s="898">
        <v>106.33</v>
      </c>
      <c r="E32" s="898">
        <v>457</v>
      </c>
      <c r="F32" s="898">
        <f t="shared" si="4"/>
        <v>18</v>
      </c>
      <c r="G32" s="899"/>
      <c r="H32" s="899"/>
      <c r="I32" s="898">
        <f t="shared" si="0"/>
        <v>0</v>
      </c>
      <c r="J32" s="900"/>
      <c r="K32" s="900"/>
      <c r="L32" s="900"/>
      <c r="M32" s="900"/>
      <c r="N32" s="900"/>
      <c r="O32" s="900"/>
      <c r="P32" s="900"/>
      <c r="Q32" s="900"/>
      <c r="R32" s="900"/>
      <c r="S32" s="900"/>
      <c r="T32" s="900"/>
      <c r="U32" s="900"/>
      <c r="V32" s="900"/>
      <c r="W32" s="900"/>
      <c r="X32" s="900"/>
      <c r="Y32" s="900"/>
      <c r="Z32" s="900"/>
      <c r="AA32" s="900"/>
      <c r="AB32" s="900"/>
      <c r="AC32" s="900"/>
      <c r="AD32" s="900"/>
      <c r="AE32" s="900"/>
      <c r="AF32" s="900"/>
      <c r="AG32" s="900"/>
      <c r="AH32" s="900"/>
      <c r="AI32" s="900"/>
      <c r="AJ32" s="900"/>
      <c r="AK32" s="900"/>
    </row>
    <row r="33" spans="1:37">
      <c r="B33" s="898" t="str">
        <f t="shared" si="8"/>
        <v>N258</v>
      </c>
      <c r="C33" s="748" t="s">
        <v>932</v>
      </c>
      <c r="D33" s="898">
        <v>68.12</v>
      </c>
      <c r="E33" s="898">
        <v>457</v>
      </c>
      <c r="F33" s="898">
        <f t="shared" si="4"/>
        <v>18</v>
      </c>
      <c r="G33" s="899"/>
      <c r="H33" s="899"/>
      <c r="I33" s="898">
        <f t="shared" si="0"/>
        <v>0</v>
      </c>
      <c r="J33" s="900"/>
      <c r="K33" s="900"/>
      <c r="L33" s="900"/>
      <c r="M33" s="900"/>
      <c r="N33" s="900"/>
      <c r="O33" s="900"/>
      <c r="P33" s="900"/>
      <c r="Q33" s="900"/>
      <c r="R33" s="900"/>
      <c r="S33" s="900"/>
      <c r="T33" s="900"/>
      <c r="U33" s="900"/>
      <c r="V33" s="900"/>
      <c r="W33" s="900"/>
      <c r="X33" s="900"/>
      <c r="Y33" s="900"/>
      <c r="Z33" s="900"/>
      <c r="AA33" s="900"/>
      <c r="AB33" s="900"/>
      <c r="AC33" s="900"/>
      <c r="AD33" s="900"/>
      <c r="AE33" s="900"/>
      <c r="AF33" s="900"/>
      <c r="AG33" s="900"/>
      <c r="AH33" s="900"/>
      <c r="AI33" s="900"/>
      <c r="AJ33" s="900"/>
      <c r="AK33" s="900"/>
    </row>
    <row r="34" spans="1:37">
      <c r="B34" s="898" t="str">
        <f t="shared" si="8"/>
        <v>N731</v>
      </c>
      <c r="C34" s="748" t="s">
        <v>933</v>
      </c>
      <c r="D34" s="898">
        <v>30.6</v>
      </c>
      <c r="E34" s="898">
        <v>457</v>
      </c>
      <c r="F34" s="898">
        <f t="shared" si="4"/>
        <v>18</v>
      </c>
      <c r="G34" s="899"/>
      <c r="H34" s="899"/>
      <c r="I34" s="898">
        <f t="shared" si="0"/>
        <v>0</v>
      </c>
      <c r="J34" s="900"/>
      <c r="K34" s="900"/>
      <c r="L34" s="900"/>
      <c r="M34" s="900"/>
      <c r="N34" s="900"/>
      <c r="O34" s="900"/>
      <c r="P34" s="900"/>
      <c r="Q34" s="900"/>
      <c r="R34" s="900"/>
      <c r="S34" s="900"/>
      <c r="T34" s="900"/>
      <c r="U34" s="900"/>
      <c r="V34" s="900"/>
      <c r="W34" s="900"/>
      <c r="X34" s="900"/>
      <c r="Y34" s="900"/>
      <c r="Z34" s="900"/>
      <c r="AA34" s="900"/>
      <c r="AB34" s="900"/>
      <c r="AC34" s="900"/>
      <c r="AD34" s="900"/>
      <c r="AE34" s="900"/>
      <c r="AF34" s="900"/>
      <c r="AG34" s="900"/>
      <c r="AH34" s="900"/>
      <c r="AI34" s="900"/>
      <c r="AJ34" s="900"/>
      <c r="AK34" s="900"/>
    </row>
    <row r="35" spans="1:37">
      <c r="B35" s="898" t="str">
        <f t="shared" si="8"/>
        <v>N476</v>
      </c>
      <c r="C35" s="748" t="s">
        <v>934</v>
      </c>
      <c r="D35" s="898">
        <v>20.94</v>
      </c>
      <c r="E35" s="898">
        <v>457</v>
      </c>
      <c r="F35" s="898">
        <f t="shared" si="4"/>
        <v>18</v>
      </c>
      <c r="G35" s="899"/>
      <c r="H35" s="899"/>
      <c r="I35" s="898">
        <f t="shared" si="0"/>
        <v>0</v>
      </c>
      <c r="J35" s="900"/>
      <c r="K35" s="900"/>
      <c r="L35" s="900"/>
      <c r="M35" s="900"/>
      <c r="N35" s="900"/>
      <c r="O35" s="900"/>
      <c r="P35" s="900"/>
      <c r="Q35" s="900"/>
      <c r="R35" s="900"/>
      <c r="S35" s="900"/>
      <c r="T35" s="900"/>
      <c r="U35" s="900"/>
      <c r="V35" s="900"/>
      <c r="W35" s="900"/>
      <c r="X35" s="900"/>
      <c r="Y35" s="900"/>
      <c r="Z35" s="900"/>
      <c r="AA35" s="900"/>
      <c r="AB35" s="900"/>
      <c r="AC35" s="900"/>
      <c r="AD35" s="900"/>
      <c r="AE35" s="900"/>
      <c r="AF35" s="900"/>
      <c r="AG35" s="900"/>
      <c r="AH35" s="900"/>
      <c r="AI35" s="900"/>
      <c r="AJ35" s="900"/>
      <c r="AK35" s="900"/>
    </row>
    <row r="36" spans="1:37">
      <c r="B36" s="898" t="str">
        <f t="shared" si="8"/>
        <v>N257</v>
      </c>
      <c r="C36" s="748" t="s">
        <v>935</v>
      </c>
      <c r="D36" s="898">
        <v>127.98</v>
      </c>
      <c r="E36" s="898">
        <v>457</v>
      </c>
      <c r="F36" s="898">
        <f t="shared" si="4"/>
        <v>18</v>
      </c>
      <c r="G36" s="899"/>
      <c r="H36" s="899"/>
      <c r="I36" s="898">
        <f t="shared" si="0"/>
        <v>0</v>
      </c>
      <c r="J36" s="900"/>
      <c r="K36" s="900"/>
      <c r="L36" s="900"/>
      <c r="M36" s="900"/>
      <c r="N36" s="900"/>
      <c r="O36" s="900"/>
      <c r="P36" s="900"/>
      <c r="Q36" s="900"/>
      <c r="R36" s="900"/>
      <c r="S36" s="900"/>
      <c r="T36" s="900"/>
      <c r="U36" s="900"/>
      <c r="V36" s="900"/>
      <c r="W36" s="900"/>
      <c r="X36" s="900"/>
      <c r="Y36" s="900"/>
      <c r="Z36" s="900"/>
      <c r="AA36" s="900"/>
      <c r="AB36" s="900"/>
      <c r="AC36" s="900"/>
      <c r="AD36" s="900"/>
      <c r="AE36" s="900"/>
      <c r="AF36" s="900"/>
      <c r="AG36" s="900"/>
      <c r="AH36" s="900"/>
      <c r="AI36" s="900"/>
      <c r="AJ36" s="900"/>
      <c r="AK36" s="900"/>
    </row>
    <row r="37" spans="1:37" ht="6.75" customHeight="1">
      <c r="A37" s="900"/>
      <c r="B37" s="900"/>
      <c r="C37" s="900"/>
      <c r="D37" s="900"/>
      <c r="E37" s="900"/>
      <c r="F37" s="900"/>
      <c r="G37" s="900"/>
      <c r="H37" s="900"/>
      <c r="I37" s="900"/>
      <c r="J37" s="900"/>
      <c r="K37" s="900"/>
      <c r="L37" s="900"/>
      <c r="M37" s="900"/>
      <c r="N37" s="900"/>
      <c r="O37" s="900"/>
      <c r="P37" s="900"/>
      <c r="Q37" s="900"/>
      <c r="R37" s="900"/>
      <c r="S37" s="900"/>
      <c r="T37" s="900"/>
      <c r="U37" s="900"/>
      <c r="V37" s="900"/>
      <c r="W37" s="900"/>
      <c r="X37" s="900"/>
      <c r="Y37" s="900"/>
      <c r="Z37" s="900"/>
      <c r="AA37" s="900"/>
      <c r="AB37" s="900"/>
      <c r="AC37" s="900"/>
      <c r="AD37" s="900"/>
      <c r="AE37" s="900"/>
      <c r="AF37" s="900"/>
      <c r="AG37" s="900"/>
      <c r="AH37" s="900"/>
      <c r="AI37" s="900"/>
      <c r="AJ37" s="900"/>
      <c r="AK37" s="900"/>
    </row>
    <row r="38" spans="1:37">
      <c r="A38" s="900"/>
      <c r="B38" s="897"/>
      <c r="C38" s="1270" t="s">
        <v>973</v>
      </c>
      <c r="D38" s="1270"/>
      <c r="E38" s="1270"/>
      <c r="F38" s="1270"/>
      <c r="G38" s="899"/>
      <c r="H38" s="899"/>
      <c r="I38" s="899"/>
      <c r="J38" s="900"/>
      <c r="K38" s="900"/>
      <c r="Q38" s="900"/>
      <c r="R38" s="900"/>
      <c r="S38" s="900"/>
      <c r="T38" s="900"/>
      <c r="U38" s="900"/>
      <c r="V38" s="900"/>
      <c r="W38" s="900"/>
      <c r="X38" s="900"/>
      <c r="Y38" s="900"/>
      <c r="Z38" s="900"/>
      <c r="AA38" s="900"/>
      <c r="AB38" s="900"/>
      <c r="AC38" s="900"/>
      <c r="AD38" s="900"/>
      <c r="AE38" s="900"/>
      <c r="AF38" s="900"/>
      <c r="AG38" s="900"/>
      <c r="AH38" s="900"/>
      <c r="AI38" s="900"/>
      <c r="AJ38" s="900"/>
      <c r="AK38" s="900"/>
    </row>
    <row r="39" spans="1:37">
      <c r="A39" s="900"/>
      <c r="B39" s="897" t="s">
        <v>894</v>
      </c>
      <c r="C39" s="897" t="s">
        <v>974</v>
      </c>
      <c r="D39" s="897" t="s">
        <v>975</v>
      </c>
      <c r="E39" s="897" t="s">
        <v>976</v>
      </c>
      <c r="F39" s="897" t="s">
        <v>977</v>
      </c>
      <c r="G39" s="897" t="s">
        <v>85</v>
      </c>
      <c r="H39" s="897" t="s">
        <v>980</v>
      </c>
      <c r="I39" s="897" t="s">
        <v>981</v>
      </c>
      <c r="J39" s="900"/>
      <c r="K39" s="900"/>
      <c r="Q39" s="900"/>
      <c r="R39" s="900"/>
      <c r="S39" s="900"/>
      <c r="T39" s="900"/>
      <c r="U39" s="900"/>
      <c r="V39" s="900"/>
      <c r="W39" s="900"/>
      <c r="X39" s="900"/>
      <c r="Y39" s="900"/>
      <c r="Z39" s="900"/>
      <c r="AA39" s="900"/>
      <c r="AB39" s="900"/>
      <c r="AC39" s="900"/>
      <c r="AD39" s="900"/>
      <c r="AE39" s="900"/>
      <c r="AF39" s="900"/>
      <c r="AG39" s="900"/>
      <c r="AH39" s="900"/>
      <c r="AI39" s="900"/>
      <c r="AJ39" s="900"/>
      <c r="AK39" s="900"/>
    </row>
    <row r="40" spans="1:37">
      <c r="A40" s="900"/>
      <c r="B40" s="906">
        <v>3</v>
      </c>
      <c r="C40" s="907">
        <f>SUMIFS($D$4:$D$36,$F$4:$F$36,$B40)+SUMIFS($G$4:$G$36,$I$4:$I$36,$B40)</f>
        <v>151.9</v>
      </c>
      <c r="D40" s="907">
        <f>SUMIFS($M$4:$M$36,$O$4:$O$36,$B40)+SUMIFS($P$4:$P$36,$R$4:$R$36,$B40)</f>
        <v>408.9</v>
      </c>
      <c r="E40" s="907">
        <f>SUMIFS($V$4:$V$36,$X$4:$X$36,$B40)+SUMIFS($Y$4:$Y$36,$AA$4:$AA$36,$B40)</f>
        <v>428.4</v>
      </c>
      <c r="F40" s="907">
        <f>SUMIFS($AE$4:$AE$36,$AG$4:$AG$36,$B40)+SUMIFS($AH$4:$AH$36,$AJ$4:$AJ$36,$B40)</f>
        <v>392.6</v>
      </c>
      <c r="G40" s="908">
        <f>SUM(C40:F40)</f>
        <v>1381.8</v>
      </c>
      <c r="H40" s="899">
        <f>ROUNDUP(G40/6,0)</f>
        <v>231</v>
      </c>
      <c r="I40" s="899">
        <f>ROUNDUP(G40/200,0)</f>
        <v>7</v>
      </c>
      <c r="J40" s="900"/>
      <c r="K40" s="900"/>
      <c r="Q40" s="900"/>
      <c r="R40" s="900"/>
      <c r="S40" s="900"/>
      <c r="T40" s="900"/>
      <c r="U40" s="900"/>
      <c r="V40" s="900"/>
      <c r="W40" s="900"/>
      <c r="X40" s="900"/>
      <c r="Y40" s="900"/>
      <c r="Z40" s="900"/>
      <c r="AA40" s="900"/>
      <c r="AB40" s="900"/>
      <c r="AC40" s="900"/>
      <c r="AD40" s="900"/>
      <c r="AE40" s="900"/>
      <c r="AF40" s="900"/>
      <c r="AG40" s="900"/>
      <c r="AH40" s="900"/>
      <c r="AI40" s="900"/>
      <c r="AJ40" s="900"/>
      <c r="AK40" s="900"/>
    </row>
    <row r="41" spans="1:37">
      <c r="A41" s="900"/>
      <c r="B41" s="906">
        <v>4</v>
      </c>
      <c r="C41" s="907">
        <f>SUMIFS($D$4:$D$36,$F$4:$F$36,$B41)+SUMIFS($G$4:$G$36,$I$4:$I$36,$B41)</f>
        <v>231</v>
      </c>
      <c r="D41" s="907">
        <f>SUMIFS($M$4:$M$36,$O$4:$O$36,$B41)+SUMIFS($P$4:$P$36,$R$4:$R$36,$B41)</f>
        <v>341.7</v>
      </c>
      <c r="E41" s="907">
        <f>SUMIFS($V$4:$V$36,$X$4:$X$36,$B41)+SUMIFS($Y$4:$Y$36,$AA$4:$AA$36,$B41)</f>
        <v>81.8</v>
      </c>
      <c r="F41" s="907">
        <f>SUMIFS($AE$4:$AE$36,$AG$4:$AG$36,$B41)+SUMIFS($AH$4:$AH$36,$AJ$4:$AJ$36,$B41)</f>
        <v>0</v>
      </c>
      <c r="G41" s="908">
        <f t="shared" ref="G41:G44" si="20">SUM(C41:F41)</f>
        <v>654.5</v>
      </c>
      <c r="H41" s="899">
        <f t="shared" ref="H41:H44" si="21">ROUNDUP(G41/6,0)</f>
        <v>110</v>
      </c>
      <c r="I41" s="899">
        <f t="shared" ref="I41:I44" si="22">ROUNDUP(G41/200,0)</f>
        <v>4</v>
      </c>
      <c r="J41" s="900"/>
      <c r="K41" s="900"/>
      <c r="Q41" s="900"/>
      <c r="R41" s="900"/>
      <c r="S41" s="900"/>
      <c r="T41" s="900"/>
      <c r="U41" s="900"/>
      <c r="V41" s="900"/>
      <c r="W41" s="900"/>
      <c r="X41" s="900"/>
      <c r="Y41" s="900"/>
      <c r="Z41" s="900"/>
      <c r="AA41" s="900"/>
      <c r="AB41" s="900"/>
      <c r="AC41" s="900"/>
      <c r="AD41" s="900"/>
      <c r="AE41" s="900"/>
      <c r="AF41" s="900"/>
      <c r="AG41" s="900"/>
      <c r="AH41" s="900"/>
      <c r="AI41" s="900"/>
      <c r="AJ41" s="900"/>
      <c r="AK41" s="900"/>
    </row>
    <row r="42" spans="1:37">
      <c r="A42" s="900"/>
      <c r="B42" s="906">
        <v>6</v>
      </c>
      <c r="C42" s="907">
        <f>SUMIFS($D$4:$D$36,$F$4:$F$36,$B42)+SUMIFS($G$4:$G$36,$I$4:$I$36,$B42)</f>
        <v>683.7</v>
      </c>
      <c r="D42" s="907">
        <f>SUMIFS($M$4:$M$36,$O$4:$O$36,$B42)+SUMIFS($P$4:$P$36,$R$4:$R$36,$B42)</f>
        <v>39</v>
      </c>
      <c r="E42" s="907">
        <f>SUMIFS($V$4:$V$36,$X$4:$X$36,$B42)+SUMIFS($Y$4:$Y$36,$AA$4:$AA$36,$B42)</f>
        <v>166.7</v>
      </c>
      <c r="F42" s="907">
        <f>SUMIFS($AE$4:$AE$36,$AG$4:$AG$36,$B42)+SUMIFS($AH$4:$AH$36,$AJ$4:$AJ$36,$B42)</f>
        <v>0</v>
      </c>
      <c r="G42" s="908">
        <f t="shared" si="20"/>
        <v>889.4</v>
      </c>
      <c r="H42" s="899">
        <f t="shared" si="21"/>
        <v>149</v>
      </c>
      <c r="I42" s="899">
        <f t="shared" si="22"/>
        <v>5</v>
      </c>
      <c r="J42" s="900"/>
      <c r="K42" s="900"/>
      <c r="Q42" s="900"/>
      <c r="R42" s="900"/>
      <c r="S42" s="900"/>
      <c r="T42" s="900"/>
      <c r="U42" s="900"/>
      <c r="V42" s="900"/>
      <c r="W42" s="900"/>
      <c r="X42" s="900"/>
      <c r="Y42" s="900"/>
      <c r="Z42" s="900"/>
      <c r="AA42" s="900"/>
      <c r="AB42" s="900"/>
    </row>
    <row r="43" spans="1:37">
      <c r="B43" s="906">
        <v>10</v>
      </c>
      <c r="C43" s="907">
        <f>SUMIFS($D$4:$D$36,$F$4:$F$36,$B43)+SUMIFS($G$4:$G$36,$I$4:$I$36,$B43)</f>
        <v>30</v>
      </c>
      <c r="D43" s="907">
        <f>SUMIFS($M$4:$M$36,$O$4:$O$36,$B43)+SUMIFS($P$4:$P$36,$R$4:$R$36,$B43)</f>
        <v>0</v>
      </c>
      <c r="E43" s="907">
        <f>SUMIFS($V$4:$V$36,$X$4:$X$36,$B43)+SUMIFS($Y$4:$Y$36,$AA$4:$AA$36,$B43)</f>
        <v>0</v>
      </c>
      <c r="F43" s="907">
        <f>SUMIFS($AE$4:$AE$36,$AG$4:$AG$36,$B43)+SUMIFS($AH$4:$AH$36,$AJ$4:$AJ$36,$B43)</f>
        <v>480.5</v>
      </c>
      <c r="G43" s="908">
        <f t="shared" si="20"/>
        <v>510.5</v>
      </c>
      <c r="H43" s="899">
        <f t="shared" si="21"/>
        <v>86</v>
      </c>
      <c r="I43" s="899">
        <f t="shared" si="22"/>
        <v>3</v>
      </c>
      <c r="S43" s="900"/>
      <c r="T43" s="900"/>
      <c r="U43" s="900"/>
      <c r="V43" s="900"/>
      <c r="W43" s="900"/>
      <c r="X43" s="900"/>
      <c r="Y43" s="900"/>
      <c r="Z43" s="900"/>
      <c r="AA43" s="900"/>
      <c r="AB43" s="900"/>
    </row>
    <row r="44" spans="1:37">
      <c r="B44" s="898">
        <v>18</v>
      </c>
      <c r="C44" s="907">
        <f>SUMIFS($D$4:$D$36,$F$4:$F$36,$B44)+SUMIFS($G$4:$G$36,$I$4:$I$36,$B44)</f>
        <v>360</v>
      </c>
      <c r="D44" s="907">
        <f>SUMIFS($M$4:$M$36,$O$4:$O$36,$B44)+SUMIFS($P$4:$P$36,$R$4:$R$36,$B44)</f>
        <v>0</v>
      </c>
      <c r="E44" s="907">
        <f>SUMIFS($V$4:$V$36,$X$4:$X$36,$B44)+SUMIFS($Y$4:$Y$36,$AA$4:$AA$36,$B44)</f>
        <v>0</v>
      </c>
      <c r="F44" s="907">
        <f>SUMIFS($AE$4:$AE$36,$AG$4:$AG$36,$B44)+SUMIFS($AH$4:$AH$36,$AJ$4:$AJ$36,$B44)</f>
        <v>0</v>
      </c>
      <c r="G44" s="908">
        <f t="shared" si="20"/>
        <v>360</v>
      </c>
      <c r="H44" s="899">
        <f t="shared" si="21"/>
        <v>60</v>
      </c>
      <c r="I44" s="899">
        <f t="shared" si="22"/>
        <v>2</v>
      </c>
    </row>
    <row r="45" spans="1:37" ht="6.75" customHeight="1">
      <c r="B45" s="896"/>
      <c r="C45" s="896"/>
      <c r="D45" s="896"/>
      <c r="E45" s="896"/>
      <c r="F45" s="896"/>
    </row>
    <row r="46" spans="1:37" ht="6.75" customHeight="1">
      <c r="B46" s="896"/>
      <c r="C46" s="896"/>
      <c r="D46" s="896"/>
      <c r="E46" s="896"/>
      <c r="F46" s="896"/>
    </row>
    <row r="47" spans="1:37">
      <c r="B47" s="909" t="s">
        <v>978</v>
      </c>
      <c r="C47" s="898"/>
      <c r="D47" s="898">
        <f>COUNTA(B4:B36,K4:K13,T4:T8,AC4:AC29)</f>
        <v>72</v>
      </c>
      <c r="E47" s="896"/>
      <c r="F47" s="896"/>
    </row>
    <row r="48" spans="1:37">
      <c r="B48" s="909" t="s">
        <v>979</v>
      </c>
      <c r="C48" s="898"/>
      <c r="D48" s="898">
        <f>D47+6</f>
        <v>78</v>
      </c>
      <c r="E48" s="896"/>
      <c r="F48" s="896"/>
    </row>
    <row r="49" spans="2:6" ht="5.25" customHeight="1">
      <c r="B49" s="903"/>
      <c r="C49" s="896"/>
      <c r="D49" s="896"/>
      <c r="E49" s="896"/>
      <c r="F49" s="896"/>
    </row>
    <row r="50" spans="2:6">
      <c r="B50" s="1267" t="s">
        <v>982</v>
      </c>
      <c r="C50" s="1269"/>
      <c r="D50" s="898">
        <v>5</v>
      </c>
      <c r="E50" s="896"/>
      <c r="F50" s="896"/>
    </row>
    <row r="51" spans="2:6">
      <c r="B51" s="1267" t="s">
        <v>983</v>
      </c>
      <c r="C51" s="1269"/>
      <c r="D51" s="898">
        <v>3</v>
      </c>
      <c r="E51" s="896"/>
      <c r="F51" s="896"/>
    </row>
    <row r="52" spans="2:6">
      <c r="B52" s="1267" t="s">
        <v>984</v>
      </c>
      <c r="C52" s="1269"/>
      <c r="D52" s="898">
        <v>9</v>
      </c>
      <c r="E52" s="896"/>
      <c r="F52" s="896"/>
    </row>
    <row r="53" spans="2:6">
      <c r="B53" s="1267" t="s">
        <v>985</v>
      </c>
      <c r="C53" s="1269"/>
      <c r="D53" s="898">
        <f>4+7</f>
        <v>11</v>
      </c>
      <c r="E53" s="896"/>
      <c r="F53" s="896"/>
    </row>
    <row r="54" spans="2:6">
      <c r="B54" s="1267" t="s">
        <v>986</v>
      </c>
      <c r="C54" s="1269"/>
      <c r="D54" s="898">
        <v>1</v>
      </c>
      <c r="E54" s="896"/>
      <c r="F54" s="896"/>
    </row>
    <row r="55" spans="2:6">
      <c r="B55" s="1267" t="s">
        <v>990</v>
      </c>
      <c r="C55" s="1269"/>
      <c r="D55" s="898">
        <v>8</v>
      </c>
      <c r="E55" s="896"/>
      <c r="F55" s="896"/>
    </row>
    <row r="56" spans="2:6" ht="6.75" customHeight="1">
      <c r="B56" s="902"/>
      <c r="C56" s="896"/>
      <c r="D56" s="896"/>
      <c r="E56" s="896"/>
      <c r="F56" s="896"/>
    </row>
    <row r="57" spans="2:6" ht="6.75" customHeight="1">
      <c r="B57" s="903"/>
      <c r="C57" s="896"/>
      <c r="D57" s="896"/>
      <c r="E57" s="896"/>
      <c r="F57" s="896"/>
    </row>
    <row r="58" spans="2:6">
      <c r="B58" s="1267" t="s">
        <v>987</v>
      </c>
      <c r="C58" s="1268"/>
      <c r="D58" s="1269"/>
      <c r="E58" s="898">
        <v>6</v>
      </c>
      <c r="F58" s="896"/>
    </row>
    <row r="59" spans="2:6">
      <c r="B59" s="1267" t="s">
        <v>988</v>
      </c>
      <c r="C59" s="1268"/>
      <c r="D59" s="1269"/>
      <c r="E59" s="898">
        <v>6</v>
      </c>
      <c r="F59" s="896"/>
    </row>
    <row r="60" spans="2:6">
      <c r="B60" s="1267" t="s">
        <v>989</v>
      </c>
      <c r="C60" s="1268"/>
      <c r="D60" s="1269"/>
      <c r="E60" s="898">
        <v>6</v>
      </c>
      <c r="F60" s="896"/>
    </row>
    <row r="61" spans="2:6">
      <c r="B61" s="903"/>
      <c r="C61" s="896"/>
      <c r="D61" s="896"/>
      <c r="E61" s="896"/>
      <c r="F61" s="896"/>
    </row>
    <row r="62" spans="2:6">
      <c r="B62" s="903"/>
      <c r="C62" s="896"/>
      <c r="D62" s="896"/>
      <c r="E62" s="896"/>
      <c r="F62" s="896"/>
    </row>
    <row r="63" spans="2:6">
      <c r="B63" s="903"/>
      <c r="C63" s="896"/>
      <c r="D63" s="896"/>
      <c r="E63" s="896"/>
      <c r="F63" s="896"/>
    </row>
    <row r="64" spans="2:6">
      <c r="B64" s="896"/>
      <c r="C64" s="896"/>
      <c r="D64" s="896"/>
      <c r="E64" s="896"/>
      <c r="F64" s="896"/>
    </row>
    <row r="65" spans="2:6">
      <c r="B65" s="896"/>
      <c r="C65" s="896"/>
      <c r="D65" s="896"/>
      <c r="E65" s="896"/>
      <c r="F65" s="896"/>
    </row>
    <row r="66" spans="2:6">
      <c r="B66" s="896"/>
      <c r="C66" s="896"/>
      <c r="D66" s="896"/>
      <c r="E66" s="896"/>
      <c r="F66" s="896"/>
    </row>
    <row r="67" spans="2:6">
      <c r="B67" s="896"/>
      <c r="C67" s="896"/>
      <c r="D67" s="896"/>
      <c r="E67" s="896"/>
      <c r="F67" s="896"/>
    </row>
    <row r="68" spans="2:6">
      <c r="B68" s="896"/>
      <c r="C68" s="896"/>
      <c r="D68" s="896"/>
      <c r="E68" s="896"/>
      <c r="F68" s="896"/>
    </row>
    <row r="69" spans="2:6">
      <c r="B69" s="896"/>
      <c r="C69" s="896"/>
      <c r="D69" s="896"/>
      <c r="E69" s="896"/>
      <c r="F69" s="896"/>
    </row>
    <row r="70" spans="2:6">
      <c r="B70" s="896"/>
      <c r="C70" s="896"/>
      <c r="D70" s="896"/>
      <c r="E70" s="896"/>
      <c r="F70" s="896"/>
    </row>
    <row r="71" spans="2:6">
      <c r="B71" s="896"/>
      <c r="C71" s="896"/>
      <c r="D71" s="896"/>
      <c r="E71" s="896"/>
      <c r="F71" s="896"/>
    </row>
    <row r="72" spans="2:6">
      <c r="B72" s="896"/>
      <c r="C72" s="896"/>
      <c r="D72" s="896"/>
      <c r="E72" s="896"/>
      <c r="F72" s="896"/>
    </row>
    <row r="73" spans="2:6">
      <c r="B73" s="896"/>
      <c r="C73" s="896"/>
      <c r="D73" s="896"/>
      <c r="E73" s="896"/>
      <c r="F73" s="896"/>
    </row>
    <row r="74" spans="2:6">
      <c r="B74" s="896"/>
      <c r="C74" s="896"/>
      <c r="D74" s="896"/>
      <c r="E74" s="896"/>
      <c r="F74" s="896"/>
    </row>
    <row r="75" spans="2:6">
      <c r="B75" s="896"/>
      <c r="C75" s="896"/>
      <c r="D75" s="896"/>
      <c r="E75" s="896"/>
      <c r="F75" s="896"/>
    </row>
    <row r="76" spans="2:6">
      <c r="B76" s="896"/>
      <c r="C76" s="896"/>
      <c r="D76" s="896"/>
      <c r="E76" s="896"/>
      <c r="F76" s="896"/>
    </row>
    <row r="77" spans="2:6">
      <c r="B77" s="896"/>
      <c r="C77" s="896"/>
      <c r="D77" s="896"/>
      <c r="E77" s="896"/>
      <c r="F77" s="896"/>
    </row>
    <row r="78" spans="2:6">
      <c r="B78" s="896"/>
      <c r="C78" s="896"/>
      <c r="D78" s="896"/>
      <c r="E78" s="896"/>
      <c r="F78" s="896"/>
    </row>
    <row r="79" spans="2:6">
      <c r="B79" s="896"/>
      <c r="C79" s="896"/>
      <c r="D79" s="896"/>
      <c r="E79" s="896"/>
      <c r="F79" s="896"/>
    </row>
    <row r="80" spans="2:6">
      <c r="B80" s="896"/>
      <c r="C80" s="896"/>
      <c r="D80" s="896"/>
      <c r="E80" s="896"/>
      <c r="F80" s="896"/>
    </row>
    <row r="81" spans="2:6">
      <c r="B81" s="896"/>
      <c r="C81" s="896"/>
      <c r="D81" s="896"/>
      <c r="E81" s="896"/>
      <c r="F81" s="896"/>
    </row>
    <row r="82" spans="2:6">
      <c r="B82" s="896"/>
      <c r="C82" s="896"/>
      <c r="D82" s="896"/>
      <c r="E82" s="896"/>
      <c r="F82" s="896"/>
    </row>
    <row r="83" spans="2:6">
      <c r="B83" s="896"/>
      <c r="C83" s="896"/>
      <c r="D83" s="896"/>
      <c r="E83" s="896"/>
      <c r="F83" s="896"/>
    </row>
    <row r="84" spans="2:6">
      <c r="B84" s="896"/>
      <c r="C84" s="896"/>
      <c r="D84" s="896"/>
      <c r="E84" s="896"/>
      <c r="F84" s="896"/>
    </row>
    <row r="85" spans="2:6">
      <c r="B85" s="896"/>
      <c r="C85" s="896"/>
      <c r="D85" s="896"/>
      <c r="E85" s="896"/>
      <c r="F85" s="896"/>
    </row>
    <row r="86" spans="2:6">
      <c r="B86" s="896"/>
      <c r="C86" s="896"/>
      <c r="D86" s="896"/>
      <c r="E86" s="896"/>
      <c r="F86" s="896"/>
    </row>
    <row r="87" spans="2:6">
      <c r="B87" s="896"/>
      <c r="C87" s="896"/>
      <c r="D87" s="896"/>
      <c r="E87" s="896"/>
      <c r="F87" s="896"/>
    </row>
    <row r="88" spans="2:6">
      <c r="B88" s="896"/>
      <c r="C88" s="896"/>
      <c r="D88" s="896"/>
      <c r="E88" s="896"/>
      <c r="F88" s="896"/>
    </row>
    <row r="89" spans="2:6">
      <c r="B89" s="896"/>
      <c r="C89" s="896"/>
      <c r="D89" s="896"/>
      <c r="E89" s="896"/>
      <c r="F89" s="896"/>
    </row>
    <row r="90" spans="2:6">
      <c r="B90" s="896"/>
      <c r="C90" s="896"/>
      <c r="D90" s="896"/>
      <c r="E90" s="896"/>
      <c r="F90" s="896"/>
    </row>
    <row r="91" spans="2:6">
      <c r="B91" s="896"/>
      <c r="C91" s="896"/>
      <c r="D91" s="896"/>
      <c r="E91" s="896"/>
      <c r="F91" s="896"/>
    </row>
    <row r="92" spans="2:6">
      <c r="B92" s="896"/>
      <c r="C92" s="896"/>
      <c r="D92" s="896"/>
      <c r="E92" s="896"/>
      <c r="F92" s="896"/>
    </row>
    <row r="93" spans="2:6">
      <c r="B93" s="896"/>
      <c r="C93" s="896"/>
      <c r="D93" s="896"/>
      <c r="E93" s="896"/>
      <c r="F93" s="896"/>
    </row>
    <row r="94" spans="2:6">
      <c r="B94" s="896"/>
      <c r="C94" s="896"/>
      <c r="D94" s="896"/>
      <c r="E94" s="896"/>
      <c r="F94" s="896"/>
    </row>
    <row r="95" spans="2:6">
      <c r="B95" s="896"/>
      <c r="C95" s="896"/>
      <c r="D95" s="896"/>
      <c r="E95" s="896"/>
      <c r="F95" s="896"/>
    </row>
    <row r="96" spans="2:6">
      <c r="B96" s="896"/>
      <c r="C96" s="896"/>
      <c r="D96" s="896"/>
      <c r="E96" s="896"/>
      <c r="F96" s="896"/>
    </row>
    <row r="97" spans="2:6">
      <c r="B97" s="896"/>
      <c r="C97" s="896"/>
      <c r="D97" s="896"/>
      <c r="E97" s="896"/>
      <c r="F97" s="896"/>
    </row>
    <row r="98" spans="2:6">
      <c r="B98" s="896"/>
      <c r="C98" s="896"/>
      <c r="D98" s="896"/>
      <c r="E98" s="896"/>
      <c r="F98" s="896"/>
    </row>
    <row r="99" spans="2:6">
      <c r="B99" s="896"/>
      <c r="C99" s="896"/>
      <c r="D99" s="896"/>
      <c r="E99" s="896"/>
      <c r="F99" s="896"/>
    </row>
    <row r="100" spans="2:6">
      <c r="B100" s="896"/>
      <c r="C100" s="896"/>
      <c r="D100" s="896"/>
      <c r="E100" s="896"/>
      <c r="F100" s="896"/>
    </row>
    <row r="101" spans="2:6">
      <c r="B101" s="896"/>
      <c r="C101" s="896"/>
      <c r="D101" s="896"/>
      <c r="E101" s="896"/>
      <c r="F101" s="896"/>
    </row>
    <row r="102" spans="2:6">
      <c r="B102" s="896"/>
      <c r="C102" s="896"/>
      <c r="D102" s="896"/>
      <c r="E102" s="896"/>
      <c r="F102" s="896"/>
    </row>
    <row r="103" spans="2:6">
      <c r="B103" s="896"/>
      <c r="C103" s="896"/>
      <c r="D103" s="896"/>
      <c r="E103" s="896"/>
      <c r="F103" s="896"/>
    </row>
    <row r="104" spans="2:6">
      <c r="B104" s="896"/>
      <c r="C104" s="896"/>
      <c r="D104" s="896"/>
      <c r="E104" s="896"/>
      <c r="F104" s="896"/>
    </row>
    <row r="105" spans="2:6">
      <c r="B105" s="896"/>
      <c r="C105" s="896"/>
      <c r="D105" s="896"/>
      <c r="E105" s="896"/>
      <c r="F105" s="896"/>
    </row>
    <row r="106" spans="2:6">
      <c r="B106" s="896"/>
      <c r="C106" s="896"/>
      <c r="D106" s="896"/>
      <c r="E106" s="896"/>
      <c r="F106" s="896"/>
    </row>
    <row r="107" spans="2:6">
      <c r="B107" s="896"/>
      <c r="C107" s="896"/>
      <c r="D107" s="896"/>
      <c r="E107" s="896"/>
      <c r="F107" s="896"/>
    </row>
    <row r="108" spans="2:6">
      <c r="B108" s="896"/>
      <c r="C108" s="896"/>
      <c r="D108" s="896"/>
      <c r="E108" s="896"/>
      <c r="F108" s="896"/>
    </row>
    <row r="109" spans="2:6">
      <c r="B109" s="896"/>
      <c r="C109" s="896"/>
      <c r="D109" s="896"/>
      <c r="E109" s="896"/>
      <c r="F109" s="896"/>
    </row>
    <row r="110" spans="2:6">
      <c r="B110" s="896"/>
      <c r="C110" s="896"/>
      <c r="D110" s="896"/>
      <c r="E110" s="896"/>
      <c r="F110" s="896"/>
    </row>
    <row r="111" spans="2:6">
      <c r="B111" s="896"/>
      <c r="C111" s="896"/>
      <c r="D111" s="896"/>
      <c r="E111" s="896"/>
      <c r="F111" s="896"/>
    </row>
    <row r="112" spans="2:6">
      <c r="B112" s="896"/>
      <c r="C112" s="896"/>
      <c r="D112" s="896"/>
      <c r="E112" s="896"/>
      <c r="F112" s="896"/>
    </row>
    <row r="113" spans="2:6">
      <c r="B113" s="896"/>
      <c r="C113" s="896"/>
      <c r="D113" s="896"/>
      <c r="E113" s="896"/>
      <c r="F113" s="896"/>
    </row>
    <row r="114" spans="2:6">
      <c r="B114" s="896"/>
      <c r="C114" s="896"/>
      <c r="D114" s="896"/>
      <c r="E114" s="896"/>
      <c r="F114" s="896"/>
    </row>
    <row r="115" spans="2:6">
      <c r="B115" s="896"/>
      <c r="C115" s="896"/>
      <c r="D115" s="896"/>
      <c r="E115" s="896"/>
      <c r="F115" s="896"/>
    </row>
    <row r="116" spans="2:6">
      <c r="B116" s="896"/>
      <c r="C116" s="896"/>
      <c r="D116" s="896"/>
      <c r="E116" s="896"/>
      <c r="F116" s="896"/>
    </row>
    <row r="117" spans="2:6">
      <c r="B117" s="896"/>
      <c r="C117" s="896"/>
      <c r="D117" s="896"/>
      <c r="E117" s="896"/>
      <c r="F117" s="896"/>
    </row>
    <row r="118" spans="2:6">
      <c r="B118" s="896"/>
      <c r="C118" s="896"/>
      <c r="D118" s="896"/>
      <c r="E118" s="896"/>
      <c r="F118" s="896"/>
    </row>
    <row r="119" spans="2:6">
      <c r="B119" s="896"/>
      <c r="C119" s="896"/>
      <c r="D119" s="896"/>
      <c r="E119" s="896"/>
      <c r="F119" s="896"/>
    </row>
    <row r="120" spans="2:6">
      <c r="B120" s="896"/>
      <c r="C120" s="896"/>
      <c r="D120" s="896"/>
      <c r="E120" s="896"/>
      <c r="F120" s="896"/>
    </row>
    <row r="121" spans="2:6">
      <c r="B121" s="896"/>
      <c r="C121" s="896"/>
      <c r="D121" s="896"/>
      <c r="E121" s="896"/>
      <c r="F121" s="896"/>
    </row>
    <row r="122" spans="2:6">
      <c r="B122" s="896"/>
      <c r="C122" s="896"/>
      <c r="D122" s="896"/>
      <c r="E122" s="896"/>
      <c r="F122" s="896"/>
    </row>
    <row r="123" spans="2:6">
      <c r="B123" s="896"/>
      <c r="C123" s="896"/>
      <c r="D123" s="896"/>
      <c r="E123" s="896"/>
      <c r="F123" s="896"/>
    </row>
    <row r="124" spans="2:6">
      <c r="B124" s="896"/>
      <c r="C124" s="896"/>
      <c r="D124" s="896"/>
      <c r="E124" s="896"/>
      <c r="F124" s="896"/>
    </row>
    <row r="125" spans="2:6">
      <c r="B125" s="896"/>
      <c r="C125" s="896"/>
      <c r="D125" s="896"/>
      <c r="E125" s="896"/>
      <c r="F125" s="896"/>
    </row>
    <row r="126" spans="2:6">
      <c r="B126" s="896"/>
      <c r="C126" s="896"/>
      <c r="D126" s="896"/>
      <c r="E126" s="896"/>
      <c r="F126" s="896"/>
    </row>
    <row r="127" spans="2:6">
      <c r="B127" s="896"/>
      <c r="C127" s="896"/>
      <c r="D127" s="896"/>
      <c r="E127" s="896"/>
      <c r="F127" s="896"/>
    </row>
    <row r="128" spans="2:6">
      <c r="B128" s="896"/>
      <c r="C128" s="896"/>
      <c r="D128" s="896"/>
      <c r="E128" s="896"/>
      <c r="F128" s="896"/>
    </row>
    <row r="129" spans="2:6">
      <c r="B129" s="896"/>
      <c r="C129" s="896"/>
      <c r="D129" s="896"/>
      <c r="E129" s="896"/>
      <c r="F129" s="896"/>
    </row>
    <row r="130" spans="2:6">
      <c r="B130" s="896"/>
      <c r="C130" s="896"/>
      <c r="D130" s="896"/>
      <c r="E130" s="896"/>
      <c r="F130" s="896"/>
    </row>
    <row r="131" spans="2:6">
      <c r="B131" s="896"/>
      <c r="C131" s="896"/>
      <c r="D131" s="896"/>
      <c r="E131" s="896"/>
      <c r="F131" s="896"/>
    </row>
    <row r="132" spans="2:6">
      <c r="B132" s="896"/>
      <c r="C132" s="896"/>
      <c r="D132" s="896"/>
      <c r="E132" s="896"/>
      <c r="F132" s="896"/>
    </row>
    <row r="133" spans="2:6">
      <c r="B133" s="896"/>
      <c r="C133" s="896"/>
      <c r="D133" s="896"/>
      <c r="E133" s="896"/>
      <c r="F133" s="896"/>
    </row>
    <row r="134" spans="2:6">
      <c r="B134" s="896"/>
      <c r="C134" s="896"/>
      <c r="D134" s="896"/>
      <c r="E134" s="896"/>
      <c r="F134" s="896"/>
    </row>
    <row r="135" spans="2:6">
      <c r="B135" s="896"/>
      <c r="C135" s="896"/>
      <c r="D135" s="896"/>
      <c r="E135" s="896"/>
      <c r="F135" s="896"/>
    </row>
    <row r="136" spans="2:6">
      <c r="B136" s="896"/>
      <c r="C136" s="896"/>
      <c r="D136" s="896"/>
      <c r="E136" s="896"/>
      <c r="F136" s="896"/>
    </row>
    <row r="137" spans="2:6">
      <c r="B137" s="896"/>
      <c r="C137" s="896"/>
      <c r="D137" s="896"/>
      <c r="E137" s="896"/>
      <c r="F137" s="896"/>
    </row>
    <row r="138" spans="2:6">
      <c r="B138" s="896"/>
      <c r="C138" s="896"/>
      <c r="D138" s="896"/>
      <c r="E138" s="896"/>
      <c r="F138" s="896"/>
    </row>
    <row r="139" spans="2:6">
      <c r="B139" s="896"/>
      <c r="C139" s="896"/>
      <c r="D139" s="896"/>
      <c r="E139" s="896"/>
      <c r="F139" s="896"/>
    </row>
    <row r="140" spans="2:6">
      <c r="B140" s="896"/>
      <c r="C140" s="896"/>
      <c r="D140" s="896"/>
      <c r="E140" s="896"/>
      <c r="F140" s="896"/>
    </row>
    <row r="141" spans="2:6">
      <c r="B141" s="896"/>
      <c r="C141" s="896"/>
      <c r="D141" s="896"/>
      <c r="E141" s="896"/>
      <c r="F141" s="896"/>
    </row>
    <row r="142" spans="2:6">
      <c r="B142" s="896"/>
      <c r="C142" s="896"/>
      <c r="D142" s="896"/>
      <c r="E142" s="896"/>
      <c r="F142" s="896"/>
    </row>
    <row r="143" spans="2:6">
      <c r="B143" s="896"/>
      <c r="C143" s="896"/>
      <c r="D143" s="896"/>
      <c r="E143" s="896"/>
      <c r="F143" s="896"/>
    </row>
    <row r="144" spans="2:6">
      <c r="B144" s="896"/>
      <c r="C144" s="896"/>
      <c r="D144" s="896"/>
      <c r="E144" s="896"/>
      <c r="F144" s="896"/>
    </row>
    <row r="145" spans="2:6">
      <c r="B145" s="896"/>
      <c r="C145" s="896"/>
      <c r="D145" s="896"/>
      <c r="E145" s="896"/>
      <c r="F145" s="896"/>
    </row>
    <row r="146" spans="2:6">
      <c r="B146" s="896"/>
      <c r="C146" s="896"/>
      <c r="D146" s="896"/>
      <c r="E146" s="896"/>
      <c r="F146" s="896"/>
    </row>
    <row r="147" spans="2:6">
      <c r="B147" s="896"/>
      <c r="C147" s="896"/>
      <c r="D147" s="896"/>
      <c r="E147" s="896"/>
      <c r="F147" s="896"/>
    </row>
    <row r="148" spans="2:6">
      <c r="B148" s="896"/>
      <c r="C148" s="896"/>
      <c r="D148" s="896"/>
      <c r="E148" s="896"/>
      <c r="F148" s="896"/>
    </row>
    <row r="149" spans="2:6">
      <c r="B149" s="896"/>
      <c r="C149" s="896"/>
      <c r="D149" s="896"/>
      <c r="E149" s="896"/>
      <c r="F149" s="896"/>
    </row>
    <row r="150" spans="2:6">
      <c r="B150" s="896"/>
      <c r="C150" s="896"/>
      <c r="D150" s="896"/>
      <c r="E150" s="896"/>
      <c r="F150" s="896"/>
    </row>
    <row r="151" spans="2:6">
      <c r="B151" s="896"/>
      <c r="C151" s="896"/>
      <c r="D151" s="896"/>
      <c r="E151" s="896"/>
      <c r="F151" s="896"/>
    </row>
    <row r="152" spans="2:6">
      <c r="B152" s="896"/>
      <c r="C152" s="896"/>
      <c r="D152" s="896"/>
      <c r="E152" s="896"/>
      <c r="F152" s="896"/>
    </row>
    <row r="153" spans="2:6">
      <c r="B153" s="896"/>
      <c r="C153" s="896"/>
      <c r="D153" s="896"/>
      <c r="E153" s="896"/>
      <c r="F153" s="896"/>
    </row>
    <row r="154" spans="2:6">
      <c r="B154" s="896"/>
      <c r="C154" s="896"/>
      <c r="D154" s="896"/>
      <c r="E154" s="896"/>
      <c r="F154" s="896"/>
    </row>
    <row r="155" spans="2:6">
      <c r="B155" s="896"/>
      <c r="C155" s="896"/>
      <c r="D155" s="896"/>
      <c r="E155" s="896"/>
      <c r="F155" s="896"/>
    </row>
    <row r="156" spans="2:6">
      <c r="B156" s="896"/>
      <c r="C156" s="896"/>
      <c r="D156" s="896"/>
      <c r="E156" s="896"/>
      <c r="F156" s="896"/>
    </row>
    <row r="157" spans="2:6">
      <c r="B157" s="896"/>
      <c r="C157" s="896"/>
      <c r="D157" s="896"/>
      <c r="E157" s="896"/>
      <c r="F157" s="896"/>
    </row>
    <row r="158" spans="2:6">
      <c r="B158" s="896"/>
      <c r="C158" s="896"/>
      <c r="D158" s="896"/>
      <c r="E158" s="896"/>
      <c r="F158" s="896"/>
    </row>
    <row r="159" spans="2:6">
      <c r="B159" s="896"/>
      <c r="C159" s="896"/>
      <c r="D159" s="896"/>
      <c r="E159" s="896"/>
      <c r="F159" s="896"/>
    </row>
    <row r="160" spans="2:6">
      <c r="B160" s="896"/>
      <c r="C160" s="896"/>
      <c r="D160" s="896"/>
      <c r="E160" s="896"/>
      <c r="F160" s="896"/>
    </row>
    <row r="161" spans="2:6">
      <c r="B161" s="896"/>
      <c r="C161" s="896"/>
      <c r="D161" s="896"/>
      <c r="E161" s="896"/>
      <c r="F161" s="896"/>
    </row>
    <row r="162" spans="2:6">
      <c r="B162" s="896"/>
      <c r="C162" s="896"/>
      <c r="D162" s="896"/>
      <c r="E162" s="896"/>
      <c r="F162" s="896"/>
    </row>
    <row r="163" spans="2:6">
      <c r="B163" s="896"/>
      <c r="C163" s="896"/>
      <c r="D163" s="896"/>
      <c r="E163" s="896"/>
      <c r="F163" s="896"/>
    </row>
    <row r="164" spans="2:6">
      <c r="B164" s="896"/>
      <c r="C164" s="896"/>
      <c r="D164" s="896"/>
      <c r="E164" s="896"/>
      <c r="F164" s="896"/>
    </row>
    <row r="165" spans="2:6">
      <c r="B165" s="896"/>
      <c r="C165" s="896"/>
      <c r="D165" s="896"/>
      <c r="E165" s="896"/>
      <c r="F165" s="896"/>
    </row>
    <row r="166" spans="2:6">
      <c r="B166" s="896"/>
      <c r="C166" s="896"/>
      <c r="D166" s="896"/>
      <c r="E166" s="896"/>
      <c r="F166" s="896"/>
    </row>
    <row r="167" spans="2:6">
      <c r="B167" s="896"/>
      <c r="C167" s="896"/>
      <c r="D167" s="896"/>
      <c r="E167" s="896"/>
      <c r="F167" s="896"/>
    </row>
    <row r="168" spans="2:6">
      <c r="B168" s="896"/>
      <c r="C168" s="896"/>
      <c r="D168" s="896"/>
      <c r="E168" s="896"/>
      <c r="F168" s="896"/>
    </row>
    <row r="169" spans="2:6">
      <c r="B169" s="896"/>
      <c r="C169" s="896"/>
      <c r="D169" s="896"/>
      <c r="E169" s="896"/>
      <c r="F169" s="896"/>
    </row>
    <row r="170" spans="2:6">
      <c r="B170" s="896"/>
      <c r="C170" s="896"/>
      <c r="D170" s="896"/>
      <c r="E170" s="896"/>
      <c r="F170" s="896"/>
    </row>
    <row r="171" spans="2:6">
      <c r="B171" s="896"/>
      <c r="C171" s="896"/>
      <c r="D171" s="896"/>
      <c r="E171" s="896"/>
      <c r="F171" s="896"/>
    </row>
    <row r="172" spans="2:6">
      <c r="B172" s="896"/>
      <c r="C172" s="896"/>
      <c r="D172" s="896"/>
      <c r="E172" s="896"/>
      <c r="F172" s="896"/>
    </row>
    <row r="173" spans="2:6">
      <c r="B173" s="896"/>
      <c r="C173" s="896"/>
      <c r="D173" s="896"/>
      <c r="E173" s="896"/>
      <c r="F173" s="896"/>
    </row>
    <row r="174" spans="2:6">
      <c r="B174" s="896"/>
      <c r="C174" s="896"/>
      <c r="D174" s="896"/>
      <c r="E174" s="896"/>
      <c r="F174" s="896"/>
    </row>
    <row r="175" spans="2:6">
      <c r="B175" s="896"/>
      <c r="C175" s="896"/>
      <c r="D175" s="896"/>
      <c r="E175" s="896"/>
      <c r="F175" s="896"/>
    </row>
    <row r="176" spans="2:6">
      <c r="B176" s="896"/>
      <c r="C176" s="896"/>
      <c r="D176" s="896"/>
      <c r="E176" s="896"/>
      <c r="F176" s="896"/>
    </row>
    <row r="177" spans="2:6">
      <c r="B177" s="896"/>
      <c r="C177" s="896"/>
      <c r="D177" s="896"/>
      <c r="E177" s="896"/>
      <c r="F177" s="896"/>
    </row>
    <row r="178" spans="2:6">
      <c r="B178" s="896"/>
      <c r="C178" s="896"/>
      <c r="D178" s="896"/>
      <c r="E178" s="896"/>
      <c r="F178" s="896"/>
    </row>
  </sheetData>
  <mergeCells count="20">
    <mergeCell ref="B1:I1"/>
    <mergeCell ref="K1:R1"/>
    <mergeCell ref="T1:AA1"/>
    <mergeCell ref="AC1:AJ1"/>
    <mergeCell ref="B2:I2"/>
    <mergeCell ref="K2:R2"/>
    <mergeCell ref="T2:AA2"/>
    <mergeCell ref="AC2:AJ2"/>
    <mergeCell ref="C38:F38"/>
    <mergeCell ref="T10:AA10"/>
    <mergeCell ref="T11:AA11"/>
    <mergeCell ref="B50:C50"/>
    <mergeCell ref="B51:C51"/>
    <mergeCell ref="B59:D59"/>
    <mergeCell ref="B60:D60"/>
    <mergeCell ref="B52:C52"/>
    <mergeCell ref="B53:C53"/>
    <mergeCell ref="B54:C54"/>
    <mergeCell ref="B55:C55"/>
    <mergeCell ref="B58:D58"/>
  </mergeCells>
  <pageMargins left="0.7" right="0.7" top="0.75" bottom="0.75" header="0.3" footer="0.3"/>
  <pageSetup paperSize="9" orientation="portrait" r:id="rId1"/>
  <colBreaks count="3" manualBreakCount="3">
    <brk id="9" max="1048575" man="1"/>
    <brk id="18" max="1048575" man="1"/>
    <brk id="27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8"/>
  <sheetViews>
    <sheetView view="pageBreakPreview" topLeftCell="A4" zoomScaleNormal="100" zoomScaleSheetLayoutView="100" workbookViewId="0">
      <selection activeCell="E121" sqref="E121"/>
    </sheetView>
  </sheetViews>
  <sheetFormatPr baseColWidth="10" defaultColWidth="11.42578125" defaultRowHeight="15"/>
  <cols>
    <col min="1" max="1" width="8" style="920" bestFit="1" customWidth="1"/>
    <col min="2" max="2" width="9.5703125" style="920" bestFit="1" customWidth="1"/>
    <col min="3" max="3" width="12" style="920" hidden="1" customWidth="1"/>
    <col min="4" max="4" width="6.5703125" style="920" bestFit="1" customWidth="1"/>
    <col min="5" max="5" width="9" style="920" bestFit="1" customWidth="1"/>
    <col min="6" max="6" width="8" style="920" bestFit="1" customWidth="1"/>
    <col min="7" max="7" width="10.7109375" style="920" bestFit="1" customWidth="1"/>
    <col min="8" max="16384" width="11.42578125" style="920"/>
  </cols>
  <sheetData>
    <row r="1" spans="1:7" hidden="1">
      <c r="A1" s="920" t="s">
        <v>1076</v>
      </c>
    </row>
    <row r="2" spans="1:7" hidden="1">
      <c r="A2" s="920" t="s">
        <v>1045</v>
      </c>
    </row>
    <row r="3" spans="1:7" hidden="1">
      <c r="A3" s="920" t="s">
        <v>1046</v>
      </c>
    </row>
    <row r="4" spans="1:7">
      <c r="A4" s="921" t="s">
        <v>1077</v>
      </c>
      <c r="B4" s="921" t="s">
        <v>1078</v>
      </c>
      <c r="C4" s="921" t="s">
        <v>1079</v>
      </c>
      <c r="D4" s="921" t="s">
        <v>1185</v>
      </c>
      <c r="E4" s="921" t="s">
        <v>1080</v>
      </c>
      <c r="F4" s="921" t="s">
        <v>1081</v>
      </c>
      <c r="G4" s="921" t="s">
        <v>1082</v>
      </c>
    </row>
    <row r="5" spans="1:7">
      <c r="A5" s="922" t="s">
        <v>1083</v>
      </c>
      <c r="B5" s="922" t="s">
        <v>1084</v>
      </c>
      <c r="C5" s="922" t="s">
        <v>1085</v>
      </c>
      <c r="D5" s="922" t="s">
        <v>1084</v>
      </c>
      <c r="E5" s="922" t="s">
        <v>1084</v>
      </c>
      <c r="F5" s="922" t="s">
        <v>1084</v>
      </c>
      <c r="G5" s="922" t="s">
        <v>1086</v>
      </c>
    </row>
    <row r="6" spans="1:7">
      <c r="A6" s="923" t="s">
        <v>1087</v>
      </c>
      <c r="B6" s="924">
        <v>52</v>
      </c>
      <c r="C6" s="924">
        <v>1.2</v>
      </c>
      <c r="D6" s="924">
        <v>1.2</v>
      </c>
      <c r="E6" s="924">
        <v>918876.1</v>
      </c>
      <c r="F6" s="924">
        <v>1332049</v>
      </c>
      <c r="G6" s="924">
        <v>2</v>
      </c>
    </row>
    <row r="7" spans="1:7">
      <c r="A7" s="925" t="s">
        <v>1088</v>
      </c>
      <c r="B7" s="926">
        <v>52</v>
      </c>
      <c r="C7" s="926">
        <v>1.2</v>
      </c>
      <c r="D7" s="926">
        <v>1.2</v>
      </c>
      <c r="E7" s="926">
        <v>918887.7</v>
      </c>
      <c r="F7" s="926">
        <v>1332075</v>
      </c>
      <c r="G7" s="926">
        <v>1</v>
      </c>
    </row>
    <row r="8" spans="1:7">
      <c r="A8" s="925" t="s">
        <v>1089</v>
      </c>
      <c r="B8" s="926">
        <v>52.8</v>
      </c>
      <c r="C8" s="926">
        <v>1.2</v>
      </c>
      <c r="D8" s="926">
        <v>1.2</v>
      </c>
      <c r="E8" s="926">
        <v>918828.4</v>
      </c>
      <c r="F8" s="926">
        <v>1332084</v>
      </c>
      <c r="G8" s="926">
        <v>1</v>
      </c>
    </row>
    <row r="9" spans="1:7">
      <c r="A9" s="925" t="s">
        <v>1090</v>
      </c>
      <c r="B9" s="926">
        <v>52.7</v>
      </c>
      <c r="C9" s="926">
        <v>1.2</v>
      </c>
      <c r="D9" s="926">
        <v>1.2</v>
      </c>
      <c r="E9" s="926">
        <v>918791.9</v>
      </c>
      <c r="F9" s="926">
        <v>1332077</v>
      </c>
      <c r="G9" s="926">
        <v>1</v>
      </c>
    </row>
    <row r="10" spans="1:7">
      <c r="A10" s="925" t="s">
        <v>1091</v>
      </c>
      <c r="B10" s="926">
        <v>52.68</v>
      </c>
      <c r="C10" s="926">
        <v>1.2</v>
      </c>
      <c r="D10" s="926">
        <v>1.2</v>
      </c>
      <c r="E10" s="926">
        <v>918770.7</v>
      </c>
      <c r="F10" s="926">
        <v>1332079</v>
      </c>
      <c r="G10" s="926">
        <v>1</v>
      </c>
    </row>
    <row r="11" spans="1:7">
      <c r="A11" s="925" t="s">
        <v>1092</v>
      </c>
      <c r="B11" s="926">
        <v>52.15</v>
      </c>
      <c r="C11" s="926">
        <v>1.2</v>
      </c>
      <c r="D11" s="926">
        <v>1.2</v>
      </c>
      <c r="E11" s="926">
        <v>918890.3</v>
      </c>
      <c r="F11" s="926">
        <v>1332083</v>
      </c>
      <c r="G11" s="926">
        <v>2</v>
      </c>
    </row>
    <row r="12" spans="1:7">
      <c r="A12" s="925" t="s">
        <v>1093</v>
      </c>
      <c r="B12" s="926">
        <v>52.08</v>
      </c>
      <c r="C12" s="926">
        <v>1.2</v>
      </c>
      <c r="D12" s="926">
        <v>1.2</v>
      </c>
      <c r="E12" s="926">
        <v>918854.1</v>
      </c>
      <c r="F12" s="926">
        <v>1332110</v>
      </c>
      <c r="G12" s="926">
        <v>1</v>
      </c>
    </row>
    <row r="13" spans="1:7">
      <c r="A13" s="925" t="s">
        <v>1094</v>
      </c>
      <c r="B13" s="926">
        <v>52.02</v>
      </c>
      <c r="C13" s="926">
        <v>1.2</v>
      </c>
      <c r="D13" s="926">
        <v>1.2</v>
      </c>
      <c r="E13" s="926">
        <v>918896.7</v>
      </c>
      <c r="F13" s="926">
        <v>1332099</v>
      </c>
      <c r="G13" s="926">
        <v>2</v>
      </c>
    </row>
    <row r="14" spans="1:7">
      <c r="A14" s="925" t="s">
        <v>1095</v>
      </c>
      <c r="B14" s="926">
        <v>51.99</v>
      </c>
      <c r="C14" s="926">
        <v>1.2</v>
      </c>
      <c r="D14" s="926">
        <v>1.2</v>
      </c>
      <c r="E14" s="926">
        <v>918856.7</v>
      </c>
      <c r="F14" s="926">
        <v>1332139</v>
      </c>
      <c r="G14" s="926">
        <v>1</v>
      </c>
    </row>
    <row r="15" spans="1:7">
      <c r="A15" s="925" t="s">
        <v>1096</v>
      </c>
      <c r="B15" s="926">
        <v>51.92</v>
      </c>
      <c r="C15" s="926">
        <v>1.2</v>
      </c>
      <c r="D15" s="926">
        <v>1.2</v>
      </c>
      <c r="E15" s="926">
        <v>918897.6</v>
      </c>
      <c r="F15" s="926">
        <v>1332129</v>
      </c>
      <c r="G15" s="926">
        <v>2</v>
      </c>
    </row>
    <row r="16" spans="1:7">
      <c r="A16" s="925" t="s">
        <v>1097</v>
      </c>
      <c r="B16" s="926">
        <v>52</v>
      </c>
      <c r="C16" s="926">
        <v>1.2</v>
      </c>
      <c r="D16" s="926">
        <v>1.2</v>
      </c>
      <c r="E16" s="926">
        <v>918902.7</v>
      </c>
      <c r="F16" s="926">
        <v>1332171</v>
      </c>
      <c r="G16" s="926">
        <v>2</v>
      </c>
    </row>
    <row r="17" spans="1:7">
      <c r="A17" s="925" t="s">
        <v>1098</v>
      </c>
      <c r="B17" s="926">
        <v>51.63</v>
      </c>
      <c r="C17" s="926">
        <v>1.2</v>
      </c>
      <c r="D17" s="926">
        <v>1.2</v>
      </c>
      <c r="E17" s="926">
        <v>918861.1</v>
      </c>
      <c r="F17" s="926">
        <v>1332202</v>
      </c>
      <c r="G17" s="926">
        <v>0.3</v>
      </c>
    </row>
    <row r="18" spans="1:7">
      <c r="A18" s="925" t="s">
        <v>1099</v>
      </c>
      <c r="B18" s="926">
        <v>51.52</v>
      </c>
      <c r="C18" s="926">
        <v>1.2</v>
      </c>
      <c r="D18" s="926">
        <v>1.2</v>
      </c>
      <c r="E18" s="926">
        <v>918846.3</v>
      </c>
      <c r="F18" s="926">
        <v>1332230</v>
      </c>
      <c r="G18" s="926">
        <v>0.5</v>
      </c>
    </row>
    <row r="19" spans="1:7">
      <c r="A19" s="925" t="s">
        <v>1100</v>
      </c>
      <c r="B19" s="926">
        <v>51.6</v>
      </c>
      <c r="C19" s="926">
        <v>1.2</v>
      </c>
      <c r="D19" s="926">
        <v>1.2</v>
      </c>
      <c r="E19" s="926">
        <v>918842.3</v>
      </c>
      <c r="F19" s="926">
        <v>1332221</v>
      </c>
      <c r="G19" s="926">
        <v>0.3</v>
      </c>
    </row>
    <row r="20" spans="1:7">
      <c r="A20" s="925" t="s">
        <v>1101</v>
      </c>
      <c r="B20" s="926">
        <v>51.55</v>
      </c>
      <c r="C20" s="926">
        <v>1.2</v>
      </c>
      <c r="D20" s="926">
        <v>1.2</v>
      </c>
      <c r="E20" s="926">
        <v>918823.5</v>
      </c>
      <c r="F20" s="926">
        <v>1332249</v>
      </c>
      <c r="G20" s="926">
        <v>0.5</v>
      </c>
    </row>
    <row r="21" spans="1:7">
      <c r="A21" s="925" t="s">
        <v>1102</v>
      </c>
      <c r="B21" s="926">
        <v>51.29</v>
      </c>
      <c r="C21" s="926">
        <v>1.2</v>
      </c>
      <c r="D21" s="926">
        <v>1.2</v>
      </c>
      <c r="E21" s="926">
        <v>918798</v>
      </c>
      <c r="F21" s="926">
        <v>1332267</v>
      </c>
      <c r="G21" s="926">
        <v>0.5</v>
      </c>
    </row>
    <row r="22" spans="1:7">
      <c r="A22" s="925" t="s">
        <v>1103</v>
      </c>
      <c r="B22" s="926">
        <v>52.5</v>
      </c>
      <c r="C22" s="926">
        <v>1.2</v>
      </c>
      <c r="D22" s="926">
        <v>1.2</v>
      </c>
      <c r="E22" s="926">
        <v>918781.5</v>
      </c>
      <c r="F22" s="926">
        <v>1332230</v>
      </c>
      <c r="G22" s="926">
        <v>0.5</v>
      </c>
    </row>
    <row r="23" spans="1:7">
      <c r="A23" s="925" t="s">
        <v>1104</v>
      </c>
      <c r="B23" s="926">
        <v>52.7</v>
      </c>
      <c r="C23" s="926">
        <v>1.2</v>
      </c>
      <c r="D23" s="926">
        <v>1.2</v>
      </c>
      <c r="E23" s="926">
        <v>918769.3</v>
      </c>
      <c r="F23" s="926">
        <v>1332201</v>
      </c>
      <c r="G23" s="926">
        <v>0.5</v>
      </c>
    </row>
    <row r="24" spans="1:7">
      <c r="A24" s="925" t="s">
        <v>1105</v>
      </c>
      <c r="B24" s="926">
        <v>51.06</v>
      </c>
      <c r="C24" s="926">
        <v>1.2</v>
      </c>
      <c r="D24" s="926">
        <v>1.2</v>
      </c>
      <c r="E24" s="926">
        <v>918810.8</v>
      </c>
      <c r="F24" s="926">
        <v>1332297</v>
      </c>
      <c r="G24" s="926">
        <v>0.5</v>
      </c>
    </row>
    <row r="25" spans="1:7">
      <c r="A25" s="925" t="s">
        <v>1106</v>
      </c>
      <c r="B25" s="926">
        <v>51.6</v>
      </c>
      <c r="C25" s="926">
        <v>1.2</v>
      </c>
      <c r="D25" s="926">
        <v>1.2</v>
      </c>
      <c r="E25" s="926">
        <v>918866.9</v>
      </c>
      <c r="F25" s="926">
        <v>1332252</v>
      </c>
      <c r="G25" s="926">
        <v>0.5</v>
      </c>
    </row>
    <row r="26" spans="1:7">
      <c r="A26" s="925" t="s">
        <v>1107</v>
      </c>
      <c r="B26" s="926">
        <v>52.3</v>
      </c>
      <c r="C26" s="926">
        <v>1.2</v>
      </c>
      <c r="D26" s="926">
        <v>1.2</v>
      </c>
      <c r="E26" s="926">
        <v>918924.6</v>
      </c>
      <c r="F26" s="926">
        <v>1332205</v>
      </c>
      <c r="G26" s="926">
        <v>2</v>
      </c>
    </row>
    <row r="27" spans="1:7">
      <c r="A27" s="925" t="s">
        <v>1108</v>
      </c>
      <c r="B27" s="926">
        <v>52</v>
      </c>
      <c r="C27" s="926">
        <v>1.2</v>
      </c>
      <c r="D27" s="926">
        <v>1.2</v>
      </c>
      <c r="E27" s="926">
        <v>918944.3</v>
      </c>
      <c r="F27" s="926">
        <v>1332260</v>
      </c>
      <c r="G27" s="926">
        <v>2</v>
      </c>
    </row>
    <row r="28" spans="1:7">
      <c r="A28" s="925" t="s">
        <v>1109</v>
      </c>
      <c r="B28" s="926">
        <v>52.66</v>
      </c>
      <c r="C28" s="926">
        <v>1.2</v>
      </c>
      <c r="D28" s="926">
        <v>1.2</v>
      </c>
      <c r="E28" s="926">
        <v>918980.8</v>
      </c>
      <c r="F28" s="926">
        <v>1332171</v>
      </c>
      <c r="G28" s="926">
        <v>0.5</v>
      </c>
    </row>
    <row r="29" spans="1:7">
      <c r="A29" s="925" t="s">
        <v>1110</v>
      </c>
      <c r="B29" s="926">
        <v>52.06</v>
      </c>
      <c r="C29" s="926">
        <v>1.2</v>
      </c>
      <c r="D29" s="926">
        <v>1.2</v>
      </c>
      <c r="E29" s="926">
        <v>919001.1</v>
      </c>
      <c r="F29" s="926">
        <v>1332221</v>
      </c>
      <c r="G29" s="926">
        <v>0.5</v>
      </c>
    </row>
    <row r="30" spans="1:7">
      <c r="A30" s="925" t="s">
        <v>1111</v>
      </c>
      <c r="B30" s="926">
        <v>52.23</v>
      </c>
      <c r="C30" s="926">
        <v>1.2</v>
      </c>
      <c r="D30" s="926">
        <v>1.2</v>
      </c>
      <c r="E30" s="926">
        <v>919018.3</v>
      </c>
      <c r="F30" s="926">
        <v>1332211</v>
      </c>
      <c r="G30" s="926">
        <v>0.5</v>
      </c>
    </row>
    <row r="31" spans="1:7">
      <c r="A31" s="925" t="s">
        <v>1112</v>
      </c>
      <c r="B31" s="926">
        <v>53.08</v>
      </c>
      <c r="C31" s="926">
        <v>1.2</v>
      </c>
      <c r="D31" s="926">
        <v>1.2</v>
      </c>
      <c r="E31" s="926">
        <v>919017.6</v>
      </c>
      <c r="F31" s="926">
        <v>1332146</v>
      </c>
      <c r="G31" s="926">
        <v>0.5</v>
      </c>
    </row>
    <row r="32" spans="1:7">
      <c r="A32" s="925" t="s">
        <v>1113</v>
      </c>
      <c r="B32" s="926">
        <v>52.86</v>
      </c>
      <c r="C32" s="926">
        <v>1.2</v>
      </c>
      <c r="D32" s="926">
        <v>1.2</v>
      </c>
      <c r="E32" s="926">
        <v>919088.9</v>
      </c>
      <c r="F32" s="926">
        <v>1332164</v>
      </c>
      <c r="G32" s="926">
        <v>0.5</v>
      </c>
    </row>
    <row r="33" spans="1:7">
      <c r="A33" s="925" t="s">
        <v>1114</v>
      </c>
      <c r="B33" s="926">
        <v>53.5</v>
      </c>
      <c r="C33" s="926">
        <v>1.2</v>
      </c>
      <c r="D33" s="926">
        <v>1.2</v>
      </c>
      <c r="E33" s="926">
        <v>919052.4</v>
      </c>
      <c r="F33" s="926">
        <v>1332127</v>
      </c>
      <c r="G33" s="926">
        <v>0.5</v>
      </c>
    </row>
    <row r="34" spans="1:7">
      <c r="A34" s="925" t="s">
        <v>1115</v>
      </c>
      <c r="B34" s="926">
        <v>53.3</v>
      </c>
      <c r="C34" s="926">
        <v>1.2</v>
      </c>
      <c r="D34" s="926">
        <v>1.2</v>
      </c>
      <c r="E34" s="926">
        <v>919040.8</v>
      </c>
      <c r="F34" s="926">
        <v>1332126</v>
      </c>
      <c r="G34" s="926">
        <v>0.5</v>
      </c>
    </row>
    <row r="35" spans="1:7">
      <c r="A35" s="925" t="s">
        <v>1116</v>
      </c>
      <c r="B35" s="926">
        <v>53.2</v>
      </c>
      <c r="C35" s="926">
        <v>1.2</v>
      </c>
      <c r="D35" s="926">
        <v>1.2</v>
      </c>
      <c r="E35" s="926">
        <v>919023.4</v>
      </c>
      <c r="F35" s="926">
        <v>1332104</v>
      </c>
      <c r="G35" s="926">
        <v>0.5</v>
      </c>
    </row>
    <row r="36" spans="1:7">
      <c r="A36" s="925" t="s">
        <v>1117</v>
      </c>
      <c r="B36" s="926">
        <v>53.3</v>
      </c>
      <c r="C36" s="926">
        <v>1.2</v>
      </c>
      <c r="D36" s="926">
        <v>1.2</v>
      </c>
      <c r="E36" s="926">
        <v>919068.4</v>
      </c>
      <c r="F36" s="926">
        <v>1332144</v>
      </c>
      <c r="G36" s="926">
        <v>0.5</v>
      </c>
    </row>
    <row r="37" spans="1:7">
      <c r="A37" s="925" t="s">
        <v>1118</v>
      </c>
      <c r="B37" s="926">
        <v>51.72</v>
      </c>
      <c r="C37" s="926">
        <v>1.2</v>
      </c>
      <c r="D37" s="926">
        <v>1.2</v>
      </c>
      <c r="E37" s="926">
        <v>918957.5</v>
      </c>
      <c r="F37" s="926">
        <v>1332297</v>
      </c>
      <c r="G37" s="926">
        <v>2</v>
      </c>
    </row>
    <row r="38" spans="1:7">
      <c r="A38" s="925" t="s">
        <v>1119</v>
      </c>
      <c r="B38" s="926">
        <v>51.48</v>
      </c>
      <c r="C38" s="926">
        <v>1.2</v>
      </c>
      <c r="D38" s="926">
        <v>1.2</v>
      </c>
      <c r="E38" s="926">
        <v>918969.3</v>
      </c>
      <c r="F38" s="926">
        <v>1332340</v>
      </c>
      <c r="G38" s="926">
        <v>2</v>
      </c>
    </row>
    <row r="39" spans="1:7">
      <c r="A39" s="925" t="s">
        <v>1120</v>
      </c>
      <c r="B39" s="926">
        <v>51.18</v>
      </c>
      <c r="C39" s="926">
        <v>1.2</v>
      </c>
      <c r="D39" s="926">
        <v>1.2</v>
      </c>
      <c r="E39" s="926">
        <v>918989.3</v>
      </c>
      <c r="F39" s="926">
        <v>1332409</v>
      </c>
      <c r="G39" s="926">
        <v>2</v>
      </c>
    </row>
    <row r="40" spans="1:7">
      <c r="A40" s="925" t="s">
        <v>1121</v>
      </c>
      <c r="B40" s="926">
        <v>51.3</v>
      </c>
      <c r="C40" s="926">
        <v>1.2</v>
      </c>
      <c r="D40" s="926">
        <v>1.2</v>
      </c>
      <c r="E40" s="926">
        <v>919004.8</v>
      </c>
      <c r="F40" s="926">
        <v>1332459</v>
      </c>
      <c r="G40" s="926">
        <v>2</v>
      </c>
    </row>
    <row r="41" spans="1:7">
      <c r="A41" s="925" t="s">
        <v>1122</v>
      </c>
      <c r="B41" s="926">
        <v>51.23</v>
      </c>
      <c r="C41" s="926">
        <v>1.2</v>
      </c>
      <c r="D41" s="926">
        <v>1.2</v>
      </c>
      <c r="E41" s="926">
        <v>919018.1</v>
      </c>
      <c r="F41" s="926">
        <v>1332484</v>
      </c>
      <c r="G41" s="926">
        <v>2</v>
      </c>
    </row>
    <row r="42" spans="1:7">
      <c r="A42" s="925" t="s">
        <v>1123</v>
      </c>
      <c r="B42" s="926">
        <v>51.39</v>
      </c>
      <c r="C42" s="926">
        <v>1.2</v>
      </c>
      <c r="D42" s="926">
        <v>1.2</v>
      </c>
      <c r="E42" s="926">
        <v>919051.6</v>
      </c>
      <c r="F42" s="926">
        <v>1332531</v>
      </c>
      <c r="G42" s="926">
        <v>2</v>
      </c>
    </row>
    <row r="43" spans="1:7">
      <c r="A43" s="925" t="s">
        <v>1124</v>
      </c>
      <c r="B43" s="926">
        <v>52.53</v>
      </c>
      <c r="C43" s="926">
        <v>1.2</v>
      </c>
      <c r="D43" s="926">
        <v>1.2</v>
      </c>
      <c r="E43" s="926">
        <v>919073.4</v>
      </c>
      <c r="F43" s="926">
        <v>1332567</v>
      </c>
      <c r="G43" s="926">
        <v>2</v>
      </c>
    </row>
    <row r="44" spans="1:7">
      <c r="A44" s="925" t="s">
        <v>1125</v>
      </c>
      <c r="B44" s="926">
        <v>53.12</v>
      </c>
      <c r="C44" s="926">
        <v>1.2</v>
      </c>
      <c r="D44" s="926">
        <v>1.2</v>
      </c>
      <c r="E44" s="926">
        <v>919099.6</v>
      </c>
      <c r="F44" s="926">
        <v>1332611</v>
      </c>
      <c r="G44" s="926">
        <v>2</v>
      </c>
    </row>
    <row r="45" spans="1:7">
      <c r="A45" s="925" t="s">
        <v>1126</v>
      </c>
      <c r="B45" s="926">
        <v>51.47</v>
      </c>
      <c r="C45" s="926">
        <v>1.2</v>
      </c>
      <c r="D45" s="926">
        <v>1.2</v>
      </c>
      <c r="E45" s="926">
        <v>919115.6</v>
      </c>
      <c r="F45" s="926">
        <v>1332649</v>
      </c>
      <c r="G45" s="926">
        <v>2</v>
      </c>
    </row>
    <row r="46" spans="1:7">
      <c r="A46" s="925" t="s">
        <v>1127</v>
      </c>
      <c r="B46" s="926">
        <v>51.39</v>
      </c>
      <c r="C46" s="926">
        <v>1.2</v>
      </c>
      <c r="D46" s="926">
        <v>1.2</v>
      </c>
      <c r="E46" s="926">
        <v>919122.9</v>
      </c>
      <c r="F46" s="926">
        <v>1332680</v>
      </c>
      <c r="G46" s="926">
        <v>2</v>
      </c>
    </row>
    <row r="47" spans="1:7">
      <c r="A47" s="925" t="s">
        <v>1128</v>
      </c>
      <c r="B47" s="926">
        <v>51.06</v>
      </c>
      <c r="C47" s="926">
        <v>1.2</v>
      </c>
      <c r="D47" s="926">
        <v>1.2</v>
      </c>
      <c r="E47" s="926">
        <v>919128.4</v>
      </c>
      <c r="F47" s="926">
        <v>1332710</v>
      </c>
      <c r="G47" s="926">
        <v>2</v>
      </c>
    </row>
    <row r="48" spans="1:7">
      <c r="A48" s="925" t="s">
        <v>1129</v>
      </c>
      <c r="B48" s="926">
        <v>51.45</v>
      </c>
      <c r="C48" s="926">
        <v>1.2</v>
      </c>
      <c r="D48" s="926">
        <v>1.2</v>
      </c>
      <c r="E48" s="926">
        <v>919124.5</v>
      </c>
      <c r="F48" s="926">
        <v>1332673</v>
      </c>
      <c r="G48" s="926">
        <v>0.5</v>
      </c>
    </row>
    <row r="49" spans="1:7">
      <c r="A49" s="925" t="s">
        <v>1130</v>
      </c>
      <c r="B49" s="926">
        <v>51.23</v>
      </c>
      <c r="C49" s="926">
        <v>1.2</v>
      </c>
      <c r="D49" s="926">
        <v>1.2</v>
      </c>
      <c r="E49" s="926">
        <v>919162.1</v>
      </c>
      <c r="F49" s="926">
        <v>1332661</v>
      </c>
      <c r="G49" s="926">
        <v>0.5</v>
      </c>
    </row>
    <row r="50" spans="1:7">
      <c r="A50" s="925" t="s">
        <v>1131</v>
      </c>
      <c r="B50" s="926">
        <v>51</v>
      </c>
      <c r="C50" s="926">
        <v>1.2</v>
      </c>
      <c r="D50" s="926">
        <v>1.2</v>
      </c>
      <c r="E50" s="926">
        <v>919187.3</v>
      </c>
      <c r="F50" s="926">
        <v>1332662</v>
      </c>
      <c r="G50" s="926">
        <v>0.5</v>
      </c>
    </row>
    <row r="51" spans="1:7">
      <c r="A51" s="925" t="s">
        <v>1132</v>
      </c>
      <c r="B51" s="926">
        <v>51.33</v>
      </c>
      <c r="C51" s="926">
        <v>1.2</v>
      </c>
      <c r="D51" s="926">
        <v>1.2</v>
      </c>
      <c r="E51" s="926">
        <v>919193.7</v>
      </c>
      <c r="F51" s="926">
        <v>1332664</v>
      </c>
      <c r="G51" s="926">
        <v>0.5</v>
      </c>
    </row>
    <row r="52" spans="1:7">
      <c r="A52" s="925" t="s">
        <v>1133</v>
      </c>
      <c r="B52" s="926">
        <v>50.86</v>
      </c>
      <c r="C52" s="926">
        <v>1.2</v>
      </c>
      <c r="D52" s="926">
        <v>1.2</v>
      </c>
      <c r="E52" s="926">
        <v>919132.8</v>
      </c>
      <c r="F52" s="926">
        <v>1332734</v>
      </c>
      <c r="G52" s="926">
        <v>2</v>
      </c>
    </row>
    <row r="53" spans="1:7">
      <c r="A53" s="925" t="s">
        <v>1134</v>
      </c>
      <c r="B53" s="926">
        <v>50.93</v>
      </c>
      <c r="C53" s="926">
        <v>1.2</v>
      </c>
      <c r="D53" s="926">
        <v>1.2</v>
      </c>
      <c r="E53" s="926">
        <v>919136.8</v>
      </c>
      <c r="F53" s="926">
        <v>1332741</v>
      </c>
      <c r="G53" s="926">
        <v>2</v>
      </c>
    </row>
    <row r="54" spans="1:7">
      <c r="A54" s="925" t="s">
        <v>1135</v>
      </c>
      <c r="B54" s="926">
        <v>51.65</v>
      </c>
      <c r="C54" s="926">
        <v>1.2</v>
      </c>
      <c r="D54" s="926">
        <v>1.2</v>
      </c>
      <c r="E54" s="926">
        <v>919115.1</v>
      </c>
      <c r="F54" s="926">
        <v>1332761</v>
      </c>
      <c r="G54" s="926">
        <v>0.5</v>
      </c>
    </row>
    <row r="55" spans="1:7">
      <c r="A55" s="925" t="s">
        <v>1136</v>
      </c>
      <c r="B55" s="926">
        <v>51.1</v>
      </c>
      <c r="C55" s="926">
        <v>1.2</v>
      </c>
      <c r="D55" s="926">
        <v>1.2</v>
      </c>
      <c r="E55" s="926">
        <v>919178.9</v>
      </c>
      <c r="F55" s="926">
        <v>1332763</v>
      </c>
      <c r="G55" s="926">
        <v>2</v>
      </c>
    </row>
    <row r="56" spans="1:7">
      <c r="A56" s="925" t="s">
        <v>1137</v>
      </c>
      <c r="B56" s="926">
        <v>51.67</v>
      </c>
      <c r="C56" s="926">
        <v>1.2</v>
      </c>
      <c r="D56" s="926">
        <v>1.2</v>
      </c>
      <c r="E56" s="926">
        <v>919224.9</v>
      </c>
      <c r="F56" s="926">
        <v>1332780</v>
      </c>
      <c r="G56" s="926">
        <v>2</v>
      </c>
    </row>
    <row r="57" spans="1:7">
      <c r="A57" s="925" t="s">
        <v>1138</v>
      </c>
      <c r="B57" s="926">
        <v>51.89</v>
      </c>
      <c r="C57" s="926">
        <v>1.2</v>
      </c>
      <c r="D57" s="926">
        <v>1.2</v>
      </c>
      <c r="E57" s="926">
        <v>919249.8</v>
      </c>
      <c r="F57" s="926">
        <v>1332792</v>
      </c>
      <c r="G57" s="926">
        <v>0.5</v>
      </c>
    </row>
    <row r="58" spans="1:7">
      <c r="A58" s="925" t="s">
        <v>1139</v>
      </c>
      <c r="B58" s="926">
        <v>51.8</v>
      </c>
      <c r="C58" s="926">
        <v>1.2</v>
      </c>
      <c r="D58" s="926">
        <v>1.2</v>
      </c>
      <c r="E58" s="926">
        <v>919260.3</v>
      </c>
      <c r="F58" s="926">
        <v>1332802</v>
      </c>
      <c r="G58" s="926">
        <v>2</v>
      </c>
    </row>
    <row r="59" spans="1:7">
      <c r="A59" s="925" t="s">
        <v>1140</v>
      </c>
      <c r="B59" s="926">
        <v>51.78</v>
      </c>
      <c r="C59" s="926">
        <v>1.2</v>
      </c>
      <c r="D59" s="926">
        <v>1.2</v>
      </c>
      <c r="E59" s="926">
        <v>919266.2</v>
      </c>
      <c r="F59" s="926">
        <v>1332781</v>
      </c>
      <c r="G59" s="926">
        <v>1</v>
      </c>
    </row>
    <row r="60" spans="1:7">
      <c r="A60" s="925" t="s">
        <v>1141</v>
      </c>
      <c r="B60" s="926">
        <v>51.64</v>
      </c>
      <c r="C60" s="926">
        <v>1.2</v>
      </c>
      <c r="D60" s="926">
        <v>1.2</v>
      </c>
      <c r="E60" s="926">
        <v>919287.4</v>
      </c>
      <c r="F60" s="926">
        <v>1332808</v>
      </c>
      <c r="G60" s="926">
        <v>2</v>
      </c>
    </row>
    <row r="61" spans="1:7">
      <c r="A61" s="925" t="s">
        <v>1142</v>
      </c>
      <c r="B61" s="926">
        <v>51.57</v>
      </c>
      <c r="C61" s="926">
        <v>1.2</v>
      </c>
      <c r="D61" s="926">
        <v>1.2</v>
      </c>
      <c r="E61" s="926">
        <v>919308.9</v>
      </c>
      <c r="F61" s="926">
        <v>1332784</v>
      </c>
      <c r="G61" s="926">
        <v>0.5</v>
      </c>
    </row>
    <row r="62" spans="1:7">
      <c r="A62" s="925" t="s">
        <v>1143</v>
      </c>
      <c r="B62" s="926">
        <v>51.72</v>
      </c>
      <c r="C62" s="926">
        <v>1.2</v>
      </c>
      <c r="D62" s="926">
        <v>1.2</v>
      </c>
      <c r="E62" s="926">
        <v>919325.3</v>
      </c>
      <c r="F62" s="926">
        <v>1332872</v>
      </c>
      <c r="G62" s="926">
        <v>2</v>
      </c>
    </row>
    <row r="63" spans="1:7">
      <c r="A63" s="925" t="s">
        <v>1144</v>
      </c>
      <c r="B63" s="926">
        <v>51.85</v>
      </c>
      <c r="C63" s="926">
        <v>1.2</v>
      </c>
      <c r="D63" s="926">
        <v>1.2</v>
      </c>
      <c r="E63" s="926">
        <v>919320.5</v>
      </c>
      <c r="F63" s="926">
        <v>1332832</v>
      </c>
      <c r="G63" s="926">
        <v>0.5</v>
      </c>
    </row>
    <row r="64" spans="1:7">
      <c r="A64" s="925" t="s">
        <v>1145</v>
      </c>
      <c r="B64" s="926">
        <v>51.64</v>
      </c>
      <c r="C64" s="926">
        <v>1.2</v>
      </c>
      <c r="D64" s="926">
        <v>1.2</v>
      </c>
      <c r="E64" s="926">
        <v>919311.5</v>
      </c>
      <c r="F64" s="926">
        <v>1332841</v>
      </c>
      <c r="G64" s="926">
        <v>2</v>
      </c>
    </row>
    <row r="65" spans="1:7">
      <c r="A65" s="925" t="s">
        <v>1146</v>
      </c>
      <c r="B65" s="926">
        <v>51.51</v>
      </c>
      <c r="C65" s="926">
        <v>1.2</v>
      </c>
      <c r="D65" s="926">
        <v>1.2</v>
      </c>
      <c r="E65" s="926">
        <v>919329.9</v>
      </c>
      <c r="F65" s="926">
        <v>1332761</v>
      </c>
      <c r="G65" s="926">
        <v>0.5</v>
      </c>
    </row>
    <row r="66" spans="1:7">
      <c r="A66" s="925" t="s">
        <v>1147</v>
      </c>
      <c r="B66" s="926">
        <v>51.59</v>
      </c>
      <c r="C66" s="926">
        <v>1.2</v>
      </c>
      <c r="D66" s="926">
        <v>1.2</v>
      </c>
      <c r="E66" s="926">
        <v>919348.1</v>
      </c>
      <c r="F66" s="926">
        <v>1332742</v>
      </c>
      <c r="G66" s="926">
        <v>0.5</v>
      </c>
    </row>
    <row r="67" spans="1:7">
      <c r="A67" s="925" t="s">
        <v>1148</v>
      </c>
      <c r="B67" s="926">
        <v>51.56</v>
      </c>
      <c r="C67" s="926">
        <v>1.2</v>
      </c>
      <c r="D67" s="926">
        <v>1.2</v>
      </c>
      <c r="E67" s="926">
        <v>919380.9</v>
      </c>
      <c r="F67" s="926">
        <v>1332703</v>
      </c>
      <c r="G67" s="926">
        <v>0.5</v>
      </c>
    </row>
    <row r="68" spans="1:7">
      <c r="A68" s="925" t="s">
        <v>1149</v>
      </c>
      <c r="B68" s="926">
        <v>51.59</v>
      </c>
      <c r="C68" s="926">
        <v>1.2</v>
      </c>
      <c r="D68" s="926">
        <v>1.2</v>
      </c>
      <c r="E68" s="926">
        <v>919387.6</v>
      </c>
      <c r="F68" s="926">
        <v>1332667</v>
      </c>
      <c r="G68" s="926">
        <v>0.5</v>
      </c>
    </row>
    <row r="69" spans="1:7">
      <c r="A69" s="925" t="s">
        <v>1150</v>
      </c>
      <c r="B69" s="926">
        <v>51.37</v>
      </c>
      <c r="C69" s="926">
        <v>1.2</v>
      </c>
      <c r="D69" s="926">
        <v>1.2</v>
      </c>
      <c r="E69" s="926">
        <v>919392.9</v>
      </c>
      <c r="F69" s="926">
        <v>1332634</v>
      </c>
      <c r="G69" s="926">
        <v>0.5</v>
      </c>
    </row>
    <row r="70" spans="1:7">
      <c r="A70" s="925" t="s">
        <v>1151</v>
      </c>
      <c r="B70" s="926">
        <v>51.4</v>
      </c>
      <c r="C70" s="926">
        <v>1.2</v>
      </c>
      <c r="D70" s="926">
        <v>1.2</v>
      </c>
      <c r="E70" s="926">
        <v>919393.5</v>
      </c>
      <c r="F70" s="926">
        <v>1332594</v>
      </c>
      <c r="G70" s="926">
        <v>0.5</v>
      </c>
    </row>
    <row r="71" spans="1:7">
      <c r="A71" s="925" t="s">
        <v>1152</v>
      </c>
      <c r="B71" s="926">
        <v>51.38</v>
      </c>
      <c r="C71" s="926">
        <v>1.2</v>
      </c>
      <c r="D71" s="926">
        <v>1.2</v>
      </c>
      <c r="E71" s="926">
        <v>919458.4</v>
      </c>
      <c r="F71" s="926">
        <v>1332423</v>
      </c>
      <c r="G71" s="926">
        <v>0.5</v>
      </c>
    </row>
    <row r="72" spans="1:7">
      <c r="A72" s="925" t="s">
        <v>1153</v>
      </c>
      <c r="B72" s="926">
        <v>51.97</v>
      </c>
      <c r="C72" s="926">
        <v>1.2</v>
      </c>
      <c r="D72" s="926">
        <v>1.2</v>
      </c>
      <c r="E72" s="926">
        <v>919309.8</v>
      </c>
      <c r="F72" s="926">
        <v>1332895</v>
      </c>
      <c r="G72" s="926">
        <v>0.5</v>
      </c>
    </row>
    <row r="73" spans="1:7">
      <c r="A73" s="925" t="s">
        <v>1154</v>
      </c>
      <c r="B73" s="926">
        <v>53.3</v>
      </c>
      <c r="C73" s="926">
        <v>1.2</v>
      </c>
      <c r="D73" s="926">
        <v>1.2</v>
      </c>
      <c r="E73" s="926">
        <v>919316.1</v>
      </c>
      <c r="F73" s="926">
        <v>1332925</v>
      </c>
      <c r="G73" s="926">
        <v>0.5</v>
      </c>
    </row>
    <row r="74" spans="1:7">
      <c r="A74" s="925" t="s">
        <v>1155</v>
      </c>
      <c r="B74" s="926">
        <v>53.15</v>
      </c>
      <c r="C74" s="926">
        <v>1.2</v>
      </c>
      <c r="D74" s="926">
        <v>1.2</v>
      </c>
      <c r="E74" s="926">
        <v>919332.6</v>
      </c>
      <c r="F74" s="926">
        <v>1332946</v>
      </c>
      <c r="G74" s="926">
        <v>0.5</v>
      </c>
    </row>
    <row r="75" spans="1:7">
      <c r="A75" s="925" t="s">
        <v>1156</v>
      </c>
      <c r="B75" s="926">
        <v>53.06</v>
      </c>
      <c r="C75" s="926">
        <v>1.2</v>
      </c>
      <c r="D75" s="926">
        <v>1.2</v>
      </c>
      <c r="E75" s="926">
        <v>919333.6</v>
      </c>
      <c r="F75" s="926">
        <v>1332922</v>
      </c>
      <c r="G75" s="926">
        <v>2</v>
      </c>
    </row>
    <row r="76" spans="1:7">
      <c r="A76" s="925" t="s">
        <v>1157</v>
      </c>
      <c r="B76" s="926">
        <v>53.73</v>
      </c>
      <c r="C76" s="926">
        <v>1.2</v>
      </c>
      <c r="D76" s="926">
        <v>1.2</v>
      </c>
      <c r="E76" s="926">
        <v>919342.1</v>
      </c>
      <c r="F76" s="926">
        <v>1332952</v>
      </c>
      <c r="G76" s="926">
        <v>2</v>
      </c>
    </row>
    <row r="77" spans="1:7">
      <c r="A77" s="925" t="s">
        <v>1158</v>
      </c>
      <c r="B77" s="926">
        <v>54.55</v>
      </c>
      <c r="C77" s="926">
        <v>1.2</v>
      </c>
      <c r="D77" s="926">
        <v>1.2</v>
      </c>
      <c r="E77" s="926">
        <v>919366.8</v>
      </c>
      <c r="F77" s="926">
        <v>1332974</v>
      </c>
      <c r="G77" s="926">
        <v>2</v>
      </c>
    </row>
    <row r="78" spans="1:7">
      <c r="A78" s="925" t="s">
        <v>1159</v>
      </c>
      <c r="B78" s="926">
        <v>54.77</v>
      </c>
      <c r="C78" s="926">
        <v>1.2</v>
      </c>
      <c r="D78" s="926">
        <v>1.2</v>
      </c>
      <c r="E78" s="926">
        <v>919386.6</v>
      </c>
      <c r="F78" s="926">
        <v>1332995</v>
      </c>
      <c r="G78" s="926">
        <v>2</v>
      </c>
    </row>
    <row r="79" spans="1:7">
      <c r="A79" s="925" t="s">
        <v>1160</v>
      </c>
      <c r="B79" s="926">
        <v>55.67</v>
      </c>
      <c r="C79" s="926">
        <v>1.2</v>
      </c>
      <c r="D79" s="926">
        <v>1.2</v>
      </c>
      <c r="E79" s="926">
        <v>919410.3</v>
      </c>
      <c r="F79" s="926">
        <v>1333023</v>
      </c>
      <c r="G79" s="926">
        <v>2</v>
      </c>
    </row>
    <row r="80" spans="1:7">
      <c r="A80" s="925" t="s">
        <v>1161</v>
      </c>
      <c r="B80" s="926">
        <v>55.74</v>
      </c>
      <c r="C80" s="926">
        <v>1.2</v>
      </c>
      <c r="D80" s="926">
        <v>1.2</v>
      </c>
      <c r="E80" s="926">
        <v>919389.6</v>
      </c>
      <c r="F80" s="926">
        <v>1333039</v>
      </c>
      <c r="G80" s="926">
        <v>0.5</v>
      </c>
    </row>
    <row r="81" spans="1:7">
      <c r="A81" s="925" t="s">
        <v>1162</v>
      </c>
      <c r="B81" s="926">
        <v>55.75</v>
      </c>
      <c r="C81" s="926">
        <v>1.2</v>
      </c>
      <c r="D81" s="926">
        <v>1.2</v>
      </c>
      <c r="E81" s="926">
        <v>919379.9</v>
      </c>
      <c r="F81" s="926">
        <v>1333046</v>
      </c>
      <c r="G81" s="926">
        <v>0.5</v>
      </c>
    </row>
    <row r="82" spans="1:7">
      <c r="A82" s="925" t="s">
        <v>1163</v>
      </c>
      <c r="B82" s="926">
        <v>56.23</v>
      </c>
      <c r="C82" s="926">
        <v>1.2</v>
      </c>
      <c r="D82" s="926">
        <v>1.2</v>
      </c>
      <c r="E82" s="926">
        <v>919429.1</v>
      </c>
      <c r="F82" s="926">
        <v>1333046</v>
      </c>
      <c r="G82" s="926">
        <v>0.5</v>
      </c>
    </row>
    <row r="83" spans="1:7">
      <c r="A83" s="925" t="s">
        <v>1164</v>
      </c>
      <c r="B83" s="926">
        <v>56.43</v>
      </c>
      <c r="C83" s="926">
        <v>1.2</v>
      </c>
      <c r="D83" s="926">
        <v>1.2</v>
      </c>
      <c r="E83" s="926">
        <v>919411.3</v>
      </c>
      <c r="F83" s="926">
        <v>1333057</v>
      </c>
      <c r="G83" s="926">
        <v>0.5</v>
      </c>
    </row>
    <row r="84" spans="1:7">
      <c r="A84" s="925" t="s">
        <v>1165</v>
      </c>
      <c r="B84" s="926">
        <v>55.67</v>
      </c>
      <c r="C84" s="926">
        <v>1.2</v>
      </c>
      <c r="D84" s="926">
        <v>1.2</v>
      </c>
      <c r="E84" s="926">
        <v>919401.6</v>
      </c>
      <c r="F84" s="926">
        <v>1333064</v>
      </c>
      <c r="G84" s="926">
        <v>0.5</v>
      </c>
    </row>
    <row r="85" spans="1:7">
      <c r="A85" s="925" t="s">
        <v>1166</v>
      </c>
      <c r="B85" s="926">
        <v>56.17</v>
      </c>
      <c r="C85" s="926">
        <v>1.2</v>
      </c>
      <c r="D85" s="926">
        <v>1.2</v>
      </c>
      <c r="E85" s="926">
        <v>919407.7</v>
      </c>
      <c r="F85" s="926">
        <v>1333073</v>
      </c>
      <c r="G85" s="926">
        <v>0.5</v>
      </c>
    </row>
    <row r="86" spans="1:7">
      <c r="A86" s="925" t="s">
        <v>1167</v>
      </c>
      <c r="B86" s="926">
        <v>57.67</v>
      </c>
      <c r="C86" s="926">
        <v>1.2</v>
      </c>
      <c r="D86" s="926">
        <v>1.2</v>
      </c>
      <c r="E86" s="926">
        <v>919417.6</v>
      </c>
      <c r="F86" s="926">
        <v>1333082</v>
      </c>
      <c r="G86" s="926">
        <v>0.5</v>
      </c>
    </row>
    <row r="87" spans="1:7">
      <c r="A87" s="925" t="s">
        <v>1168</v>
      </c>
      <c r="B87" s="926">
        <v>58.67</v>
      </c>
      <c r="C87" s="926">
        <v>1.2</v>
      </c>
      <c r="D87" s="926">
        <v>1.2</v>
      </c>
      <c r="E87" s="926">
        <v>919427.1</v>
      </c>
      <c r="F87" s="926">
        <v>1333095</v>
      </c>
      <c r="G87" s="926">
        <v>0.5</v>
      </c>
    </row>
    <row r="88" spans="1:7">
      <c r="A88" s="925" t="s">
        <v>1169</v>
      </c>
      <c r="B88" s="926">
        <v>58.87</v>
      </c>
      <c r="C88" s="926">
        <v>1.2</v>
      </c>
      <c r="D88" s="926">
        <v>1.2</v>
      </c>
      <c r="E88" s="926">
        <v>919436.6</v>
      </c>
      <c r="F88" s="926">
        <v>1333110</v>
      </c>
      <c r="G88" s="926">
        <v>0.5</v>
      </c>
    </row>
    <row r="89" spans="1:7">
      <c r="A89" s="925" t="s">
        <v>1170</v>
      </c>
      <c r="B89" s="926">
        <v>56.75</v>
      </c>
      <c r="C89" s="926">
        <v>1.2</v>
      </c>
      <c r="D89" s="926">
        <v>1.2</v>
      </c>
      <c r="E89" s="926">
        <v>919440.5</v>
      </c>
      <c r="F89" s="926">
        <v>1333059</v>
      </c>
      <c r="G89" s="926">
        <v>2</v>
      </c>
    </row>
    <row r="90" spans="1:7">
      <c r="A90" s="925" t="s">
        <v>1171</v>
      </c>
      <c r="B90" s="926">
        <v>57.34</v>
      </c>
      <c r="C90" s="926">
        <v>1.2</v>
      </c>
      <c r="D90" s="926">
        <v>1.2</v>
      </c>
      <c r="E90" s="926">
        <v>919463.8</v>
      </c>
      <c r="F90" s="926">
        <v>1333089</v>
      </c>
      <c r="G90" s="926">
        <v>2</v>
      </c>
    </row>
    <row r="91" spans="1:7">
      <c r="A91" s="925" t="s">
        <v>1172</v>
      </c>
      <c r="B91" s="926">
        <v>59.3</v>
      </c>
      <c r="C91" s="926">
        <v>1.2</v>
      </c>
      <c r="D91" s="926">
        <v>1.2</v>
      </c>
      <c r="E91" s="926">
        <v>919512.7</v>
      </c>
      <c r="F91" s="926">
        <v>1333165</v>
      </c>
      <c r="G91" s="926">
        <v>0.5</v>
      </c>
    </row>
    <row r="92" spans="1:7">
      <c r="A92" s="925" t="s">
        <v>1173</v>
      </c>
      <c r="B92" s="926">
        <v>58</v>
      </c>
      <c r="C92" s="926">
        <v>1.2</v>
      </c>
      <c r="D92" s="926">
        <v>1.2</v>
      </c>
      <c r="E92" s="926">
        <v>919475.9</v>
      </c>
      <c r="F92" s="926">
        <v>1333154</v>
      </c>
      <c r="G92" s="926">
        <v>0.5</v>
      </c>
    </row>
    <row r="93" spans="1:7">
      <c r="A93" s="925" t="s">
        <v>1174</v>
      </c>
      <c r="B93" s="926">
        <v>57.9</v>
      </c>
      <c r="C93" s="926">
        <v>1.2</v>
      </c>
      <c r="D93" s="926">
        <v>1.2</v>
      </c>
      <c r="E93" s="926">
        <v>919447.4</v>
      </c>
      <c r="F93" s="926">
        <v>1333130</v>
      </c>
      <c r="G93" s="926">
        <v>0.5</v>
      </c>
    </row>
    <row r="94" spans="1:7">
      <c r="A94" s="925" t="s">
        <v>1175</v>
      </c>
      <c r="B94" s="926">
        <v>58.03</v>
      </c>
      <c r="C94" s="926">
        <v>1.2</v>
      </c>
      <c r="D94" s="926">
        <v>1.2</v>
      </c>
      <c r="E94" s="926">
        <v>919527</v>
      </c>
      <c r="F94" s="926">
        <v>1333137</v>
      </c>
      <c r="G94" s="926">
        <v>0.5</v>
      </c>
    </row>
    <row r="95" spans="1:7">
      <c r="A95" s="925" t="s">
        <v>1176</v>
      </c>
      <c r="B95" s="926">
        <v>54.19</v>
      </c>
      <c r="C95" s="926">
        <v>1.2</v>
      </c>
      <c r="D95" s="926">
        <v>1.2</v>
      </c>
      <c r="E95" s="926">
        <v>919576.2</v>
      </c>
      <c r="F95" s="926">
        <v>1333191</v>
      </c>
      <c r="G95" s="926">
        <v>0.5</v>
      </c>
    </row>
    <row r="96" spans="1:7">
      <c r="A96" s="925" t="s">
        <v>1177</v>
      </c>
      <c r="B96" s="926">
        <v>58.11</v>
      </c>
      <c r="C96" s="926">
        <v>1.2</v>
      </c>
      <c r="D96" s="926">
        <v>1.2</v>
      </c>
      <c r="E96" s="926">
        <v>919519</v>
      </c>
      <c r="F96" s="926">
        <v>1333135</v>
      </c>
      <c r="G96" s="926">
        <v>2</v>
      </c>
    </row>
    <row r="97" spans="1:7">
      <c r="A97" s="927" t="s">
        <v>1178</v>
      </c>
      <c r="B97" s="928">
        <v>57.64</v>
      </c>
      <c r="C97" s="928">
        <v>1.2</v>
      </c>
      <c r="D97" s="928">
        <v>1.2</v>
      </c>
      <c r="E97" s="928">
        <v>919488.9</v>
      </c>
      <c r="F97" s="928">
        <v>1333117</v>
      </c>
      <c r="G97" s="928">
        <v>2</v>
      </c>
    </row>
    <row r="98" spans="1:7">
      <c r="A98" s="920">
        <f>COUNTA(A6:A97)</f>
        <v>92</v>
      </c>
      <c r="B98" s="920" t="s">
        <v>1179</v>
      </c>
    </row>
  </sheetData>
  <printOptions horizontalCentered="1" verticalCentered="1"/>
  <pageMargins left="0" right="0" top="0" bottom="0" header="0" footer="0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2"/>
  <sheetViews>
    <sheetView view="pageBreakPreview" zoomScaleNormal="100" zoomScaleSheetLayoutView="100" workbookViewId="0">
      <selection activeCell="E121" sqref="E121"/>
    </sheetView>
  </sheetViews>
  <sheetFormatPr baseColWidth="10" defaultColWidth="11.42578125" defaultRowHeight="15"/>
  <cols>
    <col min="1" max="1" width="7.7109375" style="920" bestFit="1" customWidth="1"/>
    <col min="2" max="2" width="9" style="920" bestFit="1" customWidth="1"/>
    <col min="3" max="3" width="10.5703125" style="920" customWidth="1"/>
    <col min="4" max="4" width="11.7109375" style="920" customWidth="1"/>
    <col min="5" max="5" width="7" style="920" bestFit="1" customWidth="1"/>
    <col min="6" max="7" width="6.7109375" style="920" customWidth="1"/>
    <col min="8" max="8" width="9.140625" style="920" customWidth="1"/>
    <col min="9" max="9" width="6.7109375" style="920" customWidth="1"/>
    <col min="10" max="10" width="9.85546875" style="920" customWidth="1"/>
    <col min="11" max="11" width="5.5703125" style="920" bestFit="1" customWidth="1"/>
    <col min="12" max="12" width="6.7109375" style="920" customWidth="1"/>
    <col min="13" max="13" width="8.5703125" style="920" customWidth="1"/>
    <col min="14" max="14" width="8.85546875" style="920" customWidth="1"/>
    <col min="15" max="15" width="7.85546875" style="920" customWidth="1"/>
    <col min="16" max="16" width="8.7109375" style="920" customWidth="1"/>
    <col min="17" max="17" width="0.5703125" style="920" customWidth="1"/>
    <col min="18" max="18" width="11.42578125" style="920"/>
    <col min="19" max="19" width="10.7109375" style="920" customWidth="1"/>
    <col min="20" max="16384" width="11.42578125" style="920"/>
  </cols>
  <sheetData>
    <row r="1" spans="1:19">
      <c r="A1" s="920" t="s">
        <v>1044</v>
      </c>
    </row>
    <row r="2" spans="1:19">
      <c r="A2" s="920" t="s">
        <v>1045</v>
      </c>
    </row>
    <row r="3" spans="1:19">
      <c r="A3" s="920" t="s">
        <v>1046</v>
      </c>
    </row>
    <row r="4" spans="1:19">
      <c r="A4" s="920" t="s">
        <v>1047</v>
      </c>
    </row>
    <row r="5" spans="1:19">
      <c r="A5" s="920" t="s">
        <v>1048</v>
      </c>
    </row>
    <row r="6" spans="1:19" ht="21.75" customHeight="1">
      <c r="A6" s="945" t="s">
        <v>1049</v>
      </c>
      <c r="B6" s="946" t="s">
        <v>1050</v>
      </c>
      <c r="C6" s="1279" t="s">
        <v>1181</v>
      </c>
      <c r="D6" s="1278" t="s">
        <v>1184</v>
      </c>
      <c r="E6" s="1281" t="s">
        <v>1052</v>
      </c>
      <c r="F6" s="1275" t="s">
        <v>1053</v>
      </c>
      <c r="G6" s="1275" t="s">
        <v>1054</v>
      </c>
      <c r="H6" s="1280" t="s">
        <v>1182</v>
      </c>
      <c r="I6" s="1275" t="s">
        <v>1055</v>
      </c>
      <c r="J6" s="1275" t="s">
        <v>1056</v>
      </c>
      <c r="K6" s="1275" t="s">
        <v>1180</v>
      </c>
      <c r="L6" s="1275" t="s">
        <v>1183</v>
      </c>
      <c r="M6" s="1275" t="s">
        <v>1057</v>
      </c>
      <c r="N6" s="1275" t="s">
        <v>1058</v>
      </c>
      <c r="O6" s="1275" t="s">
        <v>1059</v>
      </c>
      <c r="P6" s="1275" t="s">
        <v>1060</v>
      </c>
      <c r="Q6" s="936"/>
      <c r="R6" s="1275" t="s">
        <v>1061</v>
      </c>
      <c r="S6" s="1275" t="s">
        <v>328</v>
      </c>
    </row>
    <row r="7" spans="1:19" ht="20.25" customHeight="1">
      <c r="A7" s="945" t="s">
        <v>327</v>
      </c>
      <c r="B7" s="946" t="s">
        <v>1051</v>
      </c>
      <c r="C7" s="1279"/>
      <c r="D7" s="1278"/>
      <c r="E7" s="1281"/>
      <c r="F7" s="1275"/>
      <c r="G7" s="1275"/>
      <c r="H7" s="1280"/>
      <c r="I7" s="1275"/>
      <c r="J7" s="1275"/>
      <c r="K7" s="1275"/>
      <c r="L7" s="1275"/>
      <c r="M7" s="1275"/>
      <c r="N7" s="1275"/>
      <c r="O7" s="1275"/>
      <c r="P7" s="1275"/>
      <c r="Q7" s="936"/>
      <c r="R7" s="1275"/>
      <c r="S7" s="1275"/>
    </row>
    <row r="8" spans="1:19">
      <c r="A8" s="947">
        <v>8</v>
      </c>
      <c r="B8" s="948">
        <v>2025.12</v>
      </c>
      <c r="C8" s="948">
        <v>2600.92</v>
      </c>
      <c r="D8" s="949">
        <v>1.58</v>
      </c>
      <c r="E8" s="944">
        <f>A8*0.0254</f>
        <v>0.20319999999999999</v>
      </c>
      <c r="F8" s="938">
        <f>PI()*POWER((E8/2),2)</f>
        <v>3.2399999999999998E-2</v>
      </c>
      <c r="G8" s="939">
        <f>VLOOKUP(A8,$F$27:$H$42,3,FALSE)</f>
        <v>0.6</v>
      </c>
      <c r="H8" s="940">
        <f t="shared" ref="H8:H13" si="0">(G8-E8)/2</f>
        <v>0.2</v>
      </c>
      <c r="I8" s="941">
        <f>E8+0.3</f>
        <v>0.503</v>
      </c>
      <c r="J8" s="941">
        <f>D8-I8</f>
        <v>1.077</v>
      </c>
      <c r="K8" s="941">
        <f>0.22+0.2+0.3</f>
        <v>0.72</v>
      </c>
      <c r="L8" s="941">
        <f>IF(K8&gt;J8,0,J8-K8)</f>
        <v>0.35699999999999998</v>
      </c>
      <c r="M8" s="940">
        <f>L8*G8*B8</f>
        <v>433.78</v>
      </c>
      <c r="N8" s="940">
        <f>((I8*G8)-F8)*B8</f>
        <v>545.57000000000005</v>
      </c>
      <c r="O8" s="940">
        <f>B8*D8*G8</f>
        <v>1919.81</v>
      </c>
      <c r="P8" s="940">
        <f>B8*(D8-K8)*G8</f>
        <v>1044.96</v>
      </c>
      <c r="Q8" s="937"/>
      <c r="R8" s="940">
        <f>ROUNDUP(($B8/10)*2,0)</f>
        <v>406</v>
      </c>
      <c r="S8" s="940">
        <f>ROUNDUP(($B8/10)*2*8,0)</f>
        <v>3241</v>
      </c>
    </row>
    <row r="9" spans="1:19">
      <c r="A9" s="947">
        <v>10</v>
      </c>
      <c r="B9" s="948">
        <v>252.5</v>
      </c>
      <c r="C9" s="948">
        <v>288.27999999999997</v>
      </c>
      <c r="D9" s="949">
        <v>1.58</v>
      </c>
      <c r="E9" s="944">
        <f>A9*0.0254</f>
        <v>0.254</v>
      </c>
      <c r="F9" s="938">
        <f>PI()*POWER((E9/2),2)</f>
        <v>5.0700000000000002E-2</v>
      </c>
      <c r="G9" s="939">
        <f t="shared" ref="G9:G14" si="1">VLOOKUP(A9,$F$27:$H$42,3,FALSE)</f>
        <v>0.65</v>
      </c>
      <c r="H9" s="940">
        <f t="shared" si="0"/>
        <v>0.2</v>
      </c>
      <c r="I9" s="941">
        <f>E9+0.3</f>
        <v>0.55400000000000005</v>
      </c>
      <c r="J9" s="941">
        <f>D9-I9</f>
        <v>1.026</v>
      </c>
      <c r="K9" s="941">
        <f t="shared" ref="K9:K14" si="2">0.22+0.2+0.3</f>
        <v>0.72</v>
      </c>
      <c r="L9" s="941">
        <f t="shared" ref="L9:L14" si="3">IF(K9&gt;J9,0,J9-K9)</f>
        <v>0.30599999999999999</v>
      </c>
      <c r="M9" s="940">
        <f>L9*G9*B9</f>
        <v>50.22</v>
      </c>
      <c r="N9" s="940">
        <f>((I9*G9)-F9)*B9</f>
        <v>78.12</v>
      </c>
      <c r="O9" s="940">
        <f>B9*D9*G9</f>
        <v>259.32</v>
      </c>
      <c r="P9" s="940">
        <f>B9*(D9-K9)*G9</f>
        <v>141.15</v>
      </c>
      <c r="Q9" s="937"/>
      <c r="R9" s="940">
        <f>ROUNDUP(($B9/10)*2,0)</f>
        <v>51</v>
      </c>
      <c r="S9" s="940">
        <f>ROUNDUP(($B9/10)*2*8,0)</f>
        <v>404</v>
      </c>
    </row>
    <row r="10" spans="1:19">
      <c r="A10" s="947">
        <v>12</v>
      </c>
      <c r="B10" s="948">
        <v>132.82</v>
      </c>
      <c r="C10" s="948">
        <v>273.42</v>
      </c>
      <c r="D10" s="949">
        <v>2.3199999999999998</v>
      </c>
      <c r="E10" s="944">
        <f>A10*0.0254</f>
        <v>0.30480000000000002</v>
      </c>
      <c r="F10" s="938">
        <f>PI()*POWER((E10/2),2)</f>
        <v>7.2999999999999995E-2</v>
      </c>
      <c r="G10" s="939">
        <f t="shared" si="1"/>
        <v>0.71</v>
      </c>
      <c r="H10" s="940">
        <f t="shared" si="0"/>
        <v>0.2</v>
      </c>
      <c r="I10" s="941">
        <f>E10+0.3</f>
        <v>0.60499999999999998</v>
      </c>
      <c r="J10" s="941">
        <f>D10-I10</f>
        <v>1.7150000000000001</v>
      </c>
      <c r="K10" s="941">
        <f t="shared" si="2"/>
        <v>0.72</v>
      </c>
      <c r="L10" s="941">
        <f t="shared" si="3"/>
        <v>0.995</v>
      </c>
      <c r="M10" s="940">
        <f>L10*G10*B10</f>
        <v>93.83</v>
      </c>
      <c r="N10" s="940">
        <f>((I10*G10)-F10)*B10</f>
        <v>47.36</v>
      </c>
      <c r="O10" s="940">
        <f>B10*D10*G10</f>
        <v>218.78</v>
      </c>
      <c r="P10" s="940">
        <f>B10*(D10-K10)*G10</f>
        <v>150.88</v>
      </c>
      <c r="Q10" s="937"/>
      <c r="R10" s="940">
        <f>ROUNDUP(($B10/10)*2,0)</f>
        <v>27</v>
      </c>
      <c r="S10" s="940">
        <f>ROUNDUP(($B10/10)*2*8,0)</f>
        <v>213</v>
      </c>
    </row>
    <row r="11" spans="1:19">
      <c r="A11" s="947">
        <v>14</v>
      </c>
      <c r="B11" s="948">
        <v>334.98</v>
      </c>
      <c r="C11" s="948">
        <v>653.75</v>
      </c>
      <c r="D11" s="949">
        <v>2.29</v>
      </c>
      <c r="E11" s="944">
        <f>A11*0.0254</f>
        <v>0.35560000000000003</v>
      </c>
      <c r="F11" s="938">
        <f>PI()*POWER((E11/2),2)</f>
        <v>9.9299999999999999E-2</v>
      </c>
      <c r="G11" s="939">
        <f t="shared" si="1"/>
        <v>0.76</v>
      </c>
      <c r="H11" s="940">
        <f t="shared" si="0"/>
        <v>0.2</v>
      </c>
      <c r="I11" s="941">
        <f>E11+0.3</f>
        <v>0.65600000000000003</v>
      </c>
      <c r="J11" s="941">
        <f>D11-I11</f>
        <v>1.6339999999999999</v>
      </c>
      <c r="K11" s="941">
        <f t="shared" si="2"/>
        <v>0.72</v>
      </c>
      <c r="L11" s="941">
        <f t="shared" si="3"/>
        <v>0.91400000000000003</v>
      </c>
      <c r="M11" s="940">
        <f>L11*G11*B11</f>
        <v>232.69</v>
      </c>
      <c r="N11" s="940">
        <f>((I11*G11)-F11)*B11</f>
        <v>133.74</v>
      </c>
      <c r="O11" s="940">
        <f>B11*D11*G11</f>
        <v>583</v>
      </c>
      <c r="P11" s="940">
        <f>B11*(D11-K11)*G11</f>
        <v>399.7</v>
      </c>
      <c r="Q11" s="937"/>
      <c r="R11" s="940">
        <f>ROUNDUP(($B11/10)*2,0)</f>
        <v>67</v>
      </c>
      <c r="S11" s="940">
        <f>ROUNDUP(($B11/10)*2*8,0)</f>
        <v>536</v>
      </c>
    </row>
    <row r="12" spans="1:19">
      <c r="A12" s="947">
        <v>16</v>
      </c>
      <c r="B12" s="948">
        <v>368.02</v>
      </c>
      <c r="C12" s="948">
        <v>1067.46</v>
      </c>
      <c r="D12" s="949">
        <v>3.35</v>
      </c>
      <c r="E12" s="944">
        <f>A12*0.0254</f>
        <v>0.40639999999999998</v>
      </c>
      <c r="F12" s="938">
        <f>PI()*POWER((E12/2),2)</f>
        <v>0.12970000000000001</v>
      </c>
      <c r="G12" s="939">
        <f t="shared" si="1"/>
        <v>0.81</v>
      </c>
      <c r="H12" s="940">
        <f t="shared" si="0"/>
        <v>0.2</v>
      </c>
      <c r="I12" s="941">
        <f>E12+0.3</f>
        <v>0.70599999999999996</v>
      </c>
      <c r="J12" s="941">
        <f>D12-I12</f>
        <v>2.6440000000000001</v>
      </c>
      <c r="K12" s="941">
        <f t="shared" si="2"/>
        <v>0.72</v>
      </c>
      <c r="L12" s="941">
        <f t="shared" si="3"/>
        <v>1.9239999999999999</v>
      </c>
      <c r="M12" s="940">
        <f>L12*G12*B12</f>
        <v>573.54</v>
      </c>
      <c r="N12" s="940">
        <f>((I12*G12)-F12)*B12</f>
        <v>162.72</v>
      </c>
      <c r="O12" s="940">
        <f>B12*D12*G12</f>
        <v>998.62</v>
      </c>
      <c r="P12" s="940">
        <f>B12*(D12-K12)*G12</f>
        <v>783.99</v>
      </c>
      <c r="Q12" s="937"/>
      <c r="R12" s="940">
        <f>ROUNDUP(($B12/10)*2,0)</f>
        <v>74</v>
      </c>
      <c r="S12" s="940">
        <f>ROUNDUP(($B12/10)*2*8,0)</f>
        <v>589</v>
      </c>
    </row>
    <row r="13" spans="1:19">
      <c r="A13" s="947">
        <v>18</v>
      </c>
      <c r="B13" s="948">
        <v>27.72</v>
      </c>
      <c r="C13" s="948">
        <v>93.13</v>
      </c>
      <c r="D13" s="949">
        <v>3.95</v>
      </c>
      <c r="E13" s="944">
        <f t="shared" ref="E13:E14" si="4">A13*0.0254</f>
        <v>0.4572</v>
      </c>
      <c r="F13" s="938">
        <f t="shared" ref="F13:F14" si="5">PI()*POWER((E13/2),2)</f>
        <v>0.16420000000000001</v>
      </c>
      <c r="G13" s="939">
        <f>VLOOKUP(A13,$F$27:$H$42,3,FALSE)</f>
        <v>0.86</v>
      </c>
      <c r="H13" s="940">
        <f t="shared" si="0"/>
        <v>0.2</v>
      </c>
      <c r="I13" s="941">
        <f t="shared" ref="I13:I14" si="6">E13+0.3</f>
        <v>0.75700000000000001</v>
      </c>
      <c r="J13" s="941">
        <f t="shared" ref="J13" si="7">D13-I13</f>
        <v>3.1930000000000001</v>
      </c>
      <c r="K13" s="941">
        <f>0.22+0.2+0.3</f>
        <v>0.72</v>
      </c>
      <c r="L13" s="941">
        <f>IF(K13&gt;J13,0,J13-K13)</f>
        <v>2.4729999999999999</v>
      </c>
      <c r="M13" s="940">
        <f t="shared" ref="M13" si="8">L13*G13*B13</f>
        <v>58.95</v>
      </c>
      <c r="N13" s="940">
        <f t="shared" ref="N13:N14" si="9">((I13*G13)-F13)*B13</f>
        <v>13.49</v>
      </c>
      <c r="O13" s="940">
        <f t="shared" ref="O13:O14" si="10">B13*D13*G13</f>
        <v>94.16</v>
      </c>
      <c r="P13" s="940">
        <f t="shared" ref="P13:P14" si="11">B13*(D13-K13)*G13</f>
        <v>77</v>
      </c>
      <c r="Q13" s="942"/>
      <c r="R13" s="940">
        <f t="shared" ref="R13:R14" si="12">ROUNDUP(($B13/10)*2,0)</f>
        <v>6</v>
      </c>
      <c r="S13" s="940">
        <f t="shared" ref="S13:S14" si="13">ROUNDUP(($B13/10)*2*8,0)</f>
        <v>45</v>
      </c>
    </row>
    <row r="14" spans="1:19">
      <c r="A14" s="947">
        <v>20</v>
      </c>
      <c r="B14" s="948">
        <v>433.58</v>
      </c>
      <c r="C14" s="948">
        <v>1556.06</v>
      </c>
      <c r="D14" s="949">
        <v>4.13</v>
      </c>
      <c r="E14" s="944">
        <f t="shared" si="4"/>
        <v>0.50800000000000001</v>
      </c>
      <c r="F14" s="938">
        <f t="shared" si="5"/>
        <v>0.20269999999999999</v>
      </c>
      <c r="G14" s="939">
        <f t="shared" si="1"/>
        <v>0.91</v>
      </c>
      <c r="H14" s="940">
        <f t="shared" ref="H14" si="14">(G14-E14)/2</f>
        <v>0.2</v>
      </c>
      <c r="I14" s="941">
        <f t="shared" si="6"/>
        <v>0.80800000000000005</v>
      </c>
      <c r="J14" s="941">
        <f>D14-I14</f>
        <v>3.3220000000000001</v>
      </c>
      <c r="K14" s="941">
        <f t="shared" si="2"/>
        <v>0.72</v>
      </c>
      <c r="L14" s="941">
        <f t="shared" si="3"/>
        <v>2.6019999999999999</v>
      </c>
      <c r="M14" s="940">
        <f>L14*G14*B14</f>
        <v>1026.6400000000001</v>
      </c>
      <c r="N14" s="940">
        <f t="shared" si="9"/>
        <v>230.92</v>
      </c>
      <c r="O14" s="940">
        <f t="shared" si="10"/>
        <v>1629.52</v>
      </c>
      <c r="P14" s="940">
        <f t="shared" si="11"/>
        <v>1345.44</v>
      </c>
      <c r="Q14" s="942"/>
      <c r="R14" s="940">
        <f t="shared" si="12"/>
        <v>87</v>
      </c>
      <c r="S14" s="940">
        <f t="shared" si="13"/>
        <v>694</v>
      </c>
    </row>
    <row r="15" spans="1:19">
      <c r="A15" s="947" t="s">
        <v>85</v>
      </c>
      <c r="B15" s="948">
        <v>3574.74</v>
      </c>
      <c r="C15" s="948">
        <v>6533.02</v>
      </c>
      <c r="D15" s="949">
        <v>2.74</v>
      </c>
      <c r="M15" s="943">
        <f>SUM(M8:M14)</f>
        <v>2469.65</v>
      </c>
      <c r="N15" s="943">
        <f>SUM(N8:N14)</f>
        <v>1211.92</v>
      </c>
      <c r="O15" s="943">
        <f>SUM(O8:O14)</f>
        <v>5703.21</v>
      </c>
      <c r="P15" s="943">
        <f>SUM(P8:P14)</f>
        <v>3943.12</v>
      </c>
      <c r="Q15"/>
      <c r="R15" s="943">
        <f>SUM(R8:R14)</f>
        <v>718</v>
      </c>
      <c r="S15" s="943">
        <f>SUM(S8:S14)</f>
        <v>5722</v>
      </c>
    </row>
    <row r="26" spans="2:8">
      <c r="B26" s="1276" t="s">
        <v>1062</v>
      </c>
      <c r="C26" s="1276"/>
      <c r="D26" s="1276"/>
      <c r="F26" s="929" t="s">
        <v>894</v>
      </c>
      <c r="G26" s="929" t="s">
        <v>1052</v>
      </c>
      <c r="H26" s="929" t="s">
        <v>1075</v>
      </c>
    </row>
    <row r="27" spans="2:8">
      <c r="B27" s="1277" t="s">
        <v>1063</v>
      </c>
      <c r="C27" s="1277"/>
      <c r="D27" s="935" t="s">
        <v>1064</v>
      </c>
      <c r="F27" s="930">
        <v>8</v>
      </c>
      <c r="G27" s="931">
        <f>IFERROR(F27*0.0254,"")</f>
        <v>0.20300000000000001</v>
      </c>
      <c r="H27" s="932">
        <f>G27+0.4</f>
        <v>0.6</v>
      </c>
    </row>
    <row r="28" spans="2:8">
      <c r="B28" t="s">
        <v>1065</v>
      </c>
      <c r="D28" s="896" t="s">
        <v>1066</v>
      </c>
      <c r="F28" s="933">
        <v>10</v>
      </c>
      <c r="G28" s="931">
        <f>IFERROR(F28*0.0254,"")</f>
        <v>0.254</v>
      </c>
      <c r="H28" s="932">
        <f t="shared" ref="H28:H42" si="15">G28+0.4</f>
        <v>0.65</v>
      </c>
    </row>
    <row r="29" spans="2:8">
      <c r="B29" t="s">
        <v>1067</v>
      </c>
      <c r="D29" s="896" t="s">
        <v>1068</v>
      </c>
      <c r="F29" s="930">
        <v>12</v>
      </c>
      <c r="G29" s="931">
        <f t="shared" ref="G29:G42" si="16">IFERROR(F29*0.0254,"")</f>
        <v>0.30499999999999999</v>
      </c>
      <c r="H29" s="932">
        <f t="shared" si="15"/>
        <v>0.71</v>
      </c>
    </row>
    <row r="30" spans="2:8">
      <c r="B30" t="s">
        <v>1069</v>
      </c>
      <c r="D30" s="896" t="s">
        <v>1070</v>
      </c>
      <c r="F30" s="933">
        <v>14</v>
      </c>
      <c r="G30" s="931">
        <f t="shared" si="16"/>
        <v>0.35599999999999998</v>
      </c>
      <c r="H30" s="932">
        <f t="shared" si="15"/>
        <v>0.76</v>
      </c>
    </row>
    <row r="31" spans="2:8">
      <c r="B31" t="s">
        <v>1071</v>
      </c>
      <c r="D31" s="896" t="s">
        <v>1072</v>
      </c>
      <c r="F31" s="930">
        <v>16</v>
      </c>
      <c r="G31" s="931">
        <f t="shared" si="16"/>
        <v>0.40600000000000003</v>
      </c>
      <c r="H31" s="932">
        <f t="shared" si="15"/>
        <v>0.81</v>
      </c>
    </row>
    <row r="32" spans="2:8">
      <c r="B32" t="s">
        <v>1073</v>
      </c>
      <c r="D32" s="896" t="s">
        <v>1074</v>
      </c>
      <c r="F32" s="933">
        <v>18</v>
      </c>
      <c r="G32" s="931">
        <f t="shared" si="16"/>
        <v>0.45700000000000002</v>
      </c>
      <c r="H32" s="932">
        <f t="shared" si="15"/>
        <v>0.86</v>
      </c>
    </row>
    <row r="33" spans="6:8">
      <c r="F33" s="930">
        <v>20</v>
      </c>
      <c r="G33" s="931">
        <f t="shared" si="16"/>
        <v>0.50800000000000001</v>
      </c>
      <c r="H33" s="932">
        <f t="shared" si="15"/>
        <v>0.91</v>
      </c>
    </row>
    <row r="34" spans="6:8">
      <c r="F34" s="934">
        <v>24</v>
      </c>
      <c r="G34" s="931">
        <f t="shared" si="16"/>
        <v>0.61</v>
      </c>
      <c r="H34" s="932">
        <f t="shared" si="15"/>
        <v>1.01</v>
      </c>
    </row>
    <row r="35" spans="6:8">
      <c r="F35" s="930">
        <v>27</v>
      </c>
      <c r="G35" s="931">
        <f t="shared" si="16"/>
        <v>0.68600000000000005</v>
      </c>
      <c r="H35" s="932">
        <f t="shared" si="15"/>
        <v>1.0900000000000001</v>
      </c>
    </row>
    <row r="36" spans="6:8">
      <c r="F36" s="934">
        <v>30</v>
      </c>
      <c r="G36" s="931">
        <f t="shared" si="16"/>
        <v>0.76200000000000001</v>
      </c>
      <c r="H36" s="932">
        <f t="shared" si="15"/>
        <v>1.1599999999999999</v>
      </c>
    </row>
    <row r="37" spans="6:8">
      <c r="F37" s="930">
        <v>33</v>
      </c>
      <c r="G37" s="931">
        <f t="shared" si="16"/>
        <v>0.83799999999999997</v>
      </c>
      <c r="H37" s="932">
        <f t="shared" si="15"/>
        <v>1.24</v>
      </c>
    </row>
    <row r="38" spans="6:8">
      <c r="F38" s="934">
        <v>36</v>
      </c>
      <c r="G38" s="931">
        <f t="shared" si="16"/>
        <v>0.91400000000000003</v>
      </c>
      <c r="H38" s="932">
        <f t="shared" si="15"/>
        <v>1.31</v>
      </c>
    </row>
    <row r="39" spans="6:8">
      <c r="F39" s="930">
        <v>39</v>
      </c>
      <c r="G39" s="931">
        <f t="shared" si="16"/>
        <v>0.99099999999999999</v>
      </c>
      <c r="H39" s="932">
        <f t="shared" si="15"/>
        <v>1.39</v>
      </c>
    </row>
    <row r="40" spans="6:8">
      <c r="F40" s="934">
        <v>42</v>
      </c>
      <c r="G40" s="931">
        <f t="shared" si="16"/>
        <v>1.0669999999999999</v>
      </c>
      <c r="H40" s="932">
        <f t="shared" si="15"/>
        <v>1.47</v>
      </c>
    </row>
    <row r="41" spans="6:8">
      <c r="F41" s="930">
        <v>45</v>
      </c>
      <c r="G41" s="931">
        <f t="shared" si="16"/>
        <v>1.143</v>
      </c>
      <c r="H41" s="932">
        <f t="shared" si="15"/>
        <v>1.54</v>
      </c>
    </row>
    <row r="42" spans="6:8">
      <c r="F42" s="934">
        <v>48</v>
      </c>
      <c r="G42" s="931">
        <f t="shared" si="16"/>
        <v>1.2190000000000001</v>
      </c>
      <c r="H42" s="932">
        <f t="shared" si="15"/>
        <v>1.62</v>
      </c>
    </row>
  </sheetData>
  <mergeCells count="18">
    <mergeCell ref="N6:N7"/>
    <mergeCell ref="R6:R7"/>
    <mergeCell ref="S6:S7"/>
    <mergeCell ref="P6:P7"/>
    <mergeCell ref="O6:O7"/>
    <mergeCell ref="L6:L7"/>
    <mergeCell ref="K6:K7"/>
    <mergeCell ref="M6:M7"/>
    <mergeCell ref="B26:D26"/>
    <mergeCell ref="B27:C27"/>
    <mergeCell ref="D6:D7"/>
    <mergeCell ref="C6:C7"/>
    <mergeCell ref="J6:J7"/>
    <mergeCell ref="I6:I7"/>
    <mergeCell ref="H6:H7"/>
    <mergeCell ref="G6:G7"/>
    <mergeCell ref="F6:F7"/>
    <mergeCell ref="E6:E7"/>
  </mergeCells>
  <pageMargins left="0.27559055118110237" right="0.19685039370078741" top="0.74803149606299213" bottom="0.74803149606299213" header="0.31496062992125984" footer="0.31496062992125984"/>
  <pageSetup paperSize="9" scale="94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/>
  <dimension ref="A1:N109"/>
  <sheetViews>
    <sheetView view="pageBreakPreview" workbookViewId="0">
      <selection activeCell="M7" sqref="M7"/>
    </sheetView>
  </sheetViews>
  <sheetFormatPr baseColWidth="10" defaultColWidth="11.42578125" defaultRowHeight="10.5"/>
  <cols>
    <col min="1" max="1" width="7.42578125" style="139" customWidth="1"/>
    <col min="2" max="2" width="30.28515625" style="138" customWidth="1"/>
    <col min="3" max="3" width="11.7109375" style="138" customWidth="1"/>
    <col min="4" max="4" width="7.28515625" style="138" customWidth="1"/>
    <col min="5" max="5" width="13" style="138" customWidth="1"/>
    <col min="6" max="6" width="7.28515625" style="138" customWidth="1"/>
    <col min="7" max="7" width="10.7109375" style="138" bestFit="1" customWidth="1"/>
    <col min="8" max="8" width="9.42578125" style="138" bestFit="1" customWidth="1"/>
    <col min="9" max="9" width="7.140625" style="138" bestFit="1" customWidth="1"/>
    <col min="10" max="10" width="22.7109375" style="138" customWidth="1"/>
    <col min="11" max="11" width="2.5703125" style="138" customWidth="1"/>
    <col min="12" max="12" width="14.7109375" style="138" customWidth="1"/>
    <col min="13" max="13" width="16.85546875" style="138" customWidth="1"/>
    <col min="14" max="16384" width="11.42578125" style="138"/>
  </cols>
  <sheetData>
    <row r="1" spans="1:10" ht="14.25" customHeight="1">
      <c r="A1" s="1194" t="s">
        <v>1037</v>
      </c>
      <c r="B1" s="1194"/>
      <c r="C1" s="1194"/>
      <c r="D1" s="1194"/>
      <c r="E1" s="1194"/>
      <c r="F1" s="1194"/>
      <c r="G1" s="1194"/>
      <c r="H1" s="1194"/>
      <c r="I1" s="1194"/>
      <c r="J1" s="1194"/>
    </row>
    <row r="2" spans="1:10" ht="3" customHeight="1" thickBot="1"/>
    <row r="3" spans="1:10" ht="14.25" customHeight="1">
      <c r="A3" s="140"/>
      <c r="B3" s="141"/>
      <c r="C3" s="1287" t="str">
        <f>PPTO!D3</f>
        <v>PRESUPUESTO
MUNICIPIO EL BAGRE (ANTIOQUIA).</v>
      </c>
      <c r="D3" s="1288"/>
      <c r="E3" s="1288"/>
      <c r="F3" s="1288"/>
      <c r="G3" s="1288"/>
      <c r="H3" s="1288"/>
      <c r="I3" s="1288"/>
      <c r="J3" s="1289"/>
    </row>
    <row r="4" spans="1:10" ht="3.75" customHeight="1">
      <c r="A4" s="142"/>
      <c r="B4" s="143"/>
      <c r="C4" s="1290"/>
      <c r="D4" s="1291"/>
      <c r="E4" s="1291"/>
      <c r="F4" s="1291"/>
      <c r="G4" s="1291"/>
      <c r="H4" s="1291"/>
      <c r="I4" s="1291"/>
      <c r="J4" s="1292"/>
    </row>
    <row r="5" spans="1:10" ht="12.75" customHeight="1" thickBot="1">
      <c r="A5" s="142"/>
      <c r="B5" s="143"/>
      <c r="C5" s="1293"/>
      <c r="D5" s="1294"/>
      <c r="E5" s="1294"/>
      <c r="F5" s="1294"/>
      <c r="G5" s="1294"/>
      <c r="H5" s="1294"/>
      <c r="I5" s="1294"/>
      <c r="J5" s="1295"/>
    </row>
    <row r="6" spans="1:10" ht="13.5" thickBot="1">
      <c r="A6" s="142"/>
      <c r="B6" s="143"/>
      <c r="C6" s="1205" t="s">
        <v>886</v>
      </c>
      <c r="D6" s="1206"/>
      <c r="E6" s="1206"/>
      <c r="F6" s="1206"/>
      <c r="G6" s="1206"/>
      <c r="H6" s="1206"/>
      <c r="I6" s="1206"/>
      <c r="J6" s="1207"/>
    </row>
    <row r="7" spans="1:10" ht="51.75" customHeight="1" thickBot="1">
      <c r="A7" s="144"/>
      <c r="B7" s="145"/>
      <c r="C7" s="1205" t="str">
        <f>+PPTO!D5</f>
        <v>PROYECTO DE MEJORAMIENTO VIAL, ESPACIO PUBLICO Y OBRAS COMPLEMENTARIAS DE LA AVENIDA LA JUVENTUD Y TRAMOS ADYACENTES Y PRIORITARIOS DEL SECTOR URBANO EN EL MUNICIPIO EL BAGRE ANTIOQUIA.</v>
      </c>
      <c r="D7" s="1206"/>
      <c r="E7" s="1206"/>
      <c r="F7" s="1206"/>
      <c r="G7" s="1206"/>
      <c r="H7" s="1206"/>
      <c r="I7" s="1206"/>
      <c r="J7" s="1207"/>
    </row>
    <row r="8" spans="1:10" ht="13.5" customHeight="1">
      <c r="A8" s="1214" t="str">
        <f>CONCATENATE("INTERVENTORÍA TÉCNICA, FINANCIERA Y ADMINISTRATIVA PARA EL ",C7)</f>
        <v>INTERVENTORÍA TÉCNICA, FINANCIERA Y ADMINISTRATIVA PARA EL PROYECTO DE MEJORAMIENTO VIAL, ESPACIO PUBLICO Y OBRAS COMPLEMENTARIAS DE LA AVENIDA LA JUVENTUD Y TRAMOS ADYACENTES Y PRIORITARIOS DEL SECTOR URBANO EN EL MUNICIPIO EL BAGRE ANTIOQUIA.</v>
      </c>
      <c r="B8" s="1215"/>
      <c r="C8" s="1215"/>
      <c r="D8" s="1215"/>
      <c r="E8" s="1215"/>
      <c r="F8" s="1215"/>
      <c r="G8" s="1215"/>
      <c r="H8" s="1215"/>
      <c r="I8" s="1215"/>
      <c r="J8" s="1216"/>
    </row>
    <row r="9" spans="1:10" ht="14.25" customHeight="1">
      <c r="A9" s="1217"/>
      <c r="B9" s="1218"/>
      <c r="C9" s="1218"/>
      <c r="D9" s="1218"/>
      <c r="E9" s="1218"/>
      <c r="F9" s="1218"/>
      <c r="G9" s="1218"/>
      <c r="H9" s="1218"/>
      <c r="I9" s="1218"/>
      <c r="J9" s="1219"/>
    </row>
    <row r="10" spans="1:10" ht="11.25" thickBot="1">
      <c r="A10" s="1220"/>
      <c r="B10" s="1221"/>
      <c r="C10" s="1221"/>
      <c r="D10" s="1221"/>
      <c r="E10" s="1221"/>
      <c r="F10" s="1221"/>
      <c r="G10" s="1221"/>
      <c r="H10" s="1221"/>
      <c r="I10" s="1221"/>
      <c r="J10" s="1222"/>
    </row>
    <row r="11" spans="1:10" ht="24.75" customHeight="1">
      <c r="A11" s="146" t="s">
        <v>10</v>
      </c>
      <c r="B11" s="1223" t="s">
        <v>87</v>
      </c>
      <c r="C11" s="1224"/>
      <c r="D11" s="147" t="s">
        <v>88</v>
      </c>
      <c r="E11" s="147" t="s">
        <v>89</v>
      </c>
      <c r="F11" s="148" t="s">
        <v>90</v>
      </c>
      <c r="G11" s="147" t="s">
        <v>91</v>
      </c>
      <c r="H11" s="147" t="s">
        <v>92</v>
      </c>
      <c r="I11" s="147" t="s">
        <v>93</v>
      </c>
      <c r="J11" s="149" t="s">
        <v>85</v>
      </c>
    </row>
    <row r="12" spans="1:10" ht="15.75" customHeight="1">
      <c r="A12" s="150">
        <v>1</v>
      </c>
      <c r="B12" s="1225" t="s">
        <v>94</v>
      </c>
      <c r="C12" s="1226"/>
      <c r="D12" s="151"/>
      <c r="E12" s="151"/>
      <c r="F12" s="151"/>
      <c r="G12" s="151"/>
      <c r="H12" s="151"/>
      <c r="I12" s="151"/>
      <c r="J12" s="152"/>
    </row>
    <row r="13" spans="1:10" ht="17.25" customHeight="1">
      <c r="A13" s="153">
        <f>A12+0.1</f>
        <v>1.1000000000000001</v>
      </c>
      <c r="B13" s="1285" t="s">
        <v>345</v>
      </c>
      <c r="C13" s="1286"/>
      <c r="D13" s="154">
        <v>1</v>
      </c>
      <c r="E13" s="155">
        <v>5500000</v>
      </c>
      <c r="F13" s="208">
        <f>+'[51]Factor Multiplicador'!$I$62</f>
        <v>2.0095999999999998</v>
      </c>
      <c r="G13" s="156">
        <v>0.5</v>
      </c>
      <c r="H13" s="155">
        <f>E13*F13*G13</f>
        <v>5526400</v>
      </c>
      <c r="I13" s="154">
        <v>8</v>
      </c>
      <c r="J13" s="157">
        <f>D13*H13*I13</f>
        <v>44211200</v>
      </c>
    </row>
    <row r="14" spans="1:10" ht="17.25" customHeight="1">
      <c r="A14" s="153">
        <f>A13+0.1</f>
        <v>1.2</v>
      </c>
      <c r="B14" s="1285" t="s">
        <v>346</v>
      </c>
      <c r="C14" s="1286"/>
      <c r="D14" s="154">
        <v>1</v>
      </c>
      <c r="E14" s="155">
        <v>3800000</v>
      </c>
      <c r="F14" s="208">
        <f>+'[51]Factor Multiplicador'!$I$62</f>
        <v>2.0095999999999998</v>
      </c>
      <c r="G14" s="156">
        <v>1</v>
      </c>
      <c r="H14" s="155">
        <f t="shared" ref="H14:H20" si="0">E14*F14*G14</f>
        <v>7636480</v>
      </c>
      <c r="I14" s="154">
        <f>I13</f>
        <v>8</v>
      </c>
      <c r="J14" s="157">
        <f t="shared" ref="J14" si="1">D14*H14*I14</f>
        <v>61091840</v>
      </c>
    </row>
    <row r="15" spans="1:10" ht="17.25" customHeight="1">
      <c r="A15" s="153">
        <f t="shared" ref="A15:A20" si="2">A14+0.1</f>
        <v>1.3</v>
      </c>
      <c r="B15" s="1285" t="s">
        <v>347</v>
      </c>
      <c r="C15" s="1286"/>
      <c r="D15" s="154">
        <v>1</v>
      </c>
      <c r="E15" s="155">
        <v>5000000</v>
      </c>
      <c r="F15" s="208">
        <f>+'[51]Factor Multiplicador'!$I$62</f>
        <v>2.0095999999999998</v>
      </c>
      <c r="G15" s="156">
        <v>0.5</v>
      </c>
      <c r="H15" s="155">
        <f t="shared" si="0"/>
        <v>5024000</v>
      </c>
      <c r="I15" s="154">
        <f t="shared" ref="I15:I20" si="3">I14</f>
        <v>8</v>
      </c>
      <c r="J15" s="157">
        <f t="shared" ref="J15:J20" si="4">D15*H15*I15</f>
        <v>40192000</v>
      </c>
    </row>
    <row r="16" spans="1:10" ht="17.25" customHeight="1">
      <c r="A16" s="153">
        <f t="shared" si="2"/>
        <v>1.4</v>
      </c>
      <c r="B16" s="1285" t="s">
        <v>348</v>
      </c>
      <c r="C16" s="1286"/>
      <c r="D16" s="154">
        <v>1</v>
      </c>
      <c r="E16" s="155">
        <v>3300000</v>
      </c>
      <c r="F16" s="208">
        <f>+'[51]Factor Multiplicador'!$I$62</f>
        <v>2.0095999999999998</v>
      </c>
      <c r="G16" s="156">
        <v>1</v>
      </c>
      <c r="H16" s="155">
        <f t="shared" si="0"/>
        <v>6631680</v>
      </c>
      <c r="I16" s="154">
        <f t="shared" si="3"/>
        <v>8</v>
      </c>
      <c r="J16" s="157">
        <f t="shared" si="4"/>
        <v>53053440</v>
      </c>
    </row>
    <row r="17" spans="1:12" ht="17.25" customHeight="1">
      <c r="A17" s="153">
        <f t="shared" si="2"/>
        <v>1.5</v>
      </c>
      <c r="B17" s="1285" t="s">
        <v>349</v>
      </c>
      <c r="C17" s="1286"/>
      <c r="D17" s="154">
        <v>1</v>
      </c>
      <c r="E17" s="155">
        <v>3000000</v>
      </c>
      <c r="F17" s="208">
        <f>+'[51]Factor Multiplicador'!$I$62</f>
        <v>2.0095999999999998</v>
      </c>
      <c r="G17" s="156">
        <v>1</v>
      </c>
      <c r="H17" s="155">
        <f t="shared" si="0"/>
        <v>6028800</v>
      </c>
      <c r="I17" s="154">
        <f t="shared" si="3"/>
        <v>8</v>
      </c>
      <c r="J17" s="157">
        <f t="shared" ref="J17:J19" si="5">D17*H17*I17</f>
        <v>48230400</v>
      </c>
    </row>
    <row r="18" spans="1:12" ht="17.25" customHeight="1">
      <c r="A18" s="153">
        <f t="shared" si="2"/>
        <v>1.6</v>
      </c>
      <c r="B18" s="1285" t="s">
        <v>350</v>
      </c>
      <c r="C18" s="1286"/>
      <c r="D18" s="154">
        <v>2</v>
      </c>
      <c r="E18" s="155">
        <v>1500000</v>
      </c>
      <c r="F18" s="208">
        <f>+'[51]Factor Multiplicador'!$I$62</f>
        <v>2.0095999999999998</v>
      </c>
      <c r="G18" s="156">
        <v>1</v>
      </c>
      <c r="H18" s="155">
        <f t="shared" si="0"/>
        <v>3014400</v>
      </c>
      <c r="I18" s="154">
        <f t="shared" si="3"/>
        <v>8</v>
      </c>
      <c r="J18" s="157">
        <f t="shared" si="5"/>
        <v>48230400</v>
      </c>
    </row>
    <row r="19" spans="1:12" ht="17.25" customHeight="1">
      <c r="A19" s="153">
        <f t="shared" si="2"/>
        <v>1.7</v>
      </c>
      <c r="B19" s="1285" t="s">
        <v>351</v>
      </c>
      <c r="C19" s="1286"/>
      <c r="D19" s="154">
        <v>1</v>
      </c>
      <c r="E19" s="155">
        <v>1200000</v>
      </c>
      <c r="F19" s="208">
        <f>+'[51]Factor Multiplicador'!$I$62</f>
        <v>2.0095999999999998</v>
      </c>
      <c r="G19" s="156">
        <v>1</v>
      </c>
      <c r="H19" s="155">
        <f t="shared" si="0"/>
        <v>2411520</v>
      </c>
      <c r="I19" s="154">
        <f t="shared" si="3"/>
        <v>8</v>
      </c>
      <c r="J19" s="157">
        <f t="shared" si="5"/>
        <v>19292160</v>
      </c>
    </row>
    <row r="20" spans="1:12" ht="17.25" customHeight="1">
      <c r="A20" s="153">
        <f t="shared" si="2"/>
        <v>1.8</v>
      </c>
      <c r="B20" s="1285" t="s">
        <v>352</v>
      </c>
      <c r="C20" s="1286"/>
      <c r="D20" s="154">
        <v>1</v>
      </c>
      <c r="E20" s="155">
        <v>1400000</v>
      </c>
      <c r="F20" s="208">
        <f>+'[51]Factor Multiplicador'!$I$62</f>
        <v>2.0095999999999998</v>
      </c>
      <c r="G20" s="156">
        <v>1</v>
      </c>
      <c r="H20" s="155">
        <f t="shared" si="0"/>
        <v>2813440</v>
      </c>
      <c r="I20" s="154">
        <f t="shared" si="3"/>
        <v>8</v>
      </c>
      <c r="J20" s="157">
        <f t="shared" si="4"/>
        <v>22507520</v>
      </c>
    </row>
    <row r="21" spans="1:12" ht="16.5" customHeight="1">
      <c r="A21" s="158"/>
      <c r="B21" s="1208" t="s">
        <v>95</v>
      </c>
      <c r="C21" s="1209"/>
      <c r="D21" s="1209"/>
      <c r="E21" s="1209"/>
      <c r="F21" s="1209"/>
      <c r="G21" s="1209"/>
      <c r="H21" s="1210"/>
      <c r="I21" s="1211"/>
      <c r="J21" s="159">
        <f>SUM(J13:J20)</f>
        <v>336808960</v>
      </c>
    </row>
    <row r="22" spans="1:12" s="165" customFormat="1" ht="23.25" customHeight="1">
      <c r="A22" s="161" t="s">
        <v>10</v>
      </c>
      <c r="B22" s="162" t="s">
        <v>96</v>
      </c>
      <c r="C22" s="163"/>
      <c r="D22" s="1212" t="s">
        <v>7</v>
      </c>
      <c r="E22" s="1213"/>
      <c r="F22" s="1212" t="s">
        <v>88</v>
      </c>
      <c r="G22" s="1213"/>
      <c r="H22" s="1212" t="s">
        <v>89</v>
      </c>
      <c r="I22" s="1213"/>
      <c r="J22" s="164" t="s">
        <v>85</v>
      </c>
    </row>
    <row r="23" spans="1:12" ht="15.75" customHeight="1">
      <c r="A23" s="150">
        <v>2</v>
      </c>
      <c r="B23" s="1225" t="s">
        <v>97</v>
      </c>
      <c r="C23" s="1226"/>
      <c r="D23" s="151"/>
      <c r="E23" s="151"/>
      <c r="F23" s="151"/>
      <c r="G23" s="151"/>
      <c r="H23" s="151"/>
      <c r="I23" s="151"/>
      <c r="J23" s="152"/>
    </row>
    <row r="24" spans="1:12" ht="35.25" customHeight="1">
      <c r="A24" s="153">
        <f t="shared" ref="A24:A34" si="6">A23+0.1</f>
        <v>2.1</v>
      </c>
      <c r="B24" s="1232" t="s">
        <v>98</v>
      </c>
      <c r="C24" s="1233"/>
      <c r="D24" s="1234" t="s">
        <v>6</v>
      </c>
      <c r="E24" s="1235"/>
      <c r="F24" s="1236">
        <f>I13</f>
        <v>8</v>
      </c>
      <c r="G24" s="1237"/>
      <c r="H24" s="1238">
        <v>2500000</v>
      </c>
      <c r="I24" s="1239"/>
      <c r="J24" s="157">
        <f>F24*H24</f>
        <v>20000000</v>
      </c>
      <c r="L24" s="160"/>
    </row>
    <row r="25" spans="1:12" ht="35.25" customHeight="1">
      <c r="A25" s="153">
        <f t="shared" si="6"/>
        <v>2.2000000000000002</v>
      </c>
      <c r="B25" s="1232" t="s">
        <v>161</v>
      </c>
      <c r="C25" s="1298"/>
      <c r="D25" s="1298"/>
      <c r="E25" s="1298"/>
      <c r="F25" s="1298"/>
      <c r="G25" s="1298"/>
      <c r="H25" s="1298"/>
      <c r="I25" s="1298"/>
      <c r="J25" s="1299"/>
      <c r="L25" s="160"/>
    </row>
    <row r="26" spans="1:12" ht="18.75" customHeight="1">
      <c r="A26" s="153"/>
      <c r="B26" s="1296" t="s">
        <v>339</v>
      </c>
      <c r="C26" s="1297"/>
      <c r="D26" s="1234" t="s">
        <v>119</v>
      </c>
      <c r="E26" s="1235"/>
      <c r="F26" s="1236">
        <f>ROUNDUP(3000/250,0)+10</f>
        <v>22</v>
      </c>
      <c r="G26" s="1237"/>
      <c r="H26" s="1238">
        <v>93500</v>
      </c>
      <c r="I26" s="1239">
        <v>2556580</v>
      </c>
      <c r="J26" s="157">
        <f>F26*H26</f>
        <v>2057000</v>
      </c>
      <c r="L26" s="160"/>
    </row>
    <row r="27" spans="1:12" ht="30" customHeight="1">
      <c r="A27" s="153"/>
      <c r="B27" s="1296" t="s">
        <v>340</v>
      </c>
      <c r="C27" s="1297"/>
      <c r="D27" s="1234" t="s">
        <v>119</v>
      </c>
      <c r="E27" s="1235"/>
      <c r="F27" s="1236">
        <f t="shared" ref="F27:F28" si="7">ROUNDUP(3000/250,0)+10</f>
        <v>22</v>
      </c>
      <c r="G27" s="1237"/>
      <c r="H27" s="1238">
        <v>88000</v>
      </c>
      <c r="I27" s="1239">
        <v>2556580</v>
      </c>
      <c r="J27" s="157">
        <f t="shared" ref="J27:J31" si="8">F27*H27</f>
        <v>1936000</v>
      </c>
      <c r="L27" s="160"/>
    </row>
    <row r="28" spans="1:12" ht="25.5" customHeight="1">
      <c r="A28" s="153"/>
      <c r="B28" s="1296" t="s">
        <v>341</v>
      </c>
      <c r="C28" s="1297"/>
      <c r="D28" s="1234" t="s">
        <v>119</v>
      </c>
      <c r="E28" s="1235"/>
      <c r="F28" s="1236">
        <f t="shared" si="7"/>
        <v>22</v>
      </c>
      <c r="G28" s="1237"/>
      <c r="H28" s="1238">
        <v>455000</v>
      </c>
      <c r="I28" s="1239">
        <v>2556580</v>
      </c>
      <c r="J28" s="157">
        <f t="shared" si="8"/>
        <v>10010000</v>
      </c>
      <c r="L28" s="160"/>
    </row>
    <row r="29" spans="1:12" ht="32.25" customHeight="1">
      <c r="A29" s="153"/>
      <c r="B29" s="1296" t="s">
        <v>342</v>
      </c>
      <c r="C29" s="1297"/>
      <c r="D29" s="1234" t="s">
        <v>119</v>
      </c>
      <c r="E29" s="1235"/>
      <c r="F29" s="1236">
        <v>30</v>
      </c>
      <c r="G29" s="1237"/>
      <c r="H29" s="1238">
        <v>350000</v>
      </c>
      <c r="I29" s="1239">
        <v>2556580</v>
      </c>
      <c r="J29" s="157">
        <f t="shared" si="8"/>
        <v>10500000</v>
      </c>
      <c r="L29" s="160"/>
    </row>
    <row r="30" spans="1:12" ht="46.5" customHeight="1">
      <c r="A30" s="153"/>
      <c r="B30" s="1296" t="s">
        <v>343</v>
      </c>
      <c r="C30" s="1297"/>
      <c r="D30" s="1234" t="s">
        <v>119</v>
      </c>
      <c r="E30" s="1235"/>
      <c r="F30" s="1236">
        <f>6*4*7*2</f>
        <v>336</v>
      </c>
      <c r="G30" s="1237"/>
      <c r="H30" s="1238">
        <v>8000</v>
      </c>
      <c r="I30" s="1239">
        <v>2556580</v>
      </c>
      <c r="J30" s="157">
        <f t="shared" si="8"/>
        <v>2688000</v>
      </c>
      <c r="L30" s="160"/>
    </row>
    <row r="31" spans="1:12" ht="29.25" customHeight="1">
      <c r="A31" s="153"/>
      <c r="B31" s="1296" t="s">
        <v>344</v>
      </c>
      <c r="C31" s="1297"/>
      <c r="D31" s="1234" t="s">
        <v>119</v>
      </c>
      <c r="E31" s="1235"/>
      <c r="F31" s="1236">
        <f>ROUNDUP(3000/40,0)+10</f>
        <v>85</v>
      </c>
      <c r="G31" s="1237"/>
      <c r="H31" s="1238">
        <v>150000</v>
      </c>
      <c r="I31" s="1239">
        <v>2556580</v>
      </c>
      <c r="J31" s="157">
        <f t="shared" si="8"/>
        <v>12750000</v>
      </c>
      <c r="L31" s="160"/>
    </row>
    <row r="32" spans="1:12" ht="29.25" customHeight="1">
      <c r="A32" s="153"/>
      <c r="B32" s="1296" t="s">
        <v>1218</v>
      </c>
      <c r="C32" s="1297"/>
      <c r="D32" s="1234" t="s">
        <v>119</v>
      </c>
      <c r="E32" s="1235"/>
      <c r="F32" s="1236">
        <v>50</v>
      </c>
      <c r="G32" s="1237"/>
      <c r="H32" s="1238">
        <f>39155*IPC</f>
        <v>40400</v>
      </c>
      <c r="I32" s="1239">
        <v>2556580</v>
      </c>
      <c r="J32" s="157">
        <f t="shared" ref="J32" si="9">F32*H32</f>
        <v>2020000</v>
      </c>
      <c r="L32" s="160"/>
    </row>
    <row r="33" spans="1:14" ht="15" customHeight="1">
      <c r="A33" s="153">
        <f>A25+0.1</f>
        <v>2.2999999999999998</v>
      </c>
      <c r="B33" s="1232" t="s">
        <v>99</v>
      </c>
      <c r="C33" s="1233"/>
      <c r="D33" s="1234" t="s">
        <v>234</v>
      </c>
      <c r="E33" s="1235"/>
      <c r="F33" s="1236">
        <f>I13*(SUM(D13:D16))</f>
        <v>32</v>
      </c>
      <c r="G33" s="1237"/>
      <c r="H33" s="1238">
        <v>250000</v>
      </c>
      <c r="I33" s="1239">
        <v>2556580</v>
      </c>
      <c r="J33" s="157">
        <f>F33*H33</f>
        <v>8000000</v>
      </c>
      <c r="L33" s="160"/>
    </row>
    <row r="34" spans="1:14" ht="28.5" customHeight="1">
      <c r="A34" s="153">
        <f t="shared" si="6"/>
        <v>2.4</v>
      </c>
      <c r="B34" s="1232" t="s">
        <v>100</v>
      </c>
      <c r="C34" s="1233"/>
      <c r="D34" s="1234" t="s">
        <v>7</v>
      </c>
      <c r="E34" s="1235"/>
      <c r="F34" s="1236">
        <v>10</v>
      </c>
      <c r="G34" s="1237"/>
      <c r="H34" s="1238">
        <v>500000</v>
      </c>
      <c r="I34" s="1239"/>
      <c r="J34" s="157">
        <f t="shared" ref="J34" si="10">F34*H34</f>
        <v>5000000</v>
      </c>
      <c r="L34" s="160"/>
      <c r="M34" s="160"/>
    </row>
    <row r="35" spans="1:14" ht="16.5" customHeight="1">
      <c r="A35" s="158"/>
      <c r="B35" s="1208" t="s">
        <v>101</v>
      </c>
      <c r="C35" s="1209"/>
      <c r="D35" s="1209"/>
      <c r="E35" s="1209"/>
      <c r="F35" s="1209"/>
      <c r="G35" s="1209"/>
      <c r="H35" s="1210"/>
      <c r="I35" s="1211"/>
      <c r="J35" s="159">
        <f>SUM(J24:J34)</f>
        <v>74961000</v>
      </c>
      <c r="L35" s="160"/>
    </row>
    <row r="36" spans="1:14" s="165" customFormat="1">
      <c r="A36" s="161" t="s">
        <v>10</v>
      </c>
      <c r="B36" s="162" t="s">
        <v>96</v>
      </c>
      <c r="C36" s="163"/>
      <c r="D36" s="166" t="s">
        <v>7</v>
      </c>
      <c r="E36" s="167" t="s">
        <v>88</v>
      </c>
      <c r="F36" s="1212" t="s">
        <v>91</v>
      </c>
      <c r="G36" s="1213"/>
      <c r="H36" s="1212" t="s">
        <v>89</v>
      </c>
      <c r="I36" s="1213"/>
      <c r="J36" s="164" t="s">
        <v>85</v>
      </c>
    </row>
    <row r="37" spans="1:14" ht="15.75" customHeight="1">
      <c r="A37" s="150">
        <v>3</v>
      </c>
      <c r="B37" s="1225" t="s">
        <v>102</v>
      </c>
      <c r="C37" s="1226"/>
      <c r="D37" s="151"/>
      <c r="E37" s="151"/>
      <c r="F37" s="151"/>
      <c r="G37" s="151"/>
      <c r="H37" s="151"/>
      <c r="I37" s="151"/>
      <c r="J37" s="152"/>
    </row>
    <row r="38" spans="1:14" ht="36" customHeight="1">
      <c r="A38" s="153">
        <f t="shared" ref="A38:A39" si="11">A37+0.1</f>
        <v>3.1</v>
      </c>
      <c r="B38" s="1232" t="s">
        <v>728</v>
      </c>
      <c r="C38" s="1233"/>
      <c r="D38" s="168" t="s">
        <v>6</v>
      </c>
      <c r="E38" s="156">
        <f>I13</f>
        <v>8</v>
      </c>
      <c r="F38" s="1236">
        <v>1</v>
      </c>
      <c r="G38" s="1237"/>
      <c r="H38" s="1238">
        <v>4500000</v>
      </c>
      <c r="I38" s="1239"/>
      <c r="J38" s="157">
        <f>E38*F38*H38</f>
        <v>36000000</v>
      </c>
      <c r="L38" s="160"/>
    </row>
    <row r="39" spans="1:14" ht="36" customHeight="1">
      <c r="A39" s="153">
        <f t="shared" si="11"/>
        <v>3.2</v>
      </c>
      <c r="B39" s="1232" t="s">
        <v>885</v>
      </c>
      <c r="C39" s="1233"/>
      <c r="D39" s="168" t="s">
        <v>6</v>
      </c>
      <c r="E39" s="156">
        <f>I13</f>
        <v>8</v>
      </c>
      <c r="F39" s="1236">
        <v>1</v>
      </c>
      <c r="G39" s="1237"/>
      <c r="H39" s="1238">
        <v>3000000</v>
      </c>
      <c r="I39" s="1239"/>
      <c r="J39" s="157">
        <f>E39*F39*H39</f>
        <v>24000000</v>
      </c>
      <c r="L39" s="160"/>
    </row>
    <row r="40" spans="1:14" ht="16.5" customHeight="1">
      <c r="A40" s="158"/>
      <c r="B40" s="1208" t="s">
        <v>103</v>
      </c>
      <c r="C40" s="1209"/>
      <c r="D40" s="1209"/>
      <c r="E40" s="1209"/>
      <c r="F40" s="1209"/>
      <c r="G40" s="1209"/>
      <c r="H40" s="1210"/>
      <c r="I40" s="1211"/>
      <c r="J40" s="159">
        <f>SUM(J38:J39)</f>
        <v>60000000</v>
      </c>
      <c r="L40" s="160"/>
    </row>
    <row r="41" spans="1:14" ht="16.5" customHeight="1">
      <c r="A41" s="158"/>
      <c r="B41" s="1284" t="s">
        <v>85</v>
      </c>
      <c r="C41" s="1284"/>
      <c r="D41" s="1284"/>
      <c r="E41" s="1284"/>
      <c r="F41" s="1284"/>
      <c r="G41" s="1284"/>
      <c r="H41" s="1284"/>
      <c r="I41" s="1284"/>
      <c r="J41" s="159">
        <f>+J40+J35+J21</f>
        <v>471769960</v>
      </c>
      <c r="L41" s="160"/>
    </row>
    <row r="42" spans="1:14" ht="16.5" customHeight="1">
      <c r="A42" s="158"/>
      <c r="B42" s="1283" t="s">
        <v>134</v>
      </c>
      <c r="C42" s="1283"/>
      <c r="D42" s="1283"/>
      <c r="E42" s="1283"/>
      <c r="F42" s="1283"/>
      <c r="G42" s="1283"/>
      <c r="H42" s="1283"/>
      <c r="I42" s="1283"/>
      <c r="J42" s="159">
        <f>+J41*0.19</f>
        <v>89636292</v>
      </c>
      <c r="L42" s="160"/>
    </row>
    <row r="43" spans="1:14" ht="15" thickBot="1">
      <c r="A43" s="169"/>
      <c r="B43" s="1282" t="s">
        <v>104</v>
      </c>
      <c r="C43" s="1282"/>
      <c r="D43" s="1282"/>
      <c r="E43" s="1282"/>
      <c r="F43" s="1282"/>
      <c r="G43" s="1282"/>
      <c r="H43" s="1282"/>
      <c r="I43" s="1282"/>
      <c r="J43" s="636">
        <f>J41+J42</f>
        <v>561406252</v>
      </c>
      <c r="K43" s="160"/>
      <c r="L43" s="171" t="e">
        <f>+PPTO!#REF!</f>
        <v>#REF!</v>
      </c>
      <c r="M43" s="160"/>
    </row>
    <row r="44" spans="1:14" ht="15" customHeight="1">
      <c r="A44" s="172"/>
      <c r="B44" s="173"/>
      <c r="C44" s="174"/>
      <c r="D44" s="174"/>
      <c r="E44" s="174"/>
      <c r="F44" s="174"/>
      <c r="G44" s="174"/>
      <c r="H44" s="174"/>
      <c r="I44" s="173"/>
      <c r="J44" s="175"/>
      <c r="K44" s="176"/>
      <c r="M44" s="160"/>
      <c r="N44" s="160"/>
    </row>
    <row r="45" spans="1:14" ht="15" customHeight="1">
      <c r="A45" s="172"/>
      <c r="B45" s="218"/>
      <c r="C45" s="174"/>
      <c r="D45" s="174"/>
      <c r="E45" s="174"/>
      <c r="F45" s="174"/>
      <c r="G45" s="174"/>
      <c r="H45" s="174"/>
      <c r="I45" s="173"/>
      <c r="J45" s="175"/>
      <c r="M45" s="160"/>
    </row>
    <row r="46" spans="1:14" ht="15" customHeight="1">
      <c r="A46" s="172"/>
      <c r="B46" s="218"/>
      <c r="C46" s="174"/>
      <c r="D46" s="174"/>
      <c r="E46" s="174"/>
      <c r="F46" s="174"/>
      <c r="G46" s="174"/>
      <c r="H46" s="174"/>
      <c r="I46" s="173"/>
      <c r="J46" s="175"/>
      <c r="M46" s="160"/>
    </row>
    <row r="47" spans="1:14" ht="15" customHeight="1">
      <c r="A47" s="172"/>
      <c r="B47" s="284"/>
      <c r="C47" s="174"/>
      <c r="D47" s="174"/>
      <c r="E47" s="174"/>
      <c r="F47" s="174"/>
      <c r="G47" s="174"/>
      <c r="H47" s="174"/>
      <c r="I47" s="173"/>
      <c r="J47" s="175"/>
      <c r="M47" s="160"/>
    </row>
    <row r="48" spans="1:14" ht="15">
      <c r="A48" s="172"/>
      <c r="B48" s="736" t="s">
        <v>685</v>
      </c>
      <c r="C48" s="174"/>
      <c r="D48" s="174"/>
      <c r="E48" s="174"/>
      <c r="F48" s="174"/>
      <c r="G48" s="174"/>
      <c r="H48" s="174"/>
      <c r="I48" s="173"/>
      <c r="J48" s="175"/>
      <c r="M48" s="160"/>
    </row>
    <row r="49" spans="1:13" ht="15">
      <c r="A49" s="172"/>
      <c r="B49" s="736" t="s">
        <v>686</v>
      </c>
      <c r="C49" s="174"/>
      <c r="D49" s="174"/>
      <c r="E49" s="174"/>
      <c r="F49" s="174"/>
      <c r="G49" s="174"/>
      <c r="H49" s="174"/>
      <c r="I49" s="173"/>
      <c r="J49" s="175"/>
      <c r="M49" s="160"/>
    </row>
    <row r="50" spans="1:13">
      <c r="A50" s="172"/>
      <c r="B50" s="1231"/>
      <c r="C50" s="1231"/>
      <c r="D50" s="1231"/>
      <c r="E50" s="1231"/>
      <c r="F50" s="1231"/>
      <c r="G50" s="1231"/>
      <c r="H50" s="1231"/>
      <c r="I50" s="1231"/>
      <c r="J50" s="1231"/>
    </row>
    <row r="51" spans="1:13">
      <c r="A51" s="172"/>
      <c r="B51" s="1231"/>
      <c r="C51" s="1231"/>
      <c r="D51" s="1231"/>
      <c r="E51" s="1231"/>
      <c r="F51" s="1231"/>
      <c r="G51" s="1231"/>
      <c r="H51" s="1231"/>
      <c r="I51" s="1231"/>
      <c r="J51" s="1231"/>
    </row>
    <row r="52" spans="1:13" ht="11.25" customHeight="1">
      <c r="B52" s="1200"/>
      <c r="C52" s="1200"/>
      <c r="D52" s="1200"/>
      <c r="E52" s="1200"/>
      <c r="F52" s="1200"/>
      <c r="G52" s="1200"/>
      <c r="H52" s="1200"/>
      <c r="I52" s="1200"/>
      <c r="J52" s="1200"/>
    </row>
    <row r="53" spans="1:13" ht="17.25" customHeight="1">
      <c r="B53" s="177"/>
      <c r="C53" s="177"/>
      <c r="D53" s="177"/>
      <c r="E53" s="178"/>
      <c r="F53" s="177"/>
      <c r="G53" s="177"/>
      <c r="H53" s="179"/>
      <c r="J53" s="290"/>
    </row>
    <row r="54" spans="1:13">
      <c r="B54" s="289"/>
      <c r="C54" s="289"/>
      <c r="D54" s="289"/>
      <c r="E54" s="289"/>
      <c r="F54" s="289"/>
      <c r="G54" s="289"/>
      <c r="H54" s="289"/>
      <c r="I54" s="289"/>
      <c r="J54" s="291"/>
      <c r="L54" s="292"/>
    </row>
    <row r="55" spans="1:13">
      <c r="B55" s="289"/>
      <c r="C55" s="289"/>
      <c r="D55" s="289"/>
      <c r="E55" s="289"/>
      <c r="F55" s="289"/>
      <c r="G55" s="289"/>
      <c r="H55" s="289"/>
      <c r="I55" s="289"/>
      <c r="J55" s="289"/>
    </row>
    <row r="56" spans="1:13">
      <c r="B56" s="1241"/>
      <c r="C56" s="1241"/>
      <c r="D56" s="1241"/>
      <c r="E56" s="1241"/>
      <c r="F56" s="1241"/>
      <c r="G56" s="1241"/>
      <c r="H56" s="1241"/>
      <c r="I56" s="1241"/>
      <c r="J56" s="1241"/>
    </row>
    <row r="57" spans="1:13">
      <c r="B57" s="1241"/>
      <c r="C57" s="1241"/>
      <c r="D57" s="1241"/>
      <c r="E57" s="1241"/>
      <c r="F57" s="1241"/>
      <c r="G57" s="1241"/>
      <c r="H57" s="1241"/>
      <c r="I57" s="1241"/>
      <c r="J57" s="1241"/>
    </row>
    <row r="58" spans="1:13">
      <c r="B58" s="177"/>
      <c r="C58" s="177"/>
      <c r="D58" s="177"/>
      <c r="E58" s="178"/>
      <c r="F58" s="177"/>
      <c r="G58" s="177"/>
      <c r="H58" s="179"/>
      <c r="J58" s="160"/>
    </row>
    <row r="59" spans="1:13">
      <c r="B59" s="180"/>
      <c r="J59" s="181"/>
    </row>
    <row r="60" spans="1:13" ht="25.5" customHeight="1">
      <c r="A60" s="1242"/>
      <c r="B60" s="1242"/>
      <c r="C60" s="1242"/>
      <c r="D60" s="1242"/>
      <c r="E60" s="1242"/>
      <c r="F60" s="1242"/>
      <c r="G60" s="1242"/>
      <c r="H60" s="1242"/>
      <c r="I60" s="1242"/>
      <c r="J60" s="1242"/>
    </row>
    <row r="61" spans="1:13">
      <c r="A61" s="182"/>
      <c r="B61" s="183"/>
      <c r="C61" s="184"/>
      <c r="D61" s="184"/>
      <c r="E61" s="184"/>
      <c r="F61" s="184"/>
      <c r="G61" s="184"/>
      <c r="H61" s="184"/>
      <c r="I61" s="184"/>
      <c r="J61" s="185"/>
    </row>
    <row r="62" spans="1:13">
      <c r="A62" s="182"/>
      <c r="B62" s="184"/>
      <c r="C62" s="184"/>
      <c r="D62" s="184"/>
      <c r="E62" s="184"/>
      <c r="F62" s="184"/>
      <c r="G62" s="184"/>
      <c r="H62" s="184"/>
      <c r="I62" s="184"/>
      <c r="J62" s="184"/>
    </row>
    <row r="63" spans="1:13">
      <c r="A63" s="182"/>
      <c r="B63" s="184"/>
      <c r="C63" s="184"/>
      <c r="D63" s="184"/>
      <c r="E63" s="184"/>
      <c r="F63" s="184"/>
      <c r="G63" s="184"/>
      <c r="H63" s="184"/>
      <c r="I63" s="184"/>
      <c r="J63" s="184"/>
    </row>
    <row r="64" spans="1:13">
      <c r="C64" s="143"/>
      <c r="D64" s="143"/>
      <c r="E64" s="177"/>
      <c r="F64" s="177"/>
      <c r="G64" s="177"/>
      <c r="H64" s="177"/>
      <c r="I64" s="177"/>
      <c r="J64" s="186"/>
    </row>
    <row r="65" spans="2:10">
      <c r="C65" s="143"/>
      <c r="D65" s="143"/>
      <c r="E65" s="177"/>
      <c r="F65" s="177"/>
      <c r="G65" s="177"/>
      <c r="H65" s="177"/>
      <c r="I65" s="180"/>
      <c r="J65" s="187"/>
    </row>
    <row r="66" spans="2:10">
      <c r="C66" s="143"/>
      <c r="D66" s="1243"/>
      <c r="E66" s="1243"/>
      <c r="F66" s="1243"/>
      <c r="G66" s="1243"/>
      <c r="H66" s="177"/>
      <c r="I66" s="180"/>
      <c r="J66" s="187"/>
    </row>
    <row r="67" spans="2:10">
      <c r="C67" s="143"/>
      <c r="D67" s="143"/>
      <c r="E67" s="177"/>
      <c r="F67" s="177"/>
      <c r="G67" s="177"/>
      <c r="H67" s="177"/>
      <c r="I67" s="180"/>
      <c r="J67" s="187"/>
    </row>
    <row r="68" spans="2:10">
      <c r="C68" s="143"/>
      <c r="D68" s="143"/>
      <c r="E68" s="177"/>
      <c r="F68" s="177"/>
      <c r="G68" s="177"/>
      <c r="H68" s="177"/>
      <c r="I68" s="180"/>
      <c r="J68" s="187"/>
    </row>
    <row r="69" spans="2:10">
      <c r="E69" s="180"/>
      <c r="F69" s="180"/>
      <c r="G69" s="180"/>
      <c r="H69" s="180"/>
      <c r="I69" s="180"/>
      <c r="J69" s="187"/>
    </row>
    <row r="70" spans="2:10">
      <c r="E70" s="180"/>
      <c r="F70" s="180"/>
      <c r="G70" s="180"/>
      <c r="H70" s="180"/>
      <c r="I70" s="180"/>
      <c r="J70" s="187"/>
    </row>
    <row r="71" spans="2:10">
      <c r="F71" s="180"/>
      <c r="G71" s="180"/>
      <c r="H71" s="180"/>
      <c r="I71" s="180"/>
      <c r="J71" s="187"/>
    </row>
    <row r="72" spans="2:10">
      <c r="E72" s="180"/>
      <c r="H72" s="188"/>
      <c r="J72" s="187"/>
    </row>
    <row r="73" spans="2:10">
      <c r="J73" s="187"/>
    </row>
    <row r="76" spans="2:10">
      <c r="B76" s="180"/>
      <c r="C76" s="180"/>
      <c r="D76" s="180"/>
      <c r="E76" s="180"/>
      <c r="F76" s="180"/>
      <c r="G76" s="180"/>
      <c r="H76" s="180"/>
      <c r="I76" s="180"/>
      <c r="J76" s="180"/>
    </row>
    <row r="77" spans="2:10">
      <c r="B77" s="180"/>
      <c r="C77" s="180"/>
      <c r="D77" s="180"/>
      <c r="E77" s="180"/>
      <c r="F77" s="180"/>
      <c r="G77" s="180"/>
      <c r="H77" s="180"/>
      <c r="I77" s="180"/>
      <c r="J77" s="180"/>
    </row>
    <row r="78" spans="2:10">
      <c r="B78" s="180"/>
      <c r="C78" s="180"/>
      <c r="D78" s="180"/>
      <c r="E78" s="180"/>
      <c r="F78" s="180"/>
      <c r="G78" s="180"/>
      <c r="H78" s="180"/>
      <c r="I78" s="180"/>
      <c r="J78" s="180"/>
    </row>
    <row r="79" spans="2:10">
      <c r="B79" s="180"/>
      <c r="C79" s="180"/>
      <c r="D79" s="180"/>
      <c r="E79" s="180"/>
      <c r="F79" s="180"/>
      <c r="G79" s="180"/>
      <c r="H79" s="180"/>
      <c r="I79" s="180"/>
      <c r="J79" s="180"/>
    </row>
    <row r="80" spans="2:10">
      <c r="B80" s="180"/>
      <c r="C80" s="180"/>
      <c r="D80" s="180"/>
      <c r="E80" s="180"/>
      <c r="F80" s="180"/>
      <c r="G80" s="180"/>
      <c r="H80" s="180"/>
      <c r="I80" s="180"/>
      <c r="J80" s="180"/>
    </row>
    <row r="81" spans="2:10">
      <c r="B81" s="180"/>
      <c r="C81" s="180"/>
      <c r="D81" s="180"/>
      <c r="E81" s="180"/>
      <c r="F81" s="180"/>
      <c r="G81" s="180"/>
      <c r="H81" s="180"/>
      <c r="I81" s="180"/>
      <c r="J81" s="180"/>
    </row>
    <row r="82" spans="2:10">
      <c r="B82" s="180"/>
      <c r="C82" s="180"/>
      <c r="D82" s="180"/>
      <c r="E82" s="180"/>
      <c r="F82" s="180"/>
      <c r="G82" s="180"/>
      <c r="H82" s="180"/>
      <c r="I82" s="180"/>
      <c r="J82" s="180"/>
    </row>
    <row r="83" spans="2:10">
      <c r="B83" s="180"/>
      <c r="C83" s="180"/>
      <c r="D83" s="180"/>
      <c r="E83" s="180"/>
      <c r="F83" s="180"/>
      <c r="G83" s="180"/>
      <c r="H83" s="180"/>
      <c r="I83" s="180"/>
      <c r="J83" s="180"/>
    </row>
    <row r="84" spans="2:10">
      <c r="B84" s="180"/>
      <c r="C84" s="180"/>
      <c r="D84" s="180"/>
      <c r="E84" s="180"/>
      <c r="F84" s="180"/>
      <c r="G84" s="180"/>
      <c r="H84" s="180"/>
      <c r="I84" s="180"/>
      <c r="J84" s="180"/>
    </row>
    <row r="85" spans="2:10">
      <c r="B85" s="180"/>
      <c r="C85" s="180"/>
      <c r="D85" s="180"/>
      <c r="E85" s="180"/>
      <c r="F85" s="180"/>
      <c r="G85" s="180"/>
      <c r="H85" s="180"/>
      <c r="I85" s="180"/>
      <c r="J85" s="180"/>
    </row>
    <row r="86" spans="2:10">
      <c r="B86" s="180"/>
      <c r="C86" s="180"/>
      <c r="D86" s="180"/>
      <c r="E86" s="180"/>
      <c r="F86" s="180"/>
      <c r="G86" s="180"/>
      <c r="H86" s="180"/>
      <c r="I86" s="180"/>
      <c r="J86" s="180"/>
    </row>
    <row r="87" spans="2:10">
      <c r="B87" s="180"/>
      <c r="C87" s="180"/>
      <c r="D87" s="180"/>
      <c r="E87" s="180"/>
      <c r="F87" s="180"/>
      <c r="G87" s="180"/>
      <c r="H87" s="180"/>
      <c r="I87" s="180"/>
      <c r="J87" s="180"/>
    </row>
    <row r="88" spans="2:10">
      <c r="B88" s="180"/>
      <c r="C88" s="180"/>
      <c r="D88" s="180"/>
      <c r="E88" s="180"/>
      <c r="F88" s="180"/>
      <c r="G88" s="180"/>
      <c r="H88" s="180"/>
      <c r="I88" s="180"/>
      <c r="J88" s="180"/>
    </row>
    <row r="89" spans="2:10">
      <c r="B89" s="180"/>
      <c r="C89" s="180"/>
      <c r="D89" s="180"/>
      <c r="E89" s="180"/>
      <c r="F89" s="180"/>
      <c r="G89" s="180"/>
      <c r="H89" s="180"/>
      <c r="I89" s="180"/>
      <c r="J89" s="180"/>
    </row>
    <row r="90" spans="2:10">
      <c r="B90" s="180"/>
      <c r="C90" s="180"/>
      <c r="D90" s="180"/>
      <c r="E90" s="180"/>
      <c r="F90" s="180"/>
      <c r="G90" s="180"/>
      <c r="H90" s="180"/>
      <c r="I90" s="180"/>
      <c r="J90" s="180"/>
    </row>
    <row r="91" spans="2:10">
      <c r="B91" s="180"/>
      <c r="C91" s="180"/>
      <c r="D91" s="180"/>
      <c r="E91" s="180"/>
      <c r="F91" s="180"/>
      <c r="G91" s="180"/>
      <c r="H91" s="180"/>
      <c r="I91" s="180"/>
      <c r="J91" s="180"/>
    </row>
    <row r="92" spans="2:10">
      <c r="B92" s="180"/>
      <c r="C92" s="180"/>
      <c r="D92" s="180"/>
      <c r="E92" s="180"/>
      <c r="F92" s="180"/>
      <c r="G92" s="180"/>
      <c r="H92" s="180"/>
      <c r="I92" s="180"/>
      <c r="J92" s="180"/>
    </row>
    <row r="93" spans="2:10">
      <c r="B93" s="180"/>
      <c r="C93" s="180"/>
      <c r="D93" s="180"/>
      <c r="E93" s="180"/>
      <c r="F93" s="180"/>
      <c r="G93" s="180"/>
      <c r="H93" s="180"/>
      <c r="I93" s="180"/>
      <c r="J93" s="180"/>
    </row>
    <row r="94" spans="2:10">
      <c r="B94" s="180"/>
      <c r="C94" s="180"/>
      <c r="D94" s="180"/>
      <c r="E94" s="180"/>
      <c r="F94" s="180"/>
      <c r="G94" s="180"/>
      <c r="H94" s="180"/>
      <c r="I94" s="180"/>
      <c r="J94" s="180"/>
    </row>
    <row r="95" spans="2:10">
      <c r="B95" s="180"/>
      <c r="C95" s="180"/>
      <c r="D95" s="180"/>
      <c r="E95" s="180"/>
      <c r="F95" s="180"/>
      <c r="G95" s="180"/>
      <c r="H95" s="180"/>
      <c r="I95" s="180"/>
      <c r="J95" s="180"/>
    </row>
    <row r="96" spans="2:10">
      <c r="B96" s="180"/>
      <c r="C96" s="180"/>
      <c r="D96" s="180"/>
      <c r="E96" s="180"/>
      <c r="F96" s="180"/>
      <c r="G96" s="180"/>
      <c r="H96" s="180"/>
      <c r="I96" s="180"/>
      <c r="J96" s="180"/>
    </row>
    <row r="97" spans="2:10">
      <c r="B97" s="180"/>
      <c r="C97" s="180"/>
      <c r="D97" s="180"/>
      <c r="E97" s="180"/>
      <c r="F97" s="180"/>
      <c r="G97" s="180"/>
      <c r="H97" s="180"/>
      <c r="I97" s="180"/>
      <c r="J97" s="180"/>
    </row>
    <row r="98" spans="2:10">
      <c r="B98" s="180"/>
      <c r="C98" s="180"/>
      <c r="D98" s="180"/>
      <c r="E98" s="180"/>
      <c r="F98" s="180"/>
      <c r="G98" s="180"/>
      <c r="H98" s="180"/>
      <c r="I98" s="180"/>
      <c r="J98" s="180"/>
    </row>
    <row r="99" spans="2:10">
      <c r="B99" s="180"/>
      <c r="C99" s="180"/>
      <c r="D99" s="180"/>
      <c r="E99" s="180"/>
      <c r="F99" s="180"/>
      <c r="G99" s="180"/>
      <c r="H99" s="180"/>
      <c r="I99" s="180"/>
      <c r="J99" s="180"/>
    </row>
    <row r="100" spans="2:10">
      <c r="B100" s="180"/>
      <c r="C100" s="180"/>
      <c r="D100" s="180"/>
      <c r="E100" s="180"/>
      <c r="F100" s="180"/>
      <c r="G100" s="180"/>
      <c r="H100" s="180"/>
      <c r="I100" s="180"/>
      <c r="J100" s="180"/>
    </row>
    <row r="101" spans="2:10">
      <c r="B101" s="180"/>
      <c r="C101" s="180"/>
      <c r="D101" s="180"/>
      <c r="E101" s="180"/>
      <c r="F101" s="180"/>
      <c r="G101" s="180"/>
      <c r="H101" s="180"/>
      <c r="I101" s="180"/>
      <c r="J101" s="180"/>
    </row>
    <row r="102" spans="2:10">
      <c r="B102" s="180"/>
      <c r="C102" s="180"/>
      <c r="D102" s="180"/>
      <c r="E102" s="180"/>
      <c r="F102" s="180"/>
      <c r="G102" s="180"/>
      <c r="H102" s="180"/>
      <c r="I102" s="180"/>
      <c r="J102" s="180"/>
    </row>
    <row r="103" spans="2:10">
      <c r="B103" s="189"/>
      <c r="C103" s="180"/>
      <c r="D103" s="180"/>
      <c r="E103" s="180"/>
      <c r="F103" s="180"/>
      <c r="G103" s="180"/>
      <c r="H103" s="180"/>
      <c r="I103" s="180"/>
      <c r="J103" s="180"/>
    </row>
    <row r="104" spans="2:10">
      <c r="B104" s="180"/>
      <c r="C104" s="180"/>
      <c r="D104" s="180"/>
      <c r="E104" s="180"/>
      <c r="F104" s="180"/>
      <c r="G104" s="180"/>
      <c r="H104" s="180"/>
      <c r="I104" s="180"/>
      <c r="J104" s="180"/>
    </row>
    <row r="105" spans="2:10">
      <c r="B105" s="180"/>
      <c r="C105" s="180"/>
      <c r="D105" s="180"/>
      <c r="E105" s="180"/>
      <c r="F105" s="180"/>
      <c r="G105" s="180"/>
      <c r="H105" s="180"/>
      <c r="I105" s="180"/>
      <c r="J105" s="180"/>
    </row>
    <row r="106" spans="2:10">
      <c r="B106" s="180"/>
      <c r="C106" s="180"/>
      <c r="D106" s="180"/>
      <c r="E106" s="180"/>
      <c r="F106" s="180"/>
      <c r="G106" s="180"/>
      <c r="H106" s="180"/>
      <c r="I106" s="180"/>
      <c r="J106" s="180"/>
    </row>
    <row r="107" spans="2:10">
      <c r="B107" s="180"/>
      <c r="C107" s="180"/>
      <c r="D107" s="180"/>
      <c r="E107" s="180"/>
      <c r="F107" s="180"/>
      <c r="G107" s="180"/>
      <c r="H107" s="180"/>
      <c r="I107" s="180"/>
      <c r="J107" s="180"/>
    </row>
    <row r="108" spans="2:10">
      <c r="B108" s="180"/>
      <c r="C108" s="180"/>
      <c r="D108" s="180"/>
      <c r="E108" s="180"/>
      <c r="F108" s="180"/>
      <c r="G108" s="180"/>
      <c r="H108" s="180"/>
      <c r="I108" s="180"/>
      <c r="J108" s="180"/>
    </row>
    <row r="109" spans="2:10">
      <c r="B109" s="180"/>
      <c r="C109" s="180"/>
      <c r="D109" s="180"/>
      <c r="E109" s="180"/>
      <c r="F109" s="180"/>
      <c r="G109" s="180"/>
      <c r="H109" s="180"/>
      <c r="I109" s="180"/>
      <c r="J109" s="180"/>
    </row>
  </sheetData>
  <mergeCells count="82">
    <mergeCell ref="B32:C32"/>
    <mergeCell ref="D32:E32"/>
    <mergeCell ref="F32:G32"/>
    <mergeCell ref="H32:I32"/>
    <mergeCell ref="B21:I21"/>
    <mergeCell ref="B25:J25"/>
    <mergeCell ref="B30:C30"/>
    <mergeCell ref="D30:E30"/>
    <mergeCell ref="F30:G30"/>
    <mergeCell ref="H30:I30"/>
    <mergeCell ref="D26:E26"/>
    <mergeCell ref="F26:G26"/>
    <mergeCell ref="H26:I26"/>
    <mergeCell ref="B27:C27"/>
    <mergeCell ref="D27:E27"/>
    <mergeCell ref="F27:G27"/>
    <mergeCell ref="H27:I27"/>
    <mergeCell ref="B26:C26"/>
    <mergeCell ref="H22:I22"/>
    <mergeCell ref="B23:C23"/>
    <mergeCell ref="B31:C31"/>
    <mergeCell ref="D31:E31"/>
    <mergeCell ref="F31:G31"/>
    <mergeCell ref="H31:I31"/>
    <mergeCell ref="B28:C28"/>
    <mergeCell ref="D28:E28"/>
    <mergeCell ref="F28:G28"/>
    <mergeCell ref="H28:I28"/>
    <mergeCell ref="B29:C29"/>
    <mergeCell ref="D29:E29"/>
    <mergeCell ref="F29:G29"/>
    <mergeCell ref="H29:I29"/>
    <mergeCell ref="A1:J1"/>
    <mergeCell ref="C3:J5"/>
    <mergeCell ref="C6:J6"/>
    <mergeCell ref="C7:J7"/>
    <mergeCell ref="A8:J10"/>
    <mergeCell ref="B11:C11"/>
    <mergeCell ref="B12:C12"/>
    <mergeCell ref="B13:C13"/>
    <mergeCell ref="B14:C14"/>
    <mergeCell ref="B15:C15"/>
    <mergeCell ref="B16:C16"/>
    <mergeCell ref="B20:C20"/>
    <mergeCell ref="B17:C17"/>
    <mergeCell ref="B18:C18"/>
    <mergeCell ref="B19:C19"/>
    <mergeCell ref="B24:C24"/>
    <mergeCell ref="D24:E24"/>
    <mergeCell ref="F24:G24"/>
    <mergeCell ref="H24:I24"/>
    <mergeCell ref="D22:E22"/>
    <mergeCell ref="F22:G22"/>
    <mergeCell ref="F36:G36"/>
    <mergeCell ref="H36:I36"/>
    <mergeCell ref="B33:C33"/>
    <mergeCell ref="D33:E33"/>
    <mergeCell ref="F33:G33"/>
    <mergeCell ref="H33:I33"/>
    <mergeCell ref="B34:C34"/>
    <mergeCell ref="D34:E34"/>
    <mergeCell ref="F34:G34"/>
    <mergeCell ref="H34:I34"/>
    <mergeCell ref="B35:I35"/>
    <mergeCell ref="B50:J50"/>
    <mergeCell ref="B37:C37"/>
    <mergeCell ref="B38:C38"/>
    <mergeCell ref="F38:G38"/>
    <mergeCell ref="H38:I38"/>
    <mergeCell ref="B39:C39"/>
    <mergeCell ref="F39:G39"/>
    <mergeCell ref="H39:I39"/>
    <mergeCell ref="B40:I40"/>
    <mergeCell ref="B43:I43"/>
    <mergeCell ref="B42:I42"/>
    <mergeCell ref="B41:I41"/>
    <mergeCell ref="A60:J60"/>
    <mergeCell ref="D66:G66"/>
    <mergeCell ref="B51:J51"/>
    <mergeCell ref="B52:J52"/>
    <mergeCell ref="B56:J56"/>
    <mergeCell ref="B57:J57"/>
  </mergeCells>
  <printOptions horizontalCentered="1"/>
  <pageMargins left="0.78740157480314965" right="0.78740157480314965" top="0.78740157480314965" bottom="0.78740157480314965" header="0" footer="0"/>
  <pageSetup scale="69" orientation="portrait" r:id="rId1"/>
  <headerFooter alignWithMargins="0"/>
  <ignoredErrors>
    <ignoredError sqref="F33" formulaRange="1"/>
  </ignoredError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0"/>
  <dimension ref="A1:L67"/>
  <sheetViews>
    <sheetView view="pageBreakPreview" topLeftCell="A49" zoomScale="85" zoomScaleNormal="100" zoomScaleSheetLayoutView="85" workbookViewId="0">
      <selection activeCell="B44" sqref="B44:H44"/>
    </sheetView>
  </sheetViews>
  <sheetFormatPr baseColWidth="10" defaultColWidth="11.42578125" defaultRowHeight="15"/>
  <cols>
    <col min="1" max="1" width="6.5703125" style="637" bestFit="1" customWidth="1"/>
    <col min="2" max="8" width="11.42578125" style="637"/>
    <col min="9" max="9" width="14.85546875" style="637" customWidth="1"/>
    <col min="10" max="11" width="0" style="637" hidden="1" customWidth="1"/>
    <col min="12" max="12" width="6.140625" style="637" hidden="1" customWidth="1"/>
    <col min="13" max="16384" width="11.42578125" style="637"/>
  </cols>
  <sheetData>
    <row r="1" spans="1:9" ht="53.25" customHeight="1">
      <c r="A1" s="1309" t="str">
        <f>PPTO!D3</f>
        <v>PRESUPUESTO
MUNICIPIO EL BAGRE (ANTIOQUIA).</v>
      </c>
      <c r="B1" s="1310"/>
      <c r="C1" s="1310"/>
      <c r="D1" s="1310"/>
      <c r="E1" s="1310"/>
      <c r="F1" s="1310"/>
      <c r="G1" s="1310"/>
      <c r="H1" s="1310"/>
      <c r="I1" s="1311"/>
    </row>
    <row r="2" spans="1:9" ht="18">
      <c r="A2" s="1312" t="s">
        <v>505</v>
      </c>
      <c r="B2" s="1313"/>
      <c r="C2" s="1313"/>
      <c r="D2" s="1313"/>
      <c r="E2" s="1313"/>
      <c r="F2" s="1313"/>
      <c r="G2" s="1313"/>
      <c r="H2" s="1313"/>
      <c r="I2" s="1313"/>
    </row>
    <row r="3" spans="1:9" ht="22.5" customHeight="1">
      <c r="A3" s="1314"/>
      <c r="B3" s="1315"/>
      <c r="C3" s="1315"/>
      <c r="D3" s="1315"/>
      <c r="E3" s="1315"/>
      <c r="F3" s="1315"/>
      <c r="G3" s="1315"/>
      <c r="H3" s="1315"/>
      <c r="I3" s="700"/>
    </row>
    <row r="4" spans="1:9" ht="32.25" customHeight="1">
      <c r="A4" s="1316" t="s">
        <v>506</v>
      </c>
      <c r="B4" s="1317"/>
      <c r="C4" s="1317"/>
      <c r="D4" s="1317"/>
      <c r="E4" s="1317"/>
      <c r="F4" s="1317"/>
      <c r="G4" s="1317"/>
      <c r="H4" s="1317"/>
      <c r="I4" s="1317"/>
    </row>
    <row r="5" spans="1:9" ht="22.5" customHeight="1">
      <c r="A5" s="701"/>
      <c r="B5" s="702"/>
      <c r="C5" s="702"/>
      <c r="D5" s="702"/>
      <c r="E5" s="702"/>
      <c r="F5" s="702"/>
      <c r="G5" s="702"/>
      <c r="H5" s="702"/>
      <c r="I5" s="702"/>
    </row>
    <row r="6" spans="1:9" ht="22.5" customHeight="1">
      <c r="A6" s="701"/>
      <c r="B6" s="702"/>
      <c r="C6" s="702"/>
      <c r="D6" s="702"/>
      <c r="E6" s="702"/>
      <c r="F6" s="702"/>
      <c r="G6" s="702"/>
      <c r="H6" s="702"/>
      <c r="I6" s="702"/>
    </row>
    <row r="7" spans="1:9" ht="22.5" customHeight="1">
      <c r="A7" s="701"/>
      <c r="B7" s="702"/>
      <c r="C7" s="702"/>
      <c r="D7" s="702"/>
      <c r="E7" s="702"/>
      <c r="F7" s="702"/>
      <c r="G7" s="702"/>
      <c r="H7" s="702"/>
      <c r="I7" s="702"/>
    </row>
    <row r="8" spans="1:9" ht="22.5" customHeight="1">
      <c r="A8" s="701"/>
      <c r="B8" s="702"/>
      <c r="C8" s="702"/>
      <c r="D8" s="702"/>
      <c r="E8" s="702"/>
      <c r="F8" s="702"/>
      <c r="G8" s="702"/>
      <c r="H8" s="702"/>
      <c r="I8" s="702"/>
    </row>
    <row r="9" spans="1:9" ht="22.5" customHeight="1">
      <c r="A9" s="701"/>
      <c r="B9" s="702"/>
      <c r="C9" s="702"/>
      <c r="D9" s="702"/>
      <c r="E9" s="702"/>
      <c r="F9" s="702"/>
      <c r="G9" s="702"/>
      <c r="H9" s="702"/>
      <c r="I9" s="702"/>
    </row>
    <row r="10" spans="1:9" ht="22.5" customHeight="1">
      <c r="A10" s="701"/>
      <c r="B10" s="702"/>
      <c r="C10" s="702"/>
      <c r="D10" s="702"/>
      <c r="E10" s="702"/>
      <c r="F10" s="702"/>
      <c r="G10" s="702"/>
      <c r="H10" s="702"/>
      <c r="I10" s="702"/>
    </row>
    <row r="11" spans="1:9" ht="22.5" customHeight="1">
      <c r="A11" s="701"/>
      <c r="B11" s="702"/>
      <c r="C11" s="702"/>
      <c r="D11" s="702"/>
      <c r="E11" s="702"/>
      <c r="F11" s="702"/>
      <c r="G11" s="702"/>
      <c r="H11" s="702"/>
      <c r="I11" s="702"/>
    </row>
    <row r="12" spans="1:9" ht="22.5" customHeight="1">
      <c r="A12" s="701"/>
      <c r="B12" s="702"/>
      <c r="C12" s="702"/>
      <c r="D12" s="702"/>
      <c r="E12" s="702"/>
      <c r="F12" s="702"/>
      <c r="G12" s="702"/>
      <c r="H12" s="702"/>
      <c r="I12" s="702"/>
    </row>
    <row r="13" spans="1:9" ht="22.5" customHeight="1">
      <c r="A13" s="701"/>
      <c r="B13" s="702"/>
      <c r="C13" s="702"/>
      <c r="D13" s="702"/>
      <c r="E13" s="702"/>
      <c r="F13" s="702"/>
      <c r="G13" s="702"/>
      <c r="H13" s="702"/>
      <c r="I13" s="702"/>
    </row>
    <row r="14" spans="1:9" ht="22.5" customHeight="1">
      <c r="A14" s="703"/>
      <c r="B14" s="704"/>
      <c r="C14" s="704"/>
      <c r="D14" s="704"/>
      <c r="E14" s="704"/>
      <c r="F14" s="704"/>
      <c r="G14" s="704"/>
      <c r="H14" s="704"/>
      <c r="I14" s="704"/>
    </row>
    <row r="15" spans="1:9" ht="15.75">
      <c r="A15" s="648"/>
      <c r="B15" s="649"/>
      <c r="C15" s="650" t="s">
        <v>482</v>
      </c>
      <c r="D15" s="651"/>
      <c r="E15" s="651"/>
      <c r="F15" s="651"/>
      <c r="G15" s="651"/>
      <c r="H15" s="652"/>
      <c r="I15" s="653" t="s">
        <v>483</v>
      </c>
    </row>
    <row r="16" spans="1:9" ht="15.75">
      <c r="A16" s="654" t="s">
        <v>507</v>
      </c>
      <c r="B16" s="1318" t="s">
        <v>508</v>
      </c>
      <c r="C16" s="1319"/>
      <c r="D16" s="1319"/>
      <c r="E16" s="1319"/>
      <c r="F16" s="1319"/>
      <c r="G16" s="1319"/>
      <c r="H16" s="1319"/>
      <c r="I16" s="1319"/>
    </row>
    <row r="17" spans="1:12" ht="15.75">
      <c r="A17" s="648"/>
      <c r="B17" s="638"/>
      <c r="C17" s="655"/>
      <c r="D17" s="655"/>
      <c r="E17" s="655"/>
      <c r="F17" s="656"/>
      <c r="G17" s="655"/>
      <c r="H17" s="657"/>
      <c r="I17" s="658"/>
    </row>
    <row r="18" spans="1:12" ht="15.75">
      <c r="A18" s="659" t="s">
        <v>509</v>
      </c>
      <c r="B18" s="1302" t="s">
        <v>510</v>
      </c>
      <c r="C18" s="1303"/>
      <c r="D18" s="1303"/>
      <c r="E18" s="1303"/>
      <c r="F18" s="1303"/>
      <c r="G18" s="1303"/>
      <c r="H18" s="1304"/>
      <c r="I18" s="664">
        <v>1</v>
      </c>
    </row>
    <row r="19" spans="1:12" ht="15.75">
      <c r="A19" s="659" t="s">
        <v>511</v>
      </c>
      <c r="B19" s="1302" t="s">
        <v>485</v>
      </c>
      <c r="C19" s="1303"/>
      <c r="D19" s="1303"/>
      <c r="E19" s="660">
        <v>1</v>
      </c>
      <c r="F19" s="661" t="s">
        <v>486</v>
      </c>
      <c r="G19" s="662"/>
      <c r="H19" s="663"/>
      <c r="I19" s="664">
        <f>1/12</f>
        <v>8.3299999999999999E-2</v>
      </c>
    </row>
    <row r="20" spans="1:12" ht="15.75">
      <c r="A20" s="659" t="s">
        <v>512</v>
      </c>
      <c r="B20" s="1302" t="s">
        <v>487</v>
      </c>
      <c r="C20" s="1303"/>
      <c r="D20" s="1303"/>
      <c r="E20" s="660">
        <v>1</v>
      </c>
      <c r="F20" s="661" t="s">
        <v>486</v>
      </c>
      <c r="G20" s="662"/>
      <c r="H20" s="663"/>
      <c r="I20" s="664">
        <f>1/12</f>
        <v>8.3299999999999999E-2</v>
      </c>
    </row>
    <row r="21" spans="1:12" ht="15.75">
      <c r="A21" s="659" t="s">
        <v>513</v>
      </c>
      <c r="B21" s="1302" t="s">
        <v>488</v>
      </c>
      <c r="C21" s="1303"/>
      <c r="D21" s="1303"/>
      <c r="E21" s="660">
        <v>0.01</v>
      </c>
      <c r="F21" s="661" t="s">
        <v>489</v>
      </c>
      <c r="G21" s="662"/>
      <c r="H21" s="663"/>
      <c r="I21" s="664">
        <v>0.01</v>
      </c>
    </row>
    <row r="22" spans="1:12" ht="15.75">
      <c r="A22" s="659" t="s">
        <v>514</v>
      </c>
      <c r="B22" s="1302" t="s">
        <v>490</v>
      </c>
      <c r="C22" s="1303"/>
      <c r="D22" s="1303"/>
      <c r="E22" s="1303"/>
      <c r="F22" s="1303"/>
      <c r="G22" s="1303"/>
      <c r="H22" s="1304"/>
      <c r="I22" s="664">
        <f>+I20/2</f>
        <v>4.1700000000000001E-2</v>
      </c>
    </row>
    <row r="23" spans="1:12" ht="15.75">
      <c r="A23" s="659" t="s">
        <v>515</v>
      </c>
      <c r="B23" s="1302" t="s">
        <v>491</v>
      </c>
      <c r="C23" s="1303"/>
      <c r="D23" s="1303"/>
      <c r="E23" s="1303"/>
      <c r="F23" s="1303"/>
      <c r="G23" s="1303"/>
      <c r="H23" s="1304"/>
      <c r="I23" s="664">
        <v>0.12</v>
      </c>
    </row>
    <row r="24" spans="1:12" ht="15.75">
      <c r="A24" s="659" t="s">
        <v>516</v>
      </c>
      <c r="B24" s="1302" t="s">
        <v>492</v>
      </c>
      <c r="C24" s="1303"/>
      <c r="D24" s="1303"/>
      <c r="E24" s="1303"/>
      <c r="F24" s="1303"/>
      <c r="G24" s="1303"/>
      <c r="H24" s="1304"/>
      <c r="I24" s="664">
        <v>0.04</v>
      </c>
    </row>
    <row r="25" spans="1:12" ht="15.75">
      <c r="A25" s="659" t="s">
        <v>517</v>
      </c>
      <c r="B25" s="1302" t="s">
        <v>493</v>
      </c>
      <c r="C25" s="1303"/>
      <c r="D25" s="1303"/>
      <c r="E25" s="1303"/>
      <c r="F25" s="1303"/>
      <c r="G25" s="1303"/>
      <c r="H25" s="1304"/>
      <c r="I25" s="664">
        <v>6.9599999999999995E-2</v>
      </c>
    </row>
    <row r="26" spans="1:12" ht="15.75">
      <c r="A26" s="659" t="s">
        <v>518</v>
      </c>
      <c r="B26" s="1302" t="s">
        <v>494</v>
      </c>
      <c r="C26" s="1303"/>
      <c r="D26" s="1303"/>
      <c r="E26" s="1303"/>
      <c r="F26" s="1303"/>
      <c r="G26" s="1303"/>
      <c r="H26" s="1304"/>
      <c r="I26" s="664">
        <v>0</v>
      </c>
    </row>
    <row r="27" spans="1:12" ht="15.75">
      <c r="A27" s="659" t="s">
        <v>519</v>
      </c>
      <c r="B27" s="1302" t="s">
        <v>495</v>
      </c>
      <c r="C27" s="1303"/>
      <c r="D27" s="1303"/>
      <c r="E27" s="1303"/>
      <c r="F27" s="1303"/>
      <c r="G27" s="1303"/>
      <c r="H27" s="1304"/>
      <c r="I27" s="664">
        <v>0</v>
      </c>
    </row>
    <row r="28" spans="1:12" ht="15.75">
      <c r="A28" s="659" t="s">
        <v>520</v>
      </c>
      <c r="B28" s="1302" t="s">
        <v>521</v>
      </c>
      <c r="C28" s="1303"/>
      <c r="D28" s="1303"/>
      <c r="E28" s="1303"/>
      <c r="F28" s="1303"/>
      <c r="G28" s="1303"/>
      <c r="H28" s="1304"/>
      <c r="I28" s="664">
        <v>0</v>
      </c>
      <c r="L28" s="665"/>
    </row>
    <row r="29" spans="1:12" ht="15.75">
      <c r="A29" s="648"/>
      <c r="B29" s="649"/>
      <c r="C29" s="662"/>
      <c r="D29" s="662"/>
      <c r="E29" s="662"/>
      <c r="F29" s="1305" t="s">
        <v>496</v>
      </c>
      <c r="G29" s="1303"/>
      <c r="H29" s="1304"/>
      <c r="I29" s="666">
        <f>SUM(I18:I28)</f>
        <v>1.4479</v>
      </c>
      <c r="K29" s="667"/>
    </row>
    <row r="30" spans="1:12" ht="15.75">
      <c r="A30" s="668"/>
      <c r="B30" s="662"/>
      <c r="C30" s="662"/>
      <c r="D30" s="662"/>
      <c r="E30" s="662"/>
      <c r="F30" s="669"/>
      <c r="G30" s="662"/>
      <c r="H30" s="660"/>
      <c r="I30" s="663"/>
    </row>
    <row r="31" spans="1:12" ht="15.75">
      <c r="A31" s="654" t="s">
        <v>522</v>
      </c>
      <c r="B31" s="1306" t="s">
        <v>523</v>
      </c>
      <c r="C31" s="1303"/>
      <c r="D31" s="1303"/>
      <c r="E31" s="1303"/>
      <c r="F31" s="1303"/>
      <c r="G31" s="1303"/>
      <c r="H31" s="1303"/>
      <c r="I31" s="1303"/>
    </row>
    <row r="32" spans="1:12" ht="15.75">
      <c r="A32" s="648"/>
      <c r="B32" s="649"/>
      <c r="C32" s="662"/>
      <c r="D32" s="662"/>
      <c r="E32" s="662"/>
      <c r="F32" s="669"/>
      <c r="G32" s="662"/>
      <c r="H32" s="660"/>
      <c r="I32" s="663"/>
    </row>
    <row r="33" spans="1:9" ht="15.75">
      <c r="A33" s="659" t="s">
        <v>524</v>
      </c>
      <c r="B33" s="1302" t="s">
        <v>525</v>
      </c>
      <c r="C33" s="1303"/>
      <c r="D33" s="1303"/>
      <c r="E33" s="1303"/>
      <c r="F33" s="1303"/>
      <c r="G33" s="1303"/>
      <c r="H33" s="1304"/>
      <c r="I33" s="664">
        <v>0.05</v>
      </c>
    </row>
    <row r="34" spans="1:9" ht="15.75">
      <c r="A34" s="659" t="s">
        <v>526</v>
      </c>
      <c r="B34" s="1302" t="s">
        <v>527</v>
      </c>
      <c r="C34" s="1303"/>
      <c r="D34" s="1303"/>
      <c r="E34" s="1303"/>
      <c r="F34" s="1303"/>
      <c r="G34" s="1303"/>
      <c r="H34" s="1304"/>
      <c r="I34" s="664">
        <v>1.4999999999999999E-2</v>
      </c>
    </row>
    <row r="35" spans="1:9" ht="15.75">
      <c r="A35" s="648"/>
      <c r="B35" s="649"/>
      <c r="C35" s="662"/>
      <c r="D35" s="662"/>
      <c r="E35" s="662"/>
      <c r="F35" s="1305" t="s">
        <v>496</v>
      </c>
      <c r="G35" s="1303"/>
      <c r="H35" s="1304"/>
      <c r="I35" s="666">
        <f>SUM(I33:I34)</f>
        <v>6.5000000000000002E-2</v>
      </c>
    </row>
    <row r="36" spans="1:9" ht="15.75">
      <c r="A36" s="668"/>
      <c r="B36" s="662"/>
      <c r="C36" s="662"/>
      <c r="D36" s="662"/>
      <c r="E36" s="662"/>
      <c r="F36" s="669"/>
      <c r="G36" s="662"/>
      <c r="H36" s="660"/>
      <c r="I36" s="663"/>
    </row>
    <row r="37" spans="1:9" ht="15.75">
      <c r="A37" s="654" t="s">
        <v>528</v>
      </c>
      <c r="B37" s="1306" t="s">
        <v>529</v>
      </c>
      <c r="C37" s="1303"/>
      <c r="D37" s="1303"/>
      <c r="E37" s="1303"/>
      <c r="F37" s="1303"/>
      <c r="G37" s="1303"/>
      <c r="H37" s="1303"/>
      <c r="I37" s="1303"/>
    </row>
    <row r="38" spans="1:9" ht="15.75">
      <c r="A38" s="659" t="s">
        <v>530</v>
      </c>
      <c r="B38" s="1302" t="s">
        <v>531</v>
      </c>
      <c r="C38" s="1303"/>
      <c r="D38" s="1303"/>
      <c r="E38" s="1303"/>
      <c r="F38" s="1303"/>
      <c r="G38" s="1303"/>
      <c r="H38" s="1304"/>
      <c r="I38" s="664">
        <v>0</v>
      </c>
    </row>
    <row r="39" spans="1:9" ht="15.75">
      <c r="A39" s="659" t="s">
        <v>526</v>
      </c>
      <c r="B39" s="1302" t="s">
        <v>532</v>
      </c>
      <c r="C39" s="1303"/>
      <c r="D39" s="1303"/>
      <c r="E39" s="1303"/>
      <c r="F39" s="1303"/>
      <c r="G39" s="1303"/>
      <c r="H39" s="1304"/>
      <c r="I39" s="664">
        <v>0.15</v>
      </c>
    </row>
    <row r="40" spans="1:9" ht="15.75">
      <c r="A40" s="659" t="s">
        <v>533</v>
      </c>
      <c r="B40" s="1302" t="s">
        <v>534</v>
      </c>
      <c r="C40" s="1303"/>
      <c r="D40" s="1303"/>
      <c r="E40" s="1303"/>
      <c r="F40" s="1303"/>
      <c r="G40" s="1303"/>
      <c r="H40" s="1304"/>
      <c r="I40" s="664">
        <v>0.05</v>
      </c>
    </row>
    <row r="41" spans="1:9" ht="15.75">
      <c r="A41" s="659" t="s">
        <v>535</v>
      </c>
      <c r="B41" s="1302" t="s">
        <v>536</v>
      </c>
      <c r="C41" s="1303"/>
      <c r="D41" s="1303"/>
      <c r="E41" s="1303"/>
      <c r="F41" s="1303"/>
      <c r="G41" s="1303"/>
      <c r="H41" s="1304"/>
      <c r="I41" s="664">
        <v>0.03</v>
      </c>
    </row>
    <row r="42" spans="1:9" ht="15.75">
      <c r="A42" s="659" t="s">
        <v>537</v>
      </c>
      <c r="B42" s="1302" t="s">
        <v>538</v>
      </c>
      <c r="C42" s="1303"/>
      <c r="D42" s="1303"/>
      <c r="E42" s="1303"/>
      <c r="F42" s="1303"/>
      <c r="G42" s="1303"/>
      <c r="H42" s="1304"/>
      <c r="I42" s="664">
        <v>5.0000000000000001E-3</v>
      </c>
    </row>
    <row r="43" spans="1:9" ht="15.75">
      <c r="A43" s="659" t="s">
        <v>539</v>
      </c>
      <c r="B43" s="1302" t="s">
        <v>540</v>
      </c>
      <c r="C43" s="1303"/>
      <c r="D43" s="1303"/>
      <c r="E43" s="1303"/>
      <c r="F43" s="1303"/>
      <c r="G43" s="1303"/>
      <c r="H43" s="1304"/>
      <c r="I43" s="664">
        <v>0.05</v>
      </c>
    </row>
    <row r="44" spans="1:9" ht="15.75">
      <c r="A44" s="659" t="s">
        <v>541</v>
      </c>
      <c r="B44" s="1302" t="s">
        <v>542</v>
      </c>
      <c r="C44" s="1303"/>
      <c r="D44" s="1303"/>
      <c r="E44" s="1303"/>
      <c r="F44" s="1303"/>
      <c r="G44" s="1303"/>
      <c r="H44" s="1304"/>
      <c r="I44" s="664">
        <v>0.03</v>
      </c>
    </row>
    <row r="45" spans="1:9" ht="15.75">
      <c r="A45" s="659" t="s">
        <v>543</v>
      </c>
      <c r="B45" s="1302" t="s">
        <v>544</v>
      </c>
      <c r="C45" s="1303"/>
      <c r="D45" s="1303"/>
      <c r="E45" s="1303"/>
      <c r="F45" s="1303"/>
      <c r="G45" s="1303"/>
      <c r="H45" s="1304"/>
      <c r="I45" s="664">
        <v>0.01</v>
      </c>
    </row>
    <row r="46" spans="1:9" ht="15.75">
      <c r="A46" s="659" t="s">
        <v>545</v>
      </c>
      <c r="B46" s="1302" t="s">
        <v>546</v>
      </c>
      <c r="C46" s="1303"/>
      <c r="D46" s="1303"/>
      <c r="E46" s="1303"/>
      <c r="F46" s="1303"/>
      <c r="G46" s="1303"/>
      <c r="H46" s="1304"/>
      <c r="I46" s="664">
        <v>0.01</v>
      </c>
    </row>
    <row r="47" spans="1:9" ht="15.75">
      <c r="A47" s="659" t="s">
        <v>547</v>
      </c>
      <c r="B47" s="1302" t="s">
        <v>548</v>
      </c>
      <c r="C47" s="1303"/>
      <c r="D47" s="1303"/>
      <c r="E47" s="1303"/>
      <c r="F47" s="1303"/>
      <c r="G47" s="1303"/>
      <c r="H47" s="1304"/>
      <c r="I47" s="664">
        <v>0.01</v>
      </c>
    </row>
    <row r="48" spans="1:9" ht="15.75">
      <c r="A48" s="659">
        <v>3.12</v>
      </c>
      <c r="B48" s="1302" t="s">
        <v>549</v>
      </c>
      <c r="C48" s="1303"/>
      <c r="D48" s="1303"/>
      <c r="E48" s="1303"/>
      <c r="F48" s="1303"/>
      <c r="G48" s="1303"/>
      <c r="H48" s="1304"/>
      <c r="I48" s="664">
        <v>0.01</v>
      </c>
    </row>
    <row r="49" spans="1:10" ht="15.75">
      <c r="A49" s="648"/>
      <c r="B49" s="649"/>
      <c r="C49" s="662"/>
      <c r="D49" s="662"/>
      <c r="E49" s="662"/>
      <c r="F49" s="1305" t="s">
        <v>496</v>
      </c>
      <c r="G49" s="1303"/>
      <c r="H49" s="1304"/>
      <c r="I49" s="666">
        <f>SUM(I38:I48)</f>
        <v>0.35499999999999998</v>
      </c>
    </row>
    <row r="50" spans="1:10" ht="15.75">
      <c r="A50" s="668"/>
      <c r="B50" s="662"/>
      <c r="C50" s="662"/>
      <c r="D50" s="662"/>
      <c r="E50" s="662"/>
      <c r="F50" s="669"/>
      <c r="G50" s="662"/>
      <c r="H50" s="660"/>
      <c r="I50" s="663"/>
    </row>
    <row r="51" spans="1:10" ht="15.75">
      <c r="A51" s="654" t="s">
        <v>550</v>
      </c>
      <c r="B51" s="1306" t="s">
        <v>551</v>
      </c>
      <c r="C51" s="1303"/>
      <c r="D51" s="1303"/>
      <c r="E51" s="1303"/>
      <c r="F51" s="1303"/>
      <c r="G51" s="1303"/>
      <c r="H51" s="1303"/>
      <c r="I51" s="1303"/>
    </row>
    <row r="52" spans="1:10" ht="15.75">
      <c r="A52" s="648"/>
      <c r="B52" s="649"/>
      <c r="C52" s="662"/>
      <c r="D52" s="662"/>
      <c r="E52" s="662"/>
      <c r="F52" s="669"/>
      <c r="G52" s="662"/>
      <c r="H52" s="660"/>
      <c r="I52" s="663"/>
    </row>
    <row r="53" spans="1:10" ht="15.75">
      <c r="A53" s="659">
        <v>4.0999999999999996</v>
      </c>
      <c r="B53" s="1302" t="s">
        <v>552</v>
      </c>
      <c r="C53" s="1303"/>
      <c r="D53" s="1303"/>
      <c r="E53" s="1303"/>
      <c r="F53" s="1303"/>
      <c r="G53" s="1303"/>
      <c r="H53" s="1304"/>
      <c r="I53" s="664">
        <v>5.3E-3</v>
      </c>
      <c r="J53" s="667">
        <f>20%*10%*12</f>
        <v>0.24</v>
      </c>
    </row>
    <row r="54" spans="1:10" ht="15.75">
      <c r="A54" s="659">
        <v>4.2</v>
      </c>
      <c r="B54" s="1302" t="s">
        <v>553</v>
      </c>
      <c r="C54" s="1303"/>
      <c r="D54" s="1303"/>
      <c r="E54" s="1303"/>
      <c r="F54" s="1303"/>
      <c r="G54" s="1303"/>
      <c r="H54" s="1304"/>
      <c r="I54" s="664">
        <v>9.9000000000000008E-3</v>
      </c>
    </row>
    <row r="55" spans="1:10" ht="15.75">
      <c r="A55" s="659">
        <v>4.3</v>
      </c>
      <c r="B55" s="1302" t="s">
        <v>554</v>
      </c>
      <c r="C55" s="1303"/>
      <c r="D55" s="1303"/>
      <c r="E55" s="1303"/>
      <c r="F55" s="1303"/>
      <c r="G55" s="1303"/>
      <c r="H55" s="1304"/>
      <c r="I55" s="664">
        <v>2.6499999999999999E-2</v>
      </c>
    </row>
    <row r="56" spans="1:10" ht="15.75">
      <c r="A56" s="648"/>
      <c r="B56" s="649"/>
      <c r="C56" s="662"/>
      <c r="D56" s="662"/>
      <c r="E56" s="662"/>
      <c r="F56" s="1305" t="s">
        <v>496</v>
      </c>
      <c r="G56" s="1303"/>
      <c r="H56" s="1304"/>
      <c r="I56" s="666">
        <f>SUM(I53:I55)</f>
        <v>4.1700000000000001E-2</v>
      </c>
    </row>
    <row r="57" spans="1:10" ht="15.75">
      <c r="A57" s="668"/>
      <c r="B57" s="662"/>
      <c r="C57" s="662"/>
      <c r="D57" s="662"/>
      <c r="E57" s="662"/>
      <c r="F57" s="669"/>
      <c r="G57" s="662"/>
      <c r="H57" s="660"/>
      <c r="I57" s="663"/>
    </row>
    <row r="58" spans="1:10" ht="15.75">
      <c r="A58" s="705"/>
      <c r="B58" s="706"/>
      <c r="C58" s="662"/>
      <c r="D58" s="662"/>
      <c r="E58" s="662"/>
      <c r="F58" s="669"/>
      <c r="G58" s="662"/>
      <c r="H58" s="660"/>
      <c r="I58" s="663"/>
    </row>
    <row r="59" spans="1:10" ht="64.5" customHeight="1">
      <c r="A59" s="707" t="s">
        <v>555</v>
      </c>
      <c r="B59" s="1307" t="s">
        <v>556</v>
      </c>
      <c r="C59" s="1308"/>
      <c r="D59" s="1308"/>
      <c r="E59" s="1308"/>
      <c r="F59" s="1305" t="s">
        <v>496</v>
      </c>
      <c r="G59" s="1303"/>
      <c r="H59" s="1304"/>
      <c r="I59" s="666">
        <v>0.1</v>
      </c>
    </row>
    <row r="60" spans="1:10" ht="15.75">
      <c r="A60" s="668"/>
      <c r="B60" s="662"/>
      <c r="C60" s="662"/>
      <c r="D60" s="662"/>
      <c r="E60" s="662"/>
      <c r="F60" s="669"/>
      <c r="G60" s="662"/>
      <c r="H60" s="660"/>
      <c r="I60" s="663"/>
    </row>
    <row r="61" spans="1:10" ht="15.75">
      <c r="A61" s="668"/>
      <c r="B61" s="662"/>
      <c r="C61" s="662"/>
      <c r="D61" s="662"/>
      <c r="E61" s="662"/>
      <c r="F61" s="669"/>
      <c r="G61" s="662"/>
      <c r="H61" s="660"/>
      <c r="I61" s="663"/>
    </row>
    <row r="62" spans="1:10" ht="21">
      <c r="A62" s="1300" t="s">
        <v>497</v>
      </c>
      <c r="B62" s="1301"/>
      <c r="C62" s="1301"/>
      <c r="D62" s="1301"/>
      <c r="E62" s="1301"/>
      <c r="F62" s="1301"/>
      <c r="G62" s="1301"/>
      <c r="H62" s="1301"/>
      <c r="I62" s="670">
        <f>SUM(I59,I56,I49,I35,I29)</f>
        <v>2.0095999999999998</v>
      </c>
    </row>
    <row r="63" spans="1:10" ht="20.25">
      <c r="A63" s="672"/>
      <c r="B63" s="672"/>
      <c r="C63" s="218"/>
      <c r="D63" s="672"/>
      <c r="E63" s="672"/>
      <c r="F63" s="672"/>
      <c r="G63" s="672"/>
      <c r="H63" s="672"/>
      <c r="I63" s="672"/>
    </row>
    <row r="64" spans="1:10" ht="27" customHeight="1">
      <c r="A64" s="708"/>
      <c r="B64" s="708"/>
      <c r="C64" s="218"/>
      <c r="D64" s="708"/>
      <c r="E64" s="708"/>
      <c r="F64" s="708"/>
      <c r="G64" s="708"/>
      <c r="H64" s="708"/>
      <c r="I64" s="709"/>
    </row>
    <row r="65" spans="1:3" ht="18">
      <c r="A65" s="710"/>
      <c r="C65" s="284"/>
    </row>
    <row r="66" spans="1:3" ht="15.75">
      <c r="A66" s="519"/>
      <c r="C66" s="736" t="s">
        <v>685</v>
      </c>
    </row>
    <row r="67" spans="1:3" ht="15.75">
      <c r="A67" s="519"/>
      <c r="C67" s="736" t="s">
        <v>686</v>
      </c>
    </row>
  </sheetData>
  <mergeCells count="42">
    <mergeCell ref="B18:H18"/>
    <mergeCell ref="A1:I1"/>
    <mergeCell ref="A2:I2"/>
    <mergeCell ref="A3:H3"/>
    <mergeCell ref="A4:I4"/>
    <mergeCell ref="B16:I16"/>
    <mergeCell ref="B31:I31"/>
    <mergeCell ref="B19:D19"/>
    <mergeCell ref="B20:D20"/>
    <mergeCell ref="B21:D21"/>
    <mergeCell ref="B22:H22"/>
    <mergeCell ref="B23:H23"/>
    <mergeCell ref="B24:H24"/>
    <mergeCell ref="B25:H25"/>
    <mergeCell ref="B26:H26"/>
    <mergeCell ref="B27:H27"/>
    <mergeCell ref="B28:H28"/>
    <mergeCell ref="F29:H29"/>
    <mergeCell ref="B45:H45"/>
    <mergeCell ref="B33:H33"/>
    <mergeCell ref="B34:H34"/>
    <mergeCell ref="F35:H35"/>
    <mergeCell ref="B37:I37"/>
    <mergeCell ref="B38:H38"/>
    <mergeCell ref="B39:H39"/>
    <mergeCell ref="B40:H40"/>
    <mergeCell ref="B41:H41"/>
    <mergeCell ref="B42:H42"/>
    <mergeCell ref="B43:H43"/>
    <mergeCell ref="B44:H44"/>
    <mergeCell ref="A62:H62"/>
    <mergeCell ref="B46:H46"/>
    <mergeCell ref="B47:H47"/>
    <mergeCell ref="B48:H48"/>
    <mergeCell ref="F49:H49"/>
    <mergeCell ref="B51:I51"/>
    <mergeCell ref="B53:H53"/>
    <mergeCell ref="B54:H54"/>
    <mergeCell ref="B55:H55"/>
    <mergeCell ref="F56:H56"/>
    <mergeCell ref="B59:E59"/>
    <mergeCell ref="F59:H59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75" orientation="portrait" r:id="rId1"/>
  <rowBreaks count="1" manualBreakCount="1">
    <brk id="50" max="8" man="1"/>
  </row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5">
    <tabColor theme="3" tint="0.39997558519241921"/>
  </sheetPr>
  <dimension ref="A1:N41"/>
  <sheetViews>
    <sheetView tabSelected="1" view="pageBreakPreview" zoomScale="85" zoomScaleNormal="100" zoomScaleSheetLayoutView="85" workbookViewId="0">
      <selection activeCell="N9" sqref="N9"/>
    </sheetView>
  </sheetViews>
  <sheetFormatPr baseColWidth="10" defaultColWidth="11.42578125" defaultRowHeight="15"/>
  <cols>
    <col min="1" max="1" width="3.85546875" style="637" customWidth="1"/>
    <col min="2" max="2" width="11.42578125" style="637"/>
    <col min="3" max="8" width="13.28515625" style="637" customWidth="1"/>
    <col min="9" max="9" width="14.85546875" style="637" customWidth="1"/>
    <col min="10" max="11" width="0" style="637" hidden="1" customWidth="1"/>
    <col min="12" max="12" width="6.140625" style="637" hidden="1" customWidth="1"/>
    <col min="13" max="13" width="12.5703125" style="637" bestFit="1" customWidth="1"/>
    <col min="14" max="16384" width="11.42578125" style="637"/>
  </cols>
  <sheetData>
    <row r="1" spans="1:14" ht="18">
      <c r="A1" s="1326" t="str">
        <f>PPTO!D3</f>
        <v>PRESUPUESTO
MUNICIPIO EL BAGRE (ANTIOQUIA).</v>
      </c>
      <c r="B1" s="1327"/>
      <c r="C1" s="1327"/>
      <c r="D1" s="1327"/>
      <c r="E1" s="1327"/>
      <c r="F1" s="1327"/>
      <c r="G1" s="1327"/>
      <c r="H1" s="1327"/>
      <c r="I1" s="1328"/>
    </row>
    <row r="2" spans="1:14" ht="44.25" customHeight="1">
      <c r="A2" s="1329" t="s">
        <v>472</v>
      </c>
      <c r="B2" s="1330"/>
      <c r="C2" s="1330"/>
      <c r="D2" s="1330"/>
      <c r="E2" s="1330"/>
      <c r="F2" s="1330"/>
      <c r="G2" s="1330"/>
      <c r="H2" s="1330"/>
      <c r="I2" s="1331"/>
    </row>
    <row r="3" spans="1:14" ht="22.5" customHeight="1">
      <c r="A3" s="638"/>
      <c r="B3" s="639"/>
      <c r="C3" s="639"/>
      <c r="D3" s="639"/>
      <c r="E3" s="639"/>
      <c r="F3" s="640"/>
      <c r="G3" s="640"/>
      <c r="H3" s="640"/>
      <c r="I3" s="641"/>
    </row>
    <row r="4" spans="1:14" ht="22.5" customHeight="1">
      <c r="A4" s="1332" t="s">
        <v>1226</v>
      </c>
      <c r="B4" s="1332"/>
      <c r="C4" s="1332"/>
      <c r="D4" s="1333">
        <v>908526</v>
      </c>
      <c r="E4" s="1333"/>
      <c r="F4" s="640"/>
      <c r="G4" s="640"/>
      <c r="H4" s="640"/>
      <c r="I4" s="641"/>
    </row>
    <row r="5" spans="1:14" ht="22.5" customHeight="1">
      <c r="A5" s="1332" t="s">
        <v>473</v>
      </c>
      <c r="B5" s="1332"/>
      <c r="C5" s="1332"/>
      <c r="D5" s="1334">
        <f>+I33</f>
        <v>0.64539999999999997</v>
      </c>
      <c r="E5" s="1334"/>
      <c r="F5" s="640"/>
      <c r="G5" s="640"/>
      <c r="H5" s="640"/>
      <c r="I5" s="641"/>
    </row>
    <row r="6" spans="1:14" ht="22.5" customHeight="1">
      <c r="A6" s="1332" t="s">
        <v>474</v>
      </c>
      <c r="B6" s="1332"/>
      <c r="C6" s="1332"/>
      <c r="D6" s="1333">
        <v>106454</v>
      </c>
      <c r="E6" s="1333"/>
      <c r="F6" s="640"/>
      <c r="G6" s="640"/>
      <c r="H6" s="640"/>
      <c r="I6" s="641"/>
    </row>
    <row r="7" spans="1:14" ht="22.5" customHeight="1">
      <c r="A7" s="1332" t="s">
        <v>475</v>
      </c>
      <c r="B7" s="1332"/>
      <c r="C7" s="1332"/>
      <c r="D7" s="1333">
        <f>+D6/30</f>
        <v>3548.47</v>
      </c>
      <c r="E7" s="1333"/>
      <c r="F7" s="639"/>
      <c r="G7" s="639"/>
      <c r="H7" s="639"/>
      <c r="I7" s="642"/>
    </row>
    <row r="8" spans="1:14" ht="49.5" customHeight="1">
      <c r="A8" s="1335" t="s">
        <v>476</v>
      </c>
      <c r="B8" s="1336"/>
      <c r="C8" s="1324" t="s">
        <v>477</v>
      </c>
      <c r="D8" s="1324"/>
      <c r="E8" s="1324" t="s">
        <v>478</v>
      </c>
      <c r="F8" s="1324"/>
      <c r="G8" s="643" t="s">
        <v>479</v>
      </c>
      <c r="H8" s="1325" t="s">
        <v>480</v>
      </c>
      <c r="I8" s="1325"/>
    </row>
    <row r="9" spans="1:14" ht="22.5" customHeight="1">
      <c r="A9" s="1320"/>
      <c r="B9" s="1308"/>
      <c r="C9" s="1321"/>
      <c r="D9" s="1321"/>
      <c r="E9" s="1321"/>
      <c r="F9" s="1321"/>
      <c r="G9" s="644"/>
      <c r="H9" s="1322"/>
      <c r="I9" s="1322"/>
      <c r="M9" s="645"/>
    </row>
    <row r="10" spans="1:14" ht="22.5" customHeight="1">
      <c r="A10" s="1320"/>
      <c r="B10" s="1308"/>
      <c r="C10" s="1321"/>
      <c r="D10" s="1321"/>
      <c r="E10" s="1321"/>
      <c r="F10" s="1321"/>
      <c r="G10" s="644"/>
      <c r="H10" s="1322"/>
      <c r="I10" s="1322"/>
      <c r="M10" s="645"/>
    </row>
    <row r="11" spans="1:14" ht="22.5" customHeight="1">
      <c r="A11" s="1320" t="s">
        <v>41</v>
      </c>
      <c r="B11" s="1308"/>
      <c r="C11" s="1321">
        <v>51749</v>
      </c>
      <c r="D11" s="1321"/>
      <c r="E11" s="1321">
        <f>+C11*(1+$D$5)</f>
        <v>85148</v>
      </c>
      <c r="F11" s="1321"/>
      <c r="G11" s="644">
        <f>+IF(C11&gt;(2*$D$4/30),0,($D$7))</f>
        <v>3548</v>
      </c>
      <c r="H11" s="1322">
        <f>+E11+G11</f>
        <v>88696</v>
      </c>
      <c r="I11" s="1322"/>
      <c r="M11" s="645"/>
    </row>
    <row r="12" spans="1:14" ht="22.5" customHeight="1">
      <c r="A12" s="1320" t="s">
        <v>481</v>
      </c>
      <c r="B12" s="1308"/>
      <c r="C12" s="1321">
        <v>41749</v>
      </c>
      <c r="D12" s="1321"/>
      <c r="E12" s="1321">
        <f>+C12*(1+$D$5)</f>
        <v>68694</v>
      </c>
      <c r="F12" s="1321"/>
      <c r="G12" s="644">
        <f>+IF(C12&gt;(2*$D$4/30),0,($D$7))</f>
        <v>3548</v>
      </c>
      <c r="H12" s="1322">
        <f>+E12+G12</f>
        <v>72242</v>
      </c>
      <c r="I12" s="1322"/>
      <c r="M12" s="645"/>
      <c r="N12" s="959" t="s">
        <v>1216</v>
      </c>
    </row>
    <row r="13" spans="1:14" ht="22.5" customHeight="1">
      <c r="A13" s="646"/>
      <c r="B13" s="639"/>
      <c r="C13" s="639"/>
      <c r="D13" s="639"/>
      <c r="E13" s="639"/>
      <c r="F13" s="639"/>
      <c r="G13" s="639"/>
      <c r="H13" s="639"/>
      <c r="I13" s="647"/>
    </row>
    <row r="14" spans="1:14" ht="15.75">
      <c r="A14" s="648"/>
      <c r="B14" s="649"/>
      <c r="C14" s="650" t="s">
        <v>482</v>
      </c>
      <c r="D14" s="651"/>
      <c r="E14" s="651"/>
      <c r="F14" s="651"/>
      <c r="G14" s="651"/>
      <c r="H14" s="652"/>
      <c r="I14" s="653" t="s">
        <v>483</v>
      </c>
    </row>
    <row r="15" spans="1:14" ht="15.75">
      <c r="A15" s="654"/>
      <c r="B15" s="1318" t="s">
        <v>484</v>
      </c>
      <c r="C15" s="1319"/>
      <c r="D15" s="1319"/>
      <c r="E15" s="1319"/>
      <c r="F15" s="1319"/>
      <c r="G15" s="1319"/>
      <c r="H15" s="1319"/>
      <c r="I15" s="1323"/>
    </row>
    <row r="16" spans="1:14" ht="15.75">
      <c r="A16" s="648"/>
      <c r="B16" s="638"/>
      <c r="C16" s="655"/>
      <c r="D16" s="655"/>
      <c r="E16" s="655"/>
      <c r="F16" s="656"/>
      <c r="G16" s="655"/>
      <c r="H16" s="657"/>
      <c r="I16" s="658"/>
    </row>
    <row r="17" spans="1:12" ht="15.75">
      <c r="A17" s="659">
        <v>1</v>
      </c>
      <c r="B17" s="1302" t="s">
        <v>485</v>
      </c>
      <c r="C17" s="1303"/>
      <c r="D17" s="1303"/>
      <c r="E17" s="660">
        <v>1</v>
      </c>
      <c r="F17" s="661" t="s">
        <v>486</v>
      </c>
      <c r="G17" s="662"/>
      <c r="H17" s="663"/>
      <c r="I17" s="664">
        <f>1/12</f>
        <v>8.3299999999999999E-2</v>
      </c>
    </row>
    <row r="18" spans="1:12" ht="15.75">
      <c r="A18" s="659">
        <v>2</v>
      </c>
      <c r="B18" s="1302" t="s">
        <v>487</v>
      </c>
      <c r="C18" s="1303"/>
      <c r="D18" s="1303"/>
      <c r="E18" s="660">
        <v>1</v>
      </c>
      <c r="F18" s="661" t="s">
        <v>486</v>
      </c>
      <c r="G18" s="662"/>
      <c r="H18" s="663"/>
      <c r="I18" s="664">
        <f>1/12</f>
        <v>8.3299999999999999E-2</v>
      </c>
    </row>
    <row r="19" spans="1:12" ht="15.75">
      <c r="A19" s="659">
        <v>3</v>
      </c>
      <c r="B19" s="1302" t="s">
        <v>488</v>
      </c>
      <c r="C19" s="1303"/>
      <c r="D19" s="1303"/>
      <c r="E19" s="660">
        <v>0.01</v>
      </c>
      <c r="F19" s="661" t="s">
        <v>489</v>
      </c>
      <c r="G19" s="662"/>
      <c r="H19" s="663"/>
      <c r="I19" s="664">
        <v>0.01</v>
      </c>
    </row>
    <row r="20" spans="1:12" ht="15.75">
      <c r="A20" s="659">
        <v>4</v>
      </c>
      <c r="B20" s="1302" t="s">
        <v>490</v>
      </c>
      <c r="C20" s="1303"/>
      <c r="D20" s="1303"/>
      <c r="E20" s="1303"/>
      <c r="F20" s="1303"/>
      <c r="G20" s="1303"/>
      <c r="H20" s="1304"/>
      <c r="I20" s="664">
        <f>+I18/2</f>
        <v>4.1700000000000001E-2</v>
      </c>
    </row>
    <row r="21" spans="1:12" ht="15.75">
      <c r="A21" s="659">
        <v>5</v>
      </c>
      <c r="B21" s="1302" t="s">
        <v>1214</v>
      </c>
      <c r="C21" s="1303"/>
      <c r="D21" s="1303"/>
      <c r="E21" s="1303"/>
      <c r="F21" s="1303"/>
      <c r="G21" s="1303"/>
      <c r="H21" s="1304"/>
      <c r="I21" s="664">
        <v>8.5000000000000006E-2</v>
      </c>
    </row>
    <row r="22" spans="1:12" ht="15.75">
      <c r="A22" s="659">
        <v>6</v>
      </c>
      <c r="B22" s="1302" t="s">
        <v>1215</v>
      </c>
      <c r="C22" s="1303"/>
      <c r="D22" s="1303"/>
      <c r="E22" s="1303"/>
      <c r="F22" s="1303"/>
      <c r="G22" s="1303"/>
      <c r="H22" s="1304"/>
      <c r="I22" s="664">
        <v>0.12</v>
      </c>
    </row>
    <row r="23" spans="1:12" ht="15.75">
      <c r="A23" s="659">
        <v>7</v>
      </c>
      <c r="B23" s="1302" t="s">
        <v>492</v>
      </c>
      <c r="C23" s="1303"/>
      <c r="D23" s="1303"/>
      <c r="E23" s="1303"/>
      <c r="F23" s="1303"/>
      <c r="G23" s="1303"/>
      <c r="H23" s="1304"/>
      <c r="I23" s="664">
        <v>0.04</v>
      </c>
    </row>
    <row r="24" spans="1:12" ht="15.75">
      <c r="A24" s="659">
        <v>8</v>
      </c>
      <c r="B24" s="1302" t="s">
        <v>493</v>
      </c>
      <c r="C24" s="1303"/>
      <c r="D24" s="1303"/>
      <c r="E24" s="1303"/>
      <c r="F24" s="1303"/>
      <c r="G24" s="1303"/>
      <c r="H24" s="1304"/>
      <c r="I24" s="664">
        <v>6.9599999999999995E-2</v>
      </c>
    </row>
    <row r="25" spans="1:12" ht="15.75">
      <c r="A25" s="659">
        <v>9</v>
      </c>
      <c r="B25" s="1302" t="s">
        <v>494</v>
      </c>
      <c r="C25" s="1303"/>
      <c r="D25" s="1303"/>
      <c r="E25" s="1303"/>
      <c r="F25" s="1303"/>
      <c r="G25" s="1303"/>
      <c r="H25" s="1304"/>
      <c r="I25" s="664">
        <v>0.02</v>
      </c>
    </row>
    <row r="26" spans="1:12" ht="15.75">
      <c r="A26" s="659">
        <v>10</v>
      </c>
      <c r="B26" s="1302" t="s">
        <v>495</v>
      </c>
      <c r="C26" s="1303"/>
      <c r="D26" s="1303"/>
      <c r="E26" s="1303"/>
      <c r="F26" s="1303"/>
      <c r="G26" s="1303"/>
      <c r="H26" s="1304"/>
      <c r="I26" s="664">
        <v>0.03</v>
      </c>
    </row>
    <row r="27" spans="1:12" ht="15.75">
      <c r="A27" s="659">
        <v>11</v>
      </c>
      <c r="B27" s="1302" t="s">
        <v>1217</v>
      </c>
      <c r="C27" s="1303"/>
      <c r="D27" s="1303"/>
      <c r="E27" s="1303"/>
      <c r="F27" s="1303"/>
      <c r="G27" s="1303"/>
      <c r="H27" s="1304"/>
      <c r="I27" s="664">
        <v>6.25E-2</v>
      </c>
      <c r="L27" s="665"/>
    </row>
    <row r="28" spans="1:12" ht="15.75">
      <c r="A28" s="659"/>
      <c r="B28" s="1302"/>
      <c r="C28" s="1303"/>
      <c r="D28" s="1303"/>
      <c r="E28" s="1303"/>
      <c r="F28" s="1303"/>
      <c r="G28" s="1303"/>
      <c r="H28" s="1304"/>
      <c r="I28" s="664"/>
      <c r="L28" s="665"/>
    </row>
    <row r="29" spans="1:12" ht="15.75">
      <c r="A29" s="659"/>
      <c r="B29" s="1302"/>
      <c r="C29" s="1303"/>
      <c r="D29" s="1303"/>
      <c r="E29" s="1303"/>
      <c r="F29" s="1303"/>
      <c r="G29" s="1303"/>
      <c r="H29" s="1304"/>
      <c r="I29" s="664"/>
      <c r="L29" s="665"/>
    </row>
    <row r="30" spans="1:12" ht="15.75">
      <c r="A30" s="648"/>
      <c r="B30" s="649"/>
      <c r="C30" s="662"/>
      <c r="D30" s="662"/>
      <c r="E30" s="662"/>
      <c r="F30" s="1305" t="s">
        <v>496</v>
      </c>
      <c r="G30" s="1303"/>
      <c r="H30" s="1304"/>
      <c r="I30" s="666">
        <f>SUM(I17:I29)</f>
        <v>0.64539999999999997</v>
      </c>
      <c r="K30" s="667"/>
    </row>
    <row r="31" spans="1:12" ht="15.75">
      <c r="A31" s="668"/>
      <c r="B31" s="662"/>
      <c r="C31" s="662"/>
      <c r="D31" s="662"/>
      <c r="E31" s="662"/>
      <c r="F31" s="669"/>
      <c r="G31" s="662"/>
      <c r="H31" s="660"/>
      <c r="I31" s="663"/>
    </row>
    <row r="32" spans="1:12" ht="15.75">
      <c r="A32" s="668"/>
      <c r="B32" s="662"/>
      <c r="C32" s="662"/>
      <c r="D32" s="662"/>
      <c r="E32" s="662"/>
      <c r="F32" s="669"/>
      <c r="G32" s="662"/>
      <c r="H32" s="660"/>
      <c r="I32" s="663"/>
    </row>
    <row r="33" spans="1:9" ht="21">
      <c r="A33" s="1300" t="s">
        <v>497</v>
      </c>
      <c r="B33" s="1301"/>
      <c r="C33" s="1301"/>
      <c r="D33" s="1301"/>
      <c r="E33" s="1301"/>
      <c r="F33" s="1301"/>
      <c r="G33" s="1301"/>
      <c r="H33" s="1301"/>
      <c r="I33" s="670">
        <f>ROUND(SUM(I30),4)</f>
        <v>0.64539999999999997</v>
      </c>
    </row>
    <row r="34" spans="1:9">
      <c r="A34" s="671"/>
      <c r="B34" s="672"/>
      <c r="C34" s="672"/>
      <c r="D34" s="672"/>
      <c r="E34" s="672"/>
      <c r="F34" s="672"/>
      <c r="G34" s="672"/>
      <c r="H34" s="672"/>
      <c r="I34" s="673"/>
    </row>
    <row r="35" spans="1:9" ht="20.25">
      <c r="A35" s="674"/>
      <c r="B35" s="675"/>
      <c r="C35" s="218"/>
      <c r="D35" s="676"/>
      <c r="E35" s="676"/>
      <c r="F35" s="676"/>
      <c r="G35" s="676"/>
      <c r="H35" s="676"/>
      <c r="I35" s="677"/>
    </row>
    <row r="36" spans="1:9" ht="20.25">
      <c r="A36" s="678"/>
      <c r="B36" s="675"/>
      <c r="C36" s="218"/>
      <c r="D36" s="675"/>
      <c r="E36" s="675"/>
      <c r="F36" s="675"/>
      <c r="G36" s="675"/>
      <c r="H36" s="675"/>
      <c r="I36" s="679"/>
    </row>
    <row r="37" spans="1:9" ht="18">
      <c r="A37" s="678"/>
      <c r="B37" s="675"/>
      <c r="C37" s="284"/>
      <c r="D37" s="675"/>
      <c r="E37" s="675"/>
      <c r="F37" s="675"/>
      <c r="G37" s="675"/>
      <c r="H37" s="675"/>
      <c r="I37" s="679"/>
    </row>
    <row r="38" spans="1:9">
      <c r="A38" s="678"/>
      <c r="B38" s="675"/>
      <c r="C38" s="736" t="s">
        <v>685</v>
      </c>
      <c r="D38" s="675"/>
      <c r="E38" s="675"/>
      <c r="F38" s="675"/>
      <c r="G38" s="675"/>
      <c r="H38" s="675"/>
      <c r="I38" s="679"/>
    </row>
    <row r="39" spans="1:9">
      <c r="A39" s="678"/>
      <c r="B39" s="680"/>
      <c r="C39" s="736" t="s">
        <v>686</v>
      </c>
      <c r="D39" s="675"/>
      <c r="E39" s="675"/>
      <c r="F39" s="675"/>
      <c r="G39" s="675"/>
      <c r="H39" s="675"/>
      <c r="I39" s="679"/>
    </row>
    <row r="40" spans="1:9" ht="15.75">
      <c r="A40" s="678"/>
      <c r="B40" s="519"/>
      <c r="C40" s="675"/>
      <c r="D40" s="675"/>
      <c r="E40" s="675"/>
      <c r="F40" s="675"/>
      <c r="G40" s="675"/>
      <c r="H40" s="675"/>
      <c r="I40" s="679"/>
    </row>
    <row r="41" spans="1:9">
      <c r="A41" s="681"/>
      <c r="B41" s="682"/>
      <c r="C41" s="682"/>
      <c r="D41" s="682"/>
      <c r="E41" s="682"/>
      <c r="F41" s="682"/>
      <c r="G41" s="682"/>
      <c r="H41" s="682"/>
      <c r="I41" s="683"/>
    </row>
  </sheetData>
  <mergeCells count="46">
    <mergeCell ref="B22:H22"/>
    <mergeCell ref="A1:I1"/>
    <mergeCell ref="A2:I2"/>
    <mergeCell ref="A4:C4"/>
    <mergeCell ref="D4:E4"/>
    <mergeCell ref="A5:C5"/>
    <mergeCell ref="D5:E5"/>
    <mergeCell ref="A10:B10"/>
    <mergeCell ref="C10:D10"/>
    <mergeCell ref="E10:F10"/>
    <mergeCell ref="H10:I10"/>
    <mergeCell ref="A6:C6"/>
    <mergeCell ref="D6:E6"/>
    <mergeCell ref="A7:C7"/>
    <mergeCell ref="D7:E7"/>
    <mergeCell ref="A8:B8"/>
    <mergeCell ref="C8:D8"/>
    <mergeCell ref="E8:F8"/>
    <mergeCell ref="H8:I8"/>
    <mergeCell ref="A9:B9"/>
    <mergeCell ref="C9:D9"/>
    <mergeCell ref="E9:F9"/>
    <mergeCell ref="H9:I9"/>
    <mergeCell ref="B21:H21"/>
    <mergeCell ref="A11:B11"/>
    <mergeCell ref="C11:D11"/>
    <mergeCell ref="E11:F11"/>
    <mergeCell ref="H11:I11"/>
    <mergeCell ref="A12:B12"/>
    <mergeCell ref="C12:D12"/>
    <mergeCell ref="E12:F12"/>
    <mergeCell ref="H12:I12"/>
    <mergeCell ref="B15:I15"/>
    <mergeCell ref="B17:D17"/>
    <mergeCell ref="B18:D18"/>
    <mergeCell ref="B19:D19"/>
    <mergeCell ref="B20:H20"/>
    <mergeCell ref="B29:H29"/>
    <mergeCell ref="F30:H30"/>
    <mergeCell ref="A33:H33"/>
    <mergeCell ref="B23:H23"/>
    <mergeCell ref="B24:H24"/>
    <mergeCell ref="B25:H25"/>
    <mergeCell ref="B26:H26"/>
    <mergeCell ref="B27:H27"/>
    <mergeCell ref="B28:H28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view="pageBreakPreview" zoomScale="130" zoomScaleNormal="100" zoomScaleSheetLayoutView="130" workbookViewId="0">
      <selection activeCell="E121" sqref="E121"/>
    </sheetView>
  </sheetViews>
  <sheetFormatPr baseColWidth="10" defaultColWidth="11.42578125" defaultRowHeight="15"/>
  <cols>
    <col min="1" max="1" width="45.42578125" style="969" customWidth="1"/>
    <col min="2" max="2" width="13.140625" style="969" bestFit="1" customWidth="1"/>
    <col min="3" max="4" width="11.42578125" style="969"/>
    <col min="5" max="5" width="14.5703125" style="969" customWidth="1"/>
    <col min="6" max="6" width="13.85546875" style="969" customWidth="1"/>
    <col min="7" max="16384" width="11.42578125" style="969"/>
  </cols>
  <sheetData>
    <row r="1" spans="1:6" ht="15.75" thickBot="1"/>
    <row r="2" spans="1:6" ht="15.75" thickBot="1">
      <c r="A2" s="1337" t="s">
        <v>1238</v>
      </c>
      <c r="B2" s="1338"/>
      <c r="C2" s="1338"/>
      <c r="D2" s="1338"/>
      <c r="E2" s="1338"/>
      <c r="F2" s="1339"/>
    </row>
    <row r="3" spans="1:6" ht="15.75" thickBot="1">
      <c r="A3" s="970" t="s">
        <v>1236</v>
      </c>
      <c r="B3" s="971" t="s">
        <v>1237</v>
      </c>
      <c r="C3" s="972"/>
      <c r="D3" s="972"/>
      <c r="E3" s="972"/>
      <c r="F3" s="973"/>
    </row>
    <row r="4" spans="1:6" ht="57" customHeight="1" thickBot="1">
      <c r="A4" s="974" t="s">
        <v>1227</v>
      </c>
      <c r="B4" s="1340" t="str">
        <f>PPTO!D5</f>
        <v>PROYECTO DE MEJORAMIENTO VIAL, ESPACIO PUBLICO Y OBRAS COMPLEMENTARIAS DE LA AVENIDA LA JUVENTUD Y TRAMOS ADYACENTES Y PRIORITARIOS DEL SECTOR URBANO EN EL MUNICIPIO EL BAGRE ANTIOQUIA.</v>
      </c>
      <c r="C4" s="1341"/>
      <c r="D4" s="1341"/>
      <c r="E4" s="1341"/>
      <c r="F4" s="1342"/>
    </row>
    <row r="5" spans="1:6" ht="18.75" customHeight="1">
      <c r="A5" s="975" t="s">
        <v>1228</v>
      </c>
      <c r="B5" s="976" t="s">
        <v>3</v>
      </c>
      <c r="C5" s="976" t="s">
        <v>1229</v>
      </c>
      <c r="D5" s="976" t="s">
        <v>1240</v>
      </c>
      <c r="E5" s="976" t="s">
        <v>1239</v>
      </c>
      <c r="F5" s="977" t="s">
        <v>1230</v>
      </c>
    </row>
    <row r="6" spans="1:6">
      <c r="A6" s="978" t="s">
        <v>1241</v>
      </c>
      <c r="B6" s="979" t="s">
        <v>7</v>
      </c>
      <c r="C6" s="980">
        <v>1500000</v>
      </c>
      <c r="D6" s="979">
        <v>4</v>
      </c>
      <c r="E6" s="979">
        <v>8</v>
      </c>
      <c r="F6" s="980">
        <f>ROUND(C6*E6*D6,0)</f>
        <v>48000000</v>
      </c>
    </row>
    <row r="7" spans="1:6">
      <c r="A7" s="978" t="s">
        <v>1231</v>
      </c>
      <c r="B7" s="979" t="s">
        <v>7</v>
      </c>
      <c r="C7" s="980">
        <v>1200000</v>
      </c>
      <c r="D7" s="979">
        <v>4</v>
      </c>
      <c r="E7" s="979" t="s">
        <v>1242</v>
      </c>
      <c r="F7" s="980">
        <f>C7*D7</f>
        <v>4800000</v>
      </c>
    </row>
    <row r="8" spans="1:6">
      <c r="A8" s="978" t="s">
        <v>1232</v>
      </c>
      <c r="B8" s="979" t="s">
        <v>1243</v>
      </c>
      <c r="C8" s="980">
        <v>120000</v>
      </c>
      <c r="D8" s="979">
        <v>10</v>
      </c>
      <c r="E8" s="979">
        <v>8</v>
      </c>
      <c r="F8" s="980">
        <f>ROUND(C8*E8*D8,0)</f>
        <v>9600000</v>
      </c>
    </row>
    <row r="9" spans="1:6">
      <c r="A9" s="978" t="s">
        <v>1233</v>
      </c>
      <c r="B9" s="979" t="s">
        <v>1244</v>
      </c>
      <c r="C9" s="980">
        <v>65000</v>
      </c>
      <c r="D9" s="979">
        <v>10</v>
      </c>
      <c r="E9" s="979">
        <v>8</v>
      </c>
      <c r="F9" s="980">
        <f t="shared" ref="F9:F12" si="0">ROUND(C9*E9*D9,0)</f>
        <v>5200000</v>
      </c>
    </row>
    <row r="10" spans="1:6">
      <c r="A10" s="978" t="s">
        <v>1234</v>
      </c>
      <c r="B10" s="979" t="s">
        <v>1245</v>
      </c>
      <c r="C10" s="980">
        <v>35000</v>
      </c>
      <c r="D10" s="979">
        <v>10</v>
      </c>
      <c r="E10" s="979">
        <v>8</v>
      </c>
      <c r="F10" s="980">
        <f t="shared" si="0"/>
        <v>2800000</v>
      </c>
    </row>
    <row r="11" spans="1:6">
      <c r="A11" s="978" t="s">
        <v>1235</v>
      </c>
      <c r="B11" s="979" t="s">
        <v>7</v>
      </c>
      <c r="C11" s="980">
        <v>2500</v>
      </c>
      <c r="D11" s="979">
        <v>20</v>
      </c>
      <c r="E11" s="979">
        <v>8</v>
      </c>
      <c r="F11" s="980">
        <f t="shared" si="0"/>
        <v>400000</v>
      </c>
    </row>
    <row r="12" spans="1:6">
      <c r="A12" s="978" t="s">
        <v>1246</v>
      </c>
      <c r="B12" s="979" t="s">
        <v>1245</v>
      </c>
      <c r="C12" s="980">
        <v>65000</v>
      </c>
      <c r="D12" s="979">
        <v>10</v>
      </c>
      <c r="E12" s="979">
        <v>8</v>
      </c>
      <c r="F12" s="980">
        <f t="shared" si="0"/>
        <v>5200000</v>
      </c>
    </row>
    <row r="13" spans="1:6" ht="15.75" thickBot="1">
      <c r="A13" s="978" t="s">
        <v>1247</v>
      </c>
      <c r="B13" s="979" t="s">
        <v>7</v>
      </c>
      <c r="C13" s="980">
        <v>250000</v>
      </c>
      <c r="D13" s="979">
        <v>4</v>
      </c>
      <c r="E13" s="979" t="s">
        <v>1242</v>
      </c>
      <c r="F13" s="980">
        <f>C13*D13</f>
        <v>1000000</v>
      </c>
    </row>
    <row r="14" spans="1:6" ht="15.75" thickBot="1">
      <c r="A14" s="1343" t="s">
        <v>1248</v>
      </c>
      <c r="B14" s="1344"/>
      <c r="C14" s="1344"/>
      <c r="D14" s="1344"/>
      <c r="E14" s="1345"/>
      <c r="F14" s="981">
        <f>SUM(F6:F13)</f>
        <v>77000000</v>
      </c>
    </row>
    <row r="16" spans="1:6" ht="20.25">
      <c r="A16" s="675"/>
      <c r="B16" s="218"/>
      <c r="C16" s="675"/>
    </row>
    <row r="17" spans="1:3" ht="18">
      <c r="A17" s="675"/>
      <c r="B17" s="284"/>
      <c r="C17" s="675"/>
    </row>
    <row r="18" spans="1:3">
      <c r="A18" s="675"/>
      <c r="B18" s="736" t="s">
        <v>685</v>
      </c>
      <c r="C18" s="675"/>
    </row>
    <row r="19" spans="1:3">
      <c r="A19" s="680"/>
      <c r="B19" s="736" t="s">
        <v>686</v>
      </c>
      <c r="C19" s="675"/>
    </row>
    <row r="20" spans="1:3" ht="15.75">
      <c r="A20" s="519"/>
      <c r="B20" s="675"/>
      <c r="C20" s="675"/>
    </row>
  </sheetData>
  <mergeCells count="3">
    <mergeCell ref="A2:F2"/>
    <mergeCell ref="B4:F4"/>
    <mergeCell ref="A14:E14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/>
  <dimension ref="A1:U49"/>
  <sheetViews>
    <sheetView view="pageBreakPreview" topLeftCell="A10" zoomScaleNormal="100" zoomScaleSheetLayoutView="100" workbookViewId="0">
      <selection activeCell="I7" sqref="I7"/>
    </sheetView>
  </sheetViews>
  <sheetFormatPr baseColWidth="10" defaultColWidth="10.7109375" defaultRowHeight="12.75"/>
  <cols>
    <col min="1" max="1" width="15.85546875" style="3" customWidth="1"/>
    <col min="2" max="2" width="14.85546875" style="3" customWidth="1"/>
    <col min="3" max="3" width="13.28515625" style="3" customWidth="1"/>
    <col min="4" max="4" width="11.42578125" style="3"/>
    <col min="5" max="5" width="13.42578125" style="3" customWidth="1"/>
    <col min="6" max="6" width="12.7109375" style="3" customWidth="1"/>
    <col min="7" max="7" width="14" style="3" customWidth="1"/>
    <col min="8" max="8" width="11.42578125" style="3"/>
    <col min="9" max="9" width="13.28515625" style="3" bestFit="1" customWidth="1"/>
    <col min="10" max="10" width="12.42578125" style="3" bestFit="1" customWidth="1"/>
    <col min="11" max="256" width="11.42578125" style="3"/>
    <col min="257" max="257" width="15.85546875" style="3" customWidth="1"/>
    <col min="258" max="258" width="14.85546875" style="3" customWidth="1"/>
    <col min="259" max="259" width="13.28515625" style="3" customWidth="1"/>
    <col min="260" max="260" width="11.42578125" style="3"/>
    <col min="261" max="261" width="13.42578125" style="3" customWidth="1"/>
    <col min="262" max="262" width="12.7109375" style="3" customWidth="1"/>
    <col min="263" max="263" width="14" style="3" customWidth="1"/>
    <col min="264" max="512" width="11.42578125" style="3"/>
    <col min="513" max="513" width="15.85546875" style="3" customWidth="1"/>
    <col min="514" max="514" width="14.85546875" style="3" customWidth="1"/>
    <col min="515" max="515" width="13.28515625" style="3" customWidth="1"/>
    <col min="516" max="516" width="11.42578125" style="3"/>
    <col min="517" max="517" width="13.42578125" style="3" customWidth="1"/>
    <col min="518" max="518" width="12.7109375" style="3" customWidth="1"/>
    <col min="519" max="519" width="14" style="3" customWidth="1"/>
    <col min="520" max="768" width="11.42578125" style="3"/>
    <col min="769" max="769" width="15.85546875" style="3" customWidth="1"/>
    <col min="770" max="770" width="14.85546875" style="3" customWidth="1"/>
    <col min="771" max="771" width="13.28515625" style="3" customWidth="1"/>
    <col min="772" max="772" width="11.42578125" style="3"/>
    <col min="773" max="773" width="13.42578125" style="3" customWidth="1"/>
    <col min="774" max="774" width="12.7109375" style="3" customWidth="1"/>
    <col min="775" max="775" width="14" style="3" customWidth="1"/>
    <col min="776" max="1024" width="11.42578125" style="3"/>
    <col min="1025" max="1025" width="15.85546875" style="3" customWidth="1"/>
    <col min="1026" max="1026" width="14.85546875" style="3" customWidth="1"/>
    <col min="1027" max="1027" width="13.28515625" style="3" customWidth="1"/>
    <col min="1028" max="1028" width="11.42578125" style="3"/>
    <col min="1029" max="1029" width="13.42578125" style="3" customWidth="1"/>
    <col min="1030" max="1030" width="12.7109375" style="3" customWidth="1"/>
    <col min="1031" max="1031" width="14" style="3" customWidth="1"/>
    <col min="1032" max="1280" width="11.42578125" style="3"/>
    <col min="1281" max="1281" width="15.85546875" style="3" customWidth="1"/>
    <col min="1282" max="1282" width="14.85546875" style="3" customWidth="1"/>
    <col min="1283" max="1283" width="13.28515625" style="3" customWidth="1"/>
    <col min="1284" max="1284" width="11.42578125" style="3"/>
    <col min="1285" max="1285" width="13.42578125" style="3" customWidth="1"/>
    <col min="1286" max="1286" width="12.7109375" style="3" customWidth="1"/>
    <col min="1287" max="1287" width="14" style="3" customWidth="1"/>
    <col min="1288" max="1536" width="11.42578125" style="3"/>
    <col min="1537" max="1537" width="15.85546875" style="3" customWidth="1"/>
    <col min="1538" max="1538" width="14.85546875" style="3" customWidth="1"/>
    <col min="1539" max="1539" width="13.28515625" style="3" customWidth="1"/>
    <col min="1540" max="1540" width="11.42578125" style="3"/>
    <col min="1541" max="1541" width="13.42578125" style="3" customWidth="1"/>
    <col min="1542" max="1542" width="12.7109375" style="3" customWidth="1"/>
    <col min="1543" max="1543" width="14" style="3" customWidth="1"/>
    <col min="1544" max="1792" width="11.42578125" style="3"/>
    <col min="1793" max="1793" width="15.85546875" style="3" customWidth="1"/>
    <col min="1794" max="1794" width="14.85546875" style="3" customWidth="1"/>
    <col min="1795" max="1795" width="13.28515625" style="3" customWidth="1"/>
    <col min="1796" max="1796" width="11.42578125" style="3"/>
    <col min="1797" max="1797" width="13.42578125" style="3" customWidth="1"/>
    <col min="1798" max="1798" width="12.7109375" style="3" customWidth="1"/>
    <col min="1799" max="1799" width="14" style="3" customWidth="1"/>
    <col min="1800" max="2048" width="11.42578125" style="3"/>
    <col min="2049" max="2049" width="15.85546875" style="3" customWidth="1"/>
    <col min="2050" max="2050" width="14.85546875" style="3" customWidth="1"/>
    <col min="2051" max="2051" width="13.28515625" style="3" customWidth="1"/>
    <col min="2052" max="2052" width="11.42578125" style="3"/>
    <col min="2053" max="2053" width="13.42578125" style="3" customWidth="1"/>
    <col min="2054" max="2054" width="12.7109375" style="3" customWidth="1"/>
    <col min="2055" max="2055" width="14" style="3" customWidth="1"/>
    <col min="2056" max="2304" width="11.42578125" style="3"/>
    <col min="2305" max="2305" width="15.85546875" style="3" customWidth="1"/>
    <col min="2306" max="2306" width="14.85546875" style="3" customWidth="1"/>
    <col min="2307" max="2307" width="13.28515625" style="3" customWidth="1"/>
    <col min="2308" max="2308" width="11.42578125" style="3"/>
    <col min="2309" max="2309" width="13.42578125" style="3" customWidth="1"/>
    <col min="2310" max="2310" width="12.7109375" style="3" customWidth="1"/>
    <col min="2311" max="2311" width="14" style="3" customWidth="1"/>
    <col min="2312" max="2560" width="11.42578125" style="3"/>
    <col min="2561" max="2561" width="15.85546875" style="3" customWidth="1"/>
    <col min="2562" max="2562" width="14.85546875" style="3" customWidth="1"/>
    <col min="2563" max="2563" width="13.28515625" style="3" customWidth="1"/>
    <col min="2564" max="2564" width="11.42578125" style="3"/>
    <col min="2565" max="2565" width="13.42578125" style="3" customWidth="1"/>
    <col min="2566" max="2566" width="12.7109375" style="3" customWidth="1"/>
    <col min="2567" max="2567" width="14" style="3" customWidth="1"/>
    <col min="2568" max="2816" width="11.42578125" style="3"/>
    <col min="2817" max="2817" width="15.85546875" style="3" customWidth="1"/>
    <col min="2818" max="2818" width="14.85546875" style="3" customWidth="1"/>
    <col min="2819" max="2819" width="13.28515625" style="3" customWidth="1"/>
    <col min="2820" max="2820" width="11.42578125" style="3"/>
    <col min="2821" max="2821" width="13.42578125" style="3" customWidth="1"/>
    <col min="2822" max="2822" width="12.7109375" style="3" customWidth="1"/>
    <col min="2823" max="2823" width="14" style="3" customWidth="1"/>
    <col min="2824" max="3072" width="11.42578125" style="3"/>
    <col min="3073" max="3073" width="15.85546875" style="3" customWidth="1"/>
    <col min="3074" max="3074" width="14.85546875" style="3" customWidth="1"/>
    <col min="3075" max="3075" width="13.28515625" style="3" customWidth="1"/>
    <col min="3076" max="3076" width="11.42578125" style="3"/>
    <col min="3077" max="3077" width="13.42578125" style="3" customWidth="1"/>
    <col min="3078" max="3078" width="12.7109375" style="3" customWidth="1"/>
    <col min="3079" max="3079" width="14" style="3" customWidth="1"/>
    <col min="3080" max="3328" width="11.42578125" style="3"/>
    <col min="3329" max="3329" width="15.85546875" style="3" customWidth="1"/>
    <col min="3330" max="3330" width="14.85546875" style="3" customWidth="1"/>
    <col min="3331" max="3331" width="13.28515625" style="3" customWidth="1"/>
    <col min="3332" max="3332" width="11.42578125" style="3"/>
    <col min="3333" max="3333" width="13.42578125" style="3" customWidth="1"/>
    <col min="3334" max="3334" width="12.7109375" style="3" customWidth="1"/>
    <col min="3335" max="3335" width="14" style="3" customWidth="1"/>
    <col min="3336" max="3584" width="11.42578125" style="3"/>
    <col min="3585" max="3585" width="15.85546875" style="3" customWidth="1"/>
    <col min="3586" max="3586" width="14.85546875" style="3" customWidth="1"/>
    <col min="3587" max="3587" width="13.28515625" style="3" customWidth="1"/>
    <col min="3588" max="3588" width="11.42578125" style="3"/>
    <col min="3589" max="3589" width="13.42578125" style="3" customWidth="1"/>
    <col min="3590" max="3590" width="12.7109375" style="3" customWidth="1"/>
    <col min="3591" max="3591" width="14" style="3" customWidth="1"/>
    <col min="3592" max="3840" width="11.42578125" style="3"/>
    <col min="3841" max="3841" width="15.85546875" style="3" customWidth="1"/>
    <col min="3842" max="3842" width="14.85546875" style="3" customWidth="1"/>
    <col min="3843" max="3843" width="13.28515625" style="3" customWidth="1"/>
    <col min="3844" max="3844" width="11.42578125" style="3"/>
    <col min="3845" max="3845" width="13.42578125" style="3" customWidth="1"/>
    <col min="3846" max="3846" width="12.7109375" style="3" customWidth="1"/>
    <col min="3847" max="3847" width="14" style="3" customWidth="1"/>
    <col min="3848" max="4096" width="11.42578125" style="3"/>
    <col min="4097" max="4097" width="15.85546875" style="3" customWidth="1"/>
    <col min="4098" max="4098" width="14.85546875" style="3" customWidth="1"/>
    <col min="4099" max="4099" width="13.28515625" style="3" customWidth="1"/>
    <col min="4100" max="4100" width="11.42578125" style="3"/>
    <col min="4101" max="4101" width="13.42578125" style="3" customWidth="1"/>
    <col min="4102" max="4102" width="12.7109375" style="3" customWidth="1"/>
    <col min="4103" max="4103" width="14" style="3" customWidth="1"/>
    <col min="4104" max="4352" width="11.42578125" style="3"/>
    <col min="4353" max="4353" width="15.85546875" style="3" customWidth="1"/>
    <col min="4354" max="4354" width="14.85546875" style="3" customWidth="1"/>
    <col min="4355" max="4355" width="13.28515625" style="3" customWidth="1"/>
    <col min="4356" max="4356" width="11.42578125" style="3"/>
    <col min="4357" max="4357" width="13.42578125" style="3" customWidth="1"/>
    <col min="4358" max="4358" width="12.7109375" style="3" customWidth="1"/>
    <col min="4359" max="4359" width="14" style="3" customWidth="1"/>
    <col min="4360" max="4608" width="11.42578125" style="3"/>
    <col min="4609" max="4609" width="15.85546875" style="3" customWidth="1"/>
    <col min="4610" max="4610" width="14.85546875" style="3" customWidth="1"/>
    <col min="4611" max="4611" width="13.28515625" style="3" customWidth="1"/>
    <col min="4612" max="4612" width="11.42578125" style="3"/>
    <col min="4613" max="4613" width="13.42578125" style="3" customWidth="1"/>
    <col min="4614" max="4614" width="12.7109375" style="3" customWidth="1"/>
    <col min="4615" max="4615" width="14" style="3" customWidth="1"/>
    <col min="4616" max="4864" width="11.42578125" style="3"/>
    <col min="4865" max="4865" width="15.85546875" style="3" customWidth="1"/>
    <col min="4866" max="4866" width="14.85546875" style="3" customWidth="1"/>
    <col min="4867" max="4867" width="13.28515625" style="3" customWidth="1"/>
    <col min="4868" max="4868" width="11.42578125" style="3"/>
    <col min="4869" max="4869" width="13.42578125" style="3" customWidth="1"/>
    <col min="4870" max="4870" width="12.7109375" style="3" customWidth="1"/>
    <col min="4871" max="4871" width="14" style="3" customWidth="1"/>
    <col min="4872" max="5120" width="11.42578125" style="3"/>
    <col min="5121" max="5121" width="15.85546875" style="3" customWidth="1"/>
    <col min="5122" max="5122" width="14.85546875" style="3" customWidth="1"/>
    <col min="5123" max="5123" width="13.28515625" style="3" customWidth="1"/>
    <col min="5124" max="5124" width="11.42578125" style="3"/>
    <col min="5125" max="5125" width="13.42578125" style="3" customWidth="1"/>
    <col min="5126" max="5126" width="12.7109375" style="3" customWidth="1"/>
    <col min="5127" max="5127" width="14" style="3" customWidth="1"/>
    <col min="5128" max="5376" width="11.42578125" style="3"/>
    <col min="5377" max="5377" width="15.85546875" style="3" customWidth="1"/>
    <col min="5378" max="5378" width="14.85546875" style="3" customWidth="1"/>
    <col min="5379" max="5379" width="13.28515625" style="3" customWidth="1"/>
    <col min="5380" max="5380" width="11.42578125" style="3"/>
    <col min="5381" max="5381" width="13.42578125" style="3" customWidth="1"/>
    <col min="5382" max="5382" width="12.7109375" style="3" customWidth="1"/>
    <col min="5383" max="5383" width="14" style="3" customWidth="1"/>
    <col min="5384" max="5632" width="11.42578125" style="3"/>
    <col min="5633" max="5633" width="15.85546875" style="3" customWidth="1"/>
    <col min="5634" max="5634" width="14.85546875" style="3" customWidth="1"/>
    <col min="5635" max="5635" width="13.28515625" style="3" customWidth="1"/>
    <col min="5636" max="5636" width="11.42578125" style="3"/>
    <col min="5637" max="5637" width="13.42578125" style="3" customWidth="1"/>
    <col min="5638" max="5638" width="12.7109375" style="3" customWidth="1"/>
    <col min="5639" max="5639" width="14" style="3" customWidth="1"/>
    <col min="5640" max="5888" width="11.42578125" style="3"/>
    <col min="5889" max="5889" width="15.85546875" style="3" customWidth="1"/>
    <col min="5890" max="5890" width="14.85546875" style="3" customWidth="1"/>
    <col min="5891" max="5891" width="13.28515625" style="3" customWidth="1"/>
    <col min="5892" max="5892" width="11.42578125" style="3"/>
    <col min="5893" max="5893" width="13.42578125" style="3" customWidth="1"/>
    <col min="5894" max="5894" width="12.7109375" style="3" customWidth="1"/>
    <col min="5895" max="5895" width="14" style="3" customWidth="1"/>
    <col min="5896" max="6144" width="11.42578125" style="3"/>
    <col min="6145" max="6145" width="15.85546875" style="3" customWidth="1"/>
    <col min="6146" max="6146" width="14.85546875" style="3" customWidth="1"/>
    <col min="6147" max="6147" width="13.28515625" style="3" customWidth="1"/>
    <col min="6148" max="6148" width="11.42578125" style="3"/>
    <col min="6149" max="6149" width="13.42578125" style="3" customWidth="1"/>
    <col min="6150" max="6150" width="12.7109375" style="3" customWidth="1"/>
    <col min="6151" max="6151" width="14" style="3" customWidth="1"/>
    <col min="6152" max="6400" width="11.42578125" style="3"/>
    <col min="6401" max="6401" width="15.85546875" style="3" customWidth="1"/>
    <col min="6402" max="6402" width="14.85546875" style="3" customWidth="1"/>
    <col min="6403" max="6403" width="13.28515625" style="3" customWidth="1"/>
    <col min="6404" max="6404" width="11.42578125" style="3"/>
    <col min="6405" max="6405" width="13.42578125" style="3" customWidth="1"/>
    <col min="6406" max="6406" width="12.7109375" style="3" customWidth="1"/>
    <col min="6407" max="6407" width="14" style="3" customWidth="1"/>
    <col min="6408" max="6656" width="11.42578125" style="3"/>
    <col min="6657" max="6657" width="15.85546875" style="3" customWidth="1"/>
    <col min="6658" max="6658" width="14.85546875" style="3" customWidth="1"/>
    <col min="6659" max="6659" width="13.28515625" style="3" customWidth="1"/>
    <col min="6660" max="6660" width="11.42578125" style="3"/>
    <col min="6661" max="6661" width="13.42578125" style="3" customWidth="1"/>
    <col min="6662" max="6662" width="12.7109375" style="3" customWidth="1"/>
    <col min="6663" max="6663" width="14" style="3" customWidth="1"/>
    <col min="6664" max="6912" width="11.42578125" style="3"/>
    <col min="6913" max="6913" width="15.85546875" style="3" customWidth="1"/>
    <col min="6914" max="6914" width="14.85546875" style="3" customWidth="1"/>
    <col min="6915" max="6915" width="13.28515625" style="3" customWidth="1"/>
    <col min="6916" max="6916" width="11.42578125" style="3"/>
    <col min="6917" max="6917" width="13.42578125" style="3" customWidth="1"/>
    <col min="6918" max="6918" width="12.7109375" style="3" customWidth="1"/>
    <col min="6919" max="6919" width="14" style="3" customWidth="1"/>
    <col min="6920" max="7168" width="11.42578125" style="3"/>
    <col min="7169" max="7169" width="15.85546875" style="3" customWidth="1"/>
    <col min="7170" max="7170" width="14.85546875" style="3" customWidth="1"/>
    <col min="7171" max="7171" width="13.28515625" style="3" customWidth="1"/>
    <col min="7172" max="7172" width="11.42578125" style="3"/>
    <col min="7173" max="7173" width="13.42578125" style="3" customWidth="1"/>
    <col min="7174" max="7174" width="12.7109375" style="3" customWidth="1"/>
    <col min="7175" max="7175" width="14" style="3" customWidth="1"/>
    <col min="7176" max="7424" width="11.42578125" style="3"/>
    <col min="7425" max="7425" width="15.85546875" style="3" customWidth="1"/>
    <col min="7426" max="7426" width="14.85546875" style="3" customWidth="1"/>
    <col min="7427" max="7427" width="13.28515625" style="3" customWidth="1"/>
    <col min="7428" max="7428" width="11.42578125" style="3"/>
    <col min="7429" max="7429" width="13.42578125" style="3" customWidth="1"/>
    <col min="7430" max="7430" width="12.7109375" style="3" customWidth="1"/>
    <col min="7431" max="7431" width="14" style="3" customWidth="1"/>
    <col min="7432" max="7680" width="11.42578125" style="3"/>
    <col min="7681" max="7681" width="15.85546875" style="3" customWidth="1"/>
    <col min="7682" max="7682" width="14.85546875" style="3" customWidth="1"/>
    <col min="7683" max="7683" width="13.28515625" style="3" customWidth="1"/>
    <col min="7684" max="7684" width="11.42578125" style="3"/>
    <col min="7685" max="7685" width="13.42578125" style="3" customWidth="1"/>
    <col min="7686" max="7686" width="12.7109375" style="3" customWidth="1"/>
    <col min="7687" max="7687" width="14" style="3" customWidth="1"/>
    <col min="7688" max="7936" width="11.42578125" style="3"/>
    <col min="7937" max="7937" width="15.85546875" style="3" customWidth="1"/>
    <col min="7938" max="7938" width="14.85546875" style="3" customWidth="1"/>
    <col min="7939" max="7939" width="13.28515625" style="3" customWidth="1"/>
    <col min="7940" max="7940" width="11.42578125" style="3"/>
    <col min="7941" max="7941" width="13.42578125" style="3" customWidth="1"/>
    <col min="7942" max="7942" width="12.7109375" style="3" customWidth="1"/>
    <col min="7943" max="7943" width="14" style="3" customWidth="1"/>
    <col min="7944" max="8192" width="11.42578125" style="3"/>
    <col min="8193" max="8193" width="15.85546875" style="3" customWidth="1"/>
    <col min="8194" max="8194" width="14.85546875" style="3" customWidth="1"/>
    <col min="8195" max="8195" width="13.28515625" style="3" customWidth="1"/>
    <col min="8196" max="8196" width="11.42578125" style="3"/>
    <col min="8197" max="8197" width="13.42578125" style="3" customWidth="1"/>
    <col min="8198" max="8198" width="12.7109375" style="3" customWidth="1"/>
    <col min="8199" max="8199" width="14" style="3" customWidth="1"/>
    <col min="8200" max="8448" width="11.42578125" style="3"/>
    <col min="8449" max="8449" width="15.85546875" style="3" customWidth="1"/>
    <col min="8450" max="8450" width="14.85546875" style="3" customWidth="1"/>
    <col min="8451" max="8451" width="13.28515625" style="3" customWidth="1"/>
    <col min="8452" max="8452" width="11.42578125" style="3"/>
    <col min="8453" max="8453" width="13.42578125" style="3" customWidth="1"/>
    <col min="8454" max="8454" width="12.7109375" style="3" customWidth="1"/>
    <col min="8455" max="8455" width="14" style="3" customWidth="1"/>
    <col min="8456" max="8704" width="11.42578125" style="3"/>
    <col min="8705" max="8705" width="15.85546875" style="3" customWidth="1"/>
    <col min="8706" max="8706" width="14.85546875" style="3" customWidth="1"/>
    <col min="8707" max="8707" width="13.28515625" style="3" customWidth="1"/>
    <col min="8708" max="8708" width="11.42578125" style="3"/>
    <col min="8709" max="8709" width="13.42578125" style="3" customWidth="1"/>
    <col min="8710" max="8710" width="12.7109375" style="3" customWidth="1"/>
    <col min="8711" max="8711" width="14" style="3" customWidth="1"/>
    <col min="8712" max="8960" width="11.42578125" style="3"/>
    <col min="8961" max="8961" width="15.85546875" style="3" customWidth="1"/>
    <col min="8962" max="8962" width="14.85546875" style="3" customWidth="1"/>
    <col min="8963" max="8963" width="13.28515625" style="3" customWidth="1"/>
    <col min="8964" max="8964" width="11.42578125" style="3"/>
    <col min="8965" max="8965" width="13.42578125" style="3" customWidth="1"/>
    <col min="8966" max="8966" width="12.7109375" style="3" customWidth="1"/>
    <col min="8967" max="8967" width="14" style="3" customWidth="1"/>
    <col min="8968" max="9216" width="11.42578125" style="3"/>
    <col min="9217" max="9217" width="15.85546875" style="3" customWidth="1"/>
    <col min="9218" max="9218" width="14.85546875" style="3" customWidth="1"/>
    <col min="9219" max="9219" width="13.28515625" style="3" customWidth="1"/>
    <col min="9220" max="9220" width="11.42578125" style="3"/>
    <col min="9221" max="9221" width="13.42578125" style="3" customWidth="1"/>
    <col min="9222" max="9222" width="12.7109375" style="3" customWidth="1"/>
    <col min="9223" max="9223" width="14" style="3" customWidth="1"/>
    <col min="9224" max="9472" width="11.42578125" style="3"/>
    <col min="9473" max="9473" width="15.85546875" style="3" customWidth="1"/>
    <col min="9474" max="9474" width="14.85546875" style="3" customWidth="1"/>
    <col min="9475" max="9475" width="13.28515625" style="3" customWidth="1"/>
    <col min="9476" max="9476" width="11.42578125" style="3"/>
    <col min="9477" max="9477" width="13.42578125" style="3" customWidth="1"/>
    <col min="9478" max="9478" width="12.7109375" style="3" customWidth="1"/>
    <col min="9479" max="9479" width="14" style="3" customWidth="1"/>
    <col min="9480" max="9728" width="11.42578125" style="3"/>
    <col min="9729" max="9729" width="15.85546875" style="3" customWidth="1"/>
    <col min="9730" max="9730" width="14.85546875" style="3" customWidth="1"/>
    <col min="9731" max="9731" width="13.28515625" style="3" customWidth="1"/>
    <col min="9732" max="9732" width="11.42578125" style="3"/>
    <col min="9733" max="9733" width="13.42578125" style="3" customWidth="1"/>
    <col min="9734" max="9734" width="12.7109375" style="3" customWidth="1"/>
    <col min="9735" max="9735" width="14" style="3" customWidth="1"/>
    <col min="9736" max="9984" width="11.42578125" style="3"/>
    <col min="9985" max="9985" width="15.85546875" style="3" customWidth="1"/>
    <col min="9986" max="9986" width="14.85546875" style="3" customWidth="1"/>
    <col min="9987" max="9987" width="13.28515625" style="3" customWidth="1"/>
    <col min="9988" max="9988" width="11.42578125" style="3"/>
    <col min="9989" max="9989" width="13.42578125" style="3" customWidth="1"/>
    <col min="9990" max="9990" width="12.7109375" style="3" customWidth="1"/>
    <col min="9991" max="9991" width="14" style="3" customWidth="1"/>
    <col min="9992" max="10240" width="11.42578125" style="3"/>
    <col min="10241" max="10241" width="15.85546875" style="3" customWidth="1"/>
    <col min="10242" max="10242" width="14.85546875" style="3" customWidth="1"/>
    <col min="10243" max="10243" width="13.28515625" style="3" customWidth="1"/>
    <col min="10244" max="10244" width="11.42578125" style="3"/>
    <col min="10245" max="10245" width="13.42578125" style="3" customWidth="1"/>
    <col min="10246" max="10246" width="12.7109375" style="3" customWidth="1"/>
    <col min="10247" max="10247" width="14" style="3" customWidth="1"/>
    <col min="10248" max="10496" width="11.42578125" style="3"/>
    <col min="10497" max="10497" width="15.85546875" style="3" customWidth="1"/>
    <col min="10498" max="10498" width="14.85546875" style="3" customWidth="1"/>
    <col min="10499" max="10499" width="13.28515625" style="3" customWidth="1"/>
    <col min="10500" max="10500" width="11.42578125" style="3"/>
    <col min="10501" max="10501" width="13.42578125" style="3" customWidth="1"/>
    <col min="10502" max="10502" width="12.7109375" style="3" customWidth="1"/>
    <col min="10503" max="10503" width="14" style="3" customWidth="1"/>
    <col min="10504" max="10752" width="11.42578125" style="3"/>
    <col min="10753" max="10753" width="15.85546875" style="3" customWidth="1"/>
    <col min="10754" max="10754" width="14.85546875" style="3" customWidth="1"/>
    <col min="10755" max="10755" width="13.28515625" style="3" customWidth="1"/>
    <col min="10756" max="10756" width="11.42578125" style="3"/>
    <col min="10757" max="10757" width="13.42578125" style="3" customWidth="1"/>
    <col min="10758" max="10758" width="12.7109375" style="3" customWidth="1"/>
    <col min="10759" max="10759" width="14" style="3" customWidth="1"/>
    <col min="10760" max="11008" width="11.42578125" style="3"/>
    <col min="11009" max="11009" width="15.85546875" style="3" customWidth="1"/>
    <col min="11010" max="11010" width="14.85546875" style="3" customWidth="1"/>
    <col min="11011" max="11011" width="13.28515625" style="3" customWidth="1"/>
    <col min="11012" max="11012" width="11.42578125" style="3"/>
    <col min="11013" max="11013" width="13.42578125" style="3" customWidth="1"/>
    <col min="11014" max="11014" width="12.7109375" style="3" customWidth="1"/>
    <col min="11015" max="11015" width="14" style="3" customWidth="1"/>
    <col min="11016" max="11264" width="11.42578125" style="3"/>
    <col min="11265" max="11265" width="15.85546875" style="3" customWidth="1"/>
    <col min="11266" max="11266" width="14.85546875" style="3" customWidth="1"/>
    <col min="11267" max="11267" width="13.28515625" style="3" customWidth="1"/>
    <col min="11268" max="11268" width="11.42578125" style="3"/>
    <col min="11269" max="11269" width="13.42578125" style="3" customWidth="1"/>
    <col min="11270" max="11270" width="12.7109375" style="3" customWidth="1"/>
    <col min="11271" max="11271" width="14" style="3" customWidth="1"/>
    <col min="11272" max="11520" width="11.42578125" style="3"/>
    <col min="11521" max="11521" width="15.85546875" style="3" customWidth="1"/>
    <col min="11522" max="11522" width="14.85546875" style="3" customWidth="1"/>
    <col min="11523" max="11523" width="13.28515625" style="3" customWidth="1"/>
    <col min="11524" max="11524" width="11.42578125" style="3"/>
    <col min="11525" max="11525" width="13.42578125" style="3" customWidth="1"/>
    <col min="11526" max="11526" width="12.7109375" style="3" customWidth="1"/>
    <col min="11527" max="11527" width="14" style="3" customWidth="1"/>
    <col min="11528" max="11776" width="11.42578125" style="3"/>
    <col min="11777" max="11777" width="15.85546875" style="3" customWidth="1"/>
    <col min="11778" max="11778" width="14.85546875" style="3" customWidth="1"/>
    <col min="11779" max="11779" width="13.28515625" style="3" customWidth="1"/>
    <col min="11780" max="11780" width="11.42578125" style="3"/>
    <col min="11781" max="11781" width="13.42578125" style="3" customWidth="1"/>
    <col min="11782" max="11782" width="12.7109375" style="3" customWidth="1"/>
    <col min="11783" max="11783" width="14" style="3" customWidth="1"/>
    <col min="11784" max="12032" width="11.42578125" style="3"/>
    <col min="12033" max="12033" width="15.85546875" style="3" customWidth="1"/>
    <col min="12034" max="12034" width="14.85546875" style="3" customWidth="1"/>
    <col min="12035" max="12035" width="13.28515625" style="3" customWidth="1"/>
    <col min="12036" max="12036" width="11.42578125" style="3"/>
    <col min="12037" max="12037" width="13.42578125" style="3" customWidth="1"/>
    <col min="12038" max="12038" width="12.7109375" style="3" customWidth="1"/>
    <col min="12039" max="12039" width="14" style="3" customWidth="1"/>
    <col min="12040" max="12288" width="11.42578125" style="3"/>
    <col min="12289" max="12289" width="15.85546875" style="3" customWidth="1"/>
    <col min="12290" max="12290" width="14.85546875" style="3" customWidth="1"/>
    <col min="12291" max="12291" width="13.28515625" style="3" customWidth="1"/>
    <col min="12292" max="12292" width="11.42578125" style="3"/>
    <col min="12293" max="12293" width="13.42578125" style="3" customWidth="1"/>
    <col min="12294" max="12294" width="12.7109375" style="3" customWidth="1"/>
    <col min="12295" max="12295" width="14" style="3" customWidth="1"/>
    <col min="12296" max="12544" width="11.42578125" style="3"/>
    <col min="12545" max="12545" width="15.85546875" style="3" customWidth="1"/>
    <col min="12546" max="12546" width="14.85546875" style="3" customWidth="1"/>
    <col min="12547" max="12547" width="13.28515625" style="3" customWidth="1"/>
    <col min="12548" max="12548" width="11.42578125" style="3"/>
    <col min="12549" max="12549" width="13.42578125" style="3" customWidth="1"/>
    <col min="12550" max="12550" width="12.7109375" style="3" customWidth="1"/>
    <col min="12551" max="12551" width="14" style="3" customWidth="1"/>
    <col min="12552" max="12800" width="11.42578125" style="3"/>
    <col min="12801" max="12801" width="15.85546875" style="3" customWidth="1"/>
    <col min="12802" max="12802" width="14.85546875" style="3" customWidth="1"/>
    <col min="12803" max="12803" width="13.28515625" style="3" customWidth="1"/>
    <col min="12804" max="12804" width="11.42578125" style="3"/>
    <col min="12805" max="12805" width="13.42578125" style="3" customWidth="1"/>
    <col min="12806" max="12806" width="12.7109375" style="3" customWidth="1"/>
    <col min="12807" max="12807" width="14" style="3" customWidth="1"/>
    <col min="12808" max="13056" width="11.42578125" style="3"/>
    <col min="13057" max="13057" width="15.85546875" style="3" customWidth="1"/>
    <col min="13058" max="13058" width="14.85546875" style="3" customWidth="1"/>
    <col min="13059" max="13059" width="13.28515625" style="3" customWidth="1"/>
    <col min="13060" max="13060" width="11.42578125" style="3"/>
    <col min="13061" max="13061" width="13.42578125" style="3" customWidth="1"/>
    <col min="13062" max="13062" width="12.7109375" style="3" customWidth="1"/>
    <col min="13063" max="13063" width="14" style="3" customWidth="1"/>
    <col min="13064" max="13312" width="11.42578125" style="3"/>
    <col min="13313" max="13313" width="15.85546875" style="3" customWidth="1"/>
    <col min="13314" max="13314" width="14.85546875" style="3" customWidth="1"/>
    <col min="13315" max="13315" width="13.28515625" style="3" customWidth="1"/>
    <col min="13316" max="13316" width="11.42578125" style="3"/>
    <col min="13317" max="13317" width="13.42578125" style="3" customWidth="1"/>
    <col min="13318" max="13318" width="12.7109375" style="3" customWidth="1"/>
    <col min="13319" max="13319" width="14" style="3" customWidth="1"/>
    <col min="13320" max="13568" width="11.42578125" style="3"/>
    <col min="13569" max="13569" width="15.85546875" style="3" customWidth="1"/>
    <col min="13570" max="13570" width="14.85546875" style="3" customWidth="1"/>
    <col min="13571" max="13571" width="13.28515625" style="3" customWidth="1"/>
    <col min="13572" max="13572" width="11.42578125" style="3"/>
    <col min="13573" max="13573" width="13.42578125" style="3" customWidth="1"/>
    <col min="13574" max="13574" width="12.7109375" style="3" customWidth="1"/>
    <col min="13575" max="13575" width="14" style="3" customWidth="1"/>
    <col min="13576" max="13824" width="11.42578125" style="3"/>
    <col min="13825" max="13825" width="15.85546875" style="3" customWidth="1"/>
    <col min="13826" max="13826" width="14.85546875" style="3" customWidth="1"/>
    <col min="13827" max="13827" width="13.28515625" style="3" customWidth="1"/>
    <col min="13828" max="13828" width="11.42578125" style="3"/>
    <col min="13829" max="13829" width="13.42578125" style="3" customWidth="1"/>
    <col min="13830" max="13830" width="12.7109375" style="3" customWidth="1"/>
    <col min="13831" max="13831" width="14" style="3" customWidth="1"/>
    <col min="13832" max="14080" width="11.42578125" style="3"/>
    <col min="14081" max="14081" width="15.85546875" style="3" customWidth="1"/>
    <col min="14082" max="14082" width="14.85546875" style="3" customWidth="1"/>
    <col min="14083" max="14083" width="13.28515625" style="3" customWidth="1"/>
    <col min="14084" max="14084" width="11.42578125" style="3"/>
    <col min="14085" max="14085" width="13.42578125" style="3" customWidth="1"/>
    <col min="14086" max="14086" width="12.7109375" style="3" customWidth="1"/>
    <col min="14087" max="14087" width="14" style="3" customWidth="1"/>
    <col min="14088" max="14336" width="11.42578125" style="3"/>
    <col min="14337" max="14337" width="15.85546875" style="3" customWidth="1"/>
    <col min="14338" max="14338" width="14.85546875" style="3" customWidth="1"/>
    <col min="14339" max="14339" width="13.28515625" style="3" customWidth="1"/>
    <col min="14340" max="14340" width="11.42578125" style="3"/>
    <col min="14341" max="14341" width="13.42578125" style="3" customWidth="1"/>
    <col min="14342" max="14342" width="12.7109375" style="3" customWidth="1"/>
    <col min="14343" max="14343" width="14" style="3" customWidth="1"/>
    <col min="14344" max="14592" width="11.42578125" style="3"/>
    <col min="14593" max="14593" width="15.85546875" style="3" customWidth="1"/>
    <col min="14594" max="14594" width="14.85546875" style="3" customWidth="1"/>
    <col min="14595" max="14595" width="13.28515625" style="3" customWidth="1"/>
    <col min="14596" max="14596" width="11.42578125" style="3"/>
    <col min="14597" max="14597" width="13.42578125" style="3" customWidth="1"/>
    <col min="14598" max="14598" width="12.7109375" style="3" customWidth="1"/>
    <col min="14599" max="14599" width="14" style="3" customWidth="1"/>
    <col min="14600" max="14848" width="11.42578125" style="3"/>
    <col min="14849" max="14849" width="15.85546875" style="3" customWidth="1"/>
    <col min="14850" max="14850" width="14.85546875" style="3" customWidth="1"/>
    <col min="14851" max="14851" width="13.28515625" style="3" customWidth="1"/>
    <col min="14852" max="14852" width="11.42578125" style="3"/>
    <col min="14853" max="14853" width="13.42578125" style="3" customWidth="1"/>
    <col min="14854" max="14854" width="12.7109375" style="3" customWidth="1"/>
    <col min="14855" max="14855" width="14" style="3" customWidth="1"/>
    <col min="14856" max="15104" width="11.42578125" style="3"/>
    <col min="15105" max="15105" width="15.85546875" style="3" customWidth="1"/>
    <col min="15106" max="15106" width="14.85546875" style="3" customWidth="1"/>
    <col min="15107" max="15107" width="13.28515625" style="3" customWidth="1"/>
    <col min="15108" max="15108" width="11.42578125" style="3"/>
    <col min="15109" max="15109" width="13.42578125" style="3" customWidth="1"/>
    <col min="15110" max="15110" width="12.7109375" style="3" customWidth="1"/>
    <col min="15111" max="15111" width="14" style="3" customWidth="1"/>
    <col min="15112" max="15360" width="11.42578125" style="3"/>
    <col min="15361" max="15361" width="15.85546875" style="3" customWidth="1"/>
    <col min="15362" max="15362" width="14.85546875" style="3" customWidth="1"/>
    <col min="15363" max="15363" width="13.28515625" style="3" customWidth="1"/>
    <col min="15364" max="15364" width="11.42578125" style="3"/>
    <col min="15365" max="15365" width="13.42578125" style="3" customWidth="1"/>
    <col min="15366" max="15366" width="12.7109375" style="3" customWidth="1"/>
    <col min="15367" max="15367" width="14" style="3" customWidth="1"/>
    <col min="15368" max="15616" width="11.42578125" style="3"/>
    <col min="15617" max="15617" width="15.85546875" style="3" customWidth="1"/>
    <col min="15618" max="15618" width="14.85546875" style="3" customWidth="1"/>
    <col min="15619" max="15619" width="13.28515625" style="3" customWidth="1"/>
    <col min="15620" max="15620" width="11.42578125" style="3"/>
    <col min="15621" max="15621" width="13.42578125" style="3" customWidth="1"/>
    <col min="15622" max="15622" width="12.7109375" style="3" customWidth="1"/>
    <col min="15623" max="15623" width="14" style="3" customWidth="1"/>
    <col min="15624" max="15872" width="11.42578125" style="3"/>
    <col min="15873" max="15873" width="15.85546875" style="3" customWidth="1"/>
    <col min="15874" max="15874" width="14.85546875" style="3" customWidth="1"/>
    <col min="15875" max="15875" width="13.28515625" style="3" customWidth="1"/>
    <col min="15876" max="15876" width="11.42578125" style="3"/>
    <col min="15877" max="15877" width="13.42578125" style="3" customWidth="1"/>
    <col min="15878" max="15878" width="12.7109375" style="3" customWidth="1"/>
    <col min="15879" max="15879" width="14" style="3" customWidth="1"/>
    <col min="15880" max="16128" width="11.42578125" style="3"/>
    <col min="16129" max="16129" width="15.85546875" style="3" customWidth="1"/>
    <col min="16130" max="16130" width="14.85546875" style="3" customWidth="1"/>
    <col min="16131" max="16131" width="13.28515625" style="3" customWidth="1"/>
    <col min="16132" max="16132" width="11.42578125" style="3"/>
    <col min="16133" max="16133" width="13.42578125" style="3" customWidth="1"/>
    <col min="16134" max="16134" width="12.7109375" style="3" customWidth="1"/>
    <col min="16135" max="16135" width="14" style="3" customWidth="1"/>
    <col min="16136" max="16384" width="11.42578125" style="3"/>
  </cols>
  <sheetData>
    <row r="1" spans="1:21" ht="20.25">
      <c r="A1" s="1346" t="str">
        <f>PPTO!D3</f>
        <v>PRESUPUESTO
MUNICIPIO EL BAGRE (ANTIOQUIA).</v>
      </c>
      <c r="B1" s="1347"/>
      <c r="C1" s="1347"/>
      <c r="D1" s="1347"/>
      <c r="E1" s="1347"/>
      <c r="F1" s="1347"/>
      <c r="G1" s="1348"/>
      <c r="H1" s="1"/>
      <c r="I1" s="2" t="s">
        <v>240</v>
      </c>
      <c r="J1" s="378">
        <f>100%+3.18%</f>
        <v>1.0318000000000001</v>
      </c>
    </row>
    <row r="2" spans="1:21" ht="18" customHeight="1">
      <c r="A2" s="1362" t="s">
        <v>16</v>
      </c>
      <c r="B2" s="1363"/>
      <c r="C2" s="1363"/>
      <c r="D2" s="1363"/>
      <c r="E2" s="1363"/>
      <c r="F2" s="1363"/>
      <c r="G2" s="1364"/>
      <c r="H2" s="1"/>
      <c r="I2" s="2"/>
    </row>
    <row r="3" spans="1:21" ht="24" customHeight="1">
      <c r="A3" s="1367" t="str">
        <f>+PPTO!$D$5</f>
        <v>PROYECTO DE MEJORAMIENTO VIAL, ESPACIO PUBLICO Y OBRAS COMPLEMENTARIAS DE LA AVENIDA LA JUVENTUD Y TRAMOS ADYACENTES Y PRIORITARIOS DEL SECTOR URBANO EN EL MUNICIPIO EL BAGRE ANTIOQUIA.</v>
      </c>
      <c r="B3" s="1368"/>
      <c r="C3" s="1368"/>
      <c r="D3" s="1368"/>
      <c r="E3" s="1368"/>
      <c r="F3" s="1368"/>
      <c r="G3" s="1369"/>
      <c r="H3" s="1"/>
      <c r="I3" s="2"/>
    </row>
    <row r="4" spans="1:21" ht="20.25" customHeight="1">
      <c r="A4" s="1370"/>
      <c r="B4" s="1368"/>
      <c r="C4" s="1368"/>
      <c r="D4" s="1368"/>
      <c r="E4" s="1368"/>
      <c r="F4" s="1368"/>
      <c r="G4" s="1369"/>
      <c r="H4" s="1"/>
      <c r="I4" s="2"/>
    </row>
    <row r="5" spans="1:21" ht="6.75" customHeight="1">
      <c r="A5" s="222"/>
      <c r="B5" s="6"/>
      <c r="C5" s="24"/>
      <c r="D5" s="25"/>
      <c r="E5" s="6"/>
      <c r="F5" s="6"/>
      <c r="G5" s="223"/>
      <c r="H5" s="9"/>
    </row>
    <row r="6" spans="1:21" ht="27" customHeight="1">
      <c r="A6" s="368">
        <v>1.1000000000000001</v>
      </c>
      <c r="B6" s="1349" t="str">
        <f>VLOOKUP(A6,PPTO!D4:I131,2,FALSE)</f>
        <v>Malla de cerramiento (tela aditiva; h=2,1 m ) y madera rolliza cada 3 mts</v>
      </c>
      <c r="C6" s="1350"/>
      <c r="D6" s="1350"/>
      <c r="E6" s="1351"/>
      <c r="F6" s="192" t="s">
        <v>118</v>
      </c>
      <c r="G6" s="248" t="str">
        <f>VLOOKUP(A6,PPTO!D4:I131,3,FALSE)</f>
        <v>m</v>
      </c>
      <c r="H6" s="9"/>
    </row>
    <row r="7" spans="1:21" ht="3.75" customHeight="1">
      <c r="A7" s="226"/>
      <c r="B7" s="4"/>
      <c r="C7" s="6"/>
      <c r="D7" s="4"/>
      <c r="E7" s="4"/>
      <c r="F7" s="4"/>
      <c r="G7" s="227"/>
      <c r="H7" s="9"/>
    </row>
    <row r="8" spans="1:21">
      <c r="A8" s="1354" t="s">
        <v>69</v>
      </c>
      <c r="B8" s="1355"/>
      <c r="C8" s="1355"/>
      <c r="D8" s="1355"/>
      <c r="E8" s="1355"/>
      <c r="F8" s="1355"/>
      <c r="G8" s="1356"/>
      <c r="H8" s="9"/>
    </row>
    <row r="9" spans="1:21" ht="4.5" customHeight="1">
      <c r="A9" s="226"/>
      <c r="B9" s="4"/>
      <c r="C9" s="6"/>
      <c r="D9" s="4"/>
      <c r="E9" s="4"/>
      <c r="F9" s="4"/>
      <c r="G9" s="227"/>
      <c r="H9" s="9"/>
      <c r="I9" s="5"/>
      <c r="J9" s="5"/>
      <c r="K9" s="5"/>
      <c r="L9" s="26"/>
      <c r="M9" s="5"/>
      <c r="N9" s="5"/>
      <c r="O9" s="5"/>
      <c r="P9" s="5"/>
    </row>
    <row r="10" spans="1:21">
      <c r="A10" s="1373" t="s">
        <v>17</v>
      </c>
      <c r="B10" s="1374"/>
      <c r="C10" s="1374"/>
      <c r="D10" s="220" t="s">
        <v>18</v>
      </c>
      <c r="E10" s="220" t="s">
        <v>19</v>
      </c>
      <c r="F10" s="220" t="s">
        <v>20</v>
      </c>
      <c r="G10" s="228" t="s">
        <v>21</v>
      </c>
      <c r="H10" s="27"/>
      <c r="I10" s="28"/>
      <c r="J10" s="29"/>
      <c r="K10" s="30"/>
      <c r="L10" s="30"/>
      <c r="M10" s="30"/>
      <c r="N10" s="30"/>
      <c r="O10" s="30"/>
      <c r="P10" s="5"/>
    </row>
    <row r="11" spans="1:21" ht="12.75" customHeight="1">
      <c r="A11" s="1352" t="s">
        <v>22</v>
      </c>
      <c r="B11" s="1353"/>
      <c r="C11" s="1353"/>
      <c r="D11" s="220" t="s">
        <v>23</v>
      </c>
      <c r="E11" s="424">
        <v>1000</v>
      </c>
      <c r="F11" s="395">
        <v>3.3000000000000002E-2</v>
      </c>
      <c r="G11" s="396">
        <f>ROUND(F11*E11,0)</f>
        <v>33</v>
      </c>
      <c r="H11" s="9"/>
      <c r="I11" s="30"/>
      <c r="J11" s="31"/>
      <c r="K11" s="30"/>
      <c r="L11" s="30"/>
      <c r="M11" s="30"/>
      <c r="N11" s="30"/>
      <c r="O11" s="30"/>
      <c r="P11" s="5"/>
    </row>
    <row r="12" spans="1:21">
      <c r="A12" s="1371"/>
      <c r="B12" s="1372"/>
      <c r="C12" s="1372"/>
      <c r="D12" s="83"/>
      <c r="E12" s="424"/>
      <c r="F12" s="395"/>
      <c r="G12" s="396"/>
      <c r="H12" s="9"/>
      <c r="I12" s="16"/>
      <c r="J12" s="13"/>
      <c r="K12" s="8"/>
      <c r="L12" s="8"/>
      <c r="M12" s="8"/>
      <c r="N12" s="8"/>
      <c r="O12" s="8"/>
      <c r="P12" s="5"/>
    </row>
    <row r="13" spans="1:21">
      <c r="A13" s="1375"/>
      <c r="B13" s="1376"/>
      <c r="C13" s="1376"/>
      <c r="D13" s="83"/>
      <c r="E13" s="424"/>
      <c r="F13" s="395"/>
      <c r="G13" s="396"/>
      <c r="H13" s="9"/>
      <c r="I13" s="13"/>
      <c r="J13" s="13"/>
      <c r="K13" s="13"/>
      <c r="L13" s="13"/>
      <c r="M13" s="13"/>
      <c r="N13" s="13"/>
      <c r="O13" s="13"/>
      <c r="P13" s="5"/>
    </row>
    <row r="14" spans="1:21">
      <c r="A14" s="1375"/>
      <c r="B14" s="1376"/>
      <c r="C14" s="1376"/>
      <c r="D14" s="83"/>
      <c r="E14" s="424"/>
      <c r="F14" s="395"/>
      <c r="G14" s="396"/>
      <c r="H14" s="9"/>
      <c r="I14" s="8"/>
      <c r="J14" s="14"/>
      <c r="K14" s="32"/>
      <c r="L14" s="14"/>
      <c r="M14" s="15"/>
      <c r="N14" s="15"/>
      <c r="O14" s="19"/>
      <c r="P14" s="5"/>
    </row>
    <row r="15" spans="1:21">
      <c r="A15" s="1371"/>
      <c r="B15" s="1372"/>
      <c r="C15" s="1372"/>
      <c r="D15" s="83"/>
      <c r="E15" s="424"/>
      <c r="F15" s="395"/>
      <c r="G15" s="396"/>
      <c r="H15" s="9"/>
      <c r="I15" s="8"/>
      <c r="J15" s="33"/>
      <c r="K15" s="32"/>
      <c r="L15" s="14"/>
      <c r="M15" s="15"/>
      <c r="N15" s="15"/>
      <c r="O15" s="19"/>
      <c r="P15" s="5"/>
      <c r="Q15" s="5"/>
      <c r="R15" s="5"/>
      <c r="S15" s="5"/>
      <c r="T15" s="5"/>
      <c r="U15" s="5"/>
    </row>
    <row r="16" spans="1:21">
      <c r="A16" s="1371"/>
      <c r="B16" s="1372"/>
      <c r="C16" s="1372"/>
      <c r="D16" s="85" t="s">
        <v>24</v>
      </c>
      <c r="E16" s="50"/>
      <c r="F16" s="49"/>
      <c r="G16" s="230">
        <f>SUM(G11:G15)</f>
        <v>33</v>
      </c>
      <c r="H16" s="9"/>
      <c r="I16" s="34"/>
      <c r="J16" s="34"/>
      <c r="K16" s="35"/>
      <c r="L16" s="36"/>
      <c r="M16" s="7"/>
      <c r="N16" s="7"/>
      <c r="O16" s="19"/>
      <c r="P16" s="5"/>
      <c r="Q16" s="5"/>
      <c r="R16" s="5"/>
      <c r="S16" s="5"/>
      <c r="T16" s="5"/>
      <c r="U16" s="5"/>
    </row>
    <row r="17" spans="1:21" ht="4.5" customHeight="1">
      <c r="A17" s="226"/>
      <c r="B17" s="4"/>
      <c r="C17" s="6"/>
      <c r="D17" s="4"/>
      <c r="E17" s="4"/>
      <c r="F17" s="4"/>
      <c r="G17" s="227"/>
      <c r="H17" s="9"/>
      <c r="I17" s="34"/>
      <c r="J17" s="34"/>
      <c r="K17" s="35"/>
      <c r="L17" s="36"/>
      <c r="M17" s="7"/>
      <c r="N17" s="7"/>
      <c r="O17" s="19"/>
      <c r="P17" s="5"/>
      <c r="Q17" s="5"/>
      <c r="R17" s="5"/>
      <c r="S17" s="5"/>
      <c r="T17" s="5"/>
      <c r="U17" s="5"/>
    </row>
    <row r="18" spans="1:21">
      <c r="A18" s="1354" t="s">
        <v>70</v>
      </c>
      <c r="B18" s="1355"/>
      <c r="C18" s="1355"/>
      <c r="D18" s="1355"/>
      <c r="E18" s="1355"/>
      <c r="F18" s="1355"/>
      <c r="G18" s="1356"/>
      <c r="H18" s="9"/>
    </row>
    <row r="19" spans="1:21" ht="4.5" customHeight="1">
      <c r="A19" s="226"/>
      <c r="B19" s="4"/>
      <c r="C19" s="6"/>
      <c r="D19" s="4"/>
      <c r="E19" s="4"/>
      <c r="F19" s="38"/>
      <c r="G19" s="227"/>
      <c r="H19" s="9"/>
      <c r="I19" s="34"/>
      <c r="J19" s="34"/>
      <c r="K19" s="35"/>
      <c r="L19" s="39"/>
      <c r="M19" s="7"/>
      <c r="N19" s="7"/>
      <c r="O19" s="8"/>
      <c r="P19" s="5"/>
      <c r="Q19" s="5"/>
      <c r="R19" s="5"/>
      <c r="S19" s="5"/>
      <c r="T19" s="5"/>
      <c r="U19" s="5"/>
    </row>
    <row r="20" spans="1:21">
      <c r="A20" s="1373" t="s">
        <v>17</v>
      </c>
      <c r="B20" s="1374"/>
      <c r="C20" s="1374"/>
      <c r="D20" s="220" t="s">
        <v>3</v>
      </c>
      <c r="E20" s="220" t="s">
        <v>4</v>
      </c>
      <c r="F20" s="220" t="s">
        <v>25</v>
      </c>
      <c r="G20" s="228" t="s">
        <v>21</v>
      </c>
      <c r="H20" s="27"/>
      <c r="I20" s="34"/>
      <c r="J20" s="34"/>
      <c r="K20" s="35"/>
      <c r="L20" s="39"/>
      <c r="M20" s="7"/>
      <c r="N20" s="7"/>
      <c r="O20" s="8"/>
      <c r="P20" s="5"/>
      <c r="Q20" s="5"/>
      <c r="R20" s="5"/>
      <c r="S20" s="5"/>
      <c r="T20" s="5"/>
      <c r="U20" s="5"/>
    </row>
    <row r="21" spans="1:21">
      <c r="A21" s="1365" t="s">
        <v>236</v>
      </c>
      <c r="B21" s="1366"/>
      <c r="C21" s="1366"/>
      <c r="D21" s="73" t="s">
        <v>122</v>
      </c>
      <c r="E21" s="74">
        <v>1</v>
      </c>
      <c r="F21" s="75">
        <v>400</v>
      </c>
      <c r="G21" s="231">
        <f>ROUND(F21*E21,0)</f>
        <v>400</v>
      </c>
      <c r="H21" s="9"/>
      <c r="I21" s="34"/>
      <c r="J21" s="34"/>
      <c r="K21" s="35"/>
      <c r="L21" s="39"/>
      <c r="M21" s="7"/>
      <c r="N21" s="7"/>
      <c r="O21" s="13"/>
      <c r="P21" s="5"/>
      <c r="Q21" s="5"/>
      <c r="R21" s="5"/>
      <c r="S21" s="5"/>
      <c r="T21" s="5"/>
      <c r="U21" s="5"/>
    </row>
    <row r="22" spans="1:21">
      <c r="A22" s="1360" t="s">
        <v>237</v>
      </c>
      <c r="B22" s="1361"/>
      <c r="C22" s="1361"/>
      <c r="D22" s="76" t="s">
        <v>119</v>
      </c>
      <c r="E22" s="77">
        <f>1/3</f>
        <v>0.33</v>
      </c>
      <c r="F22" s="78">
        <v>5000</v>
      </c>
      <c r="G22" s="231">
        <f>ROUND(F22*E22,0)</f>
        <v>1650</v>
      </c>
      <c r="H22" s="9"/>
      <c r="I22" s="10"/>
      <c r="J22" s="10"/>
      <c r="K22" s="12"/>
      <c r="L22" s="39"/>
      <c r="M22" s="7"/>
      <c r="N22" s="7"/>
      <c r="O22" s="15"/>
      <c r="P22" s="5"/>
      <c r="Q22" s="5"/>
      <c r="R22" s="5"/>
      <c r="S22" s="5"/>
      <c r="T22" s="5"/>
      <c r="U22" s="5"/>
    </row>
    <row r="23" spans="1:21">
      <c r="A23" s="1352" t="s">
        <v>238</v>
      </c>
      <c r="B23" s="1353"/>
      <c r="C23" s="1353"/>
      <c r="D23" s="73" t="s">
        <v>239</v>
      </c>
      <c r="E23" s="77">
        <f>1/40</f>
        <v>0.03</v>
      </c>
      <c r="F23" s="78">
        <v>4500</v>
      </c>
      <c r="G23" s="231">
        <f>ROUND(F23*E23,0)</f>
        <v>135</v>
      </c>
      <c r="H23" s="9"/>
      <c r="I23" s="10"/>
      <c r="J23" s="10"/>
      <c r="K23" s="12"/>
      <c r="L23" s="39"/>
      <c r="M23" s="7"/>
      <c r="N23" s="7"/>
      <c r="O23" s="15"/>
      <c r="P23" s="5"/>
      <c r="Q23" s="5"/>
      <c r="R23" s="5"/>
      <c r="S23" s="5"/>
      <c r="T23" s="5"/>
      <c r="U23" s="5"/>
    </row>
    <row r="24" spans="1:21">
      <c r="A24" s="1352"/>
      <c r="B24" s="1353"/>
      <c r="C24" s="1353"/>
      <c r="D24" s="79"/>
      <c r="E24" s="80"/>
      <c r="F24" s="78"/>
      <c r="G24" s="231">
        <f>ROUND(F24*E24,0)</f>
        <v>0</v>
      </c>
      <c r="H24" s="9"/>
      <c r="I24" s="10"/>
      <c r="J24" s="40"/>
      <c r="K24" s="12"/>
      <c r="L24" s="13"/>
      <c r="M24" s="14"/>
      <c r="N24" s="14"/>
      <c r="O24" s="15"/>
      <c r="P24" s="5"/>
      <c r="Q24" s="5"/>
      <c r="R24" s="5"/>
      <c r="S24" s="5"/>
      <c r="T24" s="5"/>
      <c r="U24" s="5"/>
    </row>
    <row r="25" spans="1:21">
      <c r="A25" s="1352"/>
      <c r="B25" s="1353"/>
      <c r="C25" s="1353"/>
      <c r="D25" s="81"/>
      <c r="E25" s="82"/>
      <c r="F25" s="83"/>
      <c r="G25" s="231"/>
      <c r="H25" s="9"/>
      <c r="I25" s="10"/>
      <c r="J25" s="11"/>
      <c r="K25" s="12"/>
      <c r="L25" s="13"/>
      <c r="M25" s="14"/>
      <c r="N25" s="14"/>
      <c r="O25" s="15"/>
      <c r="P25" s="5"/>
      <c r="Q25" s="5"/>
      <c r="R25" s="5"/>
      <c r="S25" s="5"/>
      <c r="T25" s="5"/>
      <c r="U25" s="5"/>
    </row>
    <row r="26" spans="1:21">
      <c r="A26" s="1352"/>
      <c r="B26" s="1353"/>
      <c r="C26" s="1353"/>
      <c r="D26" s="79"/>
      <c r="E26" s="82"/>
      <c r="F26" s="83"/>
      <c r="G26" s="231"/>
      <c r="H26" s="9"/>
      <c r="I26" s="10"/>
      <c r="J26" s="11"/>
      <c r="K26" s="12"/>
      <c r="L26" s="13"/>
      <c r="M26" s="14"/>
      <c r="N26" s="14"/>
      <c r="O26" s="15"/>
      <c r="P26" s="5"/>
      <c r="Q26" s="5"/>
      <c r="R26" s="5"/>
      <c r="S26" s="5"/>
      <c r="T26" s="5"/>
      <c r="U26" s="5"/>
    </row>
    <row r="27" spans="1:21">
      <c r="A27" s="1352"/>
      <c r="B27" s="1353"/>
      <c r="C27" s="1353"/>
      <c r="D27" s="79"/>
      <c r="E27" s="82"/>
      <c r="F27" s="83"/>
      <c r="G27" s="231"/>
      <c r="H27" s="9"/>
      <c r="I27" s="10"/>
      <c r="J27" s="11"/>
      <c r="K27" s="12"/>
      <c r="L27" s="13"/>
      <c r="M27" s="14"/>
      <c r="N27" s="14"/>
      <c r="O27" s="15"/>
      <c r="P27" s="5"/>
      <c r="Q27" s="5"/>
      <c r="R27" s="5"/>
      <c r="S27" s="5"/>
      <c r="T27" s="5"/>
      <c r="U27" s="5"/>
    </row>
    <row r="28" spans="1:21">
      <c r="A28" s="1352"/>
      <c r="B28" s="1353"/>
      <c r="C28" s="1353"/>
      <c r="D28" s="79"/>
      <c r="E28" s="82"/>
      <c r="F28" s="83"/>
      <c r="G28" s="231"/>
      <c r="H28" s="9"/>
      <c r="I28" s="41"/>
      <c r="J28" s="41"/>
      <c r="K28" s="12"/>
      <c r="L28" s="13"/>
      <c r="M28" s="14"/>
      <c r="N28" s="14"/>
      <c r="O28" s="15"/>
      <c r="P28" s="5"/>
      <c r="Q28" s="5"/>
      <c r="R28" s="5"/>
      <c r="S28" s="5"/>
      <c r="T28" s="5"/>
      <c r="U28" s="5"/>
    </row>
    <row r="29" spans="1:21">
      <c r="A29" s="1352"/>
      <c r="B29" s="1353"/>
      <c r="C29" s="1353"/>
      <c r="D29" s="84"/>
      <c r="E29" s="84"/>
      <c r="F29" s="83"/>
      <c r="G29" s="231"/>
      <c r="H29" s="9"/>
      <c r="I29" s="42"/>
      <c r="J29" s="42"/>
      <c r="K29" s="42"/>
      <c r="L29" s="13"/>
      <c r="M29" s="14"/>
      <c r="N29" s="14"/>
      <c r="O29" s="15"/>
      <c r="P29" s="5"/>
      <c r="Q29" s="5"/>
      <c r="R29" s="5"/>
      <c r="S29" s="5"/>
      <c r="T29" s="5"/>
      <c r="U29" s="5"/>
    </row>
    <row r="30" spans="1:21">
      <c r="A30" s="1352"/>
      <c r="B30" s="1353"/>
      <c r="C30" s="1353"/>
      <c r="D30" s="85" t="s">
        <v>28</v>
      </c>
      <c r="E30" s="50"/>
      <c r="F30" s="49"/>
      <c r="G30" s="230">
        <f>SUM(G21:G29)</f>
        <v>2185</v>
      </c>
      <c r="H30" s="9"/>
      <c r="I30" s="8"/>
      <c r="J30" s="13"/>
      <c r="K30" s="8"/>
      <c r="L30" s="13"/>
      <c r="M30" s="14"/>
      <c r="N30" s="14"/>
      <c r="O30" s="15"/>
      <c r="P30" s="5"/>
    </row>
    <row r="31" spans="1:21" ht="3.75" customHeight="1">
      <c r="A31" s="226"/>
      <c r="B31" s="4"/>
      <c r="C31" s="6"/>
      <c r="D31" s="4"/>
      <c r="E31" s="4"/>
      <c r="F31" s="4"/>
      <c r="G31" s="227"/>
      <c r="H31" s="9"/>
      <c r="I31" s="8"/>
      <c r="J31" s="13"/>
      <c r="K31" s="18"/>
      <c r="L31" s="13"/>
      <c r="M31" s="33"/>
      <c r="N31" s="33"/>
      <c r="O31" s="15"/>
      <c r="P31" s="5"/>
    </row>
    <row r="32" spans="1:21">
      <c r="A32" s="1354" t="s">
        <v>71</v>
      </c>
      <c r="B32" s="1355"/>
      <c r="C32" s="1355"/>
      <c r="D32" s="1355"/>
      <c r="E32" s="1355"/>
      <c r="F32" s="1355"/>
      <c r="G32" s="1356"/>
      <c r="H32" s="9"/>
    </row>
    <row r="33" spans="1:16" ht="3.75" customHeight="1">
      <c r="A33" s="226"/>
      <c r="B33" s="4"/>
      <c r="C33" s="6"/>
      <c r="D33" s="4"/>
      <c r="E33" s="4"/>
      <c r="F33" s="4"/>
      <c r="G33" s="227"/>
      <c r="H33" s="9"/>
      <c r="I33" s="8"/>
      <c r="J33" s="13"/>
      <c r="K33" s="8"/>
      <c r="L33" s="8"/>
      <c r="M33" s="8"/>
      <c r="N33" s="8"/>
      <c r="O33" s="15"/>
      <c r="P33" s="5"/>
    </row>
    <row r="34" spans="1:16">
      <c r="A34" s="232" t="s">
        <v>5</v>
      </c>
      <c r="B34" s="60" t="s">
        <v>29</v>
      </c>
      <c r="C34" s="60" t="s">
        <v>498</v>
      </c>
      <c r="D34" s="60" t="s">
        <v>31</v>
      </c>
      <c r="E34" s="60" t="s">
        <v>32</v>
      </c>
      <c r="F34" s="60" t="s">
        <v>20</v>
      </c>
      <c r="G34" s="228" t="s">
        <v>33</v>
      </c>
      <c r="H34" s="27"/>
      <c r="I34" s="8"/>
      <c r="J34" s="13"/>
      <c r="K34" s="8"/>
      <c r="L34" s="8"/>
      <c r="M34" s="8"/>
      <c r="N34" s="8"/>
      <c r="O34" s="15"/>
      <c r="P34" s="5"/>
    </row>
    <row r="35" spans="1:16">
      <c r="A35" s="233" t="s">
        <v>41</v>
      </c>
      <c r="B35" s="63">
        <f>BOF</f>
        <v>51749</v>
      </c>
      <c r="C35" s="68">
        <f>ffpp</f>
        <v>0.64539999999999997</v>
      </c>
      <c r="D35" s="72">
        <v>1</v>
      </c>
      <c r="E35" s="66">
        <f>OF</f>
        <v>88696</v>
      </c>
      <c r="F35" s="65">
        <v>250</v>
      </c>
      <c r="G35" s="231">
        <f>ROUND(+D35*E35/F35,0)</f>
        <v>355</v>
      </c>
      <c r="H35" s="9"/>
      <c r="I35" s="16"/>
      <c r="J35" s="13"/>
      <c r="K35" s="8"/>
      <c r="L35" s="8"/>
      <c r="M35" s="8"/>
      <c r="N35" s="8"/>
      <c r="O35" s="15"/>
      <c r="P35" s="5"/>
    </row>
    <row r="36" spans="1:16">
      <c r="A36" s="233" t="s">
        <v>38</v>
      </c>
      <c r="B36" s="63">
        <f>BOB</f>
        <v>41749</v>
      </c>
      <c r="C36" s="68">
        <f>ffpp</f>
        <v>0.64539999999999997</v>
      </c>
      <c r="D36" s="72">
        <v>1</v>
      </c>
      <c r="E36" s="66">
        <f>OB</f>
        <v>72242</v>
      </c>
      <c r="F36" s="65">
        <f>+F35</f>
        <v>250</v>
      </c>
      <c r="G36" s="231">
        <f>ROUND(+D36*E36/F36,0)</f>
        <v>289</v>
      </c>
      <c r="H36" s="9"/>
      <c r="I36" s="8"/>
      <c r="J36" s="8"/>
      <c r="K36" s="13"/>
      <c r="L36" s="13"/>
      <c r="M36" s="13"/>
      <c r="N36" s="13"/>
      <c r="O36" s="13"/>
      <c r="P36" s="5"/>
    </row>
    <row r="37" spans="1:16">
      <c r="A37" s="234"/>
      <c r="B37" s="50"/>
      <c r="C37" s="961"/>
      <c r="D37" s="50"/>
      <c r="E37" s="50"/>
      <c r="F37" s="50"/>
      <c r="G37" s="235"/>
      <c r="H37" s="9"/>
      <c r="I37" s="8"/>
      <c r="J37" s="13"/>
      <c r="K37" s="13"/>
      <c r="L37" s="13"/>
      <c r="M37" s="33"/>
      <c r="N37" s="33"/>
      <c r="O37" s="43"/>
      <c r="P37" s="5"/>
    </row>
    <row r="38" spans="1:16">
      <c r="A38" s="233"/>
      <c r="B38" s="65"/>
      <c r="C38" s="68"/>
      <c r="D38" s="65"/>
      <c r="E38" s="69"/>
      <c r="F38" s="69"/>
      <c r="G38" s="236"/>
      <c r="H38" s="9"/>
      <c r="I38" s="8"/>
      <c r="J38" s="13"/>
      <c r="K38" s="13"/>
      <c r="L38" s="13"/>
      <c r="M38" s="33"/>
      <c r="N38" s="33"/>
      <c r="O38" s="43"/>
      <c r="P38" s="5"/>
    </row>
    <row r="39" spans="1:16">
      <c r="A39" s="249"/>
      <c r="B39" s="71"/>
      <c r="C39" s="71"/>
      <c r="D39" s="71" t="s">
        <v>34</v>
      </c>
      <c r="E39" s="71"/>
      <c r="F39" s="71"/>
      <c r="G39" s="250">
        <f>SUM(G35:G38)</f>
        <v>644</v>
      </c>
      <c r="H39" s="9"/>
      <c r="I39" s="8"/>
      <c r="J39" s="13"/>
      <c r="K39" s="13"/>
      <c r="L39" s="13"/>
      <c r="M39" s="14"/>
      <c r="N39" s="14"/>
      <c r="O39" s="15"/>
      <c r="P39" s="5"/>
    </row>
    <row r="40" spans="1:16">
      <c r="A40" s="226"/>
      <c r="B40" s="4"/>
      <c r="C40" s="6"/>
      <c r="D40" s="4"/>
      <c r="E40" s="4"/>
      <c r="F40" s="4"/>
      <c r="G40" s="227"/>
      <c r="H40" s="9"/>
      <c r="I40" s="8"/>
      <c r="J40" s="13"/>
      <c r="K40" s="13"/>
      <c r="L40" s="13"/>
      <c r="M40" s="14"/>
      <c r="N40" s="14"/>
      <c r="O40" s="19"/>
      <c r="P40" s="5"/>
    </row>
    <row r="41" spans="1:16">
      <c r="A41" s="226"/>
      <c r="B41" s="4"/>
      <c r="C41" s="6"/>
      <c r="D41" s="4"/>
      <c r="E41" s="4"/>
      <c r="F41" s="4"/>
      <c r="G41" s="227"/>
      <c r="H41" s="9"/>
      <c r="I41" s="8"/>
      <c r="J41" s="13"/>
      <c r="K41" s="13"/>
      <c r="L41" s="13"/>
      <c r="M41" s="17"/>
      <c r="N41" s="17"/>
      <c r="O41" s="37"/>
      <c r="P41" s="5"/>
    </row>
    <row r="42" spans="1:16" ht="14.25">
      <c r="A42" s="226"/>
      <c r="B42" s="4"/>
      <c r="C42" s="6"/>
      <c r="D42" s="1357" t="s">
        <v>35</v>
      </c>
      <c r="E42" s="1358"/>
      <c r="F42" s="1359"/>
      <c r="G42" s="239">
        <f>+G39+G30+G16</f>
        <v>2862</v>
      </c>
      <c r="H42" s="9"/>
      <c r="I42" s="46"/>
      <c r="J42" s="47"/>
      <c r="K42" s="8"/>
      <c r="L42" s="8"/>
      <c r="M42" s="8"/>
      <c r="N42" s="8"/>
      <c r="O42" s="8"/>
      <c r="P42" s="5"/>
    </row>
    <row r="43" spans="1:16" ht="14.25">
      <c r="A43" s="240"/>
      <c r="B43" s="57"/>
      <c r="C43" s="58"/>
      <c r="D43" s="99"/>
      <c r="E43" s="99"/>
      <c r="F43" s="99"/>
      <c r="G43" s="251"/>
      <c r="H43" s="9"/>
      <c r="I43" s="46"/>
      <c r="J43" s="47"/>
      <c r="K43" s="8"/>
      <c r="L43" s="8"/>
      <c r="M43" s="8"/>
      <c r="N43" s="8"/>
      <c r="O43" s="8"/>
      <c r="P43" s="5"/>
    </row>
    <row r="44" spans="1:16" ht="14.25">
      <c r="A44" s="374"/>
      <c r="B44" s="375"/>
      <c r="C44" s="375"/>
      <c r="D44" s="99"/>
      <c r="E44" s="99"/>
      <c r="F44" s="99"/>
      <c r="G44" s="251"/>
      <c r="H44" s="9"/>
      <c r="I44" s="46"/>
      <c r="J44" s="47"/>
      <c r="K44" s="8"/>
      <c r="L44" s="8"/>
      <c r="M44" s="8"/>
      <c r="N44" s="8"/>
      <c r="O44" s="8"/>
      <c r="P44" s="5"/>
    </row>
    <row r="45" spans="1:16" ht="14.25">
      <c r="A45" s="373"/>
      <c r="B45" s="376"/>
      <c r="C45" s="376"/>
      <c r="D45" s="99"/>
      <c r="E45" s="99"/>
      <c r="F45" s="99"/>
      <c r="G45" s="251"/>
      <c r="H45" s="9"/>
      <c r="I45" s="46"/>
      <c r="J45" s="47"/>
      <c r="K45" s="8"/>
      <c r="L45" s="8"/>
      <c r="M45" s="8"/>
      <c r="N45" s="8"/>
      <c r="O45" s="8"/>
      <c r="P45" s="5"/>
    </row>
    <row r="46" spans="1:16" ht="14.25">
      <c r="A46" s="373"/>
      <c r="B46" s="376"/>
      <c r="C46" s="376"/>
      <c r="D46" s="44"/>
      <c r="E46" s="45"/>
      <c r="F46" s="45"/>
      <c r="G46" s="251"/>
      <c r="H46" s="9"/>
      <c r="I46" s="8"/>
      <c r="J46" s="13"/>
      <c r="K46" s="8"/>
      <c r="L46" s="8"/>
      <c r="M46" s="8"/>
      <c r="N46" s="8"/>
      <c r="O46" s="8"/>
      <c r="P46" s="5"/>
    </row>
    <row r="47" spans="1:16" ht="15" thickBot="1">
      <c r="A47" s="242"/>
      <c r="B47" s="243"/>
      <c r="C47" s="244"/>
      <c r="D47" s="245"/>
      <c r="E47" s="246"/>
      <c r="F47" s="246"/>
      <c r="G47" s="247"/>
      <c r="H47" s="9"/>
      <c r="I47" s="8"/>
      <c r="J47" s="13"/>
      <c r="K47" s="8"/>
      <c r="L47" s="8"/>
      <c r="M47" s="8"/>
      <c r="N47" s="8"/>
      <c r="O47" s="8"/>
      <c r="P47" s="5"/>
    </row>
    <row r="48" spans="1:16">
      <c r="I48" s="5"/>
      <c r="J48" s="5"/>
      <c r="K48" s="5"/>
      <c r="L48" s="5"/>
      <c r="M48" s="5"/>
      <c r="N48" s="5"/>
      <c r="O48" s="5"/>
      <c r="P48" s="5"/>
    </row>
    <row r="49" spans="9:16">
      <c r="I49" s="5"/>
      <c r="J49" s="5"/>
      <c r="K49" s="5"/>
      <c r="L49" s="5"/>
      <c r="M49" s="5"/>
      <c r="N49" s="5"/>
      <c r="O49" s="5"/>
      <c r="P49" s="5"/>
    </row>
  </sheetData>
  <mergeCells count="26">
    <mergeCell ref="A15:C15"/>
    <mergeCell ref="A20:C20"/>
    <mergeCell ref="A16:C16"/>
    <mergeCell ref="A18:G18"/>
    <mergeCell ref="A8:G8"/>
    <mergeCell ref="A10:C10"/>
    <mergeCell ref="A11:C11"/>
    <mergeCell ref="A12:C12"/>
    <mergeCell ref="A13:C13"/>
    <mergeCell ref="A14:C14"/>
    <mergeCell ref="A1:G1"/>
    <mergeCell ref="B6:E6"/>
    <mergeCell ref="A30:C30"/>
    <mergeCell ref="A32:G32"/>
    <mergeCell ref="D42:F42"/>
    <mergeCell ref="A29:C29"/>
    <mergeCell ref="A22:C22"/>
    <mergeCell ref="A23:C23"/>
    <mergeCell ref="A24:C24"/>
    <mergeCell ref="A25:C25"/>
    <mergeCell ref="A26:C26"/>
    <mergeCell ref="A28:C28"/>
    <mergeCell ref="A27:C27"/>
    <mergeCell ref="A2:G2"/>
    <mergeCell ref="A21:C21"/>
    <mergeCell ref="A3:G4"/>
  </mergeCells>
  <printOptions horizontalCentered="1" verticalCentered="1"/>
  <pageMargins left="0.74803149606299213" right="0.74803149606299213" top="0" bottom="0.98425196850393704" header="0" footer="0"/>
  <pageSetup scale="90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9"/>
  <sheetViews>
    <sheetView view="pageBreakPreview" topLeftCell="A13" zoomScaleNormal="100" zoomScaleSheetLayoutView="100" workbookViewId="0">
      <selection activeCell="F36" sqref="F36"/>
    </sheetView>
  </sheetViews>
  <sheetFormatPr baseColWidth="10" defaultColWidth="10.7109375" defaultRowHeight="12.75"/>
  <cols>
    <col min="1" max="1" width="15.85546875" style="3" customWidth="1"/>
    <col min="2" max="2" width="14.85546875" style="3" customWidth="1"/>
    <col min="3" max="3" width="13.28515625" style="3" customWidth="1"/>
    <col min="4" max="4" width="11.42578125" style="3"/>
    <col min="5" max="5" width="13.42578125" style="3" customWidth="1"/>
    <col min="6" max="6" width="12.7109375" style="3" customWidth="1"/>
    <col min="7" max="7" width="14" style="3" customWidth="1"/>
    <col min="8" max="8" width="11.42578125" style="3"/>
    <col min="9" max="9" width="13.28515625" style="3" bestFit="1" customWidth="1"/>
    <col min="10" max="10" width="12.42578125" style="3" bestFit="1" customWidth="1"/>
    <col min="11" max="256" width="11.42578125" style="3"/>
    <col min="257" max="257" width="15.85546875" style="3" customWidth="1"/>
    <col min="258" max="258" width="14.85546875" style="3" customWidth="1"/>
    <col min="259" max="259" width="13.28515625" style="3" customWidth="1"/>
    <col min="260" max="260" width="11.42578125" style="3"/>
    <col min="261" max="261" width="13.42578125" style="3" customWidth="1"/>
    <col min="262" max="262" width="12.7109375" style="3" customWidth="1"/>
    <col min="263" max="263" width="14" style="3" customWidth="1"/>
    <col min="264" max="512" width="11.42578125" style="3"/>
    <col min="513" max="513" width="15.85546875" style="3" customWidth="1"/>
    <col min="514" max="514" width="14.85546875" style="3" customWidth="1"/>
    <col min="515" max="515" width="13.28515625" style="3" customWidth="1"/>
    <col min="516" max="516" width="11.42578125" style="3"/>
    <col min="517" max="517" width="13.42578125" style="3" customWidth="1"/>
    <col min="518" max="518" width="12.7109375" style="3" customWidth="1"/>
    <col min="519" max="519" width="14" style="3" customWidth="1"/>
    <col min="520" max="768" width="11.42578125" style="3"/>
    <col min="769" max="769" width="15.85546875" style="3" customWidth="1"/>
    <col min="770" max="770" width="14.85546875" style="3" customWidth="1"/>
    <col min="771" max="771" width="13.28515625" style="3" customWidth="1"/>
    <col min="772" max="772" width="11.42578125" style="3"/>
    <col min="773" max="773" width="13.42578125" style="3" customWidth="1"/>
    <col min="774" max="774" width="12.7109375" style="3" customWidth="1"/>
    <col min="775" max="775" width="14" style="3" customWidth="1"/>
    <col min="776" max="1024" width="11.42578125" style="3"/>
    <col min="1025" max="1025" width="15.85546875" style="3" customWidth="1"/>
    <col min="1026" max="1026" width="14.85546875" style="3" customWidth="1"/>
    <col min="1027" max="1027" width="13.28515625" style="3" customWidth="1"/>
    <col min="1028" max="1028" width="11.42578125" style="3"/>
    <col min="1029" max="1029" width="13.42578125" style="3" customWidth="1"/>
    <col min="1030" max="1030" width="12.7109375" style="3" customWidth="1"/>
    <col min="1031" max="1031" width="14" style="3" customWidth="1"/>
    <col min="1032" max="1280" width="11.42578125" style="3"/>
    <col min="1281" max="1281" width="15.85546875" style="3" customWidth="1"/>
    <col min="1282" max="1282" width="14.85546875" style="3" customWidth="1"/>
    <col min="1283" max="1283" width="13.28515625" style="3" customWidth="1"/>
    <col min="1284" max="1284" width="11.42578125" style="3"/>
    <col min="1285" max="1285" width="13.42578125" style="3" customWidth="1"/>
    <col min="1286" max="1286" width="12.7109375" style="3" customWidth="1"/>
    <col min="1287" max="1287" width="14" style="3" customWidth="1"/>
    <col min="1288" max="1536" width="11.42578125" style="3"/>
    <col min="1537" max="1537" width="15.85546875" style="3" customWidth="1"/>
    <col min="1538" max="1538" width="14.85546875" style="3" customWidth="1"/>
    <col min="1539" max="1539" width="13.28515625" style="3" customWidth="1"/>
    <col min="1540" max="1540" width="11.42578125" style="3"/>
    <col min="1541" max="1541" width="13.42578125" style="3" customWidth="1"/>
    <col min="1542" max="1542" width="12.7109375" style="3" customWidth="1"/>
    <col min="1543" max="1543" width="14" style="3" customWidth="1"/>
    <col min="1544" max="1792" width="11.42578125" style="3"/>
    <col min="1793" max="1793" width="15.85546875" style="3" customWidth="1"/>
    <col min="1794" max="1794" width="14.85546875" style="3" customWidth="1"/>
    <col min="1795" max="1795" width="13.28515625" style="3" customWidth="1"/>
    <col min="1796" max="1796" width="11.42578125" style="3"/>
    <col min="1797" max="1797" width="13.42578125" style="3" customWidth="1"/>
    <col min="1798" max="1798" width="12.7109375" style="3" customWidth="1"/>
    <col min="1799" max="1799" width="14" style="3" customWidth="1"/>
    <col min="1800" max="2048" width="11.42578125" style="3"/>
    <col min="2049" max="2049" width="15.85546875" style="3" customWidth="1"/>
    <col min="2050" max="2050" width="14.85546875" style="3" customWidth="1"/>
    <col min="2051" max="2051" width="13.28515625" style="3" customWidth="1"/>
    <col min="2052" max="2052" width="11.42578125" style="3"/>
    <col min="2053" max="2053" width="13.42578125" style="3" customWidth="1"/>
    <col min="2054" max="2054" width="12.7109375" style="3" customWidth="1"/>
    <col min="2055" max="2055" width="14" style="3" customWidth="1"/>
    <col min="2056" max="2304" width="11.42578125" style="3"/>
    <col min="2305" max="2305" width="15.85546875" style="3" customWidth="1"/>
    <col min="2306" max="2306" width="14.85546875" style="3" customWidth="1"/>
    <col min="2307" max="2307" width="13.28515625" style="3" customWidth="1"/>
    <col min="2308" max="2308" width="11.42578125" style="3"/>
    <col min="2309" max="2309" width="13.42578125" style="3" customWidth="1"/>
    <col min="2310" max="2310" width="12.7109375" style="3" customWidth="1"/>
    <col min="2311" max="2311" width="14" style="3" customWidth="1"/>
    <col min="2312" max="2560" width="11.42578125" style="3"/>
    <col min="2561" max="2561" width="15.85546875" style="3" customWidth="1"/>
    <col min="2562" max="2562" width="14.85546875" style="3" customWidth="1"/>
    <col min="2563" max="2563" width="13.28515625" style="3" customWidth="1"/>
    <col min="2564" max="2564" width="11.42578125" style="3"/>
    <col min="2565" max="2565" width="13.42578125" style="3" customWidth="1"/>
    <col min="2566" max="2566" width="12.7109375" style="3" customWidth="1"/>
    <col min="2567" max="2567" width="14" style="3" customWidth="1"/>
    <col min="2568" max="2816" width="11.42578125" style="3"/>
    <col min="2817" max="2817" width="15.85546875" style="3" customWidth="1"/>
    <col min="2818" max="2818" width="14.85546875" style="3" customWidth="1"/>
    <col min="2819" max="2819" width="13.28515625" style="3" customWidth="1"/>
    <col min="2820" max="2820" width="11.42578125" style="3"/>
    <col min="2821" max="2821" width="13.42578125" style="3" customWidth="1"/>
    <col min="2822" max="2822" width="12.7109375" style="3" customWidth="1"/>
    <col min="2823" max="2823" width="14" style="3" customWidth="1"/>
    <col min="2824" max="3072" width="11.42578125" style="3"/>
    <col min="3073" max="3073" width="15.85546875" style="3" customWidth="1"/>
    <col min="3074" max="3074" width="14.85546875" style="3" customWidth="1"/>
    <col min="3075" max="3075" width="13.28515625" style="3" customWidth="1"/>
    <col min="3076" max="3076" width="11.42578125" style="3"/>
    <col min="3077" max="3077" width="13.42578125" style="3" customWidth="1"/>
    <col min="3078" max="3078" width="12.7109375" style="3" customWidth="1"/>
    <col min="3079" max="3079" width="14" style="3" customWidth="1"/>
    <col min="3080" max="3328" width="11.42578125" style="3"/>
    <col min="3329" max="3329" width="15.85546875" style="3" customWidth="1"/>
    <col min="3330" max="3330" width="14.85546875" style="3" customWidth="1"/>
    <col min="3331" max="3331" width="13.28515625" style="3" customWidth="1"/>
    <col min="3332" max="3332" width="11.42578125" style="3"/>
    <col min="3333" max="3333" width="13.42578125" style="3" customWidth="1"/>
    <col min="3334" max="3334" width="12.7109375" style="3" customWidth="1"/>
    <col min="3335" max="3335" width="14" style="3" customWidth="1"/>
    <col min="3336" max="3584" width="11.42578125" style="3"/>
    <col min="3585" max="3585" width="15.85546875" style="3" customWidth="1"/>
    <col min="3586" max="3586" width="14.85546875" style="3" customWidth="1"/>
    <col min="3587" max="3587" width="13.28515625" style="3" customWidth="1"/>
    <col min="3588" max="3588" width="11.42578125" style="3"/>
    <col min="3589" max="3589" width="13.42578125" style="3" customWidth="1"/>
    <col min="3590" max="3590" width="12.7109375" style="3" customWidth="1"/>
    <col min="3591" max="3591" width="14" style="3" customWidth="1"/>
    <col min="3592" max="3840" width="11.42578125" style="3"/>
    <col min="3841" max="3841" width="15.85546875" style="3" customWidth="1"/>
    <col min="3842" max="3842" width="14.85546875" style="3" customWidth="1"/>
    <col min="3843" max="3843" width="13.28515625" style="3" customWidth="1"/>
    <col min="3844" max="3844" width="11.42578125" style="3"/>
    <col min="3845" max="3845" width="13.42578125" style="3" customWidth="1"/>
    <col min="3846" max="3846" width="12.7109375" style="3" customWidth="1"/>
    <col min="3847" max="3847" width="14" style="3" customWidth="1"/>
    <col min="3848" max="4096" width="11.42578125" style="3"/>
    <col min="4097" max="4097" width="15.85546875" style="3" customWidth="1"/>
    <col min="4098" max="4098" width="14.85546875" style="3" customWidth="1"/>
    <col min="4099" max="4099" width="13.28515625" style="3" customWidth="1"/>
    <col min="4100" max="4100" width="11.42578125" style="3"/>
    <col min="4101" max="4101" width="13.42578125" style="3" customWidth="1"/>
    <col min="4102" max="4102" width="12.7109375" style="3" customWidth="1"/>
    <col min="4103" max="4103" width="14" style="3" customWidth="1"/>
    <col min="4104" max="4352" width="11.42578125" style="3"/>
    <col min="4353" max="4353" width="15.85546875" style="3" customWidth="1"/>
    <col min="4354" max="4354" width="14.85546875" style="3" customWidth="1"/>
    <col min="4355" max="4355" width="13.28515625" style="3" customWidth="1"/>
    <col min="4356" max="4356" width="11.42578125" style="3"/>
    <col min="4357" max="4357" width="13.42578125" style="3" customWidth="1"/>
    <col min="4358" max="4358" width="12.7109375" style="3" customWidth="1"/>
    <col min="4359" max="4359" width="14" style="3" customWidth="1"/>
    <col min="4360" max="4608" width="11.42578125" style="3"/>
    <col min="4609" max="4609" width="15.85546875" style="3" customWidth="1"/>
    <col min="4610" max="4610" width="14.85546875" style="3" customWidth="1"/>
    <col min="4611" max="4611" width="13.28515625" style="3" customWidth="1"/>
    <col min="4612" max="4612" width="11.42578125" style="3"/>
    <col min="4613" max="4613" width="13.42578125" style="3" customWidth="1"/>
    <col min="4614" max="4614" width="12.7109375" style="3" customWidth="1"/>
    <col min="4615" max="4615" width="14" style="3" customWidth="1"/>
    <col min="4616" max="4864" width="11.42578125" style="3"/>
    <col min="4865" max="4865" width="15.85546875" style="3" customWidth="1"/>
    <col min="4866" max="4866" width="14.85546875" style="3" customWidth="1"/>
    <col min="4867" max="4867" width="13.28515625" style="3" customWidth="1"/>
    <col min="4868" max="4868" width="11.42578125" style="3"/>
    <col min="4869" max="4869" width="13.42578125" style="3" customWidth="1"/>
    <col min="4870" max="4870" width="12.7109375" style="3" customWidth="1"/>
    <col min="4871" max="4871" width="14" style="3" customWidth="1"/>
    <col min="4872" max="5120" width="11.42578125" style="3"/>
    <col min="5121" max="5121" width="15.85546875" style="3" customWidth="1"/>
    <col min="5122" max="5122" width="14.85546875" style="3" customWidth="1"/>
    <col min="5123" max="5123" width="13.28515625" style="3" customWidth="1"/>
    <col min="5124" max="5124" width="11.42578125" style="3"/>
    <col min="5125" max="5125" width="13.42578125" style="3" customWidth="1"/>
    <col min="5126" max="5126" width="12.7109375" style="3" customWidth="1"/>
    <col min="5127" max="5127" width="14" style="3" customWidth="1"/>
    <col min="5128" max="5376" width="11.42578125" style="3"/>
    <col min="5377" max="5377" width="15.85546875" style="3" customWidth="1"/>
    <col min="5378" max="5378" width="14.85546875" style="3" customWidth="1"/>
    <col min="5379" max="5379" width="13.28515625" style="3" customWidth="1"/>
    <col min="5380" max="5380" width="11.42578125" style="3"/>
    <col min="5381" max="5381" width="13.42578125" style="3" customWidth="1"/>
    <col min="5382" max="5382" width="12.7109375" style="3" customWidth="1"/>
    <col min="5383" max="5383" width="14" style="3" customWidth="1"/>
    <col min="5384" max="5632" width="11.42578125" style="3"/>
    <col min="5633" max="5633" width="15.85546875" style="3" customWidth="1"/>
    <col min="5634" max="5634" width="14.85546875" style="3" customWidth="1"/>
    <col min="5635" max="5635" width="13.28515625" style="3" customWidth="1"/>
    <col min="5636" max="5636" width="11.42578125" style="3"/>
    <col min="5637" max="5637" width="13.42578125" style="3" customWidth="1"/>
    <col min="5638" max="5638" width="12.7109375" style="3" customWidth="1"/>
    <col min="5639" max="5639" width="14" style="3" customWidth="1"/>
    <col min="5640" max="5888" width="11.42578125" style="3"/>
    <col min="5889" max="5889" width="15.85546875" style="3" customWidth="1"/>
    <col min="5890" max="5890" width="14.85546875" style="3" customWidth="1"/>
    <col min="5891" max="5891" width="13.28515625" style="3" customWidth="1"/>
    <col min="5892" max="5892" width="11.42578125" style="3"/>
    <col min="5893" max="5893" width="13.42578125" style="3" customWidth="1"/>
    <col min="5894" max="5894" width="12.7109375" style="3" customWidth="1"/>
    <col min="5895" max="5895" width="14" style="3" customWidth="1"/>
    <col min="5896" max="6144" width="11.42578125" style="3"/>
    <col min="6145" max="6145" width="15.85546875" style="3" customWidth="1"/>
    <col min="6146" max="6146" width="14.85546875" style="3" customWidth="1"/>
    <col min="6147" max="6147" width="13.28515625" style="3" customWidth="1"/>
    <col min="6148" max="6148" width="11.42578125" style="3"/>
    <col min="6149" max="6149" width="13.42578125" style="3" customWidth="1"/>
    <col min="6150" max="6150" width="12.7109375" style="3" customWidth="1"/>
    <col min="6151" max="6151" width="14" style="3" customWidth="1"/>
    <col min="6152" max="6400" width="11.42578125" style="3"/>
    <col min="6401" max="6401" width="15.85546875" style="3" customWidth="1"/>
    <col min="6402" max="6402" width="14.85546875" style="3" customWidth="1"/>
    <col min="6403" max="6403" width="13.28515625" style="3" customWidth="1"/>
    <col min="6404" max="6404" width="11.42578125" style="3"/>
    <col min="6405" max="6405" width="13.42578125" style="3" customWidth="1"/>
    <col min="6406" max="6406" width="12.7109375" style="3" customWidth="1"/>
    <col min="6407" max="6407" width="14" style="3" customWidth="1"/>
    <col min="6408" max="6656" width="11.42578125" style="3"/>
    <col min="6657" max="6657" width="15.85546875" style="3" customWidth="1"/>
    <col min="6658" max="6658" width="14.85546875" style="3" customWidth="1"/>
    <col min="6659" max="6659" width="13.28515625" style="3" customWidth="1"/>
    <col min="6660" max="6660" width="11.42578125" style="3"/>
    <col min="6661" max="6661" width="13.42578125" style="3" customWidth="1"/>
    <col min="6662" max="6662" width="12.7109375" style="3" customWidth="1"/>
    <col min="6663" max="6663" width="14" style="3" customWidth="1"/>
    <col min="6664" max="6912" width="11.42578125" style="3"/>
    <col min="6913" max="6913" width="15.85546875" style="3" customWidth="1"/>
    <col min="6914" max="6914" width="14.85546875" style="3" customWidth="1"/>
    <col min="6915" max="6915" width="13.28515625" style="3" customWidth="1"/>
    <col min="6916" max="6916" width="11.42578125" style="3"/>
    <col min="6917" max="6917" width="13.42578125" style="3" customWidth="1"/>
    <col min="6918" max="6918" width="12.7109375" style="3" customWidth="1"/>
    <col min="6919" max="6919" width="14" style="3" customWidth="1"/>
    <col min="6920" max="7168" width="11.42578125" style="3"/>
    <col min="7169" max="7169" width="15.85546875" style="3" customWidth="1"/>
    <col min="7170" max="7170" width="14.85546875" style="3" customWidth="1"/>
    <col min="7171" max="7171" width="13.28515625" style="3" customWidth="1"/>
    <col min="7172" max="7172" width="11.42578125" style="3"/>
    <col min="7173" max="7173" width="13.42578125" style="3" customWidth="1"/>
    <col min="7174" max="7174" width="12.7109375" style="3" customWidth="1"/>
    <col min="7175" max="7175" width="14" style="3" customWidth="1"/>
    <col min="7176" max="7424" width="11.42578125" style="3"/>
    <col min="7425" max="7425" width="15.85546875" style="3" customWidth="1"/>
    <col min="7426" max="7426" width="14.85546875" style="3" customWidth="1"/>
    <col min="7427" max="7427" width="13.28515625" style="3" customWidth="1"/>
    <col min="7428" max="7428" width="11.42578125" style="3"/>
    <col min="7429" max="7429" width="13.42578125" style="3" customWidth="1"/>
    <col min="7430" max="7430" width="12.7109375" style="3" customWidth="1"/>
    <col min="7431" max="7431" width="14" style="3" customWidth="1"/>
    <col min="7432" max="7680" width="11.42578125" style="3"/>
    <col min="7681" max="7681" width="15.85546875" style="3" customWidth="1"/>
    <col min="7682" max="7682" width="14.85546875" style="3" customWidth="1"/>
    <col min="7683" max="7683" width="13.28515625" style="3" customWidth="1"/>
    <col min="7684" max="7684" width="11.42578125" style="3"/>
    <col min="7685" max="7685" width="13.42578125" style="3" customWidth="1"/>
    <col min="7686" max="7686" width="12.7109375" style="3" customWidth="1"/>
    <col min="7687" max="7687" width="14" style="3" customWidth="1"/>
    <col min="7688" max="7936" width="11.42578125" style="3"/>
    <col min="7937" max="7937" width="15.85546875" style="3" customWidth="1"/>
    <col min="7938" max="7938" width="14.85546875" style="3" customWidth="1"/>
    <col min="7939" max="7939" width="13.28515625" style="3" customWidth="1"/>
    <col min="7940" max="7940" width="11.42578125" style="3"/>
    <col min="7941" max="7941" width="13.42578125" style="3" customWidth="1"/>
    <col min="7942" max="7942" width="12.7109375" style="3" customWidth="1"/>
    <col min="7943" max="7943" width="14" style="3" customWidth="1"/>
    <col min="7944" max="8192" width="11.42578125" style="3"/>
    <col min="8193" max="8193" width="15.85546875" style="3" customWidth="1"/>
    <col min="8194" max="8194" width="14.85546875" style="3" customWidth="1"/>
    <col min="8195" max="8195" width="13.28515625" style="3" customWidth="1"/>
    <col min="8196" max="8196" width="11.42578125" style="3"/>
    <col min="8197" max="8197" width="13.42578125" style="3" customWidth="1"/>
    <col min="8198" max="8198" width="12.7109375" style="3" customWidth="1"/>
    <col min="8199" max="8199" width="14" style="3" customWidth="1"/>
    <col min="8200" max="8448" width="11.42578125" style="3"/>
    <col min="8449" max="8449" width="15.85546875" style="3" customWidth="1"/>
    <col min="8450" max="8450" width="14.85546875" style="3" customWidth="1"/>
    <col min="8451" max="8451" width="13.28515625" style="3" customWidth="1"/>
    <col min="8452" max="8452" width="11.42578125" style="3"/>
    <col min="8453" max="8453" width="13.42578125" style="3" customWidth="1"/>
    <col min="8454" max="8454" width="12.7109375" style="3" customWidth="1"/>
    <col min="8455" max="8455" width="14" style="3" customWidth="1"/>
    <col min="8456" max="8704" width="11.42578125" style="3"/>
    <col min="8705" max="8705" width="15.85546875" style="3" customWidth="1"/>
    <col min="8706" max="8706" width="14.85546875" style="3" customWidth="1"/>
    <col min="8707" max="8707" width="13.28515625" style="3" customWidth="1"/>
    <col min="8708" max="8708" width="11.42578125" style="3"/>
    <col min="8709" max="8709" width="13.42578125" style="3" customWidth="1"/>
    <col min="8710" max="8710" width="12.7109375" style="3" customWidth="1"/>
    <col min="8711" max="8711" width="14" style="3" customWidth="1"/>
    <col min="8712" max="8960" width="11.42578125" style="3"/>
    <col min="8961" max="8961" width="15.85546875" style="3" customWidth="1"/>
    <col min="8962" max="8962" width="14.85546875" style="3" customWidth="1"/>
    <col min="8963" max="8963" width="13.28515625" style="3" customWidth="1"/>
    <col min="8964" max="8964" width="11.42578125" style="3"/>
    <col min="8965" max="8965" width="13.42578125" style="3" customWidth="1"/>
    <col min="8966" max="8966" width="12.7109375" style="3" customWidth="1"/>
    <col min="8967" max="8967" width="14" style="3" customWidth="1"/>
    <col min="8968" max="9216" width="11.42578125" style="3"/>
    <col min="9217" max="9217" width="15.85546875" style="3" customWidth="1"/>
    <col min="9218" max="9218" width="14.85546875" style="3" customWidth="1"/>
    <col min="9219" max="9219" width="13.28515625" style="3" customWidth="1"/>
    <col min="9220" max="9220" width="11.42578125" style="3"/>
    <col min="9221" max="9221" width="13.42578125" style="3" customWidth="1"/>
    <col min="9222" max="9222" width="12.7109375" style="3" customWidth="1"/>
    <col min="9223" max="9223" width="14" style="3" customWidth="1"/>
    <col min="9224" max="9472" width="11.42578125" style="3"/>
    <col min="9473" max="9473" width="15.85546875" style="3" customWidth="1"/>
    <col min="9474" max="9474" width="14.85546875" style="3" customWidth="1"/>
    <col min="9475" max="9475" width="13.28515625" style="3" customWidth="1"/>
    <col min="9476" max="9476" width="11.42578125" style="3"/>
    <col min="9477" max="9477" width="13.42578125" style="3" customWidth="1"/>
    <col min="9478" max="9478" width="12.7109375" style="3" customWidth="1"/>
    <col min="9479" max="9479" width="14" style="3" customWidth="1"/>
    <col min="9480" max="9728" width="11.42578125" style="3"/>
    <col min="9729" max="9729" width="15.85546875" style="3" customWidth="1"/>
    <col min="9730" max="9730" width="14.85546875" style="3" customWidth="1"/>
    <col min="9731" max="9731" width="13.28515625" style="3" customWidth="1"/>
    <col min="9732" max="9732" width="11.42578125" style="3"/>
    <col min="9733" max="9733" width="13.42578125" style="3" customWidth="1"/>
    <col min="9734" max="9734" width="12.7109375" style="3" customWidth="1"/>
    <col min="9735" max="9735" width="14" style="3" customWidth="1"/>
    <col min="9736" max="9984" width="11.42578125" style="3"/>
    <col min="9985" max="9985" width="15.85546875" style="3" customWidth="1"/>
    <col min="9986" max="9986" width="14.85546875" style="3" customWidth="1"/>
    <col min="9987" max="9987" width="13.28515625" style="3" customWidth="1"/>
    <col min="9988" max="9988" width="11.42578125" style="3"/>
    <col min="9989" max="9989" width="13.42578125" style="3" customWidth="1"/>
    <col min="9990" max="9990" width="12.7109375" style="3" customWidth="1"/>
    <col min="9991" max="9991" width="14" style="3" customWidth="1"/>
    <col min="9992" max="10240" width="11.42578125" style="3"/>
    <col min="10241" max="10241" width="15.85546875" style="3" customWidth="1"/>
    <col min="10242" max="10242" width="14.85546875" style="3" customWidth="1"/>
    <col min="10243" max="10243" width="13.28515625" style="3" customWidth="1"/>
    <col min="10244" max="10244" width="11.42578125" style="3"/>
    <col min="10245" max="10245" width="13.42578125" style="3" customWidth="1"/>
    <col min="10246" max="10246" width="12.7109375" style="3" customWidth="1"/>
    <col min="10247" max="10247" width="14" style="3" customWidth="1"/>
    <col min="10248" max="10496" width="11.42578125" style="3"/>
    <col min="10497" max="10497" width="15.85546875" style="3" customWidth="1"/>
    <col min="10498" max="10498" width="14.85546875" style="3" customWidth="1"/>
    <col min="10499" max="10499" width="13.28515625" style="3" customWidth="1"/>
    <col min="10500" max="10500" width="11.42578125" style="3"/>
    <col min="10501" max="10501" width="13.42578125" style="3" customWidth="1"/>
    <col min="10502" max="10502" width="12.7109375" style="3" customWidth="1"/>
    <col min="10503" max="10503" width="14" style="3" customWidth="1"/>
    <col min="10504" max="10752" width="11.42578125" style="3"/>
    <col min="10753" max="10753" width="15.85546875" style="3" customWidth="1"/>
    <col min="10754" max="10754" width="14.85546875" style="3" customWidth="1"/>
    <col min="10755" max="10755" width="13.28515625" style="3" customWidth="1"/>
    <col min="10756" max="10756" width="11.42578125" style="3"/>
    <col min="10757" max="10757" width="13.42578125" style="3" customWidth="1"/>
    <col min="10758" max="10758" width="12.7109375" style="3" customWidth="1"/>
    <col min="10759" max="10759" width="14" style="3" customWidth="1"/>
    <col min="10760" max="11008" width="11.42578125" style="3"/>
    <col min="11009" max="11009" width="15.85546875" style="3" customWidth="1"/>
    <col min="11010" max="11010" width="14.85546875" style="3" customWidth="1"/>
    <col min="11011" max="11011" width="13.28515625" style="3" customWidth="1"/>
    <col min="11012" max="11012" width="11.42578125" style="3"/>
    <col min="11013" max="11013" width="13.42578125" style="3" customWidth="1"/>
    <col min="11014" max="11014" width="12.7109375" style="3" customWidth="1"/>
    <col min="11015" max="11015" width="14" style="3" customWidth="1"/>
    <col min="11016" max="11264" width="11.42578125" style="3"/>
    <col min="11265" max="11265" width="15.85546875" style="3" customWidth="1"/>
    <col min="11266" max="11266" width="14.85546875" style="3" customWidth="1"/>
    <col min="11267" max="11267" width="13.28515625" style="3" customWidth="1"/>
    <col min="11268" max="11268" width="11.42578125" style="3"/>
    <col min="11269" max="11269" width="13.42578125" style="3" customWidth="1"/>
    <col min="11270" max="11270" width="12.7109375" style="3" customWidth="1"/>
    <col min="11271" max="11271" width="14" style="3" customWidth="1"/>
    <col min="11272" max="11520" width="11.42578125" style="3"/>
    <col min="11521" max="11521" width="15.85546875" style="3" customWidth="1"/>
    <col min="11522" max="11522" width="14.85546875" style="3" customWidth="1"/>
    <col min="11523" max="11523" width="13.28515625" style="3" customWidth="1"/>
    <col min="11524" max="11524" width="11.42578125" style="3"/>
    <col min="11525" max="11525" width="13.42578125" style="3" customWidth="1"/>
    <col min="11526" max="11526" width="12.7109375" style="3" customWidth="1"/>
    <col min="11527" max="11527" width="14" style="3" customWidth="1"/>
    <col min="11528" max="11776" width="11.42578125" style="3"/>
    <col min="11777" max="11777" width="15.85546875" style="3" customWidth="1"/>
    <col min="11778" max="11778" width="14.85546875" style="3" customWidth="1"/>
    <col min="11779" max="11779" width="13.28515625" style="3" customWidth="1"/>
    <col min="11780" max="11780" width="11.42578125" style="3"/>
    <col min="11781" max="11781" width="13.42578125" style="3" customWidth="1"/>
    <col min="11782" max="11782" width="12.7109375" style="3" customWidth="1"/>
    <col min="11783" max="11783" width="14" style="3" customWidth="1"/>
    <col min="11784" max="12032" width="11.42578125" style="3"/>
    <col min="12033" max="12033" width="15.85546875" style="3" customWidth="1"/>
    <col min="12034" max="12034" width="14.85546875" style="3" customWidth="1"/>
    <col min="12035" max="12035" width="13.28515625" style="3" customWidth="1"/>
    <col min="12036" max="12036" width="11.42578125" style="3"/>
    <col min="12037" max="12037" width="13.42578125" style="3" customWidth="1"/>
    <col min="12038" max="12038" width="12.7109375" style="3" customWidth="1"/>
    <col min="12039" max="12039" width="14" style="3" customWidth="1"/>
    <col min="12040" max="12288" width="11.42578125" style="3"/>
    <col min="12289" max="12289" width="15.85546875" style="3" customWidth="1"/>
    <col min="12290" max="12290" width="14.85546875" style="3" customWidth="1"/>
    <col min="12291" max="12291" width="13.28515625" style="3" customWidth="1"/>
    <col min="12292" max="12292" width="11.42578125" style="3"/>
    <col min="12293" max="12293" width="13.42578125" style="3" customWidth="1"/>
    <col min="12294" max="12294" width="12.7109375" style="3" customWidth="1"/>
    <col min="12295" max="12295" width="14" style="3" customWidth="1"/>
    <col min="12296" max="12544" width="11.42578125" style="3"/>
    <col min="12545" max="12545" width="15.85546875" style="3" customWidth="1"/>
    <col min="12546" max="12546" width="14.85546875" style="3" customWidth="1"/>
    <col min="12547" max="12547" width="13.28515625" style="3" customWidth="1"/>
    <col min="12548" max="12548" width="11.42578125" style="3"/>
    <col min="12549" max="12549" width="13.42578125" style="3" customWidth="1"/>
    <col min="12550" max="12550" width="12.7109375" style="3" customWidth="1"/>
    <col min="12551" max="12551" width="14" style="3" customWidth="1"/>
    <col min="12552" max="12800" width="11.42578125" style="3"/>
    <col min="12801" max="12801" width="15.85546875" style="3" customWidth="1"/>
    <col min="12802" max="12802" width="14.85546875" style="3" customWidth="1"/>
    <col min="12803" max="12803" width="13.28515625" style="3" customWidth="1"/>
    <col min="12804" max="12804" width="11.42578125" style="3"/>
    <col min="12805" max="12805" width="13.42578125" style="3" customWidth="1"/>
    <col min="12806" max="12806" width="12.7109375" style="3" customWidth="1"/>
    <col min="12807" max="12807" width="14" style="3" customWidth="1"/>
    <col min="12808" max="13056" width="11.42578125" style="3"/>
    <col min="13057" max="13057" width="15.85546875" style="3" customWidth="1"/>
    <col min="13058" max="13058" width="14.85546875" style="3" customWidth="1"/>
    <col min="13059" max="13059" width="13.28515625" style="3" customWidth="1"/>
    <col min="13060" max="13060" width="11.42578125" style="3"/>
    <col min="13061" max="13061" width="13.42578125" style="3" customWidth="1"/>
    <col min="13062" max="13062" width="12.7109375" style="3" customWidth="1"/>
    <col min="13063" max="13063" width="14" style="3" customWidth="1"/>
    <col min="13064" max="13312" width="11.42578125" style="3"/>
    <col min="13313" max="13313" width="15.85546875" style="3" customWidth="1"/>
    <col min="13314" max="13314" width="14.85546875" style="3" customWidth="1"/>
    <col min="13315" max="13315" width="13.28515625" style="3" customWidth="1"/>
    <col min="13316" max="13316" width="11.42578125" style="3"/>
    <col min="13317" max="13317" width="13.42578125" style="3" customWidth="1"/>
    <col min="13318" max="13318" width="12.7109375" style="3" customWidth="1"/>
    <col min="13319" max="13319" width="14" style="3" customWidth="1"/>
    <col min="13320" max="13568" width="11.42578125" style="3"/>
    <col min="13569" max="13569" width="15.85546875" style="3" customWidth="1"/>
    <col min="13570" max="13570" width="14.85546875" style="3" customWidth="1"/>
    <col min="13571" max="13571" width="13.28515625" style="3" customWidth="1"/>
    <col min="13572" max="13572" width="11.42578125" style="3"/>
    <col min="13573" max="13573" width="13.42578125" style="3" customWidth="1"/>
    <col min="13574" max="13574" width="12.7109375" style="3" customWidth="1"/>
    <col min="13575" max="13575" width="14" style="3" customWidth="1"/>
    <col min="13576" max="13824" width="11.42578125" style="3"/>
    <col min="13825" max="13825" width="15.85546875" style="3" customWidth="1"/>
    <col min="13826" max="13826" width="14.85546875" style="3" customWidth="1"/>
    <col min="13827" max="13827" width="13.28515625" style="3" customWidth="1"/>
    <col min="13828" max="13828" width="11.42578125" style="3"/>
    <col min="13829" max="13829" width="13.42578125" style="3" customWidth="1"/>
    <col min="13830" max="13830" width="12.7109375" style="3" customWidth="1"/>
    <col min="13831" max="13831" width="14" style="3" customWidth="1"/>
    <col min="13832" max="14080" width="11.42578125" style="3"/>
    <col min="14081" max="14081" width="15.85546875" style="3" customWidth="1"/>
    <col min="14082" max="14082" width="14.85546875" style="3" customWidth="1"/>
    <col min="14083" max="14083" width="13.28515625" style="3" customWidth="1"/>
    <col min="14084" max="14084" width="11.42578125" style="3"/>
    <col min="14085" max="14085" width="13.42578125" style="3" customWidth="1"/>
    <col min="14086" max="14086" width="12.7109375" style="3" customWidth="1"/>
    <col min="14087" max="14087" width="14" style="3" customWidth="1"/>
    <col min="14088" max="14336" width="11.42578125" style="3"/>
    <col min="14337" max="14337" width="15.85546875" style="3" customWidth="1"/>
    <col min="14338" max="14338" width="14.85546875" style="3" customWidth="1"/>
    <col min="14339" max="14339" width="13.28515625" style="3" customWidth="1"/>
    <col min="14340" max="14340" width="11.42578125" style="3"/>
    <col min="14341" max="14341" width="13.42578125" style="3" customWidth="1"/>
    <col min="14342" max="14342" width="12.7109375" style="3" customWidth="1"/>
    <col min="14343" max="14343" width="14" style="3" customWidth="1"/>
    <col min="14344" max="14592" width="11.42578125" style="3"/>
    <col min="14593" max="14593" width="15.85546875" style="3" customWidth="1"/>
    <col min="14594" max="14594" width="14.85546875" style="3" customWidth="1"/>
    <col min="14595" max="14595" width="13.28515625" style="3" customWidth="1"/>
    <col min="14596" max="14596" width="11.42578125" style="3"/>
    <col min="14597" max="14597" width="13.42578125" style="3" customWidth="1"/>
    <col min="14598" max="14598" width="12.7109375" style="3" customWidth="1"/>
    <col min="14599" max="14599" width="14" style="3" customWidth="1"/>
    <col min="14600" max="14848" width="11.42578125" style="3"/>
    <col min="14849" max="14849" width="15.85546875" style="3" customWidth="1"/>
    <col min="14850" max="14850" width="14.85546875" style="3" customWidth="1"/>
    <col min="14851" max="14851" width="13.28515625" style="3" customWidth="1"/>
    <col min="14852" max="14852" width="11.42578125" style="3"/>
    <col min="14853" max="14853" width="13.42578125" style="3" customWidth="1"/>
    <col min="14854" max="14854" width="12.7109375" style="3" customWidth="1"/>
    <col min="14855" max="14855" width="14" style="3" customWidth="1"/>
    <col min="14856" max="15104" width="11.42578125" style="3"/>
    <col min="15105" max="15105" width="15.85546875" style="3" customWidth="1"/>
    <col min="15106" max="15106" width="14.85546875" style="3" customWidth="1"/>
    <col min="15107" max="15107" width="13.28515625" style="3" customWidth="1"/>
    <col min="15108" max="15108" width="11.42578125" style="3"/>
    <col min="15109" max="15109" width="13.42578125" style="3" customWidth="1"/>
    <col min="15110" max="15110" width="12.7109375" style="3" customWidth="1"/>
    <col min="15111" max="15111" width="14" style="3" customWidth="1"/>
    <col min="15112" max="15360" width="11.42578125" style="3"/>
    <col min="15361" max="15361" width="15.85546875" style="3" customWidth="1"/>
    <col min="15362" max="15362" width="14.85546875" style="3" customWidth="1"/>
    <col min="15363" max="15363" width="13.28515625" style="3" customWidth="1"/>
    <col min="15364" max="15364" width="11.42578125" style="3"/>
    <col min="15365" max="15365" width="13.42578125" style="3" customWidth="1"/>
    <col min="15366" max="15366" width="12.7109375" style="3" customWidth="1"/>
    <col min="15367" max="15367" width="14" style="3" customWidth="1"/>
    <col min="15368" max="15616" width="11.42578125" style="3"/>
    <col min="15617" max="15617" width="15.85546875" style="3" customWidth="1"/>
    <col min="15618" max="15618" width="14.85546875" style="3" customWidth="1"/>
    <col min="15619" max="15619" width="13.28515625" style="3" customWidth="1"/>
    <col min="15620" max="15620" width="11.42578125" style="3"/>
    <col min="15621" max="15621" width="13.42578125" style="3" customWidth="1"/>
    <col min="15622" max="15622" width="12.7109375" style="3" customWidth="1"/>
    <col min="15623" max="15623" width="14" style="3" customWidth="1"/>
    <col min="15624" max="15872" width="11.42578125" style="3"/>
    <col min="15873" max="15873" width="15.85546875" style="3" customWidth="1"/>
    <col min="15874" max="15874" width="14.85546875" style="3" customWidth="1"/>
    <col min="15875" max="15875" width="13.28515625" style="3" customWidth="1"/>
    <col min="15876" max="15876" width="11.42578125" style="3"/>
    <col min="15877" max="15877" width="13.42578125" style="3" customWidth="1"/>
    <col min="15878" max="15878" width="12.7109375" style="3" customWidth="1"/>
    <col min="15879" max="15879" width="14" style="3" customWidth="1"/>
    <col min="15880" max="16128" width="11.42578125" style="3"/>
    <col min="16129" max="16129" width="15.85546875" style="3" customWidth="1"/>
    <col min="16130" max="16130" width="14.85546875" style="3" customWidth="1"/>
    <col min="16131" max="16131" width="13.28515625" style="3" customWidth="1"/>
    <col min="16132" max="16132" width="11.42578125" style="3"/>
    <col min="16133" max="16133" width="13.42578125" style="3" customWidth="1"/>
    <col min="16134" max="16134" width="12.7109375" style="3" customWidth="1"/>
    <col min="16135" max="16135" width="14" style="3" customWidth="1"/>
    <col min="16136" max="16384" width="11.42578125" style="3"/>
  </cols>
  <sheetData>
    <row r="1" spans="1:21" ht="20.25">
      <c r="A1" s="1346" t="str">
        <f>PPTO!D3</f>
        <v>PRESUPUESTO
MUNICIPIO EL BAGRE (ANTIOQUIA).</v>
      </c>
      <c r="B1" s="1347"/>
      <c r="C1" s="1347"/>
      <c r="D1" s="1347"/>
      <c r="E1" s="1347"/>
      <c r="F1" s="1347"/>
      <c r="G1" s="1348"/>
      <c r="H1" s="1"/>
      <c r="I1" s="2" t="s">
        <v>240</v>
      </c>
      <c r="J1" s="378">
        <f>100%+3.18%</f>
        <v>1.0318000000000001</v>
      </c>
    </row>
    <row r="2" spans="1:21" ht="18" customHeight="1">
      <c r="A2" s="1362" t="s">
        <v>16</v>
      </c>
      <c r="B2" s="1363"/>
      <c r="C2" s="1363"/>
      <c r="D2" s="1363"/>
      <c r="E2" s="1363"/>
      <c r="F2" s="1363"/>
      <c r="G2" s="1364"/>
      <c r="H2" s="1"/>
      <c r="I2" s="2"/>
    </row>
    <row r="3" spans="1:21" ht="24" customHeight="1">
      <c r="A3" s="1367" t="str">
        <f>+PPTO!$D$5</f>
        <v>PROYECTO DE MEJORAMIENTO VIAL, ESPACIO PUBLICO Y OBRAS COMPLEMENTARIAS DE LA AVENIDA LA JUVENTUD Y TRAMOS ADYACENTES Y PRIORITARIOS DEL SECTOR URBANO EN EL MUNICIPIO EL BAGRE ANTIOQUIA.</v>
      </c>
      <c r="B3" s="1368"/>
      <c r="C3" s="1368"/>
      <c r="D3" s="1368"/>
      <c r="E3" s="1368"/>
      <c r="F3" s="1368"/>
      <c r="G3" s="1369"/>
      <c r="H3" s="1"/>
      <c r="I3" s="2"/>
    </row>
    <row r="4" spans="1:21" ht="20.25" customHeight="1">
      <c r="A4" s="1370"/>
      <c r="B4" s="1368"/>
      <c r="C4" s="1368"/>
      <c r="D4" s="1368"/>
      <c r="E4" s="1368"/>
      <c r="F4" s="1368"/>
      <c r="G4" s="1369"/>
      <c r="H4" s="1"/>
      <c r="I4" s="2"/>
    </row>
    <row r="5" spans="1:21" ht="6.75" customHeight="1">
      <c r="A5" s="222"/>
      <c r="B5" s="6"/>
      <c r="C5" s="24"/>
      <c r="D5" s="25"/>
      <c r="E5" s="6"/>
      <c r="F5" s="6"/>
      <c r="G5" s="223"/>
      <c r="H5" s="9"/>
    </row>
    <row r="6" spans="1:21" ht="27" customHeight="1">
      <c r="A6" s="368">
        <v>1.2</v>
      </c>
      <c r="B6" s="1349" t="str">
        <f>VLOOKUP(A6,PPTO!D4:I131,2,FALSE)</f>
        <v>Demolicion de Pavimento y Andenes existentes en sector de proyecto, espesor y resistencia variables.</v>
      </c>
      <c r="C6" s="1350"/>
      <c r="D6" s="1350"/>
      <c r="E6" s="1351"/>
      <c r="F6" s="192" t="s">
        <v>118</v>
      </c>
      <c r="G6" s="248" t="str">
        <f>VLOOKUP(A6,PPTO!D4:I131,3,FALSE)</f>
        <v>m2</v>
      </c>
      <c r="H6" s="9"/>
    </row>
    <row r="7" spans="1:21" ht="3.75" customHeight="1">
      <c r="A7" s="226"/>
      <c r="B7" s="4"/>
      <c r="C7" s="6"/>
      <c r="D7" s="4"/>
      <c r="E7" s="4"/>
      <c r="F7" s="4"/>
      <c r="G7" s="227"/>
      <c r="H7" s="9"/>
    </row>
    <row r="8" spans="1:21">
      <c r="A8" s="1354" t="s">
        <v>69</v>
      </c>
      <c r="B8" s="1355"/>
      <c r="C8" s="1355"/>
      <c r="D8" s="1355"/>
      <c r="E8" s="1355"/>
      <c r="F8" s="1355"/>
      <c r="G8" s="1356"/>
      <c r="H8" s="9"/>
    </row>
    <row r="9" spans="1:21" ht="4.5" customHeight="1">
      <c r="A9" s="226"/>
      <c r="B9" s="4"/>
      <c r="C9" s="6"/>
      <c r="D9" s="4"/>
      <c r="E9" s="4"/>
      <c r="F9" s="4"/>
      <c r="G9" s="227"/>
      <c r="H9" s="9"/>
      <c r="I9" s="5"/>
      <c r="J9" s="5"/>
      <c r="K9" s="5"/>
      <c r="L9" s="26"/>
      <c r="M9" s="5"/>
      <c r="N9" s="5"/>
      <c r="O9" s="5"/>
      <c r="P9" s="5"/>
    </row>
    <row r="10" spans="1:21">
      <c r="A10" s="1373" t="s">
        <v>17</v>
      </c>
      <c r="B10" s="1374"/>
      <c r="C10" s="1374"/>
      <c r="D10" s="919" t="s">
        <v>18</v>
      </c>
      <c r="E10" s="919" t="s">
        <v>19</v>
      </c>
      <c r="F10" s="919" t="s">
        <v>20</v>
      </c>
      <c r="G10" s="228" t="s">
        <v>21</v>
      </c>
      <c r="H10" s="27"/>
      <c r="I10" s="28"/>
      <c r="J10" s="29"/>
      <c r="K10" s="30"/>
      <c r="L10" s="30"/>
      <c r="M10" s="30"/>
      <c r="N10" s="30"/>
      <c r="O10" s="30"/>
      <c r="P10" s="5"/>
    </row>
    <row r="11" spans="1:21" ht="39" customHeight="1">
      <c r="A11" s="1377" t="s">
        <v>1203</v>
      </c>
      <c r="B11" s="1378"/>
      <c r="C11" s="1378"/>
      <c r="D11" s="919" t="s">
        <v>43</v>
      </c>
      <c r="E11" s="424">
        <v>800000</v>
      </c>
      <c r="F11" s="395">
        <f>1/F36</f>
        <v>8.0000000000000002E-3</v>
      </c>
      <c r="G11" s="396">
        <f>ROUND(F11*E11,0)</f>
        <v>6400</v>
      </c>
      <c r="H11" s="9"/>
      <c r="I11" s="30"/>
      <c r="J11" s="31"/>
      <c r="K11" s="30"/>
      <c r="L11" s="30"/>
      <c r="M11" s="30"/>
      <c r="N11" s="30"/>
      <c r="O11" s="30"/>
      <c r="P11" s="5"/>
    </row>
    <row r="12" spans="1:21" ht="28.5" customHeight="1">
      <c r="A12" s="1379" t="s">
        <v>1204</v>
      </c>
      <c r="B12" s="1380"/>
      <c r="C12" s="1380"/>
      <c r="D12" s="1380"/>
      <c r="E12" s="1380"/>
      <c r="F12" s="1380"/>
      <c r="G12" s="1381"/>
      <c r="H12" s="9"/>
      <c r="I12" s="16"/>
      <c r="J12" s="13"/>
      <c r="K12" s="8"/>
      <c r="L12" s="8"/>
      <c r="M12" s="8"/>
      <c r="N12" s="8"/>
      <c r="O12" s="8"/>
      <c r="P12" s="5"/>
    </row>
    <row r="13" spans="1:21">
      <c r="A13" s="1375"/>
      <c r="B13" s="1376"/>
      <c r="C13" s="1376"/>
      <c r="D13" s="83"/>
      <c r="E13" s="424"/>
      <c r="F13" s="395"/>
      <c r="G13" s="396"/>
      <c r="H13" s="9"/>
      <c r="I13" s="13"/>
      <c r="J13" s="13"/>
      <c r="K13" s="13"/>
      <c r="L13" s="13"/>
      <c r="M13" s="13"/>
      <c r="N13" s="13"/>
      <c r="O13" s="13"/>
      <c r="P13" s="5"/>
    </row>
    <row r="14" spans="1:21">
      <c r="A14" s="1375"/>
      <c r="B14" s="1376"/>
      <c r="C14" s="1376"/>
      <c r="D14" s="83"/>
      <c r="E14" s="424"/>
      <c r="F14" s="395"/>
      <c r="G14" s="396"/>
      <c r="H14" s="9"/>
      <c r="I14" s="8"/>
      <c r="J14" s="14"/>
      <c r="K14" s="32"/>
      <c r="L14" s="14"/>
      <c r="M14" s="15"/>
      <c r="N14" s="15"/>
      <c r="O14" s="19"/>
      <c r="P14" s="5"/>
    </row>
    <row r="15" spans="1:21">
      <c r="A15" s="1371"/>
      <c r="B15" s="1372"/>
      <c r="C15" s="1372"/>
      <c r="D15" s="83"/>
      <c r="E15" s="424"/>
      <c r="F15" s="395"/>
      <c r="G15" s="396"/>
      <c r="H15" s="9"/>
      <c r="I15" s="8"/>
      <c r="J15" s="33"/>
      <c r="K15" s="32"/>
      <c r="L15" s="14"/>
      <c r="M15" s="15"/>
      <c r="N15" s="15"/>
      <c r="O15" s="19"/>
      <c r="P15" s="5"/>
      <c r="Q15" s="5"/>
      <c r="R15" s="5"/>
      <c r="S15" s="5"/>
      <c r="T15" s="5"/>
      <c r="U15" s="5"/>
    </row>
    <row r="16" spans="1:21">
      <c r="A16" s="1371"/>
      <c r="B16" s="1372"/>
      <c r="C16" s="1372"/>
      <c r="D16" s="85" t="s">
        <v>24</v>
      </c>
      <c r="E16" s="50"/>
      <c r="F16" s="49"/>
      <c r="G16" s="230">
        <f>SUM(G11:G15)</f>
        <v>6400</v>
      </c>
      <c r="H16" s="9"/>
      <c r="I16" s="34"/>
      <c r="J16" s="34"/>
      <c r="K16" s="35"/>
      <c r="L16" s="36"/>
      <c r="M16" s="7"/>
      <c r="N16" s="7"/>
      <c r="O16" s="19"/>
      <c r="P16" s="5"/>
      <c r="Q16" s="5"/>
      <c r="R16" s="5"/>
      <c r="S16" s="5"/>
      <c r="T16" s="5"/>
      <c r="U16" s="5"/>
    </row>
    <row r="17" spans="1:21" ht="4.5" customHeight="1">
      <c r="A17" s="226"/>
      <c r="B17" s="4"/>
      <c r="C17" s="6"/>
      <c r="D17" s="4"/>
      <c r="E17" s="4"/>
      <c r="F17" s="4"/>
      <c r="G17" s="227"/>
      <c r="H17" s="9"/>
      <c r="I17" s="34"/>
      <c r="J17" s="34"/>
      <c r="K17" s="35"/>
      <c r="L17" s="36"/>
      <c r="M17" s="7"/>
      <c r="N17" s="7"/>
      <c r="O17" s="19"/>
      <c r="P17" s="5"/>
      <c r="Q17" s="5"/>
      <c r="R17" s="5"/>
      <c r="S17" s="5"/>
      <c r="T17" s="5"/>
      <c r="U17" s="5"/>
    </row>
    <row r="18" spans="1:21">
      <c r="A18" s="1354" t="s">
        <v>70</v>
      </c>
      <c r="B18" s="1355"/>
      <c r="C18" s="1355"/>
      <c r="D18" s="1355"/>
      <c r="E18" s="1355"/>
      <c r="F18" s="1355"/>
      <c r="G18" s="1356"/>
      <c r="H18" s="9"/>
    </row>
    <row r="19" spans="1:21" ht="4.5" customHeight="1">
      <c r="A19" s="226"/>
      <c r="B19" s="4"/>
      <c r="C19" s="6"/>
      <c r="D19" s="4"/>
      <c r="E19" s="4"/>
      <c r="F19" s="38"/>
      <c r="G19" s="227"/>
      <c r="H19" s="9"/>
      <c r="I19" s="34"/>
      <c r="J19" s="34"/>
      <c r="K19" s="35"/>
      <c r="L19" s="39"/>
      <c r="M19" s="7"/>
      <c r="N19" s="7"/>
      <c r="O19" s="8"/>
      <c r="P19" s="5"/>
      <c r="Q19" s="5"/>
      <c r="R19" s="5"/>
      <c r="S19" s="5"/>
      <c r="T19" s="5"/>
      <c r="U19" s="5"/>
    </row>
    <row r="20" spans="1:21">
      <c r="A20" s="1373" t="s">
        <v>17</v>
      </c>
      <c r="B20" s="1374"/>
      <c r="C20" s="1374"/>
      <c r="D20" s="919" t="s">
        <v>3</v>
      </c>
      <c r="E20" s="919" t="s">
        <v>4</v>
      </c>
      <c r="F20" s="919" t="s">
        <v>25</v>
      </c>
      <c r="G20" s="228" t="s">
        <v>21</v>
      </c>
      <c r="H20" s="27"/>
      <c r="I20" s="34"/>
      <c r="J20" s="34"/>
      <c r="K20" s="35"/>
      <c r="L20" s="39"/>
      <c r="M20" s="7"/>
      <c r="N20" s="7"/>
      <c r="O20" s="8"/>
      <c r="P20" s="5"/>
      <c r="Q20" s="5"/>
      <c r="R20" s="5"/>
      <c r="S20" s="5"/>
      <c r="T20" s="5"/>
      <c r="U20" s="5"/>
    </row>
    <row r="21" spans="1:21">
      <c r="A21" s="1365"/>
      <c r="B21" s="1366"/>
      <c r="C21" s="1366"/>
      <c r="D21" s="73"/>
      <c r="E21" s="74"/>
      <c r="F21" s="75"/>
      <c r="G21" s="231">
        <f>ROUND(F21*E21,0)</f>
        <v>0</v>
      </c>
      <c r="H21" s="9"/>
      <c r="I21" s="34"/>
      <c r="J21" s="34"/>
      <c r="K21" s="35"/>
      <c r="L21" s="39"/>
      <c r="M21" s="7"/>
      <c r="N21" s="7"/>
      <c r="O21" s="13"/>
      <c r="P21" s="5"/>
      <c r="Q21" s="5"/>
      <c r="R21" s="5"/>
      <c r="S21" s="5"/>
      <c r="T21" s="5"/>
      <c r="U21" s="5"/>
    </row>
    <row r="22" spans="1:21">
      <c r="A22" s="1360"/>
      <c r="B22" s="1361"/>
      <c r="C22" s="1361"/>
      <c r="D22" s="76"/>
      <c r="E22" s="77"/>
      <c r="F22" s="78"/>
      <c r="G22" s="231">
        <f>ROUND(F22*E22,0)</f>
        <v>0</v>
      </c>
      <c r="H22" s="9"/>
      <c r="I22" s="10"/>
      <c r="J22" s="10"/>
      <c r="K22" s="12"/>
      <c r="L22" s="39"/>
      <c r="M22" s="7"/>
      <c r="N22" s="7"/>
      <c r="O22" s="15"/>
      <c r="P22" s="5"/>
      <c r="Q22" s="5"/>
      <c r="R22" s="5"/>
      <c r="S22" s="5"/>
      <c r="T22" s="5"/>
      <c r="U22" s="5"/>
    </row>
    <row r="23" spans="1:21">
      <c r="A23" s="1352"/>
      <c r="B23" s="1353"/>
      <c r="C23" s="1353"/>
      <c r="D23" s="73"/>
      <c r="E23" s="77"/>
      <c r="F23" s="78"/>
      <c r="G23" s="231">
        <f>ROUND(F23*E23,0)</f>
        <v>0</v>
      </c>
      <c r="H23" s="9"/>
      <c r="I23" s="10"/>
      <c r="J23" s="10"/>
      <c r="K23" s="12"/>
      <c r="L23" s="39"/>
      <c r="M23" s="7"/>
      <c r="N23" s="7"/>
      <c r="O23" s="15"/>
      <c r="P23" s="5"/>
      <c r="Q23" s="5"/>
      <c r="R23" s="5"/>
      <c r="S23" s="5"/>
      <c r="T23" s="5"/>
      <c r="U23" s="5"/>
    </row>
    <row r="24" spans="1:21">
      <c r="A24" s="1352"/>
      <c r="B24" s="1353"/>
      <c r="C24" s="1353"/>
      <c r="D24" s="79"/>
      <c r="E24" s="80"/>
      <c r="F24" s="78"/>
      <c r="G24" s="231">
        <f>ROUND(F24*E24,0)</f>
        <v>0</v>
      </c>
      <c r="H24" s="9"/>
      <c r="I24" s="10"/>
      <c r="J24" s="40"/>
      <c r="K24" s="12"/>
      <c r="L24" s="13"/>
      <c r="M24" s="14"/>
      <c r="N24" s="14"/>
      <c r="O24" s="15"/>
      <c r="P24" s="5"/>
      <c r="Q24" s="5"/>
      <c r="R24" s="5"/>
      <c r="S24" s="5"/>
      <c r="T24" s="5"/>
      <c r="U24" s="5"/>
    </row>
    <row r="25" spans="1:21">
      <c r="A25" s="1352"/>
      <c r="B25" s="1353"/>
      <c r="C25" s="1353"/>
      <c r="D25" s="81"/>
      <c r="E25" s="82"/>
      <c r="F25" s="83"/>
      <c r="G25" s="231"/>
      <c r="H25" s="9"/>
      <c r="I25" s="10"/>
      <c r="J25" s="11"/>
      <c r="K25" s="12"/>
      <c r="L25" s="13"/>
      <c r="M25" s="14"/>
      <c r="N25" s="14"/>
      <c r="O25" s="15"/>
      <c r="P25" s="5"/>
      <c r="Q25" s="5"/>
      <c r="R25" s="5"/>
      <c r="S25" s="5"/>
      <c r="T25" s="5"/>
      <c r="U25" s="5"/>
    </row>
    <row r="26" spans="1:21">
      <c r="A26" s="1352"/>
      <c r="B26" s="1353"/>
      <c r="C26" s="1353"/>
      <c r="D26" s="79"/>
      <c r="E26" s="82"/>
      <c r="F26" s="83"/>
      <c r="G26" s="231"/>
      <c r="H26" s="9"/>
      <c r="I26" s="10"/>
      <c r="J26" s="11"/>
      <c r="K26" s="12"/>
      <c r="L26" s="13"/>
      <c r="M26" s="14"/>
      <c r="N26" s="14"/>
      <c r="O26" s="15"/>
      <c r="P26" s="5"/>
      <c r="Q26" s="5"/>
      <c r="R26" s="5"/>
      <c r="S26" s="5"/>
      <c r="T26" s="5"/>
      <c r="U26" s="5"/>
    </row>
    <row r="27" spans="1:21">
      <c r="A27" s="1352"/>
      <c r="B27" s="1353"/>
      <c r="C27" s="1353"/>
      <c r="D27" s="79"/>
      <c r="E27" s="82"/>
      <c r="F27" s="83"/>
      <c r="G27" s="231"/>
      <c r="H27" s="9"/>
      <c r="I27" s="10"/>
      <c r="J27" s="11"/>
      <c r="K27" s="12"/>
      <c r="L27" s="13"/>
      <c r="M27" s="14"/>
      <c r="N27" s="14"/>
      <c r="O27" s="15"/>
      <c r="P27" s="5"/>
      <c r="Q27" s="5"/>
      <c r="R27" s="5"/>
      <c r="S27" s="5"/>
      <c r="T27" s="5"/>
      <c r="U27" s="5"/>
    </row>
    <row r="28" spans="1:21">
      <c r="A28" s="1352"/>
      <c r="B28" s="1353"/>
      <c r="C28" s="1353"/>
      <c r="D28" s="79"/>
      <c r="E28" s="82"/>
      <c r="F28" s="83"/>
      <c r="G28" s="231"/>
      <c r="H28" s="9"/>
      <c r="I28" s="41"/>
      <c r="J28" s="41"/>
      <c r="K28" s="12"/>
      <c r="L28" s="13"/>
      <c r="M28" s="14"/>
      <c r="N28" s="14"/>
      <c r="O28" s="15"/>
      <c r="P28" s="5"/>
      <c r="Q28" s="5"/>
      <c r="R28" s="5"/>
      <c r="S28" s="5"/>
      <c r="T28" s="5"/>
      <c r="U28" s="5"/>
    </row>
    <row r="29" spans="1:21">
      <c r="A29" s="1352"/>
      <c r="B29" s="1353"/>
      <c r="C29" s="1353"/>
      <c r="D29" s="84"/>
      <c r="E29" s="84"/>
      <c r="F29" s="83"/>
      <c r="G29" s="231"/>
      <c r="H29" s="9"/>
      <c r="I29" s="42"/>
      <c r="J29" s="42"/>
      <c r="K29" s="42"/>
      <c r="L29" s="13"/>
      <c r="M29" s="14"/>
      <c r="N29" s="14"/>
      <c r="O29" s="15"/>
      <c r="P29" s="5"/>
      <c r="Q29" s="5"/>
      <c r="R29" s="5"/>
      <c r="S29" s="5"/>
      <c r="T29" s="5"/>
      <c r="U29" s="5"/>
    </row>
    <row r="30" spans="1:21">
      <c r="A30" s="1352"/>
      <c r="B30" s="1353"/>
      <c r="C30" s="1353"/>
      <c r="D30" s="85" t="s">
        <v>28</v>
      </c>
      <c r="E30" s="50"/>
      <c r="F30" s="49"/>
      <c r="G30" s="230">
        <f>SUM(G21:G29)</f>
        <v>0</v>
      </c>
      <c r="H30" s="9"/>
      <c r="I30" s="8"/>
      <c r="J30" s="13"/>
      <c r="K30" s="8"/>
      <c r="L30" s="13"/>
      <c r="M30" s="14"/>
      <c r="N30" s="14"/>
      <c r="O30" s="15"/>
      <c r="P30" s="5"/>
    </row>
    <row r="31" spans="1:21" ht="3.75" customHeight="1">
      <c r="A31" s="226"/>
      <c r="B31" s="4"/>
      <c r="C31" s="6"/>
      <c r="D31" s="4"/>
      <c r="E31" s="4"/>
      <c r="F31" s="4"/>
      <c r="G31" s="227"/>
      <c r="H31" s="9"/>
      <c r="I31" s="8"/>
      <c r="J31" s="13"/>
      <c r="K31" s="18"/>
      <c r="L31" s="13"/>
      <c r="M31" s="33"/>
      <c r="N31" s="33"/>
      <c r="O31" s="15"/>
      <c r="P31" s="5"/>
    </row>
    <row r="32" spans="1:21">
      <c r="A32" s="1354" t="s">
        <v>71</v>
      </c>
      <c r="B32" s="1355"/>
      <c r="C32" s="1355"/>
      <c r="D32" s="1355"/>
      <c r="E32" s="1355"/>
      <c r="F32" s="1355"/>
      <c r="G32" s="1356"/>
      <c r="H32" s="9"/>
    </row>
    <row r="33" spans="1:16" ht="3.75" customHeight="1">
      <c r="A33" s="226"/>
      <c r="B33" s="4"/>
      <c r="C33" s="6"/>
      <c r="D33" s="4"/>
      <c r="E33" s="4"/>
      <c r="F33" s="4"/>
      <c r="G33" s="227"/>
      <c r="H33" s="9"/>
      <c r="I33" s="8"/>
      <c r="J33" s="13"/>
      <c r="K33" s="8"/>
      <c r="L33" s="8"/>
      <c r="M33" s="8"/>
      <c r="N33" s="8"/>
      <c r="O33" s="15"/>
      <c r="P33" s="5"/>
    </row>
    <row r="34" spans="1:16">
      <c r="A34" s="232" t="s">
        <v>5</v>
      </c>
      <c r="B34" s="60" t="s">
        <v>29</v>
      </c>
      <c r="C34" s="60" t="s">
        <v>498</v>
      </c>
      <c r="D34" s="60" t="s">
        <v>31</v>
      </c>
      <c r="E34" s="60" t="s">
        <v>32</v>
      </c>
      <c r="F34" s="60" t="s">
        <v>20</v>
      </c>
      <c r="G34" s="228" t="s">
        <v>33</v>
      </c>
      <c r="H34" s="27"/>
      <c r="I34" s="8"/>
      <c r="J34" s="13"/>
      <c r="K34" s="8"/>
      <c r="L34" s="8"/>
      <c r="M34" s="8"/>
      <c r="N34" s="8"/>
      <c r="O34" s="15"/>
      <c r="P34" s="5"/>
    </row>
    <row r="35" spans="1:16">
      <c r="A35" s="233" t="s">
        <v>41</v>
      </c>
      <c r="B35" s="63">
        <f>BOF</f>
        <v>51749</v>
      </c>
      <c r="C35" s="68">
        <f>ffpp</f>
        <v>0.64539999999999997</v>
      </c>
      <c r="D35" s="72">
        <v>0</v>
      </c>
      <c r="E35" s="66">
        <f>OF</f>
        <v>88696</v>
      </c>
      <c r="F35" s="65">
        <v>120</v>
      </c>
      <c r="G35" s="231">
        <f>ROUND(+D35*E35/F35,0)</f>
        <v>0</v>
      </c>
      <c r="H35" s="9"/>
      <c r="I35" s="16"/>
      <c r="J35" s="13"/>
      <c r="K35" s="8"/>
      <c r="L35" s="8"/>
      <c r="M35" s="8"/>
      <c r="N35" s="8"/>
      <c r="O35" s="15"/>
      <c r="P35" s="5"/>
    </row>
    <row r="36" spans="1:16">
      <c r="A36" s="233" t="s">
        <v>38</v>
      </c>
      <c r="B36" s="63">
        <f>BOB</f>
        <v>41749</v>
      </c>
      <c r="C36" s="68">
        <f>ffpp</f>
        <v>0.64539999999999997</v>
      </c>
      <c r="D36" s="72">
        <v>1</v>
      </c>
      <c r="E36" s="66">
        <f>OB</f>
        <v>72242</v>
      </c>
      <c r="F36" s="65">
        <f>+F35</f>
        <v>120</v>
      </c>
      <c r="G36" s="231">
        <f>ROUND(+D36*E36/F36,0)</f>
        <v>602</v>
      </c>
      <c r="H36" s="9"/>
      <c r="I36" s="8"/>
      <c r="J36" s="8"/>
      <c r="K36" s="13"/>
      <c r="L36" s="13"/>
      <c r="M36" s="13"/>
      <c r="N36" s="13"/>
      <c r="O36" s="13"/>
      <c r="P36" s="5"/>
    </row>
    <row r="37" spans="1:16">
      <c r="A37" s="234"/>
      <c r="B37" s="50"/>
      <c r="C37" s="961"/>
      <c r="D37" s="50"/>
      <c r="E37" s="50"/>
      <c r="F37" s="50"/>
      <c r="G37" s="235"/>
      <c r="H37" s="9"/>
      <c r="I37" s="8"/>
      <c r="J37" s="13"/>
      <c r="K37" s="13"/>
      <c r="L37" s="13"/>
      <c r="M37" s="33"/>
      <c r="N37" s="33"/>
      <c r="O37" s="43"/>
      <c r="P37" s="5"/>
    </row>
    <row r="38" spans="1:16">
      <c r="A38" s="233"/>
      <c r="B38" s="65"/>
      <c r="C38" s="68"/>
      <c r="D38" s="65"/>
      <c r="E38" s="69"/>
      <c r="F38" s="69"/>
      <c r="G38" s="236"/>
      <c r="H38" s="9"/>
      <c r="I38" s="8"/>
      <c r="J38" s="13"/>
      <c r="K38" s="13"/>
      <c r="L38" s="13"/>
      <c r="M38" s="33"/>
      <c r="N38" s="33"/>
      <c r="O38" s="43"/>
      <c r="P38" s="5"/>
    </row>
    <row r="39" spans="1:16">
      <c r="A39" s="249"/>
      <c r="B39" s="71"/>
      <c r="C39" s="71"/>
      <c r="D39" s="71" t="s">
        <v>34</v>
      </c>
      <c r="E39" s="71"/>
      <c r="F39" s="71"/>
      <c r="G39" s="250">
        <f>SUM(G35:G38)</f>
        <v>602</v>
      </c>
      <c r="H39" s="9"/>
      <c r="I39" s="8"/>
      <c r="J39" s="13"/>
      <c r="K39" s="13"/>
      <c r="L39" s="13"/>
      <c r="M39" s="14"/>
      <c r="N39" s="14"/>
      <c r="O39" s="15"/>
      <c r="P39" s="5"/>
    </row>
    <row r="40" spans="1:16">
      <c r="A40" s="226"/>
      <c r="B40" s="4"/>
      <c r="C40" s="6"/>
      <c r="D40" s="4"/>
      <c r="E40" s="4"/>
      <c r="F40" s="4"/>
      <c r="G40" s="227"/>
      <c r="H40" s="9"/>
      <c r="I40" s="8"/>
      <c r="J40" s="13"/>
      <c r="K40" s="13"/>
      <c r="L40" s="13"/>
      <c r="M40" s="14"/>
      <c r="N40" s="14"/>
      <c r="O40" s="19"/>
      <c r="P40" s="5"/>
    </row>
    <row r="41" spans="1:16">
      <c r="A41" s="226"/>
      <c r="B41" s="4"/>
      <c r="C41" s="6"/>
      <c r="D41" s="4"/>
      <c r="E41" s="4"/>
      <c r="F41" s="4"/>
      <c r="G41" s="227"/>
      <c r="H41" s="9"/>
      <c r="I41" s="8"/>
      <c r="J41" s="13"/>
      <c r="K41" s="13"/>
      <c r="L41" s="13"/>
      <c r="M41" s="17"/>
      <c r="N41" s="17"/>
      <c r="O41" s="37"/>
      <c r="P41" s="5"/>
    </row>
    <row r="42" spans="1:16" ht="14.25">
      <c r="A42" s="226"/>
      <c r="B42" s="4"/>
      <c r="C42" s="6"/>
      <c r="D42" s="1357" t="s">
        <v>35</v>
      </c>
      <c r="E42" s="1358"/>
      <c r="F42" s="1359"/>
      <c r="G42" s="239">
        <f>+G39+G30+G16</f>
        <v>7002</v>
      </c>
      <c r="H42" s="9"/>
      <c r="I42" s="46"/>
      <c r="J42" s="47"/>
      <c r="K42" s="8"/>
      <c r="L42" s="8"/>
      <c r="M42" s="8"/>
      <c r="N42" s="8"/>
      <c r="O42" s="8"/>
      <c r="P42" s="5"/>
    </row>
    <row r="43" spans="1:16" ht="14.25">
      <c r="A43" s="240"/>
      <c r="B43" s="57"/>
      <c r="C43" s="58"/>
      <c r="D43" s="99"/>
      <c r="E43" s="99"/>
      <c r="F43" s="99"/>
      <c r="G43" s="251"/>
      <c r="H43" s="9"/>
      <c r="I43" s="46"/>
      <c r="J43" s="47"/>
      <c r="K43" s="8"/>
      <c r="L43" s="8"/>
      <c r="M43" s="8"/>
      <c r="N43" s="8"/>
      <c r="O43" s="8"/>
      <c r="P43" s="5"/>
    </row>
    <row r="44" spans="1:16" ht="14.25">
      <c r="A44" s="374"/>
      <c r="B44" s="375"/>
      <c r="C44" s="375"/>
      <c r="D44" s="99"/>
      <c r="E44" s="99"/>
      <c r="F44" s="99"/>
      <c r="G44" s="251"/>
      <c r="H44" s="9"/>
      <c r="I44" s="46"/>
      <c r="J44" s="47"/>
      <c r="K44" s="8"/>
      <c r="L44" s="8"/>
      <c r="M44" s="8"/>
      <c r="N44" s="8"/>
      <c r="O44" s="8"/>
      <c r="P44" s="5"/>
    </row>
    <row r="45" spans="1:16" ht="14.25">
      <c r="A45" s="373"/>
      <c r="B45" s="376"/>
      <c r="C45" s="376"/>
      <c r="D45" s="99"/>
      <c r="E45" s="99"/>
      <c r="F45" s="99"/>
      <c r="G45" s="251"/>
      <c r="H45" s="9"/>
      <c r="I45" s="46"/>
      <c r="J45" s="47"/>
      <c r="K45" s="8"/>
      <c r="L45" s="8"/>
      <c r="M45" s="8"/>
      <c r="N45" s="8"/>
      <c r="O45" s="8"/>
      <c r="P45" s="5"/>
    </row>
    <row r="46" spans="1:16" ht="14.25">
      <c r="A46" s="373"/>
      <c r="B46" s="376"/>
      <c r="C46" s="376"/>
      <c r="D46" s="44"/>
      <c r="E46" s="45"/>
      <c r="F46" s="45"/>
      <c r="G46" s="251"/>
      <c r="H46" s="9"/>
      <c r="I46" s="8"/>
      <c r="J46" s="13"/>
      <c r="K46" s="8"/>
      <c r="L46" s="8"/>
      <c r="M46" s="8"/>
      <c r="N46" s="8"/>
      <c r="O46" s="8"/>
      <c r="P46" s="5"/>
    </row>
    <row r="47" spans="1:16" ht="15" thickBot="1">
      <c r="A47" s="242"/>
      <c r="B47" s="243"/>
      <c r="C47" s="244"/>
      <c r="D47" s="245"/>
      <c r="E47" s="246"/>
      <c r="F47" s="246"/>
      <c r="G47" s="247"/>
      <c r="H47" s="9"/>
      <c r="I47" s="8"/>
      <c r="J47" s="13"/>
      <c r="K47" s="8"/>
      <c r="L47" s="8"/>
      <c r="M47" s="8"/>
      <c r="N47" s="8"/>
      <c r="O47" s="8"/>
      <c r="P47" s="5"/>
    </row>
    <row r="48" spans="1:16">
      <c r="I48" s="5"/>
      <c r="J48" s="5"/>
      <c r="K48" s="5"/>
      <c r="L48" s="5"/>
      <c r="M48" s="5"/>
      <c r="N48" s="5"/>
      <c r="O48" s="5"/>
      <c r="P48" s="5"/>
    </row>
    <row r="49" spans="9:16">
      <c r="I49" s="5"/>
      <c r="J49" s="5"/>
      <c r="K49" s="5"/>
      <c r="L49" s="5"/>
      <c r="M49" s="5"/>
      <c r="N49" s="5"/>
      <c r="O49" s="5"/>
      <c r="P49" s="5"/>
    </row>
  </sheetData>
  <mergeCells count="26">
    <mergeCell ref="A32:G32"/>
    <mergeCell ref="D42:F42"/>
    <mergeCell ref="A12:G12"/>
    <mergeCell ref="A25:C25"/>
    <mergeCell ref="A26:C26"/>
    <mergeCell ref="A27:C27"/>
    <mergeCell ref="A28:C28"/>
    <mergeCell ref="A29:C29"/>
    <mergeCell ref="A30:C30"/>
    <mergeCell ref="A18:G18"/>
    <mergeCell ref="A20:C20"/>
    <mergeCell ref="A21:C21"/>
    <mergeCell ref="A22:C22"/>
    <mergeCell ref="A23:C23"/>
    <mergeCell ref="A24:C24"/>
    <mergeCell ref="A11:C11"/>
    <mergeCell ref="A13:C13"/>
    <mergeCell ref="A14:C14"/>
    <mergeCell ref="A15:C15"/>
    <mergeCell ref="A16:C16"/>
    <mergeCell ref="A10:C10"/>
    <mergeCell ref="A1:G1"/>
    <mergeCell ref="A2:G2"/>
    <mergeCell ref="A3:G4"/>
    <mergeCell ref="B6:E6"/>
    <mergeCell ref="A8:G8"/>
  </mergeCells>
  <printOptions horizontalCentered="1" verticalCentered="1"/>
  <pageMargins left="0.74803149606299213" right="0.74803149606299213" top="0" bottom="0.98425196850393704" header="0" footer="0"/>
  <pageSetup scale="90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/>
  <dimension ref="A1:U49"/>
  <sheetViews>
    <sheetView view="pageBreakPreview" zoomScaleNormal="100" zoomScaleSheetLayoutView="100" workbookViewId="0">
      <selection activeCell="F37" sqref="F37"/>
    </sheetView>
  </sheetViews>
  <sheetFormatPr baseColWidth="10" defaultColWidth="10.7109375" defaultRowHeight="12.75"/>
  <cols>
    <col min="1" max="1" width="15.85546875" style="3" customWidth="1"/>
    <col min="2" max="2" width="14.85546875" style="3" customWidth="1"/>
    <col min="3" max="3" width="13.28515625" style="3" customWidth="1"/>
    <col min="4" max="4" width="11.42578125" style="3"/>
    <col min="5" max="5" width="13.42578125" style="3" customWidth="1"/>
    <col min="6" max="6" width="12.7109375" style="3" customWidth="1"/>
    <col min="7" max="7" width="14" style="3" customWidth="1"/>
    <col min="8" max="256" width="11.42578125" style="3"/>
    <col min="257" max="257" width="15.85546875" style="3" customWidth="1"/>
    <col min="258" max="258" width="14.85546875" style="3" customWidth="1"/>
    <col min="259" max="259" width="13.28515625" style="3" customWidth="1"/>
    <col min="260" max="260" width="11.42578125" style="3"/>
    <col min="261" max="261" width="13.42578125" style="3" customWidth="1"/>
    <col min="262" max="262" width="12.7109375" style="3" customWidth="1"/>
    <col min="263" max="263" width="14" style="3" customWidth="1"/>
    <col min="264" max="512" width="11.42578125" style="3"/>
    <col min="513" max="513" width="15.85546875" style="3" customWidth="1"/>
    <col min="514" max="514" width="14.85546875" style="3" customWidth="1"/>
    <col min="515" max="515" width="13.28515625" style="3" customWidth="1"/>
    <col min="516" max="516" width="11.42578125" style="3"/>
    <col min="517" max="517" width="13.42578125" style="3" customWidth="1"/>
    <col min="518" max="518" width="12.7109375" style="3" customWidth="1"/>
    <col min="519" max="519" width="14" style="3" customWidth="1"/>
    <col min="520" max="768" width="11.42578125" style="3"/>
    <col min="769" max="769" width="15.85546875" style="3" customWidth="1"/>
    <col min="770" max="770" width="14.85546875" style="3" customWidth="1"/>
    <col min="771" max="771" width="13.28515625" style="3" customWidth="1"/>
    <col min="772" max="772" width="11.42578125" style="3"/>
    <col min="773" max="773" width="13.42578125" style="3" customWidth="1"/>
    <col min="774" max="774" width="12.7109375" style="3" customWidth="1"/>
    <col min="775" max="775" width="14" style="3" customWidth="1"/>
    <col min="776" max="1024" width="11.42578125" style="3"/>
    <col min="1025" max="1025" width="15.85546875" style="3" customWidth="1"/>
    <col min="1026" max="1026" width="14.85546875" style="3" customWidth="1"/>
    <col min="1027" max="1027" width="13.28515625" style="3" customWidth="1"/>
    <col min="1028" max="1028" width="11.42578125" style="3"/>
    <col min="1029" max="1029" width="13.42578125" style="3" customWidth="1"/>
    <col min="1030" max="1030" width="12.7109375" style="3" customWidth="1"/>
    <col min="1031" max="1031" width="14" style="3" customWidth="1"/>
    <col min="1032" max="1280" width="11.42578125" style="3"/>
    <col min="1281" max="1281" width="15.85546875" style="3" customWidth="1"/>
    <col min="1282" max="1282" width="14.85546875" style="3" customWidth="1"/>
    <col min="1283" max="1283" width="13.28515625" style="3" customWidth="1"/>
    <col min="1284" max="1284" width="11.42578125" style="3"/>
    <col min="1285" max="1285" width="13.42578125" style="3" customWidth="1"/>
    <col min="1286" max="1286" width="12.7109375" style="3" customWidth="1"/>
    <col min="1287" max="1287" width="14" style="3" customWidth="1"/>
    <col min="1288" max="1536" width="11.42578125" style="3"/>
    <col min="1537" max="1537" width="15.85546875" style="3" customWidth="1"/>
    <col min="1538" max="1538" width="14.85546875" style="3" customWidth="1"/>
    <col min="1539" max="1539" width="13.28515625" style="3" customWidth="1"/>
    <col min="1540" max="1540" width="11.42578125" style="3"/>
    <col min="1541" max="1541" width="13.42578125" style="3" customWidth="1"/>
    <col min="1542" max="1542" width="12.7109375" style="3" customWidth="1"/>
    <col min="1543" max="1543" width="14" style="3" customWidth="1"/>
    <col min="1544" max="1792" width="11.42578125" style="3"/>
    <col min="1793" max="1793" width="15.85546875" style="3" customWidth="1"/>
    <col min="1794" max="1794" width="14.85546875" style="3" customWidth="1"/>
    <col min="1795" max="1795" width="13.28515625" style="3" customWidth="1"/>
    <col min="1796" max="1796" width="11.42578125" style="3"/>
    <col min="1797" max="1797" width="13.42578125" style="3" customWidth="1"/>
    <col min="1798" max="1798" width="12.7109375" style="3" customWidth="1"/>
    <col min="1799" max="1799" width="14" style="3" customWidth="1"/>
    <col min="1800" max="2048" width="11.42578125" style="3"/>
    <col min="2049" max="2049" width="15.85546875" style="3" customWidth="1"/>
    <col min="2050" max="2050" width="14.85546875" style="3" customWidth="1"/>
    <col min="2051" max="2051" width="13.28515625" style="3" customWidth="1"/>
    <col min="2052" max="2052" width="11.42578125" style="3"/>
    <col min="2053" max="2053" width="13.42578125" style="3" customWidth="1"/>
    <col min="2054" max="2054" width="12.7109375" style="3" customWidth="1"/>
    <col min="2055" max="2055" width="14" style="3" customWidth="1"/>
    <col min="2056" max="2304" width="11.42578125" style="3"/>
    <col min="2305" max="2305" width="15.85546875" style="3" customWidth="1"/>
    <col min="2306" max="2306" width="14.85546875" style="3" customWidth="1"/>
    <col min="2307" max="2307" width="13.28515625" style="3" customWidth="1"/>
    <col min="2308" max="2308" width="11.42578125" style="3"/>
    <col min="2309" max="2309" width="13.42578125" style="3" customWidth="1"/>
    <col min="2310" max="2310" width="12.7109375" style="3" customWidth="1"/>
    <col min="2311" max="2311" width="14" style="3" customWidth="1"/>
    <col min="2312" max="2560" width="11.42578125" style="3"/>
    <col min="2561" max="2561" width="15.85546875" style="3" customWidth="1"/>
    <col min="2562" max="2562" width="14.85546875" style="3" customWidth="1"/>
    <col min="2563" max="2563" width="13.28515625" style="3" customWidth="1"/>
    <col min="2564" max="2564" width="11.42578125" style="3"/>
    <col min="2565" max="2565" width="13.42578125" style="3" customWidth="1"/>
    <col min="2566" max="2566" width="12.7109375" style="3" customWidth="1"/>
    <col min="2567" max="2567" width="14" style="3" customWidth="1"/>
    <col min="2568" max="2816" width="11.42578125" style="3"/>
    <col min="2817" max="2817" width="15.85546875" style="3" customWidth="1"/>
    <col min="2818" max="2818" width="14.85546875" style="3" customWidth="1"/>
    <col min="2819" max="2819" width="13.28515625" style="3" customWidth="1"/>
    <col min="2820" max="2820" width="11.42578125" style="3"/>
    <col min="2821" max="2821" width="13.42578125" style="3" customWidth="1"/>
    <col min="2822" max="2822" width="12.7109375" style="3" customWidth="1"/>
    <col min="2823" max="2823" width="14" style="3" customWidth="1"/>
    <col min="2824" max="3072" width="11.42578125" style="3"/>
    <col min="3073" max="3073" width="15.85546875" style="3" customWidth="1"/>
    <col min="3074" max="3074" width="14.85546875" style="3" customWidth="1"/>
    <col min="3075" max="3075" width="13.28515625" style="3" customWidth="1"/>
    <col min="3076" max="3076" width="11.42578125" style="3"/>
    <col min="3077" max="3077" width="13.42578125" style="3" customWidth="1"/>
    <col min="3078" max="3078" width="12.7109375" style="3" customWidth="1"/>
    <col min="3079" max="3079" width="14" style="3" customWidth="1"/>
    <col min="3080" max="3328" width="11.42578125" style="3"/>
    <col min="3329" max="3329" width="15.85546875" style="3" customWidth="1"/>
    <col min="3330" max="3330" width="14.85546875" style="3" customWidth="1"/>
    <col min="3331" max="3331" width="13.28515625" style="3" customWidth="1"/>
    <col min="3332" max="3332" width="11.42578125" style="3"/>
    <col min="3333" max="3333" width="13.42578125" style="3" customWidth="1"/>
    <col min="3334" max="3334" width="12.7109375" style="3" customWidth="1"/>
    <col min="3335" max="3335" width="14" style="3" customWidth="1"/>
    <col min="3336" max="3584" width="11.42578125" style="3"/>
    <col min="3585" max="3585" width="15.85546875" style="3" customWidth="1"/>
    <col min="3586" max="3586" width="14.85546875" style="3" customWidth="1"/>
    <col min="3587" max="3587" width="13.28515625" style="3" customWidth="1"/>
    <col min="3588" max="3588" width="11.42578125" style="3"/>
    <col min="3589" max="3589" width="13.42578125" style="3" customWidth="1"/>
    <col min="3590" max="3590" width="12.7109375" style="3" customWidth="1"/>
    <col min="3591" max="3591" width="14" style="3" customWidth="1"/>
    <col min="3592" max="3840" width="11.42578125" style="3"/>
    <col min="3841" max="3841" width="15.85546875" style="3" customWidth="1"/>
    <col min="3842" max="3842" width="14.85546875" style="3" customWidth="1"/>
    <col min="3843" max="3843" width="13.28515625" style="3" customWidth="1"/>
    <col min="3844" max="3844" width="11.42578125" style="3"/>
    <col min="3845" max="3845" width="13.42578125" style="3" customWidth="1"/>
    <col min="3846" max="3846" width="12.7109375" style="3" customWidth="1"/>
    <col min="3847" max="3847" width="14" style="3" customWidth="1"/>
    <col min="3848" max="4096" width="11.42578125" style="3"/>
    <col min="4097" max="4097" width="15.85546875" style="3" customWidth="1"/>
    <col min="4098" max="4098" width="14.85546875" style="3" customWidth="1"/>
    <col min="4099" max="4099" width="13.28515625" style="3" customWidth="1"/>
    <col min="4100" max="4100" width="11.42578125" style="3"/>
    <col min="4101" max="4101" width="13.42578125" style="3" customWidth="1"/>
    <col min="4102" max="4102" width="12.7109375" style="3" customWidth="1"/>
    <col min="4103" max="4103" width="14" style="3" customWidth="1"/>
    <col min="4104" max="4352" width="11.42578125" style="3"/>
    <col min="4353" max="4353" width="15.85546875" style="3" customWidth="1"/>
    <col min="4354" max="4354" width="14.85546875" style="3" customWidth="1"/>
    <col min="4355" max="4355" width="13.28515625" style="3" customWidth="1"/>
    <col min="4356" max="4356" width="11.42578125" style="3"/>
    <col min="4357" max="4357" width="13.42578125" style="3" customWidth="1"/>
    <col min="4358" max="4358" width="12.7109375" style="3" customWidth="1"/>
    <col min="4359" max="4359" width="14" style="3" customWidth="1"/>
    <col min="4360" max="4608" width="11.42578125" style="3"/>
    <col min="4609" max="4609" width="15.85546875" style="3" customWidth="1"/>
    <col min="4610" max="4610" width="14.85546875" style="3" customWidth="1"/>
    <col min="4611" max="4611" width="13.28515625" style="3" customWidth="1"/>
    <col min="4612" max="4612" width="11.42578125" style="3"/>
    <col min="4613" max="4613" width="13.42578125" style="3" customWidth="1"/>
    <col min="4614" max="4614" width="12.7109375" style="3" customWidth="1"/>
    <col min="4615" max="4615" width="14" style="3" customWidth="1"/>
    <col min="4616" max="4864" width="11.42578125" style="3"/>
    <col min="4865" max="4865" width="15.85546875" style="3" customWidth="1"/>
    <col min="4866" max="4866" width="14.85546875" style="3" customWidth="1"/>
    <col min="4867" max="4867" width="13.28515625" style="3" customWidth="1"/>
    <col min="4868" max="4868" width="11.42578125" style="3"/>
    <col min="4869" max="4869" width="13.42578125" style="3" customWidth="1"/>
    <col min="4870" max="4870" width="12.7109375" style="3" customWidth="1"/>
    <col min="4871" max="4871" width="14" style="3" customWidth="1"/>
    <col min="4872" max="5120" width="11.42578125" style="3"/>
    <col min="5121" max="5121" width="15.85546875" style="3" customWidth="1"/>
    <col min="5122" max="5122" width="14.85546875" style="3" customWidth="1"/>
    <col min="5123" max="5123" width="13.28515625" style="3" customWidth="1"/>
    <col min="5124" max="5124" width="11.42578125" style="3"/>
    <col min="5125" max="5125" width="13.42578125" style="3" customWidth="1"/>
    <col min="5126" max="5126" width="12.7109375" style="3" customWidth="1"/>
    <col min="5127" max="5127" width="14" style="3" customWidth="1"/>
    <col min="5128" max="5376" width="11.42578125" style="3"/>
    <col min="5377" max="5377" width="15.85546875" style="3" customWidth="1"/>
    <col min="5378" max="5378" width="14.85546875" style="3" customWidth="1"/>
    <col min="5379" max="5379" width="13.28515625" style="3" customWidth="1"/>
    <col min="5380" max="5380" width="11.42578125" style="3"/>
    <col min="5381" max="5381" width="13.42578125" style="3" customWidth="1"/>
    <col min="5382" max="5382" width="12.7109375" style="3" customWidth="1"/>
    <col min="5383" max="5383" width="14" style="3" customWidth="1"/>
    <col min="5384" max="5632" width="11.42578125" style="3"/>
    <col min="5633" max="5633" width="15.85546875" style="3" customWidth="1"/>
    <col min="5634" max="5634" width="14.85546875" style="3" customWidth="1"/>
    <col min="5635" max="5635" width="13.28515625" style="3" customWidth="1"/>
    <col min="5636" max="5636" width="11.42578125" style="3"/>
    <col min="5637" max="5637" width="13.42578125" style="3" customWidth="1"/>
    <col min="5638" max="5638" width="12.7109375" style="3" customWidth="1"/>
    <col min="5639" max="5639" width="14" style="3" customWidth="1"/>
    <col min="5640" max="5888" width="11.42578125" style="3"/>
    <col min="5889" max="5889" width="15.85546875" style="3" customWidth="1"/>
    <col min="5890" max="5890" width="14.85546875" style="3" customWidth="1"/>
    <col min="5891" max="5891" width="13.28515625" style="3" customWidth="1"/>
    <col min="5892" max="5892" width="11.42578125" style="3"/>
    <col min="5893" max="5893" width="13.42578125" style="3" customWidth="1"/>
    <col min="5894" max="5894" width="12.7109375" style="3" customWidth="1"/>
    <col min="5895" max="5895" width="14" style="3" customWidth="1"/>
    <col min="5896" max="6144" width="11.42578125" style="3"/>
    <col min="6145" max="6145" width="15.85546875" style="3" customWidth="1"/>
    <col min="6146" max="6146" width="14.85546875" style="3" customWidth="1"/>
    <col min="6147" max="6147" width="13.28515625" style="3" customWidth="1"/>
    <col min="6148" max="6148" width="11.42578125" style="3"/>
    <col min="6149" max="6149" width="13.42578125" style="3" customWidth="1"/>
    <col min="6150" max="6150" width="12.7109375" style="3" customWidth="1"/>
    <col min="6151" max="6151" width="14" style="3" customWidth="1"/>
    <col min="6152" max="6400" width="11.42578125" style="3"/>
    <col min="6401" max="6401" width="15.85546875" style="3" customWidth="1"/>
    <col min="6402" max="6402" width="14.85546875" style="3" customWidth="1"/>
    <col min="6403" max="6403" width="13.28515625" style="3" customWidth="1"/>
    <col min="6404" max="6404" width="11.42578125" style="3"/>
    <col min="6405" max="6405" width="13.42578125" style="3" customWidth="1"/>
    <col min="6406" max="6406" width="12.7109375" style="3" customWidth="1"/>
    <col min="6407" max="6407" width="14" style="3" customWidth="1"/>
    <col min="6408" max="6656" width="11.42578125" style="3"/>
    <col min="6657" max="6657" width="15.85546875" style="3" customWidth="1"/>
    <col min="6658" max="6658" width="14.85546875" style="3" customWidth="1"/>
    <col min="6659" max="6659" width="13.28515625" style="3" customWidth="1"/>
    <col min="6660" max="6660" width="11.42578125" style="3"/>
    <col min="6661" max="6661" width="13.42578125" style="3" customWidth="1"/>
    <col min="6662" max="6662" width="12.7109375" style="3" customWidth="1"/>
    <col min="6663" max="6663" width="14" style="3" customWidth="1"/>
    <col min="6664" max="6912" width="11.42578125" style="3"/>
    <col min="6913" max="6913" width="15.85546875" style="3" customWidth="1"/>
    <col min="6914" max="6914" width="14.85546875" style="3" customWidth="1"/>
    <col min="6915" max="6915" width="13.28515625" style="3" customWidth="1"/>
    <col min="6916" max="6916" width="11.42578125" style="3"/>
    <col min="6917" max="6917" width="13.42578125" style="3" customWidth="1"/>
    <col min="6918" max="6918" width="12.7109375" style="3" customWidth="1"/>
    <col min="6919" max="6919" width="14" style="3" customWidth="1"/>
    <col min="6920" max="7168" width="11.42578125" style="3"/>
    <col min="7169" max="7169" width="15.85546875" style="3" customWidth="1"/>
    <col min="7170" max="7170" width="14.85546875" style="3" customWidth="1"/>
    <col min="7171" max="7171" width="13.28515625" style="3" customWidth="1"/>
    <col min="7172" max="7172" width="11.42578125" style="3"/>
    <col min="7173" max="7173" width="13.42578125" style="3" customWidth="1"/>
    <col min="7174" max="7174" width="12.7109375" style="3" customWidth="1"/>
    <col min="7175" max="7175" width="14" style="3" customWidth="1"/>
    <col min="7176" max="7424" width="11.42578125" style="3"/>
    <col min="7425" max="7425" width="15.85546875" style="3" customWidth="1"/>
    <col min="7426" max="7426" width="14.85546875" style="3" customWidth="1"/>
    <col min="7427" max="7427" width="13.28515625" style="3" customWidth="1"/>
    <col min="7428" max="7428" width="11.42578125" style="3"/>
    <col min="7429" max="7429" width="13.42578125" style="3" customWidth="1"/>
    <col min="7430" max="7430" width="12.7109375" style="3" customWidth="1"/>
    <col min="7431" max="7431" width="14" style="3" customWidth="1"/>
    <col min="7432" max="7680" width="11.42578125" style="3"/>
    <col min="7681" max="7681" width="15.85546875" style="3" customWidth="1"/>
    <col min="7682" max="7682" width="14.85546875" style="3" customWidth="1"/>
    <col min="7683" max="7683" width="13.28515625" style="3" customWidth="1"/>
    <col min="7684" max="7684" width="11.42578125" style="3"/>
    <col min="7685" max="7685" width="13.42578125" style="3" customWidth="1"/>
    <col min="7686" max="7686" width="12.7109375" style="3" customWidth="1"/>
    <col min="7687" max="7687" width="14" style="3" customWidth="1"/>
    <col min="7688" max="7936" width="11.42578125" style="3"/>
    <col min="7937" max="7937" width="15.85546875" style="3" customWidth="1"/>
    <col min="7938" max="7938" width="14.85546875" style="3" customWidth="1"/>
    <col min="7939" max="7939" width="13.28515625" style="3" customWidth="1"/>
    <col min="7940" max="7940" width="11.42578125" style="3"/>
    <col min="7941" max="7941" width="13.42578125" style="3" customWidth="1"/>
    <col min="7942" max="7942" width="12.7109375" style="3" customWidth="1"/>
    <col min="7943" max="7943" width="14" style="3" customWidth="1"/>
    <col min="7944" max="8192" width="11.42578125" style="3"/>
    <col min="8193" max="8193" width="15.85546875" style="3" customWidth="1"/>
    <col min="8194" max="8194" width="14.85546875" style="3" customWidth="1"/>
    <col min="8195" max="8195" width="13.28515625" style="3" customWidth="1"/>
    <col min="8196" max="8196" width="11.42578125" style="3"/>
    <col min="8197" max="8197" width="13.42578125" style="3" customWidth="1"/>
    <col min="8198" max="8198" width="12.7109375" style="3" customWidth="1"/>
    <col min="8199" max="8199" width="14" style="3" customWidth="1"/>
    <col min="8200" max="8448" width="11.42578125" style="3"/>
    <col min="8449" max="8449" width="15.85546875" style="3" customWidth="1"/>
    <col min="8450" max="8450" width="14.85546875" style="3" customWidth="1"/>
    <col min="8451" max="8451" width="13.28515625" style="3" customWidth="1"/>
    <col min="8452" max="8452" width="11.42578125" style="3"/>
    <col min="8453" max="8453" width="13.42578125" style="3" customWidth="1"/>
    <col min="8454" max="8454" width="12.7109375" style="3" customWidth="1"/>
    <col min="8455" max="8455" width="14" style="3" customWidth="1"/>
    <col min="8456" max="8704" width="11.42578125" style="3"/>
    <col min="8705" max="8705" width="15.85546875" style="3" customWidth="1"/>
    <col min="8706" max="8706" width="14.85546875" style="3" customWidth="1"/>
    <col min="8707" max="8707" width="13.28515625" style="3" customWidth="1"/>
    <col min="8708" max="8708" width="11.42578125" style="3"/>
    <col min="8709" max="8709" width="13.42578125" style="3" customWidth="1"/>
    <col min="8710" max="8710" width="12.7109375" style="3" customWidth="1"/>
    <col min="8711" max="8711" width="14" style="3" customWidth="1"/>
    <col min="8712" max="8960" width="11.42578125" style="3"/>
    <col min="8961" max="8961" width="15.85546875" style="3" customWidth="1"/>
    <col min="8962" max="8962" width="14.85546875" style="3" customWidth="1"/>
    <col min="8963" max="8963" width="13.28515625" style="3" customWidth="1"/>
    <col min="8964" max="8964" width="11.42578125" style="3"/>
    <col min="8965" max="8965" width="13.42578125" style="3" customWidth="1"/>
    <col min="8966" max="8966" width="12.7109375" style="3" customWidth="1"/>
    <col min="8967" max="8967" width="14" style="3" customWidth="1"/>
    <col min="8968" max="9216" width="11.42578125" style="3"/>
    <col min="9217" max="9217" width="15.85546875" style="3" customWidth="1"/>
    <col min="9218" max="9218" width="14.85546875" style="3" customWidth="1"/>
    <col min="9219" max="9219" width="13.28515625" style="3" customWidth="1"/>
    <col min="9220" max="9220" width="11.42578125" style="3"/>
    <col min="9221" max="9221" width="13.42578125" style="3" customWidth="1"/>
    <col min="9222" max="9222" width="12.7109375" style="3" customWidth="1"/>
    <col min="9223" max="9223" width="14" style="3" customWidth="1"/>
    <col min="9224" max="9472" width="11.42578125" style="3"/>
    <col min="9473" max="9473" width="15.85546875" style="3" customWidth="1"/>
    <col min="9474" max="9474" width="14.85546875" style="3" customWidth="1"/>
    <col min="9475" max="9475" width="13.28515625" style="3" customWidth="1"/>
    <col min="9476" max="9476" width="11.42578125" style="3"/>
    <col min="9477" max="9477" width="13.42578125" style="3" customWidth="1"/>
    <col min="9478" max="9478" width="12.7109375" style="3" customWidth="1"/>
    <col min="9479" max="9479" width="14" style="3" customWidth="1"/>
    <col min="9480" max="9728" width="11.42578125" style="3"/>
    <col min="9729" max="9729" width="15.85546875" style="3" customWidth="1"/>
    <col min="9730" max="9730" width="14.85546875" style="3" customWidth="1"/>
    <col min="9731" max="9731" width="13.28515625" style="3" customWidth="1"/>
    <col min="9732" max="9732" width="11.42578125" style="3"/>
    <col min="9733" max="9733" width="13.42578125" style="3" customWidth="1"/>
    <col min="9734" max="9734" width="12.7109375" style="3" customWidth="1"/>
    <col min="9735" max="9735" width="14" style="3" customWidth="1"/>
    <col min="9736" max="9984" width="11.42578125" style="3"/>
    <col min="9985" max="9985" width="15.85546875" style="3" customWidth="1"/>
    <col min="9986" max="9986" width="14.85546875" style="3" customWidth="1"/>
    <col min="9987" max="9987" width="13.28515625" style="3" customWidth="1"/>
    <col min="9988" max="9988" width="11.42578125" style="3"/>
    <col min="9989" max="9989" width="13.42578125" style="3" customWidth="1"/>
    <col min="9990" max="9990" width="12.7109375" style="3" customWidth="1"/>
    <col min="9991" max="9991" width="14" style="3" customWidth="1"/>
    <col min="9992" max="10240" width="11.42578125" style="3"/>
    <col min="10241" max="10241" width="15.85546875" style="3" customWidth="1"/>
    <col min="10242" max="10242" width="14.85546875" style="3" customWidth="1"/>
    <col min="10243" max="10243" width="13.28515625" style="3" customWidth="1"/>
    <col min="10244" max="10244" width="11.42578125" style="3"/>
    <col min="10245" max="10245" width="13.42578125" style="3" customWidth="1"/>
    <col min="10246" max="10246" width="12.7109375" style="3" customWidth="1"/>
    <col min="10247" max="10247" width="14" style="3" customWidth="1"/>
    <col min="10248" max="10496" width="11.42578125" style="3"/>
    <col min="10497" max="10497" width="15.85546875" style="3" customWidth="1"/>
    <col min="10498" max="10498" width="14.85546875" style="3" customWidth="1"/>
    <col min="10499" max="10499" width="13.28515625" style="3" customWidth="1"/>
    <col min="10500" max="10500" width="11.42578125" style="3"/>
    <col min="10501" max="10501" width="13.42578125" style="3" customWidth="1"/>
    <col min="10502" max="10502" width="12.7109375" style="3" customWidth="1"/>
    <col min="10503" max="10503" width="14" style="3" customWidth="1"/>
    <col min="10504" max="10752" width="11.42578125" style="3"/>
    <col min="10753" max="10753" width="15.85546875" style="3" customWidth="1"/>
    <col min="10754" max="10754" width="14.85546875" style="3" customWidth="1"/>
    <col min="10755" max="10755" width="13.28515625" style="3" customWidth="1"/>
    <col min="10756" max="10756" width="11.42578125" style="3"/>
    <col min="10757" max="10757" width="13.42578125" style="3" customWidth="1"/>
    <col min="10758" max="10758" width="12.7109375" style="3" customWidth="1"/>
    <col min="10759" max="10759" width="14" style="3" customWidth="1"/>
    <col min="10760" max="11008" width="11.42578125" style="3"/>
    <col min="11009" max="11009" width="15.85546875" style="3" customWidth="1"/>
    <col min="11010" max="11010" width="14.85546875" style="3" customWidth="1"/>
    <col min="11011" max="11011" width="13.28515625" style="3" customWidth="1"/>
    <col min="11012" max="11012" width="11.42578125" style="3"/>
    <col min="11013" max="11013" width="13.42578125" style="3" customWidth="1"/>
    <col min="11014" max="11014" width="12.7109375" style="3" customWidth="1"/>
    <col min="11015" max="11015" width="14" style="3" customWidth="1"/>
    <col min="11016" max="11264" width="11.42578125" style="3"/>
    <col min="11265" max="11265" width="15.85546875" style="3" customWidth="1"/>
    <col min="11266" max="11266" width="14.85546875" style="3" customWidth="1"/>
    <col min="11267" max="11267" width="13.28515625" style="3" customWidth="1"/>
    <col min="11268" max="11268" width="11.42578125" style="3"/>
    <col min="11269" max="11269" width="13.42578125" style="3" customWidth="1"/>
    <col min="11270" max="11270" width="12.7109375" style="3" customWidth="1"/>
    <col min="11271" max="11271" width="14" style="3" customWidth="1"/>
    <col min="11272" max="11520" width="11.42578125" style="3"/>
    <col min="11521" max="11521" width="15.85546875" style="3" customWidth="1"/>
    <col min="11522" max="11522" width="14.85546875" style="3" customWidth="1"/>
    <col min="11523" max="11523" width="13.28515625" style="3" customWidth="1"/>
    <col min="11524" max="11524" width="11.42578125" style="3"/>
    <col min="11525" max="11525" width="13.42578125" style="3" customWidth="1"/>
    <col min="11526" max="11526" width="12.7109375" style="3" customWidth="1"/>
    <col min="11527" max="11527" width="14" style="3" customWidth="1"/>
    <col min="11528" max="11776" width="11.42578125" style="3"/>
    <col min="11777" max="11777" width="15.85546875" style="3" customWidth="1"/>
    <col min="11778" max="11778" width="14.85546875" style="3" customWidth="1"/>
    <col min="11779" max="11779" width="13.28515625" style="3" customWidth="1"/>
    <col min="11780" max="11780" width="11.42578125" style="3"/>
    <col min="11781" max="11781" width="13.42578125" style="3" customWidth="1"/>
    <col min="11782" max="11782" width="12.7109375" style="3" customWidth="1"/>
    <col min="11783" max="11783" width="14" style="3" customWidth="1"/>
    <col min="11784" max="12032" width="11.42578125" style="3"/>
    <col min="12033" max="12033" width="15.85546875" style="3" customWidth="1"/>
    <col min="12034" max="12034" width="14.85546875" style="3" customWidth="1"/>
    <col min="12035" max="12035" width="13.28515625" style="3" customWidth="1"/>
    <col min="12036" max="12036" width="11.42578125" style="3"/>
    <col min="12037" max="12037" width="13.42578125" style="3" customWidth="1"/>
    <col min="12038" max="12038" width="12.7109375" style="3" customWidth="1"/>
    <col min="12039" max="12039" width="14" style="3" customWidth="1"/>
    <col min="12040" max="12288" width="11.42578125" style="3"/>
    <col min="12289" max="12289" width="15.85546875" style="3" customWidth="1"/>
    <col min="12290" max="12290" width="14.85546875" style="3" customWidth="1"/>
    <col min="12291" max="12291" width="13.28515625" style="3" customWidth="1"/>
    <col min="12292" max="12292" width="11.42578125" style="3"/>
    <col min="12293" max="12293" width="13.42578125" style="3" customWidth="1"/>
    <col min="12294" max="12294" width="12.7109375" style="3" customWidth="1"/>
    <col min="12295" max="12295" width="14" style="3" customWidth="1"/>
    <col min="12296" max="12544" width="11.42578125" style="3"/>
    <col min="12545" max="12545" width="15.85546875" style="3" customWidth="1"/>
    <col min="12546" max="12546" width="14.85546875" style="3" customWidth="1"/>
    <col min="12547" max="12547" width="13.28515625" style="3" customWidth="1"/>
    <col min="12548" max="12548" width="11.42578125" style="3"/>
    <col min="12549" max="12549" width="13.42578125" style="3" customWidth="1"/>
    <col min="12550" max="12550" width="12.7109375" style="3" customWidth="1"/>
    <col min="12551" max="12551" width="14" style="3" customWidth="1"/>
    <col min="12552" max="12800" width="11.42578125" style="3"/>
    <col min="12801" max="12801" width="15.85546875" style="3" customWidth="1"/>
    <col min="12802" max="12802" width="14.85546875" style="3" customWidth="1"/>
    <col min="12803" max="12803" width="13.28515625" style="3" customWidth="1"/>
    <col min="12804" max="12804" width="11.42578125" style="3"/>
    <col min="12805" max="12805" width="13.42578125" style="3" customWidth="1"/>
    <col min="12806" max="12806" width="12.7109375" style="3" customWidth="1"/>
    <col min="12807" max="12807" width="14" style="3" customWidth="1"/>
    <col min="12808" max="13056" width="11.42578125" style="3"/>
    <col min="13057" max="13057" width="15.85546875" style="3" customWidth="1"/>
    <col min="13058" max="13058" width="14.85546875" style="3" customWidth="1"/>
    <col min="13059" max="13059" width="13.28515625" style="3" customWidth="1"/>
    <col min="13060" max="13060" width="11.42578125" style="3"/>
    <col min="13061" max="13061" width="13.42578125" style="3" customWidth="1"/>
    <col min="13062" max="13062" width="12.7109375" style="3" customWidth="1"/>
    <col min="13063" max="13063" width="14" style="3" customWidth="1"/>
    <col min="13064" max="13312" width="11.42578125" style="3"/>
    <col min="13313" max="13313" width="15.85546875" style="3" customWidth="1"/>
    <col min="13314" max="13314" width="14.85546875" style="3" customWidth="1"/>
    <col min="13315" max="13315" width="13.28515625" style="3" customWidth="1"/>
    <col min="13316" max="13316" width="11.42578125" style="3"/>
    <col min="13317" max="13317" width="13.42578125" style="3" customWidth="1"/>
    <col min="13318" max="13318" width="12.7109375" style="3" customWidth="1"/>
    <col min="13319" max="13319" width="14" style="3" customWidth="1"/>
    <col min="13320" max="13568" width="11.42578125" style="3"/>
    <col min="13569" max="13569" width="15.85546875" style="3" customWidth="1"/>
    <col min="13570" max="13570" width="14.85546875" style="3" customWidth="1"/>
    <col min="13571" max="13571" width="13.28515625" style="3" customWidth="1"/>
    <col min="13572" max="13572" width="11.42578125" style="3"/>
    <col min="13573" max="13573" width="13.42578125" style="3" customWidth="1"/>
    <col min="13574" max="13574" width="12.7109375" style="3" customWidth="1"/>
    <col min="13575" max="13575" width="14" style="3" customWidth="1"/>
    <col min="13576" max="13824" width="11.42578125" style="3"/>
    <col min="13825" max="13825" width="15.85546875" style="3" customWidth="1"/>
    <col min="13826" max="13826" width="14.85546875" style="3" customWidth="1"/>
    <col min="13827" max="13827" width="13.28515625" style="3" customWidth="1"/>
    <col min="13828" max="13828" width="11.42578125" style="3"/>
    <col min="13829" max="13829" width="13.42578125" style="3" customWidth="1"/>
    <col min="13830" max="13830" width="12.7109375" style="3" customWidth="1"/>
    <col min="13831" max="13831" width="14" style="3" customWidth="1"/>
    <col min="13832" max="14080" width="11.42578125" style="3"/>
    <col min="14081" max="14081" width="15.85546875" style="3" customWidth="1"/>
    <col min="14082" max="14082" width="14.85546875" style="3" customWidth="1"/>
    <col min="14083" max="14083" width="13.28515625" style="3" customWidth="1"/>
    <col min="14084" max="14084" width="11.42578125" style="3"/>
    <col min="14085" max="14085" width="13.42578125" style="3" customWidth="1"/>
    <col min="14086" max="14086" width="12.7109375" style="3" customWidth="1"/>
    <col min="14087" max="14087" width="14" style="3" customWidth="1"/>
    <col min="14088" max="14336" width="11.42578125" style="3"/>
    <col min="14337" max="14337" width="15.85546875" style="3" customWidth="1"/>
    <col min="14338" max="14338" width="14.85546875" style="3" customWidth="1"/>
    <col min="14339" max="14339" width="13.28515625" style="3" customWidth="1"/>
    <col min="14340" max="14340" width="11.42578125" style="3"/>
    <col min="14341" max="14341" width="13.42578125" style="3" customWidth="1"/>
    <col min="14342" max="14342" width="12.7109375" style="3" customWidth="1"/>
    <col min="14343" max="14343" width="14" style="3" customWidth="1"/>
    <col min="14344" max="14592" width="11.42578125" style="3"/>
    <col min="14593" max="14593" width="15.85546875" style="3" customWidth="1"/>
    <col min="14594" max="14594" width="14.85546875" style="3" customWidth="1"/>
    <col min="14595" max="14595" width="13.28515625" style="3" customWidth="1"/>
    <col min="14596" max="14596" width="11.42578125" style="3"/>
    <col min="14597" max="14597" width="13.42578125" style="3" customWidth="1"/>
    <col min="14598" max="14598" width="12.7109375" style="3" customWidth="1"/>
    <col min="14599" max="14599" width="14" style="3" customWidth="1"/>
    <col min="14600" max="14848" width="11.42578125" style="3"/>
    <col min="14849" max="14849" width="15.85546875" style="3" customWidth="1"/>
    <col min="14850" max="14850" width="14.85546875" style="3" customWidth="1"/>
    <col min="14851" max="14851" width="13.28515625" style="3" customWidth="1"/>
    <col min="14852" max="14852" width="11.42578125" style="3"/>
    <col min="14853" max="14853" width="13.42578125" style="3" customWidth="1"/>
    <col min="14854" max="14854" width="12.7109375" style="3" customWidth="1"/>
    <col min="14855" max="14855" width="14" style="3" customWidth="1"/>
    <col min="14856" max="15104" width="11.42578125" style="3"/>
    <col min="15105" max="15105" width="15.85546875" style="3" customWidth="1"/>
    <col min="15106" max="15106" width="14.85546875" style="3" customWidth="1"/>
    <col min="15107" max="15107" width="13.28515625" style="3" customWidth="1"/>
    <col min="15108" max="15108" width="11.42578125" style="3"/>
    <col min="15109" max="15109" width="13.42578125" style="3" customWidth="1"/>
    <col min="15110" max="15110" width="12.7109375" style="3" customWidth="1"/>
    <col min="15111" max="15111" width="14" style="3" customWidth="1"/>
    <col min="15112" max="15360" width="11.42578125" style="3"/>
    <col min="15361" max="15361" width="15.85546875" style="3" customWidth="1"/>
    <col min="15362" max="15362" width="14.85546875" style="3" customWidth="1"/>
    <col min="15363" max="15363" width="13.28515625" style="3" customWidth="1"/>
    <col min="15364" max="15364" width="11.42578125" style="3"/>
    <col min="15365" max="15365" width="13.42578125" style="3" customWidth="1"/>
    <col min="15366" max="15366" width="12.7109375" style="3" customWidth="1"/>
    <col min="15367" max="15367" width="14" style="3" customWidth="1"/>
    <col min="15368" max="15616" width="11.42578125" style="3"/>
    <col min="15617" max="15617" width="15.85546875" style="3" customWidth="1"/>
    <col min="15618" max="15618" width="14.85546875" style="3" customWidth="1"/>
    <col min="15619" max="15619" width="13.28515625" style="3" customWidth="1"/>
    <col min="15620" max="15620" width="11.42578125" style="3"/>
    <col min="15621" max="15621" width="13.42578125" style="3" customWidth="1"/>
    <col min="15622" max="15622" width="12.7109375" style="3" customWidth="1"/>
    <col min="15623" max="15623" width="14" style="3" customWidth="1"/>
    <col min="15624" max="15872" width="11.42578125" style="3"/>
    <col min="15873" max="15873" width="15.85546875" style="3" customWidth="1"/>
    <col min="15874" max="15874" width="14.85546875" style="3" customWidth="1"/>
    <col min="15875" max="15875" width="13.28515625" style="3" customWidth="1"/>
    <col min="15876" max="15876" width="11.42578125" style="3"/>
    <col min="15877" max="15877" width="13.42578125" style="3" customWidth="1"/>
    <col min="15878" max="15878" width="12.7109375" style="3" customWidth="1"/>
    <col min="15879" max="15879" width="14" style="3" customWidth="1"/>
    <col min="15880" max="16128" width="11.42578125" style="3"/>
    <col min="16129" max="16129" width="15.85546875" style="3" customWidth="1"/>
    <col min="16130" max="16130" width="14.85546875" style="3" customWidth="1"/>
    <col min="16131" max="16131" width="13.28515625" style="3" customWidth="1"/>
    <col min="16132" max="16132" width="11.42578125" style="3"/>
    <col min="16133" max="16133" width="13.42578125" style="3" customWidth="1"/>
    <col min="16134" max="16134" width="12.7109375" style="3" customWidth="1"/>
    <col min="16135" max="16135" width="14" style="3" customWidth="1"/>
    <col min="16136" max="16384" width="11.42578125" style="3"/>
  </cols>
  <sheetData>
    <row r="1" spans="1:21" ht="48" customHeight="1">
      <c r="A1" s="1346" t="str">
        <f>PPTO!D3</f>
        <v>PRESUPUESTO
MUNICIPIO EL BAGRE (ANTIOQUIA).</v>
      </c>
      <c r="B1" s="1347"/>
      <c r="C1" s="1347"/>
      <c r="D1" s="1347"/>
      <c r="E1" s="1347"/>
      <c r="F1" s="1347"/>
      <c r="G1" s="1348"/>
      <c r="H1" s="1"/>
      <c r="I1" s="2"/>
    </row>
    <row r="2" spans="1:21" ht="18" customHeight="1">
      <c r="A2" s="1362" t="s">
        <v>16</v>
      </c>
      <c r="B2" s="1363"/>
      <c r="C2" s="1363"/>
      <c r="D2" s="1363"/>
      <c r="E2" s="1363"/>
      <c r="F2" s="1363"/>
      <c r="G2" s="1364"/>
      <c r="H2" s="1"/>
      <c r="I2" s="2"/>
    </row>
    <row r="3" spans="1:21" ht="24.75" customHeight="1">
      <c r="A3" s="1367" t="str">
        <f>+PPTO!$D$5</f>
        <v>PROYECTO DE MEJORAMIENTO VIAL, ESPACIO PUBLICO Y OBRAS COMPLEMENTARIAS DE LA AVENIDA LA JUVENTUD Y TRAMOS ADYACENTES Y PRIORITARIOS DEL SECTOR URBANO EN EL MUNICIPIO EL BAGRE ANTIOQUIA.</v>
      </c>
      <c r="B3" s="1368"/>
      <c r="C3" s="1368"/>
      <c r="D3" s="1368"/>
      <c r="E3" s="1368"/>
      <c r="F3" s="1368"/>
      <c r="G3" s="1369"/>
      <c r="H3" s="1"/>
      <c r="I3" s="2"/>
    </row>
    <row r="4" spans="1:21" ht="30" customHeight="1">
      <c r="A4" s="1370"/>
      <c r="B4" s="1368"/>
      <c r="C4" s="1368"/>
      <c r="D4" s="1368"/>
      <c r="E4" s="1368"/>
      <c r="F4" s="1368"/>
      <c r="G4" s="1369"/>
      <c r="H4" s="1"/>
      <c r="I4" s="2"/>
    </row>
    <row r="5" spans="1:21" ht="6.75" customHeight="1">
      <c r="A5" s="222"/>
      <c r="B5" s="6"/>
      <c r="C5" s="24"/>
      <c r="D5" s="25"/>
      <c r="E5" s="6"/>
      <c r="F5" s="6"/>
      <c r="G5" s="223"/>
      <c r="H5" s="9"/>
    </row>
    <row r="6" spans="1:21" ht="52.5" customHeight="1">
      <c r="A6" s="368">
        <v>2.1</v>
      </c>
      <c r="B6" s="1349" t="str">
        <f>VLOOKUP(A6,PPTO!D4:I131,2,FALSE)</f>
        <v>Excavación manual para perfilado en sector de andenes y obras de arte, en material común de 0.0 - 2.0 mts</v>
      </c>
      <c r="C6" s="1350"/>
      <c r="D6" s="1350"/>
      <c r="E6" s="1351"/>
      <c r="F6" s="192" t="s">
        <v>118</v>
      </c>
      <c r="G6" s="248" t="str">
        <f>VLOOKUP(A6,PPTO!D4:I131,3,FALSE)</f>
        <v>m3</v>
      </c>
      <c r="H6" s="9"/>
    </row>
    <row r="7" spans="1:21" ht="3.75" customHeight="1">
      <c r="A7" s="226"/>
      <c r="B7" s="4"/>
      <c r="C7" s="6"/>
      <c r="D7" s="4"/>
      <c r="E7" s="4"/>
      <c r="F7" s="4"/>
      <c r="G7" s="227"/>
      <c r="H7" s="9"/>
    </row>
    <row r="8" spans="1:21" ht="22.5" customHeight="1">
      <c r="A8" s="1354" t="s">
        <v>69</v>
      </c>
      <c r="B8" s="1355"/>
      <c r="C8" s="1355"/>
      <c r="D8" s="1355"/>
      <c r="E8" s="1355"/>
      <c r="F8" s="1355"/>
      <c r="G8" s="1356"/>
      <c r="H8" s="9"/>
    </row>
    <row r="9" spans="1:21" ht="4.5" customHeight="1">
      <c r="A9" s="226"/>
      <c r="B9" s="4"/>
      <c r="C9" s="6"/>
      <c r="D9" s="4"/>
      <c r="E9" s="4"/>
      <c r="F9" s="4"/>
      <c r="G9" s="227"/>
      <c r="H9" s="9"/>
      <c r="I9" s="5"/>
      <c r="J9" s="5"/>
      <c r="K9" s="5"/>
      <c r="L9" s="26"/>
      <c r="M9" s="5"/>
      <c r="N9" s="5"/>
      <c r="O9" s="5"/>
      <c r="P9" s="5"/>
    </row>
    <row r="10" spans="1:21">
      <c r="A10" s="1373" t="s">
        <v>17</v>
      </c>
      <c r="B10" s="1374"/>
      <c r="C10" s="1374"/>
      <c r="D10" s="220" t="s">
        <v>18</v>
      </c>
      <c r="E10" s="220" t="s">
        <v>19</v>
      </c>
      <c r="F10" s="220" t="s">
        <v>20</v>
      </c>
      <c r="G10" s="228" t="s">
        <v>21</v>
      </c>
      <c r="H10" s="27"/>
      <c r="I10" s="28"/>
      <c r="J10" s="29"/>
      <c r="K10" s="30"/>
      <c r="L10" s="30"/>
      <c r="M10" s="30"/>
      <c r="N10" s="30"/>
      <c r="O10" s="30"/>
      <c r="P10" s="5"/>
    </row>
    <row r="11" spans="1:21">
      <c r="A11" s="1352" t="s">
        <v>75</v>
      </c>
      <c r="B11" s="1353"/>
      <c r="C11" s="1353"/>
      <c r="D11" s="220"/>
      <c r="E11" s="83"/>
      <c r="F11" s="97"/>
      <c r="G11" s="229">
        <f>+G40*5%</f>
        <v>1204</v>
      </c>
      <c r="H11" s="9"/>
      <c r="I11" s="30"/>
      <c r="J11" s="31"/>
      <c r="K11" s="30"/>
      <c r="L11" s="30"/>
      <c r="M11" s="30"/>
      <c r="N11" s="30"/>
      <c r="O11" s="30"/>
      <c r="P11" s="5"/>
    </row>
    <row r="12" spans="1:21">
      <c r="A12" s="1371"/>
      <c r="B12" s="1372"/>
      <c r="C12" s="1372"/>
      <c r="D12" s="83"/>
      <c r="E12" s="83"/>
      <c r="F12" s="97"/>
      <c r="G12" s="229"/>
      <c r="H12" s="9"/>
      <c r="I12" s="16"/>
      <c r="J12" s="13"/>
      <c r="K12" s="8"/>
      <c r="L12" s="8"/>
      <c r="M12" s="8"/>
      <c r="N12" s="8"/>
      <c r="O12" s="8"/>
      <c r="P12" s="5"/>
    </row>
    <row r="13" spans="1:21">
      <c r="A13" s="1371"/>
      <c r="B13" s="1372"/>
      <c r="C13" s="1372"/>
      <c r="D13" s="83"/>
      <c r="E13" s="83"/>
      <c r="F13" s="98"/>
      <c r="G13" s="229"/>
      <c r="H13" s="9"/>
      <c r="I13" s="13"/>
      <c r="J13" s="13"/>
      <c r="K13" s="13"/>
      <c r="L13" s="13"/>
      <c r="M13" s="13"/>
      <c r="N13" s="13"/>
      <c r="O13" s="13"/>
      <c r="P13" s="5"/>
    </row>
    <row r="14" spans="1:21">
      <c r="A14" s="1371"/>
      <c r="B14" s="1372"/>
      <c r="C14" s="1372"/>
      <c r="D14" s="83"/>
      <c r="E14" s="83"/>
      <c r="F14" s="98"/>
      <c r="G14" s="229"/>
      <c r="H14" s="9"/>
      <c r="I14" s="8"/>
      <c r="J14" s="14"/>
      <c r="K14" s="32"/>
      <c r="L14" s="14"/>
      <c r="M14" s="15"/>
      <c r="N14" s="15"/>
      <c r="O14" s="19"/>
      <c r="P14" s="5"/>
    </row>
    <row r="15" spans="1:21">
      <c r="A15" s="1371"/>
      <c r="B15" s="1372"/>
      <c r="C15" s="1372"/>
      <c r="D15" s="83"/>
      <c r="E15" s="83"/>
      <c r="F15" s="98"/>
      <c r="G15" s="229"/>
      <c r="H15" s="9"/>
      <c r="I15" s="8"/>
      <c r="J15" s="33"/>
      <c r="K15" s="32"/>
      <c r="L15" s="14"/>
      <c r="M15" s="15"/>
      <c r="N15" s="15"/>
      <c r="O15" s="19"/>
      <c r="P15" s="5"/>
      <c r="Q15" s="5"/>
      <c r="R15" s="5"/>
      <c r="S15" s="5"/>
      <c r="T15" s="5"/>
      <c r="U15" s="5"/>
    </row>
    <row r="16" spans="1:21">
      <c r="A16" s="1371"/>
      <c r="B16" s="1372"/>
      <c r="C16" s="1372"/>
      <c r="D16" s="85" t="s">
        <v>37</v>
      </c>
      <c r="E16" s="50"/>
      <c r="F16" s="49"/>
      <c r="G16" s="230">
        <f>SUM(G11:G15)</f>
        <v>1204</v>
      </c>
      <c r="H16" s="9"/>
      <c r="I16" s="34"/>
      <c r="J16" s="34"/>
      <c r="K16" s="35"/>
      <c r="L16" s="36"/>
      <c r="M16" s="7"/>
      <c r="N16" s="7"/>
      <c r="O16" s="19"/>
      <c r="P16" s="5"/>
      <c r="Q16" s="5"/>
      <c r="R16" s="5"/>
      <c r="S16" s="5"/>
      <c r="T16" s="5"/>
      <c r="U16" s="5"/>
    </row>
    <row r="17" spans="1:21" ht="4.5" customHeight="1">
      <c r="A17" s="226"/>
      <c r="B17" s="4"/>
      <c r="C17" s="6"/>
      <c r="D17" s="4"/>
      <c r="E17" s="4"/>
      <c r="F17" s="4"/>
      <c r="G17" s="227"/>
      <c r="H17" s="9"/>
      <c r="I17" s="34"/>
      <c r="J17" s="34"/>
      <c r="K17" s="35"/>
      <c r="L17" s="36"/>
      <c r="M17" s="7"/>
      <c r="N17" s="7"/>
      <c r="O17" s="19"/>
      <c r="P17" s="5"/>
      <c r="Q17" s="5"/>
      <c r="R17" s="5"/>
      <c r="S17" s="5"/>
      <c r="T17" s="5"/>
      <c r="U17" s="5"/>
    </row>
    <row r="18" spans="1:21" ht="22.5" customHeight="1">
      <c r="A18" s="1354" t="s">
        <v>70</v>
      </c>
      <c r="B18" s="1355"/>
      <c r="C18" s="1355"/>
      <c r="D18" s="1355"/>
      <c r="E18" s="1355"/>
      <c r="F18" s="1355"/>
      <c r="G18" s="1356"/>
      <c r="H18" s="9"/>
    </row>
    <row r="19" spans="1:21" ht="4.5" customHeight="1">
      <c r="A19" s="226"/>
      <c r="B19" s="4"/>
      <c r="C19" s="6"/>
      <c r="D19" s="4"/>
      <c r="E19" s="4"/>
      <c r="F19" s="38"/>
      <c r="G19" s="227"/>
      <c r="H19" s="9"/>
      <c r="I19" s="34"/>
      <c r="J19" s="34"/>
      <c r="K19" s="35"/>
      <c r="L19" s="39"/>
      <c r="M19" s="7"/>
      <c r="N19" s="7"/>
      <c r="O19" s="8"/>
      <c r="P19" s="5"/>
      <c r="Q19" s="5"/>
      <c r="R19" s="5"/>
      <c r="S19" s="5"/>
      <c r="T19" s="5"/>
      <c r="U19" s="5"/>
    </row>
    <row r="20" spans="1:21">
      <c r="A20" s="1373" t="s">
        <v>17</v>
      </c>
      <c r="B20" s="1374"/>
      <c r="C20" s="1374"/>
      <c r="D20" s="220" t="s">
        <v>3</v>
      </c>
      <c r="E20" s="220" t="s">
        <v>4</v>
      </c>
      <c r="F20" s="220" t="s">
        <v>25</v>
      </c>
      <c r="G20" s="228" t="s">
        <v>21</v>
      </c>
      <c r="H20" s="27"/>
      <c r="I20" s="34"/>
      <c r="J20" s="34"/>
      <c r="K20" s="35"/>
      <c r="L20" s="39"/>
      <c r="M20" s="7"/>
      <c r="N20" s="7"/>
      <c r="O20" s="8"/>
      <c r="P20" s="5"/>
      <c r="Q20" s="5"/>
      <c r="R20" s="5"/>
      <c r="S20" s="5"/>
      <c r="T20" s="5"/>
      <c r="U20" s="5"/>
    </row>
    <row r="21" spans="1:21" ht="12.75" customHeight="1">
      <c r="A21" s="1382"/>
      <c r="B21" s="1383"/>
      <c r="C21" s="1383"/>
      <c r="D21" s="79"/>
      <c r="E21" s="93"/>
      <c r="F21" s="94"/>
      <c r="G21" s="231"/>
      <c r="H21" s="9"/>
      <c r="I21" s="34"/>
      <c r="J21" s="34"/>
      <c r="K21" s="35"/>
      <c r="L21" s="39"/>
      <c r="M21" s="7"/>
      <c r="N21" s="7"/>
      <c r="O21" s="13"/>
      <c r="P21" s="5"/>
      <c r="Q21" s="5"/>
      <c r="R21" s="5"/>
      <c r="S21" s="5"/>
      <c r="T21" s="5"/>
      <c r="U21" s="5"/>
    </row>
    <row r="22" spans="1:21">
      <c r="A22" s="1382"/>
      <c r="B22" s="1383"/>
      <c r="C22" s="1383"/>
      <c r="D22" s="81"/>
      <c r="E22" s="93"/>
      <c r="F22" s="94"/>
      <c r="G22" s="231"/>
      <c r="H22" s="9"/>
      <c r="I22" s="10"/>
      <c r="J22" s="10"/>
      <c r="K22" s="12"/>
      <c r="L22" s="39"/>
      <c r="M22" s="7"/>
      <c r="N22" s="7"/>
      <c r="O22" s="15"/>
      <c r="P22" s="5"/>
      <c r="Q22" s="5"/>
      <c r="R22" s="5"/>
      <c r="S22" s="5"/>
      <c r="T22" s="5"/>
      <c r="U22" s="5"/>
    </row>
    <row r="23" spans="1:21" ht="12.75" customHeight="1">
      <c r="A23" s="1382"/>
      <c r="B23" s="1383"/>
      <c r="C23" s="1383"/>
      <c r="D23" s="79"/>
      <c r="E23" s="95"/>
      <c r="F23" s="94"/>
      <c r="G23" s="231"/>
      <c r="H23" s="9"/>
      <c r="I23" s="10"/>
      <c r="J23" s="10"/>
      <c r="K23" s="12"/>
      <c r="L23" s="39"/>
      <c r="M23" s="7"/>
      <c r="N23" s="7"/>
      <c r="O23" s="15"/>
      <c r="P23" s="5"/>
      <c r="Q23" s="5"/>
      <c r="R23" s="5"/>
      <c r="S23" s="5"/>
      <c r="T23" s="5"/>
      <c r="U23" s="5"/>
    </row>
    <row r="24" spans="1:21">
      <c r="A24" s="1352"/>
      <c r="B24" s="1353"/>
      <c r="C24" s="1353"/>
      <c r="D24" s="79"/>
      <c r="E24" s="82"/>
      <c r="F24" s="83"/>
      <c r="G24" s="231"/>
      <c r="H24" s="9"/>
      <c r="I24" s="10"/>
      <c r="J24" s="40"/>
      <c r="K24" s="12"/>
      <c r="L24" s="13"/>
      <c r="M24" s="14"/>
      <c r="N24" s="14"/>
      <c r="O24" s="15"/>
      <c r="P24" s="5"/>
      <c r="Q24" s="5"/>
      <c r="R24" s="5"/>
      <c r="S24" s="5"/>
      <c r="T24" s="5"/>
      <c r="U24" s="5"/>
    </row>
    <row r="25" spans="1:21">
      <c r="A25" s="1352"/>
      <c r="B25" s="1353"/>
      <c r="C25" s="1353"/>
      <c r="D25" s="81"/>
      <c r="E25" s="82"/>
      <c r="F25" s="83"/>
      <c r="G25" s="231"/>
      <c r="H25" s="9"/>
      <c r="I25" s="10"/>
      <c r="J25" s="11"/>
      <c r="K25" s="12"/>
      <c r="L25" s="13"/>
      <c r="M25" s="14"/>
      <c r="N25" s="14"/>
      <c r="O25" s="15"/>
      <c r="P25" s="5"/>
      <c r="Q25" s="5"/>
      <c r="R25" s="5"/>
      <c r="S25" s="5"/>
      <c r="T25" s="5"/>
      <c r="U25" s="5"/>
    </row>
    <row r="26" spans="1:21">
      <c r="A26" s="1352"/>
      <c r="B26" s="1353"/>
      <c r="C26" s="1353"/>
      <c r="D26" s="79"/>
      <c r="E26" s="82"/>
      <c r="F26" s="83"/>
      <c r="G26" s="231"/>
      <c r="H26" s="9"/>
      <c r="I26" s="10"/>
      <c r="J26" s="11"/>
      <c r="K26" s="12"/>
      <c r="L26" s="13"/>
      <c r="M26" s="14"/>
      <c r="N26" s="14"/>
      <c r="O26" s="15"/>
      <c r="P26" s="5"/>
      <c r="Q26" s="5"/>
      <c r="R26" s="5"/>
      <c r="S26" s="5"/>
      <c r="T26" s="5"/>
      <c r="U26" s="5"/>
    </row>
    <row r="27" spans="1:21">
      <c r="A27" s="1352"/>
      <c r="B27" s="1353"/>
      <c r="C27" s="1353"/>
      <c r="D27" s="79"/>
      <c r="E27" s="82"/>
      <c r="F27" s="83"/>
      <c r="G27" s="231"/>
      <c r="H27" s="9"/>
      <c r="I27" s="10"/>
      <c r="J27" s="11"/>
      <c r="K27" s="12"/>
      <c r="L27" s="13"/>
      <c r="M27" s="14"/>
      <c r="N27" s="14"/>
      <c r="O27" s="15"/>
      <c r="P27" s="5"/>
      <c r="Q27" s="5"/>
      <c r="R27" s="5"/>
      <c r="S27" s="5"/>
      <c r="T27" s="5"/>
      <c r="U27" s="5"/>
    </row>
    <row r="28" spans="1:21">
      <c r="A28" s="1352"/>
      <c r="B28" s="1353"/>
      <c r="C28" s="1353"/>
      <c r="D28" s="79"/>
      <c r="E28" s="82"/>
      <c r="F28" s="83"/>
      <c r="G28" s="231"/>
      <c r="H28" s="9"/>
      <c r="I28" s="41"/>
      <c r="J28" s="41"/>
      <c r="K28" s="12"/>
      <c r="L28" s="13"/>
      <c r="M28" s="14"/>
      <c r="N28" s="14"/>
      <c r="O28" s="15"/>
      <c r="P28" s="5"/>
      <c r="Q28" s="5"/>
      <c r="R28" s="5"/>
      <c r="S28" s="5"/>
      <c r="T28" s="5"/>
      <c r="U28" s="5"/>
    </row>
    <row r="29" spans="1:21">
      <c r="A29" s="1352"/>
      <c r="B29" s="1353"/>
      <c r="C29" s="1353"/>
      <c r="D29" s="84"/>
      <c r="E29" s="84"/>
      <c r="F29" s="83"/>
      <c r="G29" s="231"/>
      <c r="H29" s="9"/>
      <c r="I29" s="42"/>
      <c r="J29" s="42"/>
      <c r="K29" s="42"/>
      <c r="L29" s="13"/>
      <c r="M29" s="14"/>
      <c r="N29" s="14"/>
      <c r="O29" s="15"/>
      <c r="P29" s="5"/>
      <c r="Q29" s="5"/>
      <c r="R29" s="5"/>
      <c r="S29" s="5"/>
      <c r="T29" s="5"/>
      <c r="U29" s="5"/>
    </row>
    <row r="30" spans="1:21">
      <c r="A30" s="1352"/>
      <c r="B30" s="1353"/>
      <c r="C30" s="1353"/>
      <c r="D30" s="85" t="s">
        <v>28</v>
      </c>
      <c r="E30" s="50"/>
      <c r="F30" s="49"/>
      <c r="G30" s="230">
        <f>SUM(G21:G29)</f>
        <v>0</v>
      </c>
      <c r="H30" s="9"/>
      <c r="I30" s="8"/>
      <c r="J30" s="13"/>
      <c r="K30" s="8"/>
      <c r="L30" s="13"/>
      <c r="M30" s="14"/>
      <c r="N30" s="14"/>
      <c r="O30" s="15"/>
      <c r="P30" s="5"/>
    </row>
    <row r="31" spans="1:21" ht="3.75" customHeight="1">
      <c r="A31" s="226"/>
      <c r="B31" s="4"/>
      <c r="C31" s="6"/>
      <c r="D31" s="4"/>
      <c r="E31" s="4"/>
      <c r="F31" s="4"/>
      <c r="G31" s="227"/>
      <c r="H31" s="9"/>
      <c r="I31" s="8"/>
      <c r="J31" s="13"/>
      <c r="K31" s="18"/>
      <c r="L31" s="13"/>
      <c r="M31" s="33"/>
      <c r="N31" s="33"/>
      <c r="O31" s="15"/>
      <c r="P31" s="5"/>
    </row>
    <row r="32" spans="1:21" ht="22.5" customHeight="1">
      <c r="A32" s="1354" t="s">
        <v>71</v>
      </c>
      <c r="B32" s="1355"/>
      <c r="C32" s="1355"/>
      <c r="D32" s="1355"/>
      <c r="E32" s="1355"/>
      <c r="F32" s="1355"/>
      <c r="G32" s="1356"/>
      <c r="H32" s="9"/>
    </row>
    <row r="33" spans="1:16" ht="3.75" customHeight="1">
      <c r="A33" s="226"/>
      <c r="B33" s="4"/>
      <c r="C33" s="6"/>
      <c r="D33" s="4"/>
      <c r="E33" s="4"/>
      <c r="F33" s="4"/>
      <c r="G33" s="227"/>
      <c r="H33" s="9"/>
      <c r="I33" s="8"/>
      <c r="J33" s="13"/>
      <c r="K33" s="8"/>
      <c r="L33" s="8"/>
      <c r="M33" s="8"/>
      <c r="N33" s="8"/>
      <c r="O33" s="15"/>
      <c r="P33" s="5"/>
    </row>
    <row r="34" spans="1:16">
      <c r="A34" s="232" t="s">
        <v>5</v>
      </c>
      <c r="B34" s="60" t="s">
        <v>29</v>
      </c>
      <c r="C34" s="60" t="s">
        <v>30</v>
      </c>
      <c r="D34" s="60" t="s">
        <v>31</v>
      </c>
      <c r="E34" s="60" t="s">
        <v>32</v>
      </c>
      <c r="F34" s="60" t="s">
        <v>20</v>
      </c>
      <c r="G34" s="228" t="s">
        <v>33</v>
      </c>
      <c r="H34" s="27"/>
      <c r="I34" s="8"/>
      <c r="J34" s="13"/>
      <c r="K34" s="8"/>
      <c r="L34" s="8"/>
      <c r="M34" s="8"/>
      <c r="N34" s="8"/>
      <c r="O34" s="15"/>
      <c r="P34" s="5"/>
    </row>
    <row r="35" spans="1:16">
      <c r="A35" s="233"/>
      <c r="B35" s="63"/>
      <c r="C35" s="64"/>
      <c r="D35" s="65"/>
      <c r="E35" s="66"/>
      <c r="F35" s="65"/>
      <c r="G35" s="231"/>
      <c r="H35" s="9"/>
      <c r="I35" s="16"/>
      <c r="J35" s="13"/>
      <c r="K35" s="8"/>
      <c r="L35" s="8"/>
      <c r="M35" s="8"/>
      <c r="N35" s="8"/>
      <c r="O35" s="15"/>
      <c r="P35" s="5"/>
    </row>
    <row r="36" spans="1:16">
      <c r="A36" s="233" t="s">
        <v>38</v>
      </c>
      <c r="B36" s="63">
        <f>BOB</f>
        <v>41749</v>
      </c>
      <c r="C36" s="68">
        <f>ffpp</f>
        <v>0.64539999999999997</v>
      </c>
      <c r="D36" s="72">
        <v>4</v>
      </c>
      <c r="E36" s="66">
        <f>OB</f>
        <v>72242</v>
      </c>
      <c r="F36" s="65">
        <v>12</v>
      </c>
      <c r="G36" s="231">
        <f>ROUND(+D36*E36/F36,0)</f>
        <v>24081</v>
      </c>
      <c r="H36" s="9"/>
      <c r="I36" s="16"/>
      <c r="J36" s="13"/>
      <c r="K36" s="8"/>
      <c r="L36" s="8"/>
      <c r="M36" s="8"/>
      <c r="N36" s="8"/>
      <c r="O36" s="15"/>
      <c r="P36" s="5"/>
    </row>
    <row r="37" spans="1:16">
      <c r="A37" s="233"/>
      <c r="B37" s="63"/>
      <c r="C37" s="961"/>
      <c r="D37" s="72"/>
      <c r="E37" s="66"/>
      <c r="F37" s="69"/>
      <c r="G37" s="231"/>
      <c r="H37" s="9"/>
      <c r="I37" s="8"/>
      <c r="J37" s="8"/>
      <c r="K37" s="13"/>
      <c r="L37" s="13"/>
      <c r="M37" s="13"/>
      <c r="N37" s="13"/>
      <c r="O37" s="13"/>
      <c r="P37" s="5"/>
    </row>
    <row r="38" spans="1:16">
      <c r="A38" s="233"/>
      <c r="B38" s="63"/>
      <c r="C38" s="64"/>
      <c r="D38" s="72"/>
      <c r="E38" s="66"/>
      <c r="F38" s="69"/>
      <c r="G38" s="231"/>
      <c r="H38" s="9"/>
      <c r="I38" s="8"/>
      <c r="J38" s="13"/>
      <c r="K38" s="13"/>
      <c r="L38" s="13"/>
      <c r="M38" s="33"/>
      <c r="N38" s="33"/>
      <c r="O38" s="43"/>
      <c r="P38" s="5"/>
    </row>
    <row r="39" spans="1:16">
      <c r="A39" s="233"/>
      <c r="B39" s="65"/>
      <c r="C39" s="68"/>
      <c r="D39" s="65"/>
      <c r="E39" s="69"/>
      <c r="F39" s="69"/>
      <c r="G39" s="236"/>
      <c r="H39" s="9"/>
      <c r="I39" s="8"/>
      <c r="J39" s="13"/>
      <c r="K39" s="13"/>
      <c r="L39" s="13"/>
      <c r="M39" s="33"/>
      <c r="N39" s="33"/>
      <c r="O39" s="43"/>
      <c r="P39" s="5"/>
    </row>
    <row r="40" spans="1:16">
      <c r="A40" s="233"/>
      <c r="B40" s="63"/>
      <c r="C40" s="64"/>
      <c r="D40" s="72" t="s">
        <v>34</v>
      </c>
      <c r="E40" s="66"/>
      <c r="F40" s="69"/>
      <c r="G40" s="231">
        <f>SUM(G35:G39)</f>
        <v>24081</v>
      </c>
      <c r="H40" s="9"/>
      <c r="I40" s="8"/>
      <c r="J40" s="13"/>
      <c r="K40" s="13"/>
      <c r="L40" s="13"/>
      <c r="M40" s="14"/>
      <c r="N40" s="14"/>
      <c r="O40" s="15"/>
      <c r="P40" s="5"/>
    </row>
    <row r="41" spans="1:16">
      <c r="A41" s="253"/>
      <c r="B41" s="105"/>
      <c r="C41" s="106"/>
      <c r="D41" s="107"/>
      <c r="E41" s="108"/>
      <c r="F41" s="109"/>
      <c r="G41" s="254"/>
      <c r="H41" s="9"/>
      <c r="I41" s="8"/>
      <c r="J41" s="13"/>
      <c r="K41" s="13"/>
      <c r="L41" s="13"/>
      <c r="M41" s="14"/>
      <c r="N41" s="14"/>
      <c r="O41" s="15"/>
      <c r="P41" s="5"/>
    </row>
    <row r="42" spans="1:16">
      <c r="A42" s="226"/>
      <c r="B42" s="4"/>
      <c r="C42" s="6"/>
      <c r="D42" s="4"/>
      <c r="E42" s="4"/>
      <c r="F42" s="4"/>
      <c r="G42" s="227"/>
      <c r="H42" s="9"/>
      <c r="I42" s="8"/>
      <c r="J42" s="13"/>
      <c r="K42" s="13"/>
      <c r="L42" s="13"/>
      <c r="M42" s="14"/>
      <c r="N42" s="14"/>
      <c r="O42" s="19"/>
      <c r="P42" s="5"/>
    </row>
    <row r="43" spans="1:16" ht="14.25">
      <c r="A43" s="226"/>
      <c r="B43" s="4"/>
      <c r="C43" s="6"/>
      <c r="D43" s="1357" t="s">
        <v>35</v>
      </c>
      <c r="E43" s="1358"/>
      <c r="F43" s="1359"/>
      <c r="G43" s="239">
        <f>+G40+G30+G16-1</f>
        <v>25284</v>
      </c>
      <c r="H43" s="9"/>
      <c r="I43" s="46"/>
      <c r="J43" s="47"/>
      <c r="K43" s="8"/>
      <c r="L43" s="8"/>
      <c r="M43" s="8"/>
      <c r="N43" s="8"/>
      <c r="O43" s="8"/>
      <c r="P43" s="5"/>
    </row>
    <row r="44" spans="1:16">
      <c r="A44" s="377"/>
      <c r="B44" s="372"/>
      <c r="C44" s="372"/>
      <c r="D44" s="100"/>
      <c r="E44" s="100"/>
      <c r="F44" s="100"/>
      <c r="G44" s="227"/>
      <c r="H44" s="9"/>
      <c r="I44" s="8"/>
      <c r="J44" s="13"/>
      <c r="K44" s="13"/>
      <c r="L44" s="13"/>
      <c r="M44" s="17"/>
      <c r="N44" s="17"/>
      <c r="O44" s="37"/>
      <c r="P44" s="5"/>
    </row>
    <row r="45" spans="1:16">
      <c r="A45" s="377"/>
      <c r="B45" s="372"/>
      <c r="C45" s="372"/>
      <c r="D45" s="100"/>
      <c r="E45" s="100"/>
      <c r="F45" s="100"/>
      <c r="G45" s="227"/>
      <c r="H45" s="9"/>
      <c r="I45" s="8"/>
      <c r="J45" s="13"/>
      <c r="K45" s="13"/>
      <c r="L45" s="13"/>
      <c r="M45" s="17"/>
      <c r="N45" s="17"/>
      <c r="O45" s="37"/>
      <c r="P45" s="5"/>
    </row>
    <row r="46" spans="1:16">
      <c r="A46" s="377"/>
      <c r="B46" s="372"/>
      <c r="C46" s="372"/>
      <c r="D46" s="100"/>
      <c r="E46" s="100"/>
      <c r="F46" s="100"/>
      <c r="G46" s="227"/>
      <c r="H46" s="9"/>
      <c r="I46" s="8"/>
      <c r="J46" s="13"/>
      <c r="K46" s="13"/>
      <c r="L46" s="13"/>
      <c r="M46" s="17"/>
      <c r="N46" s="17"/>
      <c r="O46" s="37"/>
      <c r="P46" s="5"/>
    </row>
    <row r="47" spans="1:16">
      <c r="A47" s="1384" t="s">
        <v>129</v>
      </c>
      <c r="B47" s="1385"/>
      <c r="C47" s="1385"/>
      <c r="D47" s="5"/>
      <c r="E47" s="5"/>
      <c r="F47" s="5"/>
      <c r="G47" s="241"/>
      <c r="H47" s="9"/>
      <c r="I47" s="48"/>
      <c r="J47" s="13"/>
      <c r="K47" s="8"/>
      <c r="L47" s="8"/>
      <c r="M47" s="8"/>
      <c r="N47" s="8"/>
      <c r="O47" s="8"/>
      <c r="P47" s="5"/>
    </row>
    <row r="48" spans="1:16" ht="15" thickBot="1">
      <c r="A48" s="242"/>
      <c r="B48" s="243"/>
      <c r="C48" s="244"/>
      <c r="D48" s="245"/>
      <c r="E48" s="246"/>
      <c r="F48" s="246"/>
      <c r="G48" s="247"/>
      <c r="H48" s="9"/>
      <c r="I48" s="8"/>
      <c r="J48" s="13"/>
      <c r="K48" s="8"/>
      <c r="L48" s="8"/>
      <c r="M48" s="8"/>
      <c r="N48" s="8"/>
      <c r="O48" s="8"/>
      <c r="P48" s="5"/>
    </row>
    <row r="49" spans="9:16">
      <c r="I49" s="5"/>
      <c r="J49" s="5"/>
      <c r="K49" s="5"/>
      <c r="L49" s="5"/>
      <c r="M49" s="5"/>
      <c r="N49" s="5"/>
      <c r="O49" s="5"/>
      <c r="P49" s="5"/>
    </row>
  </sheetData>
  <mergeCells count="27">
    <mergeCell ref="A47:C47"/>
    <mergeCell ref="D43:F43"/>
    <mergeCell ref="A21:C21"/>
    <mergeCell ref="A3:G4"/>
    <mergeCell ref="A10:C10"/>
    <mergeCell ref="A11:C11"/>
    <mergeCell ref="A12:C12"/>
    <mergeCell ref="A13:C13"/>
    <mergeCell ref="A14:C14"/>
    <mergeCell ref="A15:C15"/>
    <mergeCell ref="A20:C20"/>
    <mergeCell ref="A16:C16"/>
    <mergeCell ref="A18:G18"/>
    <mergeCell ref="A8:G8"/>
    <mergeCell ref="A29:C29"/>
    <mergeCell ref="A1:G1"/>
    <mergeCell ref="A32:G32"/>
    <mergeCell ref="A2:G2"/>
    <mergeCell ref="A28:C28"/>
    <mergeCell ref="A27:C27"/>
    <mergeCell ref="A30:C30"/>
    <mergeCell ref="A22:C22"/>
    <mergeCell ref="A23:C23"/>
    <mergeCell ref="A24:C24"/>
    <mergeCell ref="A25:C25"/>
    <mergeCell ref="A26:C26"/>
    <mergeCell ref="B6:E6"/>
  </mergeCells>
  <printOptions horizontalCentered="1" verticalCentered="1"/>
  <pageMargins left="0.74803149606299213" right="0.74803149606299213" top="0" bottom="0.98425196850393704" header="0" footer="0"/>
  <pageSetup scale="90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7"/>
  <dimension ref="A1:U49"/>
  <sheetViews>
    <sheetView view="pageBreakPreview" zoomScaleNormal="100" zoomScaleSheetLayoutView="100" workbookViewId="0">
      <selection activeCell="E13" sqref="E13"/>
    </sheetView>
  </sheetViews>
  <sheetFormatPr baseColWidth="10" defaultColWidth="10.7109375" defaultRowHeight="12.75"/>
  <cols>
    <col min="1" max="1" width="15.85546875" style="3" customWidth="1"/>
    <col min="2" max="2" width="14.85546875" style="3" customWidth="1"/>
    <col min="3" max="3" width="13.28515625" style="3" customWidth="1"/>
    <col min="4" max="4" width="11.42578125" style="3"/>
    <col min="5" max="5" width="13.42578125" style="3" customWidth="1"/>
    <col min="6" max="6" width="12.7109375" style="3" customWidth="1"/>
    <col min="7" max="7" width="14" style="3" customWidth="1"/>
    <col min="8" max="256" width="11.42578125" style="3"/>
    <col min="257" max="257" width="15.85546875" style="3" customWidth="1"/>
    <col min="258" max="258" width="14.85546875" style="3" customWidth="1"/>
    <col min="259" max="259" width="13.28515625" style="3" customWidth="1"/>
    <col min="260" max="260" width="11.42578125" style="3"/>
    <col min="261" max="261" width="13.42578125" style="3" customWidth="1"/>
    <col min="262" max="262" width="12.7109375" style="3" customWidth="1"/>
    <col min="263" max="263" width="14" style="3" customWidth="1"/>
    <col min="264" max="512" width="11.42578125" style="3"/>
    <col min="513" max="513" width="15.85546875" style="3" customWidth="1"/>
    <col min="514" max="514" width="14.85546875" style="3" customWidth="1"/>
    <col min="515" max="515" width="13.28515625" style="3" customWidth="1"/>
    <col min="516" max="516" width="11.42578125" style="3"/>
    <col min="517" max="517" width="13.42578125" style="3" customWidth="1"/>
    <col min="518" max="518" width="12.7109375" style="3" customWidth="1"/>
    <col min="519" max="519" width="14" style="3" customWidth="1"/>
    <col min="520" max="768" width="11.42578125" style="3"/>
    <col min="769" max="769" width="15.85546875" style="3" customWidth="1"/>
    <col min="770" max="770" width="14.85546875" style="3" customWidth="1"/>
    <col min="771" max="771" width="13.28515625" style="3" customWidth="1"/>
    <col min="772" max="772" width="11.42578125" style="3"/>
    <col min="773" max="773" width="13.42578125" style="3" customWidth="1"/>
    <col min="774" max="774" width="12.7109375" style="3" customWidth="1"/>
    <col min="775" max="775" width="14" style="3" customWidth="1"/>
    <col min="776" max="1024" width="11.42578125" style="3"/>
    <col min="1025" max="1025" width="15.85546875" style="3" customWidth="1"/>
    <col min="1026" max="1026" width="14.85546875" style="3" customWidth="1"/>
    <col min="1027" max="1027" width="13.28515625" style="3" customWidth="1"/>
    <col min="1028" max="1028" width="11.42578125" style="3"/>
    <col min="1029" max="1029" width="13.42578125" style="3" customWidth="1"/>
    <col min="1030" max="1030" width="12.7109375" style="3" customWidth="1"/>
    <col min="1031" max="1031" width="14" style="3" customWidth="1"/>
    <col min="1032" max="1280" width="11.42578125" style="3"/>
    <col min="1281" max="1281" width="15.85546875" style="3" customWidth="1"/>
    <col min="1282" max="1282" width="14.85546875" style="3" customWidth="1"/>
    <col min="1283" max="1283" width="13.28515625" style="3" customWidth="1"/>
    <col min="1284" max="1284" width="11.42578125" style="3"/>
    <col min="1285" max="1285" width="13.42578125" style="3" customWidth="1"/>
    <col min="1286" max="1286" width="12.7109375" style="3" customWidth="1"/>
    <col min="1287" max="1287" width="14" style="3" customWidth="1"/>
    <col min="1288" max="1536" width="11.42578125" style="3"/>
    <col min="1537" max="1537" width="15.85546875" style="3" customWidth="1"/>
    <col min="1538" max="1538" width="14.85546875" style="3" customWidth="1"/>
    <col min="1539" max="1539" width="13.28515625" style="3" customWidth="1"/>
    <col min="1540" max="1540" width="11.42578125" style="3"/>
    <col min="1541" max="1541" width="13.42578125" style="3" customWidth="1"/>
    <col min="1542" max="1542" width="12.7109375" style="3" customWidth="1"/>
    <col min="1543" max="1543" width="14" style="3" customWidth="1"/>
    <col min="1544" max="1792" width="11.42578125" style="3"/>
    <col min="1793" max="1793" width="15.85546875" style="3" customWidth="1"/>
    <col min="1794" max="1794" width="14.85546875" style="3" customWidth="1"/>
    <col min="1795" max="1795" width="13.28515625" style="3" customWidth="1"/>
    <col min="1796" max="1796" width="11.42578125" style="3"/>
    <col min="1797" max="1797" width="13.42578125" style="3" customWidth="1"/>
    <col min="1798" max="1798" width="12.7109375" style="3" customWidth="1"/>
    <col min="1799" max="1799" width="14" style="3" customWidth="1"/>
    <col min="1800" max="2048" width="11.42578125" style="3"/>
    <col min="2049" max="2049" width="15.85546875" style="3" customWidth="1"/>
    <col min="2050" max="2050" width="14.85546875" style="3" customWidth="1"/>
    <col min="2051" max="2051" width="13.28515625" style="3" customWidth="1"/>
    <col min="2052" max="2052" width="11.42578125" style="3"/>
    <col min="2053" max="2053" width="13.42578125" style="3" customWidth="1"/>
    <col min="2054" max="2054" width="12.7109375" style="3" customWidth="1"/>
    <col min="2055" max="2055" width="14" style="3" customWidth="1"/>
    <col min="2056" max="2304" width="11.42578125" style="3"/>
    <col min="2305" max="2305" width="15.85546875" style="3" customWidth="1"/>
    <col min="2306" max="2306" width="14.85546875" style="3" customWidth="1"/>
    <col min="2307" max="2307" width="13.28515625" style="3" customWidth="1"/>
    <col min="2308" max="2308" width="11.42578125" style="3"/>
    <col min="2309" max="2309" width="13.42578125" style="3" customWidth="1"/>
    <col min="2310" max="2310" width="12.7109375" style="3" customWidth="1"/>
    <col min="2311" max="2311" width="14" style="3" customWidth="1"/>
    <col min="2312" max="2560" width="11.42578125" style="3"/>
    <col min="2561" max="2561" width="15.85546875" style="3" customWidth="1"/>
    <col min="2562" max="2562" width="14.85546875" style="3" customWidth="1"/>
    <col min="2563" max="2563" width="13.28515625" style="3" customWidth="1"/>
    <col min="2564" max="2564" width="11.42578125" style="3"/>
    <col min="2565" max="2565" width="13.42578125" style="3" customWidth="1"/>
    <col min="2566" max="2566" width="12.7109375" style="3" customWidth="1"/>
    <col min="2567" max="2567" width="14" style="3" customWidth="1"/>
    <col min="2568" max="2816" width="11.42578125" style="3"/>
    <col min="2817" max="2817" width="15.85546875" style="3" customWidth="1"/>
    <col min="2818" max="2818" width="14.85546875" style="3" customWidth="1"/>
    <col min="2819" max="2819" width="13.28515625" style="3" customWidth="1"/>
    <col min="2820" max="2820" width="11.42578125" style="3"/>
    <col min="2821" max="2821" width="13.42578125" style="3" customWidth="1"/>
    <col min="2822" max="2822" width="12.7109375" style="3" customWidth="1"/>
    <col min="2823" max="2823" width="14" style="3" customWidth="1"/>
    <col min="2824" max="3072" width="11.42578125" style="3"/>
    <col min="3073" max="3073" width="15.85546875" style="3" customWidth="1"/>
    <col min="3074" max="3074" width="14.85546875" style="3" customWidth="1"/>
    <col min="3075" max="3075" width="13.28515625" style="3" customWidth="1"/>
    <col min="3076" max="3076" width="11.42578125" style="3"/>
    <col min="3077" max="3077" width="13.42578125" style="3" customWidth="1"/>
    <col min="3078" max="3078" width="12.7109375" style="3" customWidth="1"/>
    <col min="3079" max="3079" width="14" style="3" customWidth="1"/>
    <col min="3080" max="3328" width="11.42578125" style="3"/>
    <col min="3329" max="3329" width="15.85546875" style="3" customWidth="1"/>
    <col min="3330" max="3330" width="14.85546875" style="3" customWidth="1"/>
    <col min="3331" max="3331" width="13.28515625" style="3" customWidth="1"/>
    <col min="3332" max="3332" width="11.42578125" style="3"/>
    <col min="3333" max="3333" width="13.42578125" style="3" customWidth="1"/>
    <col min="3334" max="3334" width="12.7109375" style="3" customWidth="1"/>
    <col min="3335" max="3335" width="14" style="3" customWidth="1"/>
    <col min="3336" max="3584" width="11.42578125" style="3"/>
    <col min="3585" max="3585" width="15.85546875" style="3" customWidth="1"/>
    <col min="3586" max="3586" width="14.85546875" style="3" customWidth="1"/>
    <col min="3587" max="3587" width="13.28515625" style="3" customWidth="1"/>
    <col min="3588" max="3588" width="11.42578125" style="3"/>
    <col min="3589" max="3589" width="13.42578125" style="3" customWidth="1"/>
    <col min="3590" max="3590" width="12.7109375" style="3" customWidth="1"/>
    <col min="3591" max="3591" width="14" style="3" customWidth="1"/>
    <col min="3592" max="3840" width="11.42578125" style="3"/>
    <col min="3841" max="3841" width="15.85546875" style="3" customWidth="1"/>
    <col min="3842" max="3842" width="14.85546875" style="3" customWidth="1"/>
    <col min="3843" max="3843" width="13.28515625" style="3" customWidth="1"/>
    <col min="3844" max="3844" width="11.42578125" style="3"/>
    <col min="3845" max="3845" width="13.42578125" style="3" customWidth="1"/>
    <col min="3846" max="3846" width="12.7109375" style="3" customWidth="1"/>
    <col min="3847" max="3847" width="14" style="3" customWidth="1"/>
    <col min="3848" max="4096" width="11.42578125" style="3"/>
    <col min="4097" max="4097" width="15.85546875" style="3" customWidth="1"/>
    <col min="4098" max="4098" width="14.85546875" style="3" customWidth="1"/>
    <col min="4099" max="4099" width="13.28515625" style="3" customWidth="1"/>
    <col min="4100" max="4100" width="11.42578125" style="3"/>
    <col min="4101" max="4101" width="13.42578125" style="3" customWidth="1"/>
    <col min="4102" max="4102" width="12.7109375" style="3" customWidth="1"/>
    <col min="4103" max="4103" width="14" style="3" customWidth="1"/>
    <col min="4104" max="4352" width="11.42578125" style="3"/>
    <col min="4353" max="4353" width="15.85546875" style="3" customWidth="1"/>
    <col min="4354" max="4354" width="14.85546875" style="3" customWidth="1"/>
    <col min="4355" max="4355" width="13.28515625" style="3" customWidth="1"/>
    <col min="4356" max="4356" width="11.42578125" style="3"/>
    <col min="4357" max="4357" width="13.42578125" style="3" customWidth="1"/>
    <col min="4358" max="4358" width="12.7109375" style="3" customWidth="1"/>
    <col min="4359" max="4359" width="14" style="3" customWidth="1"/>
    <col min="4360" max="4608" width="11.42578125" style="3"/>
    <col min="4609" max="4609" width="15.85546875" style="3" customWidth="1"/>
    <col min="4610" max="4610" width="14.85546875" style="3" customWidth="1"/>
    <col min="4611" max="4611" width="13.28515625" style="3" customWidth="1"/>
    <col min="4612" max="4612" width="11.42578125" style="3"/>
    <col min="4613" max="4613" width="13.42578125" style="3" customWidth="1"/>
    <col min="4614" max="4614" width="12.7109375" style="3" customWidth="1"/>
    <col min="4615" max="4615" width="14" style="3" customWidth="1"/>
    <col min="4616" max="4864" width="11.42578125" style="3"/>
    <col min="4865" max="4865" width="15.85546875" style="3" customWidth="1"/>
    <col min="4866" max="4866" width="14.85546875" style="3" customWidth="1"/>
    <col min="4867" max="4867" width="13.28515625" style="3" customWidth="1"/>
    <col min="4868" max="4868" width="11.42578125" style="3"/>
    <col min="4869" max="4869" width="13.42578125" style="3" customWidth="1"/>
    <col min="4870" max="4870" width="12.7109375" style="3" customWidth="1"/>
    <col min="4871" max="4871" width="14" style="3" customWidth="1"/>
    <col min="4872" max="5120" width="11.42578125" style="3"/>
    <col min="5121" max="5121" width="15.85546875" style="3" customWidth="1"/>
    <col min="5122" max="5122" width="14.85546875" style="3" customWidth="1"/>
    <col min="5123" max="5123" width="13.28515625" style="3" customWidth="1"/>
    <col min="5124" max="5124" width="11.42578125" style="3"/>
    <col min="5125" max="5125" width="13.42578125" style="3" customWidth="1"/>
    <col min="5126" max="5126" width="12.7109375" style="3" customWidth="1"/>
    <col min="5127" max="5127" width="14" style="3" customWidth="1"/>
    <col min="5128" max="5376" width="11.42578125" style="3"/>
    <col min="5377" max="5377" width="15.85546875" style="3" customWidth="1"/>
    <col min="5378" max="5378" width="14.85546875" style="3" customWidth="1"/>
    <col min="5379" max="5379" width="13.28515625" style="3" customWidth="1"/>
    <col min="5380" max="5380" width="11.42578125" style="3"/>
    <col min="5381" max="5381" width="13.42578125" style="3" customWidth="1"/>
    <col min="5382" max="5382" width="12.7109375" style="3" customWidth="1"/>
    <col min="5383" max="5383" width="14" style="3" customWidth="1"/>
    <col min="5384" max="5632" width="11.42578125" style="3"/>
    <col min="5633" max="5633" width="15.85546875" style="3" customWidth="1"/>
    <col min="5634" max="5634" width="14.85546875" style="3" customWidth="1"/>
    <col min="5635" max="5635" width="13.28515625" style="3" customWidth="1"/>
    <col min="5636" max="5636" width="11.42578125" style="3"/>
    <col min="5637" max="5637" width="13.42578125" style="3" customWidth="1"/>
    <col min="5638" max="5638" width="12.7109375" style="3" customWidth="1"/>
    <col min="5639" max="5639" width="14" style="3" customWidth="1"/>
    <col min="5640" max="5888" width="11.42578125" style="3"/>
    <col min="5889" max="5889" width="15.85546875" style="3" customWidth="1"/>
    <col min="5890" max="5890" width="14.85546875" style="3" customWidth="1"/>
    <col min="5891" max="5891" width="13.28515625" style="3" customWidth="1"/>
    <col min="5892" max="5892" width="11.42578125" style="3"/>
    <col min="5893" max="5893" width="13.42578125" style="3" customWidth="1"/>
    <col min="5894" max="5894" width="12.7109375" style="3" customWidth="1"/>
    <col min="5895" max="5895" width="14" style="3" customWidth="1"/>
    <col min="5896" max="6144" width="11.42578125" style="3"/>
    <col min="6145" max="6145" width="15.85546875" style="3" customWidth="1"/>
    <col min="6146" max="6146" width="14.85546875" style="3" customWidth="1"/>
    <col min="6147" max="6147" width="13.28515625" style="3" customWidth="1"/>
    <col min="6148" max="6148" width="11.42578125" style="3"/>
    <col min="6149" max="6149" width="13.42578125" style="3" customWidth="1"/>
    <col min="6150" max="6150" width="12.7109375" style="3" customWidth="1"/>
    <col min="6151" max="6151" width="14" style="3" customWidth="1"/>
    <col min="6152" max="6400" width="11.42578125" style="3"/>
    <col min="6401" max="6401" width="15.85546875" style="3" customWidth="1"/>
    <col min="6402" max="6402" width="14.85546875" style="3" customWidth="1"/>
    <col min="6403" max="6403" width="13.28515625" style="3" customWidth="1"/>
    <col min="6404" max="6404" width="11.42578125" style="3"/>
    <col min="6405" max="6405" width="13.42578125" style="3" customWidth="1"/>
    <col min="6406" max="6406" width="12.7109375" style="3" customWidth="1"/>
    <col min="6407" max="6407" width="14" style="3" customWidth="1"/>
    <col min="6408" max="6656" width="11.42578125" style="3"/>
    <col min="6657" max="6657" width="15.85546875" style="3" customWidth="1"/>
    <col min="6658" max="6658" width="14.85546875" style="3" customWidth="1"/>
    <col min="6659" max="6659" width="13.28515625" style="3" customWidth="1"/>
    <col min="6660" max="6660" width="11.42578125" style="3"/>
    <col min="6661" max="6661" width="13.42578125" style="3" customWidth="1"/>
    <col min="6662" max="6662" width="12.7109375" style="3" customWidth="1"/>
    <col min="6663" max="6663" width="14" style="3" customWidth="1"/>
    <col min="6664" max="6912" width="11.42578125" style="3"/>
    <col min="6913" max="6913" width="15.85546875" style="3" customWidth="1"/>
    <col min="6914" max="6914" width="14.85546875" style="3" customWidth="1"/>
    <col min="6915" max="6915" width="13.28515625" style="3" customWidth="1"/>
    <col min="6916" max="6916" width="11.42578125" style="3"/>
    <col min="6917" max="6917" width="13.42578125" style="3" customWidth="1"/>
    <col min="6918" max="6918" width="12.7109375" style="3" customWidth="1"/>
    <col min="6919" max="6919" width="14" style="3" customWidth="1"/>
    <col min="6920" max="7168" width="11.42578125" style="3"/>
    <col min="7169" max="7169" width="15.85546875" style="3" customWidth="1"/>
    <col min="7170" max="7170" width="14.85546875" style="3" customWidth="1"/>
    <col min="7171" max="7171" width="13.28515625" style="3" customWidth="1"/>
    <col min="7172" max="7172" width="11.42578125" style="3"/>
    <col min="7173" max="7173" width="13.42578125" style="3" customWidth="1"/>
    <col min="7174" max="7174" width="12.7109375" style="3" customWidth="1"/>
    <col min="7175" max="7175" width="14" style="3" customWidth="1"/>
    <col min="7176" max="7424" width="11.42578125" style="3"/>
    <col min="7425" max="7425" width="15.85546875" style="3" customWidth="1"/>
    <col min="7426" max="7426" width="14.85546875" style="3" customWidth="1"/>
    <col min="7427" max="7427" width="13.28515625" style="3" customWidth="1"/>
    <col min="7428" max="7428" width="11.42578125" style="3"/>
    <col min="7429" max="7429" width="13.42578125" style="3" customWidth="1"/>
    <col min="7430" max="7430" width="12.7109375" style="3" customWidth="1"/>
    <col min="7431" max="7431" width="14" style="3" customWidth="1"/>
    <col min="7432" max="7680" width="11.42578125" style="3"/>
    <col min="7681" max="7681" width="15.85546875" style="3" customWidth="1"/>
    <col min="7682" max="7682" width="14.85546875" style="3" customWidth="1"/>
    <col min="7683" max="7683" width="13.28515625" style="3" customWidth="1"/>
    <col min="7684" max="7684" width="11.42578125" style="3"/>
    <col min="7685" max="7685" width="13.42578125" style="3" customWidth="1"/>
    <col min="7686" max="7686" width="12.7109375" style="3" customWidth="1"/>
    <col min="7687" max="7687" width="14" style="3" customWidth="1"/>
    <col min="7688" max="7936" width="11.42578125" style="3"/>
    <col min="7937" max="7937" width="15.85546875" style="3" customWidth="1"/>
    <col min="7938" max="7938" width="14.85546875" style="3" customWidth="1"/>
    <col min="7939" max="7939" width="13.28515625" style="3" customWidth="1"/>
    <col min="7940" max="7940" width="11.42578125" style="3"/>
    <col min="7941" max="7941" width="13.42578125" style="3" customWidth="1"/>
    <col min="7942" max="7942" width="12.7109375" style="3" customWidth="1"/>
    <col min="7943" max="7943" width="14" style="3" customWidth="1"/>
    <col min="7944" max="8192" width="11.42578125" style="3"/>
    <col min="8193" max="8193" width="15.85546875" style="3" customWidth="1"/>
    <col min="8194" max="8194" width="14.85546875" style="3" customWidth="1"/>
    <col min="8195" max="8195" width="13.28515625" style="3" customWidth="1"/>
    <col min="8196" max="8196" width="11.42578125" style="3"/>
    <col min="8197" max="8197" width="13.42578125" style="3" customWidth="1"/>
    <col min="8198" max="8198" width="12.7109375" style="3" customWidth="1"/>
    <col min="8199" max="8199" width="14" style="3" customWidth="1"/>
    <col min="8200" max="8448" width="11.42578125" style="3"/>
    <col min="8449" max="8449" width="15.85546875" style="3" customWidth="1"/>
    <col min="8450" max="8450" width="14.85546875" style="3" customWidth="1"/>
    <col min="8451" max="8451" width="13.28515625" style="3" customWidth="1"/>
    <col min="8452" max="8452" width="11.42578125" style="3"/>
    <col min="8453" max="8453" width="13.42578125" style="3" customWidth="1"/>
    <col min="8454" max="8454" width="12.7109375" style="3" customWidth="1"/>
    <col min="8455" max="8455" width="14" style="3" customWidth="1"/>
    <col min="8456" max="8704" width="11.42578125" style="3"/>
    <col min="8705" max="8705" width="15.85546875" style="3" customWidth="1"/>
    <col min="8706" max="8706" width="14.85546875" style="3" customWidth="1"/>
    <col min="8707" max="8707" width="13.28515625" style="3" customWidth="1"/>
    <col min="8708" max="8708" width="11.42578125" style="3"/>
    <col min="8709" max="8709" width="13.42578125" style="3" customWidth="1"/>
    <col min="8710" max="8710" width="12.7109375" style="3" customWidth="1"/>
    <col min="8711" max="8711" width="14" style="3" customWidth="1"/>
    <col min="8712" max="8960" width="11.42578125" style="3"/>
    <col min="8961" max="8961" width="15.85546875" style="3" customWidth="1"/>
    <col min="8962" max="8962" width="14.85546875" style="3" customWidth="1"/>
    <col min="8963" max="8963" width="13.28515625" style="3" customWidth="1"/>
    <col min="8964" max="8964" width="11.42578125" style="3"/>
    <col min="8965" max="8965" width="13.42578125" style="3" customWidth="1"/>
    <col min="8966" max="8966" width="12.7109375" style="3" customWidth="1"/>
    <col min="8967" max="8967" width="14" style="3" customWidth="1"/>
    <col min="8968" max="9216" width="11.42578125" style="3"/>
    <col min="9217" max="9217" width="15.85546875" style="3" customWidth="1"/>
    <col min="9218" max="9218" width="14.85546875" style="3" customWidth="1"/>
    <col min="9219" max="9219" width="13.28515625" style="3" customWidth="1"/>
    <col min="9220" max="9220" width="11.42578125" style="3"/>
    <col min="9221" max="9221" width="13.42578125" style="3" customWidth="1"/>
    <col min="9222" max="9222" width="12.7109375" style="3" customWidth="1"/>
    <col min="9223" max="9223" width="14" style="3" customWidth="1"/>
    <col min="9224" max="9472" width="11.42578125" style="3"/>
    <col min="9473" max="9473" width="15.85546875" style="3" customWidth="1"/>
    <col min="9474" max="9474" width="14.85546875" style="3" customWidth="1"/>
    <col min="9475" max="9475" width="13.28515625" style="3" customWidth="1"/>
    <col min="9476" max="9476" width="11.42578125" style="3"/>
    <col min="9477" max="9477" width="13.42578125" style="3" customWidth="1"/>
    <col min="9478" max="9478" width="12.7109375" style="3" customWidth="1"/>
    <col min="9479" max="9479" width="14" style="3" customWidth="1"/>
    <col min="9480" max="9728" width="11.42578125" style="3"/>
    <col min="9729" max="9729" width="15.85546875" style="3" customWidth="1"/>
    <col min="9730" max="9730" width="14.85546875" style="3" customWidth="1"/>
    <col min="9731" max="9731" width="13.28515625" style="3" customWidth="1"/>
    <col min="9732" max="9732" width="11.42578125" style="3"/>
    <col min="9733" max="9733" width="13.42578125" style="3" customWidth="1"/>
    <col min="9734" max="9734" width="12.7109375" style="3" customWidth="1"/>
    <col min="9735" max="9735" width="14" style="3" customWidth="1"/>
    <col min="9736" max="9984" width="11.42578125" style="3"/>
    <col min="9985" max="9985" width="15.85546875" style="3" customWidth="1"/>
    <col min="9986" max="9986" width="14.85546875" style="3" customWidth="1"/>
    <col min="9987" max="9987" width="13.28515625" style="3" customWidth="1"/>
    <col min="9988" max="9988" width="11.42578125" style="3"/>
    <col min="9989" max="9989" width="13.42578125" style="3" customWidth="1"/>
    <col min="9990" max="9990" width="12.7109375" style="3" customWidth="1"/>
    <col min="9991" max="9991" width="14" style="3" customWidth="1"/>
    <col min="9992" max="10240" width="11.42578125" style="3"/>
    <col min="10241" max="10241" width="15.85546875" style="3" customWidth="1"/>
    <col min="10242" max="10242" width="14.85546875" style="3" customWidth="1"/>
    <col min="10243" max="10243" width="13.28515625" style="3" customWidth="1"/>
    <col min="10244" max="10244" width="11.42578125" style="3"/>
    <col min="10245" max="10245" width="13.42578125" style="3" customWidth="1"/>
    <col min="10246" max="10246" width="12.7109375" style="3" customWidth="1"/>
    <col min="10247" max="10247" width="14" style="3" customWidth="1"/>
    <col min="10248" max="10496" width="11.42578125" style="3"/>
    <col min="10497" max="10497" width="15.85546875" style="3" customWidth="1"/>
    <col min="10498" max="10498" width="14.85546875" style="3" customWidth="1"/>
    <col min="10499" max="10499" width="13.28515625" style="3" customWidth="1"/>
    <col min="10500" max="10500" width="11.42578125" style="3"/>
    <col min="10501" max="10501" width="13.42578125" style="3" customWidth="1"/>
    <col min="10502" max="10502" width="12.7109375" style="3" customWidth="1"/>
    <col min="10503" max="10503" width="14" style="3" customWidth="1"/>
    <col min="10504" max="10752" width="11.42578125" style="3"/>
    <col min="10753" max="10753" width="15.85546875" style="3" customWidth="1"/>
    <col min="10754" max="10754" width="14.85546875" style="3" customWidth="1"/>
    <col min="10755" max="10755" width="13.28515625" style="3" customWidth="1"/>
    <col min="10756" max="10756" width="11.42578125" style="3"/>
    <col min="10757" max="10757" width="13.42578125" style="3" customWidth="1"/>
    <col min="10758" max="10758" width="12.7109375" style="3" customWidth="1"/>
    <col min="10759" max="10759" width="14" style="3" customWidth="1"/>
    <col min="10760" max="11008" width="11.42578125" style="3"/>
    <col min="11009" max="11009" width="15.85546875" style="3" customWidth="1"/>
    <col min="11010" max="11010" width="14.85546875" style="3" customWidth="1"/>
    <col min="11011" max="11011" width="13.28515625" style="3" customWidth="1"/>
    <col min="11012" max="11012" width="11.42578125" style="3"/>
    <col min="11013" max="11013" width="13.42578125" style="3" customWidth="1"/>
    <col min="11014" max="11014" width="12.7109375" style="3" customWidth="1"/>
    <col min="11015" max="11015" width="14" style="3" customWidth="1"/>
    <col min="11016" max="11264" width="11.42578125" style="3"/>
    <col min="11265" max="11265" width="15.85546875" style="3" customWidth="1"/>
    <col min="11266" max="11266" width="14.85546875" style="3" customWidth="1"/>
    <col min="11267" max="11267" width="13.28515625" style="3" customWidth="1"/>
    <col min="11268" max="11268" width="11.42578125" style="3"/>
    <col min="11269" max="11269" width="13.42578125" style="3" customWidth="1"/>
    <col min="11270" max="11270" width="12.7109375" style="3" customWidth="1"/>
    <col min="11271" max="11271" width="14" style="3" customWidth="1"/>
    <col min="11272" max="11520" width="11.42578125" style="3"/>
    <col min="11521" max="11521" width="15.85546875" style="3" customWidth="1"/>
    <col min="11522" max="11522" width="14.85546875" style="3" customWidth="1"/>
    <col min="11523" max="11523" width="13.28515625" style="3" customWidth="1"/>
    <col min="11524" max="11524" width="11.42578125" style="3"/>
    <col min="11525" max="11525" width="13.42578125" style="3" customWidth="1"/>
    <col min="11526" max="11526" width="12.7109375" style="3" customWidth="1"/>
    <col min="11527" max="11527" width="14" style="3" customWidth="1"/>
    <col min="11528" max="11776" width="11.42578125" style="3"/>
    <col min="11777" max="11777" width="15.85546875" style="3" customWidth="1"/>
    <col min="11778" max="11778" width="14.85546875" style="3" customWidth="1"/>
    <col min="11779" max="11779" width="13.28515625" style="3" customWidth="1"/>
    <col min="11780" max="11780" width="11.42578125" style="3"/>
    <col min="11781" max="11781" width="13.42578125" style="3" customWidth="1"/>
    <col min="11782" max="11782" width="12.7109375" style="3" customWidth="1"/>
    <col min="11783" max="11783" width="14" style="3" customWidth="1"/>
    <col min="11784" max="12032" width="11.42578125" style="3"/>
    <col min="12033" max="12033" width="15.85546875" style="3" customWidth="1"/>
    <col min="12034" max="12034" width="14.85546875" style="3" customWidth="1"/>
    <col min="12035" max="12035" width="13.28515625" style="3" customWidth="1"/>
    <col min="12036" max="12036" width="11.42578125" style="3"/>
    <col min="12037" max="12037" width="13.42578125" style="3" customWidth="1"/>
    <col min="12038" max="12038" width="12.7109375" style="3" customWidth="1"/>
    <col min="12039" max="12039" width="14" style="3" customWidth="1"/>
    <col min="12040" max="12288" width="11.42578125" style="3"/>
    <col min="12289" max="12289" width="15.85546875" style="3" customWidth="1"/>
    <col min="12290" max="12290" width="14.85546875" style="3" customWidth="1"/>
    <col min="12291" max="12291" width="13.28515625" style="3" customWidth="1"/>
    <col min="12292" max="12292" width="11.42578125" style="3"/>
    <col min="12293" max="12293" width="13.42578125" style="3" customWidth="1"/>
    <col min="12294" max="12294" width="12.7109375" style="3" customWidth="1"/>
    <col min="12295" max="12295" width="14" style="3" customWidth="1"/>
    <col min="12296" max="12544" width="11.42578125" style="3"/>
    <col min="12545" max="12545" width="15.85546875" style="3" customWidth="1"/>
    <col min="12546" max="12546" width="14.85546875" style="3" customWidth="1"/>
    <col min="12547" max="12547" width="13.28515625" style="3" customWidth="1"/>
    <col min="12548" max="12548" width="11.42578125" style="3"/>
    <col min="12549" max="12549" width="13.42578125" style="3" customWidth="1"/>
    <col min="12550" max="12550" width="12.7109375" style="3" customWidth="1"/>
    <col min="12551" max="12551" width="14" style="3" customWidth="1"/>
    <col min="12552" max="12800" width="11.42578125" style="3"/>
    <col min="12801" max="12801" width="15.85546875" style="3" customWidth="1"/>
    <col min="12802" max="12802" width="14.85546875" style="3" customWidth="1"/>
    <col min="12803" max="12803" width="13.28515625" style="3" customWidth="1"/>
    <col min="12804" max="12804" width="11.42578125" style="3"/>
    <col min="12805" max="12805" width="13.42578125" style="3" customWidth="1"/>
    <col min="12806" max="12806" width="12.7109375" style="3" customWidth="1"/>
    <col min="12807" max="12807" width="14" style="3" customWidth="1"/>
    <col min="12808" max="13056" width="11.42578125" style="3"/>
    <col min="13057" max="13057" width="15.85546875" style="3" customWidth="1"/>
    <col min="13058" max="13058" width="14.85546875" style="3" customWidth="1"/>
    <col min="13059" max="13059" width="13.28515625" style="3" customWidth="1"/>
    <col min="13060" max="13060" width="11.42578125" style="3"/>
    <col min="13061" max="13061" width="13.42578125" style="3" customWidth="1"/>
    <col min="13062" max="13062" width="12.7109375" style="3" customWidth="1"/>
    <col min="13063" max="13063" width="14" style="3" customWidth="1"/>
    <col min="13064" max="13312" width="11.42578125" style="3"/>
    <col min="13313" max="13313" width="15.85546875" style="3" customWidth="1"/>
    <col min="13314" max="13314" width="14.85546875" style="3" customWidth="1"/>
    <col min="13315" max="13315" width="13.28515625" style="3" customWidth="1"/>
    <col min="13316" max="13316" width="11.42578125" style="3"/>
    <col min="13317" max="13317" width="13.42578125" style="3" customWidth="1"/>
    <col min="13318" max="13318" width="12.7109375" style="3" customWidth="1"/>
    <col min="13319" max="13319" width="14" style="3" customWidth="1"/>
    <col min="13320" max="13568" width="11.42578125" style="3"/>
    <col min="13569" max="13569" width="15.85546875" style="3" customWidth="1"/>
    <col min="13570" max="13570" width="14.85546875" style="3" customWidth="1"/>
    <col min="13571" max="13571" width="13.28515625" style="3" customWidth="1"/>
    <col min="13572" max="13572" width="11.42578125" style="3"/>
    <col min="13573" max="13573" width="13.42578125" style="3" customWidth="1"/>
    <col min="13574" max="13574" width="12.7109375" style="3" customWidth="1"/>
    <col min="13575" max="13575" width="14" style="3" customWidth="1"/>
    <col min="13576" max="13824" width="11.42578125" style="3"/>
    <col min="13825" max="13825" width="15.85546875" style="3" customWidth="1"/>
    <col min="13826" max="13826" width="14.85546875" style="3" customWidth="1"/>
    <col min="13827" max="13827" width="13.28515625" style="3" customWidth="1"/>
    <col min="13828" max="13828" width="11.42578125" style="3"/>
    <col min="13829" max="13829" width="13.42578125" style="3" customWidth="1"/>
    <col min="13830" max="13830" width="12.7109375" style="3" customWidth="1"/>
    <col min="13831" max="13831" width="14" style="3" customWidth="1"/>
    <col min="13832" max="14080" width="11.42578125" style="3"/>
    <col min="14081" max="14081" width="15.85546875" style="3" customWidth="1"/>
    <col min="14082" max="14082" width="14.85546875" style="3" customWidth="1"/>
    <col min="14083" max="14083" width="13.28515625" style="3" customWidth="1"/>
    <col min="14084" max="14084" width="11.42578125" style="3"/>
    <col min="14085" max="14085" width="13.42578125" style="3" customWidth="1"/>
    <col min="14086" max="14086" width="12.7109375" style="3" customWidth="1"/>
    <col min="14087" max="14087" width="14" style="3" customWidth="1"/>
    <col min="14088" max="14336" width="11.42578125" style="3"/>
    <col min="14337" max="14337" width="15.85546875" style="3" customWidth="1"/>
    <col min="14338" max="14338" width="14.85546875" style="3" customWidth="1"/>
    <col min="14339" max="14339" width="13.28515625" style="3" customWidth="1"/>
    <col min="14340" max="14340" width="11.42578125" style="3"/>
    <col min="14341" max="14341" width="13.42578125" style="3" customWidth="1"/>
    <col min="14342" max="14342" width="12.7109375" style="3" customWidth="1"/>
    <col min="14343" max="14343" width="14" style="3" customWidth="1"/>
    <col min="14344" max="14592" width="11.42578125" style="3"/>
    <col min="14593" max="14593" width="15.85546875" style="3" customWidth="1"/>
    <col min="14594" max="14594" width="14.85546875" style="3" customWidth="1"/>
    <col min="14595" max="14595" width="13.28515625" style="3" customWidth="1"/>
    <col min="14596" max="14596" width="11.42578125" style="3"/>
    <col min="14597" max="14597" width="13.42578125" style="3" customWidth="1"/>
    <col min="14598" max="14598" width="12.7109375" style="3" customWidth="1"/>
    <col min="14599" max="14599" width="14" style="3" customWidth="1"/>
    <col min="14600" max="14848" width="11.42578125" style="3"/>
    <col min="14849" max="14849" width="15.85546875" style="3" customWidth="1"/>
    <col min="14850" max="14850" width="14.85546875" style="3" customWidth="1"/>
    <col min="14851" max="14851" width="13.28515625" style="3" customWidth="1"/>
    <col min="14852" max="14852" width="11.42578125" style="3"/>
    <col min="14853" max="14853" width="13.42578125" style="3" customWidth="1"/>
    <col min="14854" max="14854" width="12.7109375" style="3" customWidth="1"/>
    <col min="14855" max="14855" width="14" style="3" customWidth="1"/>
    <col min="14856" max="15104" width="11.42578125" style="3"/>
    <col min="15105" max="15105" width="15.85546875" style="3" customWidth="1"/>
    <col min="15106" max="15106" width="14.85546875" style="3" customWidth="1"/>
    <col min="15107" max="15107" width="13.28515625" style="3" customWidth="1"/>
    <col min="15108" max="15108" width="11.42578125" style="3"/>
    <col min="15109" max="15109" width="13.42578125" style="3" customWidth="1"/>
    <col min="15110" max="15110" width="12.7109375" style="3" customWidth="1"/>
    <col min="15111" max="15111" width="14" style="3" customWidth="1"/>
    <col min="15112" max="15360" width="11.42578125" style="3"/>
    <col min="15361" max="15361" width="15.85546875" style="3" customWidth="1"/>
    <col min="15362" max="15362" width="14.85546875" style="3" customWidth="1"/>
    <col min="15363" max="15363" width="13.28515625" style="3" customWidth="1"/>
    <col min="15364" max="15364" width="11.42578125" style="3"/>
    <col min="15365" max="15365" width="13.42578125" style="3" customWidth="1"/>
    <col min="15366" max="15366" width="12.7109375" style="3" customWidth="1"/>
    <col min="15367" max="15367" width="14" style="3" customWidth="1"/>
    <col min="15368" max="15616" width="11.42578125" style="3"/>
    <col min="15617" max="15617" width="15.85546875" style="3" customWidth="1"/>
    <col min="15618" max="15618" width="14.85546875" style="3" customWidth="1"/>
    <col min="15619" max="15619" width="13.28515625" style="3" customWidth="1"/>
    <col min="15620" max="15620" width="11.42578125" style="3"/>
    <col min="15621" max="15621" width="13.42578125" style="3" customWidth="1"/>
    <col min="15622" max="15622" width="12.7109375" style="3" customWidth="1"/>
    <col min="15623" max="15623" width="14" style="3" customWidth="1"/>
    <col min="15624" max="15872" width="11.42578125" style="3"/>
    <col min="15873" max="15873" width="15.85546875" style="3" customWidth="1"/>
    <col min="15874" max="15874" width="14.85546875" style="3" customWidth="1"/>
    <col min="15875" max="15875" width="13.28515625" style="3" customWidth="1"/>
    <col min="15876" max="15876" width="11.42578125" style="3"/>
    <col min="15877" max="15877" width="13.42578125" style="3" customWidth="1"/>
    <col min="15878" max="15878" width="12.7109375" style="3" customWidth="1"/>
    <col min="15879" max="15879" width="14" style="3" customWidth="1"/>
    <col min="15880" max="16128" width="11.42578125" style="3"/>
    <col min="16129" max="16129" width="15.85546875" style="3" customWidth="1"/>
    <col min="16130" max="16130" width="14.85546875" style="3" customWidth="1"/>
    <col min="16131" max="16131" width="13.28515625" style="3" customWidth="1"/>
    <col min="16132" max="16132" width="11.42578125" style="3"/>
    <col min="16133" max="16133" width="13.42578125" style="3" customWidth="1"/>
    <col min="16134" max="16134" width="12.7109375" style="3" customWidth="1"/>
    <col min="16135" max="16135" width="14" style="3" customWidth="1"/>
    <col min="16136" max="16384" width="11.42578125" style="3"/>
  </cols>
  <sheetData>
    <row r="1" spans="1:21" ht="48" customHeight="1">
      <c r="A1" s="1346" t="str">
        <f>PPTO!D3</f>
        <v>PRESUPUESTO
MUNICIPIO EL BAGRE (ANTIOQUIA).</v>
      </c>
      <c r="B1" s="1347"/>
      <c r="C1" s="1347"/>
      <c r="D1" s="1347"/>
      <c r="E1" s="1347"/>
      <c r="F1" s="1347"/>
      <c r="G1" s="1348"/>
      <c r="H1" s="1"/>
      <c r="I1" s="2"/>
    </row>
    <row r="2" spans="1:21" ht="18" customHeight="1">
      <c r="A2" s="1362" t="s">
        <v>16</v>
      </c>
      <c r="B2" s="1363"/>
      <c r="C2" s="1363"/>
      <c r="D2" s="1363"/>
      <c r="E2" s="1363"/>
      <c r="F2" s="1363"/>
      <c r="G2" s="1364"/>
      <c r="H2" s="1"/>
      <c r="I2" s="2"/>
    </row>
    <row r="3" spans="1:21" ht="23.25" customHeight="1">
      <c r="A3" s="1367" t="str">
        <f>+PPTO!$D$5</f>
        <v>PROYECTO DE MEJORAMIENTO VIAL, ESPACIO PUBLICO Y OBRAS COMPLEMENTARIAS DE LA AVENIDA LA JUVENTUD Y TRAMOS ADYACENTES Y PRIORITARIOS DEL SECTOR URBANO EN EL MUNICIPIO EL BAGRE ANTIOQUIA.</v>
      </c>
      <c r="B3" s="1368"/>
      <c r="C3" s="1368"/>
      <c r="D3" s="1368"/>
      <c r="E3" s="1368"/>
      <c r="F3" s="1368"/>
      <c r="G3" s="1369"/>
      <c r="H3" s="1"/>
      <c r="I3" s="2"/>
    </row>
    <row r="4" spans="1:21" ht="30" customHeight="1">
      <c r="A4" s="1370"/>
      <c r="B4" s="1368"/>
      <c r="C4" s="1368"/>
      <c r="D4" s="1368"/>
      <c r="E4" s="1368"/>
      <c r="F4" s="1368"/>
      <c r="G4" s="1369"/>
      <c r="H4" s="1"/>
      <c r="I4" s="2"/>
    </row>
    <row r="5" spans="1:21" ht="6.75" customHeight="1">
      <c r="A5" s="222"/>
      <c r="B5" s="6"/>
      <c r="C5" s="24"/>
      <c r="D5" s="25"/>
      <c r="E5" s="6"/>
      <c r="F5" s="6"/>
      <c r="G5" s="223"/>
      <c r="H5" s="9"/>
    </row>
    <row r="6" spans="1:21" ht="52.5" customHeight="1">
      <c r="A6" s="368">
        <v>2.2000000000000002</v>
      </c>
      <c r="B6" s="1349" t="str">
        <f>VLOOKUP(A6,PPTO!D4:I131,2,FALSE)</f>
        <v>Excavación mecánica de 0 a 2m (Incluye fractura de placas y corte )</v>
      </c>
      <c r="C6" s="1350"/>
      <c r="D6" s="1350"/>
      <c r="E6" s="1351"/>
      <c r="F6" s="192" t="s">
        <v>118</v>
      </c>
      <c r="G6" s="248" t="str">
        <f>VLOOKUP(A6,PPTO!D4:I131,3,FALSE)</f>
        <v>m3</v>
      </c>
      <c r="H6" s="9"/>
    </row>
    <row r="7" spans="1:21" ht="3.75" customHeight="1">
      <c r="A7" s="226"/>
      <c r="B7" s="4"/>
      <c r="C7" s="6"/>
      <c r="D7" s="4"/>
      <c r="E7" s="4"/>
      <c r="F7" s="4"/>
      <c r="G7" s="227"/>
      <c r="H7" s="9"/>
    </row>
    <row r="8" spans="1:21" ht="22.5" customHeight="1">
      <c r="A8" s="1354" t="s">
        <v>69</v>
      </c>
      <c r="B8" s="1355"/>
      <c r="C8" s="1355"/>
      <c r="D8" s="1355"/>
      <c r="E8" s="1355"/>
      <c r="F8" s="1355"/>
      <c r="G8" s="1356"/>
      <c r="H8" s="9"/>
    </row>
    <row r="9" spans="1:21" ht="4.5" customHeight="1">
      <c r="A9" s="226"/>
      <c r="B9" s="4"/>
      <c r="C9" s="6"/>
      <c r="D9" s="4"/>
      <c r="E9" s="4"/>
      <c r="F9" s="4"/>
      <c r="G9" s="227"/>
      <c r="H9" s="9"/>
      <c r="I9" s="5"/>
      <c r="J9" s="5"/>
      <c r="K9" s="5"/>
      <c r="L9" s="26"/>
      <c r="M9" s="5"/>
      <c r="N9" s="5"/>
      <c r="O9" s="5"/>
      <c r="P9" s="5"/>
    </row>
    <row r="10" spans="1:21">
      <c r="A10" s="1373" t="s">
        <v>17</v>
      </c>
      <c r="B10" s="1374"/>
      <c r="C10" s="1374"/>
      <c r="D10" s="220" t="s">
        <v>18</v>
      </c>
      <c r="E10" s="220" t="s">
        <v>19</v>
      </c>
      <c r="F10" s="220" t="s">
        <v>20</v>
      </c>
      <c r="G10" s="228" t="s">
        <v>21</v>
      </c>
      <c r="H10" s="27"/>
      <c r="I10" s="28"/>
      <c r="J10" s="29"/>
      <c r="K10" s="30"/>
      <c r="L10" s="30"/>
      <c r="M10" s="30"/>
      <c r="N10" s="30"/>
      <c r="O10" s="30"/>
      <c r="P10" s="5"/>
    </row>
    <row r="11" spans="1:21">
      <c r="A11" s="1352" t="s">
        <v>75</v>
      </c>
      <c r="B11" s="1353"/>
      <c r="C11" s="1353"/>
      <c r="D11" s="220"/>
      <c r="E11" s="83"/>
      <c r="F11" s="97"/>
      <c r="G11" s="229">
        <f>+G40*5%</f>
        <v>575</v>
      </c>
      <c r="H11" s="9"/>
      <c r="I11" s="30"/>
      <c r="J11" s="31"/>
      <c r="K11" s="30"/>
      <c r="L11" s="30"/>
      <c r="M11" s="30"/>
      <c r="N11" s="30"/>
      <c r="O11" s="30"/>
      <c r="P11" s="5"/>
    </row>
    <row r="12" spans="1:21">
      <c r="A12" s="1371" t="s">
        <v>76</v>
      </c>
      <c r="B12" s="1372"/>
      <c r="C12" s="1372"/>
      <c r="D12" s="83" t="s">
        <v>42</v>
      </c>
      <c r="E12" s="83">
        <v>170000</v>
      </c>
      <c r="F12" s="97">
        <f>F35</f>
        <v>14</v>
      </c>
      <c r="G12" s="229">
        <f>E12/F12</f>
        <v>12143</v>
      </c>
      <c r="H12" s="9"/>
      <c r="I12" s="16"/>
      <c r="J12" s="13"/>
      <c r="K12" s="8"/>
      <c r="L12" s="8"/>
      <c r="M12" s="8"/>
      <c r="N12" s="8"/>
      <c r="O12" s="8"/>
      <c r="P12" s="5"/>
    </row>
    <row r="13" spans="1:21">
      <c r="A13" s="1371"/>
      <c r="B13" s="1372"/>
      <c r="C13" s="1372"/>
      <c r="D13" s="83"/>
      <c r="E13" s="83"/>
      <c r="F13" s="97"/>
      <c r="G13" s="229"/>
      <c r="H13" s="9"/>
      <c r="I13" s="13"/>
      <c r="J13" s="13"/>
      <c r="K13" s="13"/>
      <c r="L13" s="13"/>
      <c r="M13" s="13"/>
      <c r="N13" s="13"/>
      <c r="O13" s="13"/>
      <c r="P13" s="5"/>
    </row>
    <row r="14" spans="1:21">
      <c r="A14" s="1375"/>
      <c r="B14" s="1376"/>
      <c r="C14" s="1376"/>
      <c r="D14" s="83"/>
      <c r="E14" s="83"/>
      <c r="F14" s="98"/>
      <c r="G14" s="229"/>
      <c r="H14" s="9"/>
      <c r="I14" s="8"/>
      <c r="J14" s="14"/>
      <c r="K14" s="32"/>
      <c r="L14" s="14"/>
      <c r="M14" s="15"/>
      <c r="N14" s="15"/>
      <c r="O14" s="19"/>
      <c r="P14" s="5"/>
    </row>
    <row r="15" spans="1:21">
      <c r="A15" s="1371"/>
      <c r="B15" s="1372"/>
      <c r="C15" s="1372"/>
      <c r="D15" s="83"/>
      <c r="E15" s="83"/>
      <c r="F15" s="98"/>
      <c r="G15" s="229"/>
      <c r="H15" s="9"/>
      <c r="I15" s="8"/>
      <c r="J15" s="33"/>
      <c r="K15" s="32"/>
      <c r="L15" s="14"/>
      <c r="M15" s="15"/>
      <c r="N15" s="15"/>
      <c r="O15" s="19"/>
      <c r="P15" s="5"/>
      <c r="Q15" s="5"/>
      <c r="R15" s="5"/>
      <c r="S15" s="5"/>
      <c r="T15" s="5"/>
      <c r="U15" s="5"/>
    </row>
    <row r="16" spans="1:21">
      <c r="A16" s="1371"/>
      <c r="B16" s="1372"/>
      <c r="C16" s="1372"/>
      <c r="D16" s="85" t="s">
        <v>37</v>
      </c>
      <c r="E16" s="50"/>
      <c r="F16" s="49"/>
      <c r="G16" s="230">
        <f>SUM(G11:G15)</f>
        <v>12718</v>
      </c>
      <c r="H16" s="9"/>
      <c r="I16" s="34"/>
      <c r="J16" s="34"/>
      <c r="K16" s="35"/>
      <c r="L16" s="36"/>
      <c r="M16" s="7"/>
      <c r="N16" s="7"/>
      <c r="O16" s="19"/>
      <c r="P16" s="5"/>
      <c r="Q16" s="5"/>
      <c r="R16" s="5"/>
      <c r="S16" s="5"/>
      <c r="T16" s="5"/>
      <c r="U16" s="5"/>
    </row>
    <row r="17" spans="1:21" ht="4.5" customHeight="1">
      <c r="A17" s="226"/>
      <c r="B17" s="4"/>
      <c r="C17" s="6"/>
      <c r="D17" s="4"/>
      <c r="E17" s="4"/>
      <c r="F17" s="4"/>
      <c r="G17" s="227"/>
      <c r="H17" s="9"/>
      <c r="I17" s="34"/>
      <c r="J17" s="34"/>
      <c r="K17" s="35"/>
      <c r="L17" s="36"/>
      <c r="M17" s="7"/>
      <c r="N17" s="7"/>
      <c r="O17" s="19"/>
      <c r="P17" s="5"/>
      <c r="Q17" s="5"/>
      <c r="R17" s="5"/>
      <c r="S17" s="5"/>
      <c r="T17" s="5"/>
      <c r="U17" s="5"/>
    </row>
    <row r="18" spans="1:21" ht="22.5" customHeight="1">
      <c r="A18" s="1354" t="s">
        <v>70</v>
      </c>
      <c r="B18" s="1355"/>
      <c r="C18" s="1355"/>
      <c r="D18" s="1355"/>
      <c r="E18" s="1355"/>
      <c r="F18" s="1355"/>
      <c r="G18" s="1356"/>
      <c r="H18" s="9"/>
    </row>
    <row r="19" spans="1:21" ht="4.5" customHeight="1">
      <c r="A19" s="226"/>
      <c r="B19" s="4"/>
      <c r="C19" s="6"/>
      <c r="D19" s="4"/>
      <c r="E19" s="4"/>
      <c r="F19" s="38"/>
      <c r="G19" s="227"/>
      <c r="H19" s="9"/>
      <c r="I19" s="34"/>
      <c r="J19" s="34"/>
      <c r="K19" s="35"/>
      <c r="L19" s="39"/>
      <c r="M19" s="7"/>
      <c r="N19" s="7"/>
      <c r="O19" s="8"/>
      <c r="P19" s="5"/>
      <c r="Q19" s="5"/>
      <c r="R19" s="5"/>
      <c r="S19" s="5"/>
      <c r="T19" s="5"/>
      <c r="U19" s="5"/>
    </row>
    <row r="20" spans="1:21">
      <c r="A20" s="1373" t="s">
        <v>17</v>
      </c>
      <c r="B20" s="1374"/>
      <c r="C20" s="1374"/>
      <c r="D20" s="220" t="s">
        <v>3</v>
      </c>
      <c r="E20" s="220" t="s">
        <v>4</v>
      </c>
      <c r="F20" s="220" t="s">
        <v>25</v>
      </c>
      <c r="G20" s="228" t="s">
        <v>21</v>
      </c>
      <c r="H20" s="27"/>
      <c r="I20" s="34"/>
      <c r="J20" s="34"/>
      <c r="K20" s="35"/>
      <c r="L20" s="39"/>
      <c r="M20" s="7"/>
      <c r="N20" s="7"/>
      <c r="O20" s="8"/>
      <c r="P20" s="5"/>
      <c r="Q20" s="5"/>
      <c r="R20" s="5"/>
      <c r="S20" s="5"/>
      <c r="T20" s="5"/>
      <c r="U20" s="5"/>
    </row>
    <row r="21" spans="1:21">
      <c r="A21" s="1365"/>
      <c r="B21" s="1366"/>
      <c r="C21" s="1366"/>
      <c r="D21" s="73"/>
      <c r="E21" s="92"/>
      <c r="F21" s="91"/>
      <c r="G21" s="231"/>
      <c r="H21" s="9"/>
      <c r="I21" s="34"/>
      <c r="J21" s="34"/>
      <c r="K21" s="35"/>
      <c r="L21" s="39"/>
      <c r="M21" s="7"/>
      <c r="N21" s="7"/>
      <c r="O21" s="13"/>
      <c r="P21" s="5"/>
      <c r="Q21" s="5"/>
      <c r="R21" s="5"/>
      <c r="S21" s="5"/>
      <c r="T21" s="5"/>
      <c r="U21" s="5"/>
    </row>
    <row r="22" spans="1:21">
      <c r="A22" s="1365"/>
      <c r="B22" s="1366"/>
      <c r="C22" s="1366"/>
      <c r="D22" s="76"/>
      <c r="E22" s="92"/>
      <c r="F22" s="83"/>
      <c r="G22" s="231"/>
      <c r="H22" s="9"/>
      <c r="I22" s="10"/>
      <c r="J22" s="10"/>
      <c r="K22" s="12"/>
      <c r="L22" s="39"/>
      <c r="M22" s="7"/>
      <c r="N22" s="7"/>
      <c r="O22" s="15"/>
      <c r="P22" s="5"/>
      <c r="Q22" s="5"/>
      <c r="R22" s="5"/>
      <c r="S22" s="5"/>
      <c r="T22" s="5"/>
      <c r="U22" s="5"/>
    </row>
    <row r="23" spans="1:21">
      <c r="A23" s="1352"/>
      <c r="B23" s="1353"/>
      <c r="C23" s="1353"/>
      <c r="D23" s="73"/>
      <c r="E23" s="90"/>
      <c r="F23" s="83"/>
      <c r="G23" s="231"/>
      <c r="H23" s="9"/>
      <c r="I23" s="10"/>
      <c r="J23" s="10"/>
      <c r="K23" s="12"/>
      <c r="L23" s="39"/>
      <c r="M23" s="7"/>
      <c r="N23" s="7"/>
      <c r="O23" s="15"/>
      <c r="P23" s="5"/>
      <c r="Q23" s="5"/>
      <c r="R23" s="5"/>
      <c r="S23" s="5"/>
      <c r="T23" s="5"/>
      <c r="U23" s="5"/>
    </row>
    <row r="24" spans="1:21">
      <c r="A24" s="1352"/>
      <c r="B24" s="1353"/>
      <c r="C24" s="1353"/>
      <c r="D24" s="79"/>
      <c r="E24" s="82"/>
      <c r="F24" s="83"/>
      <c r="G24" s="231"/>
      <c r="H24" s="9"/>
      <c r="I24" s="10"/>
      <c r="J24" s="40"/>
      <c r="K24" s="12"/>
      <c r="L24" s="13"/>
      <c r="M24" s="14"/>
      <c r="N24" s="14"/>
      <c r="O24" s="15"/>
      <c r="P24" s="5"/>
      <c r="Q24" s="5"/>
      <c r="R24" s="5"/>
      <c r="S24" s="5"/>
      <c r="T24" s="5"/>
      <c r="U24" s="5"/>
    </row>
    <row r="25" spans="1:21">
      <c r="A25" s="1352"/>
      <c r="B25" s="1353"/>
      <c r="C25" s="1353"/>
      <c r="D25" s="81"/>
      <c r="E25" s="82"/>
      <c r="F25" s="83"/>
      <c r="G25" s="231"/>
      <c r="H25" s="9"/>
      <c r="I25" s="10"/>
      <c r="J25" s="11"/>
      <c r="K25" s="12"/>
      <c r="L25" s="13"/>
      <c r="M25" s="14"/>
      <c r="N25" s="14"/>
      <c r="O25" s="15"/>
      <c r="P25" s="5"/>
      <c r="Q25" s="5"/>
      <c r="R25" s="5"/>
      <c r="S25" s="5"/>
      <c r="T25" s="5"/>
      <c r="U25" s="5"/>
    </row>
    <row r="26" spans="1:21">
      <c r="A26" s="1352"/>
      <c r="B26" s="1353"/>
      <c r="C26" s="1353"/>
      <c r="D26" s="79"/>
      <c r="E26" s="82"/>
      <c r="F26" s="83"/>
      <c r="G26" s="231"/>
      <c r="H26" s="9"/>
      <c r="I26" s="10"/>
      <c r="J26" s="11"/>
      <c r="K26" s="12"/>
      <c r="L26" s="13"/>
      <c r="M26" s="14"/>
      <c r="N26" s="14"/>
      <c r="O26" s="15"/>
      <c r="P26" s="5"/>
      <c r="Q26" s="5"/>
      <c r="R26" s="5"/>
      <c r="S26" s="5"/>
      <c r="T26" s="5"/>
      <c r="U26" s="5"/>
    </row>
    <row r="27" spans="1:21">
      <c r="A27" s="1352"/>
      <c r="B27" s="1353"/>
      <c r="C27" s="1353"/>
      <c r="D27" s="79"/>
      <c r="E27" s="82"/>
      <c r="F27" s="83"/>
      <c r="G27" s="231"/>
      <c r="H27" s="9"/>
      <c r="I27" s="10"/>
      <c r="J27" s="11"/>
      <c r="K27" s="12"/>
      <c r="L27" s="13"/>
      <c r="M27" s="14"/>
      <c r="N27" s="14"/>
      <c r="O27" s="15"/>
      <c r="P27" s="5"/>
      <c r="Q27" s="5"/>
      <c r="R27" s="5"/>
      <c r="S27" s="5"/>
      <c r="T27" s="5"/>
      <c r="U27" s="5"/>
    </row>
    <row r="28" spans="1:21">
      <c r="A28" s="1352"/>
      <c r="B28" s="1353"/>
      <c r="C28" s="1353"/>
      <c r="D28" s="79"/>
      <c r="E28" s="82"/>
      <c r="F28" s="83"/>
      <c r="G28" s="231"/>
      <c r="H28" s="9"/>
      <c r="I28" s="41"/>
      <c r="J28" s="41"/>
      <c r="K28" s="12"/>
      <c r="L28" s="13"/>
      <c r="M28" s="14"/>
      <c r="N28" s="14"/>
      <c r="O28" s="15"/>
      <c r="P28" s="5"/>
      <c r="Q28" s="5"/>
      <c r="R28" s="5"/>
      <c r="S28" s="5"/>
      <c r="T28" s="5"/>
      <c r="U28" s="5"/>
    </row>
    <row r="29" spans="1:21">
      <c r="A29" s="1352"/>
      <c r="B29" s="1353"/>
      <c r="C29" s="1353"/>
      <c r="D29" s="84"/>
      <c r="E29" s="84"/>
      <c r="F29" s="83"/>
      <c r="G29" s="231"/>
      <c r="H29" s="9"/>
      <c r="I29" s="42"/>
      <c r="J29" s="42"/>
      <c r="K29" s="42"/>
      <c r="L29" s="13"/>
      <c r="M29" s="14"/>
      <c r="N29" s="14"/>
      <c r="O29" s="15"/>
      <c r="P29" s="5"/>
      <c r="Q29" s="5"/>
      <c r="R29" s="5"/>
      <c r="S29" s="5"/>
      <c r="T29" s="5"/>
      <c r="U29" s="5"/>
    </row>
    <row r="30" spans="1:21">
      <c r="A30" s="1352"/>
      <c r="B30" s="1353"/>
      <c r="C30" s="1353"/>
      <c r="D30" s="85" t="s">
        <v>28</v>
      </c>
      <c r="E30" s="50"/>
      <c r="F30" s="49"/>
      <c r="G30" s="230">
        <f>SUM(G21:G29)</f>
        <v>0</v>
      </c>
      <c r="H30" s="9"/>
      <c r="I30" s="8"/>
      <c r="J30" s="13"/>
      <c r="K30" s="8"/>
      <c r="L30" s="13"/>
      <c r="M30" s="14"/>
      <c r="N30" s="14"/>
      <c r="O30" s="15"/>
      <c r="P30" s="5"/>
    </row>
    <row r="31" spans="1:21" ht="3.75" customHeight="1">
      <c r="A31" s="226"/>
      <c r="B31" s="4"/>
      <c r="C31" s="6"/>
      <c r="D31" s="4"/>
      <c r="E31" s="4"/>
      <c r="F31" s="4"/>
      <c r="G31" s="227"/>
      <c r="H31" s="9"/>
      <c r="I31" s="8"/>
      <c r="J31" s="13"/>
      <c r="K31" s="18"/>
      <c r="L31" s="13"/>
      <c r="M31" s="33"/>
      <c r="N31" s="33"/>
      <c r="O31" s="15"/>
      <c r="P31" s="5"/>
    </row>
    <row r="32" spans="1:21" ht="22.5" customHeight="1">
      <c r="A32" s="1354" t="s">
        <v>71</v>
      </c>
      <c r="B32" s="1355"/>
      <c r="C32" s="1355"/>
      <c r="D32" s="1355"/>
      <c r="E32" s="1355"/>
      <c r="F32" s="1355"/>
      <c r="G32" s="1356"/>
      <c r="H32" s="9"/>
    </row>
    <row r="33" spans="1:16" ht="3.75" customHeight="1">
      <c r="A33" s="226"/>
      <c r="B33" s="4"/>
      <c r="C33" s="6"/>
      <c r="D33" s="4"/>
      <c r="E33" s="4"/>
      <c r="F33" s="4"/>
      <c r="G33" s="227"/>
      <c r="H33" s="9"/>
      <c r="I33" s="8"/>
      <c r="J33" s="13"/>
      <c r="K33" s="8"/>
      <c r="L33" s="8"/>
      <c r="M33" s="8"/>
      <c r="N33" s="8"/>
      <c r="O33" s="15"/>
      <c r="P33" s="5"/>
    </row>
    <row r="34" spans="1:16">
      <c r="A34" s="232" t="s">
        <v>5</v>
      </c>
      <c r="B34" s="60" t="s">
        <v>29</v>
      </c>
      <c r="C34" s="60" t="s">
        <v>30</v>
      </c>
      <c r="D34" s="60" t="s">
        <v>31</v>
      </c>
      <c r="E34" s="60" t="s">
        <v>32</v>
      </c>
      <c r="F34" s="60" t="s">
        <v>20</v>
      </c>
      <c r="G34" s="228" t="s">
        <v>33</v>
      </c>
      <c r="H34" s="27"/>
      <c r="I34" s="8"/>
      <c r="J34" s="13"/>
      <c r="K34" s="8"/>
      <c r="L34" s="8"/>
      <c r="M34" s="8"/>
      <c r="N34" s="8"/>
      <c r="O34" s="15"/>
      <c r="P34" s="5"/>
    </row>
    <row r="35" spans="1:16">
      <c r="A35" s="233" t="s">
        <v>41</v>
      </c>
      <c r="B35" s="63">
        <f>BOF</f>
        <v>51749</v>
      </c>
      <c r="C35" s="68">
        <f>ffpp</f>
        <v>0.64539999999999997</v>
      </c>
      <c r="D35" s="72">
        <v>1</v>
      </c>
      <c r="E35" s="66">
        <f>OF</f>
        <v>88696</v>
      </c>
      <c r="F35" s="65">
        <v>14</v>
      </c>
      <c r="G35" s="231">
        <f>ROUND(+D35*E35/F35,0)</f>
        <v>6335</v>
      </c>
      <c r="H35" s="9"/>
      <c r="I35" s="16"/>
      <c r="J35" s="13"/>
      <c r="K35" s="8"/>
      <c r="L35" s="8"/>
      <c r="M35" s="8"/>
      <c r="N35" s="8"/>
      <c r="O35" s="15"/>
      <c r="P35" s="5"/>
    </row>
    <row r="36" spans="1:16">
      <c r="A36" s="233" t="s">
        <v>38</v>
      </c>
      <c r="B36" s="63">
        <f>BOB</f>
        <v>41749</v>
      </c>
      <c r="C36" s="68">
        <f>ffpp</f>
        <v>0.64539999999999997</v>
      </c>
      <c r="D36" s="72">
        <v>1</v>
      </c>
      <c r="E36" s="66">
        <f>OB</f>
        <v>72242</v>
      </c>
      <c r="F36" s="65">
        <f>F35</f>
        <v>14</v>
      </c>
      <c r="G36" s="231">
        <f>ROUND(+D36*E36/F36,0)</f>
        <v>5160</v>
      </c>
      <c r="H36" s="9"/>
      <c r="I36" s="16"/>
      <c r="J36" s="13"/>
      <c r="K36" s="8"/>
      <c r="L36" s="8"/>
      <c r="M36" s="8"/>
      <c r="N36" s="8"/>
      <c r="O36" s="15"/>
      <c r="P36" s="5"/>
    </row>
    <row r="37" spans="1:16">
      <c r="A37" s="233"/>
      <c r="B37" s="63"/>
      <c r="C37" s="961"/>
      <c r="D37" s="72"/>
      <c r="E37" s="66"/>
      <c r="F37" s="69"/>
      <c r="G37" s="231"/>
      <c r="H37" s="9"/>
      <c r="I37" s="8"/>
      <c r="J37" s="8"/>
      <c r="K37" s="13"/>
      <c r="L37" s="13"/>
      <c r="M37" s="13"/>
      <c r="N37" s="13"/>
      <c r="O37" s="13"/>
      <c r="P37" s="5"/>
    </row>
    <row r="38" spans="1:16">
      <c r="A38" s="233"/>
      <c r="B38" s="63"/>
      <c r="C38" s="64"/>
      <c r="D38" s="72"/>
      <c r="E38" s="66"/>
      <c r="F38" s="69"/>
      <c r="G38" s="231"/>
      <c r="H38" s="9"/>
      <c r="I38" s="8"/>
      <c r="J38" s="13"/>
      <c r="K38" s="13"/>
      <c r="L38" s="13"/>
      <c r="M38" s="33"/>
      <c r="N38" s="33"/>
      <c r="O38" s="43"/>
      <c r="P38" s="5"/>
    </row>
    <row r="39" spans="1:16">
      <c r="A39" s="233"/>
      <c r="B39" s="65"/>
      <c r="C39" s="68"/>
      <c r="D39" s="65"/>
      <c r="E39" s="69"/>
      <c r="F39" s="69"/>
      <c r="G39" s="236"/>
      <c r="H39" s="9"/>
      <c r="I39" s="8"/>
      <c r="J39" s="13"/>
      <c r="K39" s="13"/>
      <c r="L39" s="13"/>
      <c r="M39" s="33"/>
      <c r="N39" s="33"/>
      <c r="O39" s="43"/>
      <c r="P39" s="5"/>
    </row>
    <row r="40" spans="1:16">
      <c r="A40" s="1352"/>
      <c r="B40" s="1353"/>
      <c r="C40" s="1353"/>
      <c r="D40" s="85" t="s">
        <v>34</v>
      </c>
      <c r="E40" s="50"/>
      <c r="F40" s="49"/>
      <c r="G40" s="230">
        <f>SUM(G35:G39)</f>
        <v>11495</v>
      </c>
      <c r="H40" s="9"/>
      <c r="I40" s="8"/>
      <c r="J40" s="13"/>
      <c r="K40" s="8"/>
      <c r="L40" s="13"/>
      <c r="M40" s="14"/>
      <c r="N40" s="14"/>
      <c r="O40" s="15"/>
      <c r="P40" s="5"/>
    </row>
    <row r="41" spans="1:16">
      <c r="A41" s="237"/>
      <c r="B41" s="111"/>
      <c r="C41" s="111"/>
      <c r="D41" s="112"/>
      <c r="E41" s="5"/>
      <c r="F41" s="113"/>
      <c r="G41" s="238"/>
      <c r="H41" s="9"/>
      <c r="I41" s="8"/>
      <c r="J41" s="13"/>
      <c r="K41" s="8"/>
      <c r="L41" s="13"/>
      <c r="M41" s="14"/>
      <c r="N41" s="14"/>
      <c r="O41" s="15"/>
      <c r="P41" s="5"/>
    </row>
    <row r="42" spans="1:16">
      <c r="A42" s="226"/>
      <c r="B42" s="4"/>
      <c r="C42" s="6"/>
      <c r="D42" s="4"/>
      <c r="E42" s="4"/>
      <c r="F42" s="4"/>
      <c r="G42" s="227"/>
      <c r="H42" s="9"/>
      <c r="I42" s="8"/>
      <c r="J42" s="13"/>
      <c r="K42" s="13"/>
      <c r="L42" s="13"/>
      <c r="M42" s="14"/>
      <c r="N42" s="14"/>
      <c r="O42" s="19"/>
      <c r="P42" s="5"/>
    </row>
    <row r="43" spans="1:16" ht="14.25">
      <c r="A43" s="226"/>
      <c r="B43" s="4"/>
      <c r="C43" s="6"/>
      <c r="D43" s="1357" t="s">
        <v>35</v>
      </c>
      <c r="E43" s="1358"/>
      <c r="F43" s="1359"/>
      <c r="G43" s="239">
        <f>+G40+G30+G16</f>
        <v>24213</v>
      </c>
      <c r="H43" s="9"/>
      <c r="I43" s="46"/>
      <c r="J43" s="47"/>
      <c r="K43" s="8"/>
      <c r="L43" s="8"/>
      <c r="M43" s="8"/>
      <c r="N43" s="8"/>
      <c r="O43" s="8"/>
      <c r="P43" s="5"/>
    </row>
    <row r="44" spans="1:16">
      <c r="A44" s="377"/>
      <c r="B44" s="372"/>
      <c r="C44" s="372"/>
      <c r="D44" s="100"/>
      <c r="E44" s="100"/>
      <c r="F44" s="100"/>
      <c r="G44" s="227"/>
      <c r="H44" s="9"/>
      <c r="I44" s="8"/>
      <c r="J44" s="13"/>
      <c r="K44" s="13"/>
      <c r="L44" s="13"/>
      <c r="M44" s="17"/>
      <c r="N44" s="17"/>
      <c r="O44" s="37"/>
      <c r="P44" s="5"/>
    </row>
    <row r="45" spans="1:16">
      <c r="A45" s="377"/>
      <c r="B45" s="372"/>
      <c r="C45" s="372"/>
      <c r="D45" s="100"/>
      <c r="E45" s="100"/>
      <c r="F45" s="100"/>
      <c r="G45" s="227"/>
      <c r="H45" s="9"/>
      <c r="I45" s="8"/>
      <c r="J45" s="13"/>
      <c r="K45" s="13"/>
      <c r="L45" s="13"/>
      <c r="M45" s="17"/>
      <c r="N45" s="17"/>
      <c r="O45" s="37"/>
      <c r="P45" s="5"/>
    </row>
    <row r="46" spans="1:16">
      <c r="A46" s="377"/>
      <c r="B46" s="372"/>
      <c r="C46" s="372"/>
      <c r="D46" s="100"/>
      <c r="E46" s="100"/>
      <c r="F46" s="100"/>
      <c r="G46" s="227"/>
      <c r="H46" s="9"/>
      <c r="I46" s="8"/>
      <c r="J46" s="13"/>
      <c r="K46" s="13"/>
      <c r="L46" s="13"/>
      <c r="M46" s="17"/>
      <c r="N46" s="17"/>
      <c r="O46" s="37"/>
      <c r="P46" s="5"/>
    </row>
    <row r="47" spans="1:16">
      <c r="A47" s="1384" t="s">
        <v>129</v>
      </c>
      <c r="B47" s="1385"/>
      <c r="C47" s="1385"/>
      <c r="D47" s="5"/>
      <c r="E47" s="5"/>
      <c r="F47" s="5"/>
      <c r="G47" s="241"/>
      <c r="H47" s="9"/>
      <c r="I47" s="48"/>
      <c r="J47" s="13"/>
      <c r="K47" s="8"/>
      <c r="L47" s="8"/>
      <c r="M47" s="8"/>
      <c r="N47" s="8"/>
      <c r="O47" s="8"/>
      <c r="P47" s="5"/>
    </row>
    <row r="48" spans="1:16" ht="15" thickBot="1">
      <c r="A48" s="242"/>
      <c r="B48" s="243"/>
      <c r="C48" s="244"/>
      <c r="D48" s="245"/>
      <c r="E48" s="246"/>
      <c r="F48" s="246"/>
      <c r="G48" s="247"/>
      <c r="H48" s="9"/>
      <c r="I48" s="8"/>
      <c r="J48" s="13"/>
      <c r="K48" s="8"/>
      <c r="L48" s="8"/>
      <c r="M48" s="8"/>
      <c r="N48" s="8"/>
      <c r="O48" s="8"/>
      <c r="P48" s="5"/>
    </row>
    <row r="49" spans="9:16">
      <c r="I49" s="5"/>
      <c r="J49" s="5"/>
      <c r="K49" s="5"/>
      <c r="L49" s="5"/>
      <c r="M49" s="5"/>
      <c r="N49" s="5"/>
      <c r="O49" s="5"/>
      <c r="P49" s="5"/>
    </row>
  </sheetData>
  <mergeCells count="28">
    <mergeCell ref="A32:G32"/>
    <mergeCell ref="A40:C40"/>
    <mergeCell ref="A14:C14"/>
    <mergeCell ref="A15:C15"/>
    <mergeCell ref="A20:C20"/>
    <mergeCell ref="A16:C16"/>
    <mergeCell ref="A18:G18"/>
    <mergeCell ref="A11:C11"/>
    <mergeCell ref="A12:C12"/>
    <mergeCell ref="A13:C13"/>
    <mergeCell ref="A8:G8"/>
    <mergeCell ref="A29:C29"/>
    <mergeCell ref="A1:G1"/>
    <mergeCell ref="A47:C47"/>
    <mergeCell ref="A2:G2"/>
    <mergeCell ref="A28:C28"/>
    <mergeCell ref="A27:C27"/>
    <mergeCell ref="A30:C30"/>
    <mergeCell ref="B6:E6"/>
    <mergeCell ref="A22:C22"/>
    <mergeCell ref="A23:C23"/>
    <mergeCell ref="A24:C24"/>
    <mergeCell ref="A25:C25"/>
    <mergeCell ref="A26:C26"/>
    <mergeCell ref="D43:F43"/>
    <mergeCell ref="A21:C21"/>
    <mergeCell ref="A3:G4"/>
    <mergeCell ref="A10:C10"/>
  </mergeCells>
  <printOptions horizontalCentered="1" verticalCentered="1"/>
  <pageMargins left="0.74803149606299213" right="0.74803149606299213" top="0" bottom="0.98425196850393704" header="0" footer="0"/>
  <pageSetup scale="9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8"/>
  <dimension ref="A1:U49"/>
  <sheetViews>
    <sheetView view="pageBreakPreview" zoomScaleNormal="100" zoomScaleSheetLayoutView="100" workbookViewId="0">
      <selection activeCell="E13" sqref="E13"/>
    </sheetView>
  </sheetViews>
  <sheetFormatPr baseColWidth="10" defaultColWidth="10.7109375" defaultRowHeight="12.75"/>
  <cols>
    <col min="1" max="1" width="15.85546875" style="3" customWidth="1"/>
    <col min="2" max="2" width="14.85546875" style="3" customWidth="1"/>
    <col min="3" max="3" width="13.28515625" style="3" customWidth="1"/>
    <col min="4" max="4" width="11.42578125" style="3"/>
    <col min="5" max="5" width="13.42578125" style="3" customWidth="1"/>
    <col min="6" max="6" width="12.7109375" style="3" customWidth="1"/>
    <col min="7" max="7" width="14" style="3" customWidth="1"/>
    <col min="8" max="256" width="11.42578125" style="3"/>
    <col min="257" max="257" width="15.85546875" style="3" customWidth="1"/>
    <col min="258" max="258" width="14.85546875" style="3" customWidth="1"/>
    <col min="259" max="259" width="13.28515625" style="3" customWidth="1"/>
    <col min="260" max="260" width="11.42578125" style="3"/>
    <col min="261" max="261" width="13.42578125" style="3" customWidth="1"/>
    <col min="262" max="262" width="12.7109375" style="3" customWidth="1"/>
    <col min="263" max="263" width="14" style="3" customWidth="1"/>
    <col min="264" max="512" width="11.42578125" style="3"/>
    <col min="513" max="513" width="15.85546875" style="3" customWidth="1"/>
    <col min="514" max="514" width="14.85546875" style="3" customWidth="1"/>
    <col min="515" max="515" width="13.28515625" style="3" customWidth="1"/>
    <col min="516" max="516" width="11.42578125" style="3"/>
    <col min="517" max="517" width="13.42578125" style="3" customWidth="1"/>
    <col min="518" max="518" width="12.7109375" style="3" customWidth="1"/>
    <col min="519" max="519" width="14" style="3" customWidth="1"/>
    <col min="520" max="768" width="11.42578125" style="3"/>
    <col min="769" max="769" width="15.85546875" style="3" customWidth="1"/>
    <col min="770" max="770" width="14.85546875" style="3" customWidth="1"/>
    <col min="771" max="771" width="13.28515625" style="3" customWidth="1"/>
    <col min="772" max="772" width="11.42578125" style="3"/>
    <col min="773" max="773" width="13.42578125" style="3" customWidth="1"/>
    <col min="774" max="774" width="12.7109375" style="3" customWidth="1"/>
    <col min="775" max="775" width="14" style="3" customWidth="1"/>
    <col min="776" max="1024" width="11.42578125" style="3"/>
    <col min="1025" max="1025" width="15.85546875" style="3" customWidth="1"/>
    <col min="1026" max="1026" width="14.85546875" style="3" customWidth="1"/>
    <col min="1027" max="1027" width="13.28515625" style="3" customWidth="1"/>
    <col min="1028" max="1028" width="11.42578125" style="3"/>
    <col min="1029" max="1029" width="13.42578125" style="3" customWidth="1"/>
    <col min="1030" max="1030" width="12.7109375" style="3" customWidth="1"/>
    <col min="1031" max="1031" width="14" style="3" customWidth="1"/>
    <col min="1032" max="1280" width="11.42578125" style="3"/>
    <col min="1281" max="1281" width="15.85546875" style="3" customWidth="1"/>
    <col min="1282" max="1282" width="14.85546875" style="3" customWidth="1"/>
    <col min="1283" max="1283" width="13.28515625" style="3" customWidth="1"/>
    <col min="1284" max="1284" width="11.42578125" style="3"/>
    <col min="1285" max="1285" width="13.42578125" style="3" customWidth="1"/>
    <col min="1286" max="1286" width="12.7109375" style="3" customWidth="1"/>
    <col min="1287" max="1287" width="14" style="3" customWidth="1"/>
    <col min="1288" max="1536" width="11.42578125" style="3"/>
    <col min="1537" max="1537" width="15.85546875" style="3" customWidth="1"/>
    <col min="1538" max="1538" width="14.85546875" style="3" customWidth="1"/>
    <col min="1539" max="1539" width="13.28515625" style="3" customWidth="1"/>
    <col min="1540" max="1540" width="11.42578125" style="3"/>
    <col min="1541" max="1541" width="13.42578125" style="3" customWidth="1"/>
    <col min="1542" max="1542" width="12.7109375" style="3" customWidth="1"/>
    <col min="1543" max="1543" width="14" style="3" customWidth="1"/>
    <col min="1544" max="1792" width="11.42578125" style="3"/>
    <col min="1793" max="1793" width="15.85546875" style="3" customWidth="1"/>
    <col min="1794" max="1794" width="14.85546875" style="3" customWidth="1"/>
    <col min="1795" max="1795" width="13.28515625" style="3" customWidth="1"/>
    <col min="1796" max="1796" width="11.42578125" style="3"/>
    <col min="1797" max="1797" width="13.42578125" style="3" customWidth="1"/>
    <col min="1798" max="1798" width="12.7109375" style="3" customWidth="1"/>
    <col min="1799" max="1799" width="14" style="3" customWidth="1"/>
    <col min="1800" max="2048" width="11.42578125" style="3"/>
    <col min="2049" max="2049" width="15.85546875" style="3" customWidth="1"/>
    <col min="2050" max="2050" width="14.85546875" style="3" customWidth="1"/>
    <col min="2051" max="2051" width="13.28515625" style="3" customWidth="1"/>
    <col min="2052" max="2052" width="11.42578125" style="3"/>
    <col min="2053" max="2053" width="13.42578125" style="3" customWidth="1"/>
    <col min="2054" max="2054" width="12.7109375" style="3" customWidth="1"/>
    <col min="2055" max="2055" width="14" style="3" customWidth="1"/>
    <col min="2056" max="2304" width="11.42578125" style="3"/>
    <col min="2305" max="2305" width="15.85546875" style="3" customWidth="1"/>
    <col min="2306" max="2306" width="14.85546875" style="3" customWidth="1"/>
    <col min="2307" max="2307" width="13.28515625" style="3" customWidth="1"/>
    <col min="2308" max="2308" width="11.42578125" style="3"/>
    <col min="2309" max="2309" width="13.42578125" style="3" customWidth="1"/>
    <col min="2310" max="2310" width="12.7109375" style="3" customWidth="1"/>
    <col min="2311" max="2311" width="14" style="3" customWidth="1"/>
    <col min="2312" max="2560" width="11.42578125" style="3"/>
    <col min="2561" max="2561" width="15.85546875" style="3" customWidth="1"/>
    <col min="2562" max="2562" width="14.85546875" style="3" customWidth="1"/>
    <col min="2563" max="2563" width="13.28515625" style="3" customWidth="1"/>
    <col min="2564" max="2564" width="11.42578125" style="3"/>
    <col min="2565" max="2565" width="13.42578125" style="3" customWidth="1"/>
    <col min="2566" max="2566" width="12.7109375" style="3" customWidth="1"/>
    <col min="2567" max="2567" width="14" style="3" customWidth="1"/>
    <col min="2568" max="2816" width="11.42578125" style="3"/>
    <col min="2817" max="2817" width="15.85546875" style="3" customWidth="1"/>
    <col min="2818" max="2818" width="14.85546875" style="3" customWidth="1"/>
    <col min="2819" max="2819" width="13.28515625" style="3" customWidth="1"/>
    <col min="2820" max="2820" width="11.42578125" style="3"/>
    <col min="2821" max="2821" width="13.42578125" style="3" customWidth="1"/>
    <col min="2822" max="2822" width="12.7109375" style="3" customWidth="1"/>
    <col min="2823" max="2823" width="14" style="3" customWidth="1"/>
    <col min="2824" max="3072" width="11.42578125" style="3"/>
    <col min="3073" max="3073" width="15.85546875" style="3" customWidth="1"/>
    <col min="3074" max="3074" width="14.85546875" style="3" customWidth="1"/>
    <col min="3075" max="3075" width="13.28515625" style="3" customWidth="1"/>
    <col min="3076" max="3076" width="11.42578125" style="3"/>
    <col min="3077" max="3077" width="13.42578125" style="3" customWidth="1"/>
    <col min="3078" max="3078" width="12.7109375" style="3" customWidth="1"/>
    <col min="3079" max="3079" width="14" style="3" customWidth="1"/>
    <col min="3080" max="3328" width="11.42578125" style="3"/>
    <col min="3329" max="3329" width="15.85546875" style="3" customWidth="1"/>
    <col min="3330" max="3330" width="14.85546875" style="3" customWidth="1"/>
    <col min="3331" max="3331" width="13.28515625" style="3" customWidth="1"/>
    <col min="3332" max="3332" width="11.42578125" style="3"/>
    <col min="3333" max="3333" width="13.42578125" style="3" customWidth="1"/>
    <col min="3334" max="3334" width="12.7109375" style="3" customWidth="1"/>
    <col min="3335" max="3335" width="14" style="3" customWidth="1"/>
    <col min="3336" max="3584" width="11.42578125" style="3"/>
    <col min="3585" max="3585" width="15.85546875" style="3" customWidth="1"/>
    <col min="3586" max="3586" width="14.85546875" style="3" customWidth="1"/>
    <col min="3587" max="3587" width="13.28515625" style="3" customWidth="1"/>
    <col min="3588" max="3588" width="11.42578125" style="3"/>
    <col min="3589" max="3589" width="13.42578125" style="3" customWidth="1"/>
    <col min="3590" max="3590" width="12.7109375" style="3" customWidth="1"/>
    <col min="3591" max="3591" width="14" style="3" customWidth="1"/>
    <col min="3592" max="3840" width="11.42578125" style="3"/>
    <col min="3841" max="3841" width="15.85546875" style="3" customWidth="1"/>
    <col min="3842" max="3842" width="14.85546875" style="3" customWidth="1"/>
    <col min="3843" max="3843" width="13.28515625" style="3" customWidth="1"/>
    <col min="3844" max="3844" width="11.42578125" style="3"/>
    <col min="3845" max="3845" width="13.42578125" style="3" customWidth="1"/>
    <col min="3846" max="3846" width="12.7109375" style="3" customWidth="1"/>
    <col min="3847" max="3847" width="14" style="3" customWidth="1"/>
    <col min="3848" max="4096" width="11.42578125" style="3"/>
    <col min="4097" max="4097" width="15.85546875" style="3" customWidth="1"/>
    <col min="4098" max="4098" width="14.85546875" style="3" customWidth="1"/>
    <col min="4099" max="4099" width="13.28515625" style="3" customWidth="1"/>
    <col min="4100" max="4100" width="11.42578125" style="3"/>
    <col min="4101" max="4101" width="13.42578125" style="3" customWidth="1"/>
    <col min="4102" max="4102" width="12.7109375" style="3" customWidth="1"/>
    <col min="4103" max="4103" width="14" style="3" customWidth="1"/>
    <col min="4104" max="4352" width="11.42578125" style="3"/>
    <col min="4353" max="4353" width="15.85546875" style="3" customWidth="1"/>
    <col min="4354" max="4354" width="14.85546875" style="3" customWidth="1"/>
    <col min="4355" max="4355" width="13.28515625" style="3" customWidth="1"/>
    <col min="4356" max="4356" width="11.42578125" style="3"/>
    <col min="4357" max="4357" width="13.42578125" style="3" customWidth="1"/>
    <col min="4358" max="4358" width="12.7109375" style="3" customWidth="1"/>
    <col min="4359" max="4359" width="14" style="3" customWidth="1"/>
    <col min="4360" max="4608" width="11.42578125" style="3"/>
    <col min="4609" max="4609" width="15.85546875" style="3" customWidth="1"/>
    <col min="4610" max="4610" width="14.85546875" style="3" customWidth="1"/>
    <col min="4611" max="4611" width="13.28515625" style="3" customWidth="1"/>
    <col min="4612" max="4612" width="11.42578125" style="3"/>
    <col min="4613" max="4613" width="13.42578125" style="3" customWidth="1"/>
    <col min="4614" max="4614" width="12.7109375" style="3" customWidth="1"/>
    <col min="4615" max="4615" width="14" style="3" customWidth="1"/>
    <col min="4616" max="4864" width="11.42578125" style="3"/>
    <col min="4865" max="4865" width="15.85546875" style="3" customWidth="1"/>
    <col min="4866" max="4866" width="14.85546875" style="3" customWidth="1"/>
    <col min="4867" max="4867" width="13.28515625" style="3" customWidth="1"/>
    <col min="4868" max="4868" width="11.42578125" style="3"/>
    <col min="4869" max="4869" width="13.42578125" style="3" customWidth="1"/>
    <col min="4870" max="4870" width="12.7109375" style="3" customWidth="1"/>
    <col min="4871" max="4871" width="14" style="3" customWidth="1"/>
    <col min="4872" max="5120" width="11.42578125" style="3"/>
    <col min="5121" max="5121" width="15.85546875" style="3" customWidth="1"/>
    <col min="5122" max="5122" width="14.85546875" style="3" customWidth="1"/>
    <col min="5123" max="5123" width="13.28515625" style="3" customWidth="1"/>
    <col min="5124" max="5124" width="11.42578125" style="3"/>
    <col min="5125" max="5125" width="13.42578125" style="3" customWidth="1"/>
    <col min="5126" max="5126" width="12.7109375" style="3" customWidth="1"/>
    <col min="5127" max="5127" width="14" style="3" customWidth="1"/>
    <col min="5128" max="5376" width="11.42578125" style="3"/>
    <col min="5377" max="5377" width="15.85546875" style="3" customWidth="1"/>
    <col min="5378" max="5378" width="14.85546875" style="3" customWidth="1"/>
    <col min="5379" max="5379" width="13.28515625" style="3" customWidth="1"/>
    <col min="5380" max="5380" width="11.42578125" style="3"/>
    <col min="5381" max="5381" width="13.42578125" style="3" customWidth="1"/>
    <col min="5382" max="5382" width="12.7109375" style="3" customWidth="1"/>
    <col min="5383" max="5383" width="14" style="3" customWidth="1"/>
    <col min="5384" max="5632" width="11.42578125" style="3"/>
    <col min="5633" max="5633" width="15.85546875" style="3" customWidth="1"/>
    <col min="5634" max="5634" width="14.85546875" style="3" customWidth="1"/>
    <col min="5635" max="5635" width="13.28515625" style="3" customWidth="1"/>
    <col min="5636" max="5636" width="11.42578125" style="3"/>
    <col min="5637" max="5637" width="13.42578125" style="3" customWidth="1"/>
    <col min="5638" max="5638" width="12.7109375" style="3" customWidth="1"/>
    <col min="5639" max="5639" width="14" style="3" customWidth="1"/>
    <col min="5640" max="5888" width="11.42578125" style="3"/>
    <col min="5889" max="5889" width="15.85546875" style="3" customWidth="1"/>
    <col min="5890" max="5890" width="14.85546875" style="3" customWidth="1"/>
    <col min="5891" max="5891" width="13.28515625" style="3" customWidth="1"/>
    <col min="5892" max="5892" width="11.42578125" style="3"/>
    <col min="5893" max="5893" width="13.42578125" style="3" customWidth="1"/>
    <col min="5894" max="5894" width="12.7109375" style="3" customWidth="1"/>
    <col min="5895" max="5895" width="14" style="3" customWidth="1"/>
    <col min="5896" max="6144" width="11.42578125" style="3"/>
    <col min="6145" max="6145" width="15.85546875" style="3" customWidth="1"/>
    <col min="6146" max="6146" width="14.85546875" style="3" customWidth="1"/>
    <col min="6147" max="6147" width="13.28515625" style="3" customWidth="1"/>
    <col min="6148" max="6148" width="11.42578125" style="3"/>
    <col min="6149" max="6149" width="13.42578125" style="3" customWidth="1"/>
    <col min="6150" max="6150" width="12.7109375" style="3" customWidth="1"/>
    <col min="6151" max="6151" width="14" style="3" customWidth="1"/>
    <col min="6152" max="6400" width="11.42578125" style="3"/>
    <col min="6401" max="6401" width="15.85546875" style="3" customWidth="1"/>
    <col min="6402" max="6402" width="14.85546875" style="3" customWidth="1"/>
    <col min="6403" max="6403" width="13.28515625" style="3" customWidth="1"/>
    <col min="6404" max="6404" width="11.42578125" style="3"/>
    <col min="6405" max="6405" width="13.42578125" style="3" customWidth="1"/>
    <col min="6406" max="6406" width="12.7109375" style="3" customWidth="1"/>
    <col min="6407" max="6407" width="14" style="3" customWidth="1"/>
    <col min="6408" max="6656" width="11.42578125" style="3"/>
    <col min="6657" max="6657" width="15.85546875" style="3" customWidth="1"/>
    <col min="6658" max="6658" width="14.85546875" style="3" customWidth="1"/>
    <col min="6659" max="6659" width="13.28515625" style="3" customWidth="1"/>
    <col min="6660" max="6660" width="11.42578125" style="3"/>
    <col min="6661" max="6661" width="13.42578125" style="3" customWidth="1"/>
    <col min="6662" max="6662" width="12.7109375" style="3" customWidth="1"/>
    <col min="6663" max="6663" width="14" style="3" customWidth="1"/>
    <col min="6664" max="6912" width="11.42578125" style="3"/>
    <col min="6913" max="6913" width="15.85546875" style="3" customWidth="1"/>
    <col min="6914" max="6914" width="14.85546875" style="3" customWidth="1"/>
    <col min="6915" max="6915" width="13.28515625" style="3" customWidth="1"/>
    <col min="6916" max="6916" width="11.42578125" style="3"/>
    <col min="6917" max="6917" width="13.42578125" style="3" customWidth="1"/>
    <col min="6918" max="6918" width="12.7109375" style="3" customWidth="1"/>
    <col min="6919" max="6919" width="14" style="3" customWidth="1"/>
    <col min="6920" max="7168" width="11.42578125" style="3"/>
    <col min="7169" max="7169" width="15.85546875" style="3" customWidth="1"/>
    <col min="7170" max="7170" width="14.85546875" style="3" customWidth="1"/>
    <col min="7171" max="7171" width="13.28515625" style="3" customWidth="1"/>
    <col min="7172" max="7172" width="11.42578125" style="3"/>
    <col min="7173" max="7173" width="13.42578125" style="3" customWidth="1"/>
    <col min="7174" max="7174" width="12.7109375" style="3" customWidth="1"/>
    <col min="7175" max="7175" width="14" style="3" customWidth="1"/>
    <col min="7176" max="7424" width="11.42578125" style="3"/>
    <col min="7425" max="7425" width="15.85546875" style="3" customWidth="1"/>
    <col min="7426" max="7426" width="14.85546875" style="3" customWidth="1"/>
    <col min="7427" max="7427" width="13.28515625" style="3" customWidth="1"/>
    <col min="7428" max="7428" width="11.42578125" style="3"/>
    <col min="7429" max="7429" width="13.42578125" style="3" customWidth="1"/>
    <col min="7430" max="7430" width="12.7109375" style="3" customWidth="1"/>
    <col min="7431" max="7431" width="14" style="3" customWidth="1"/>
    <col min="7432" max="7680" width="11.42578125" style="3"/>
    <col min="7681" max="7681" width="15.85546875" style="3" customWidth="1"/>
    <col min="7682" max="7682" width="14.85546875" style="3" customWidth="1"/>
    <col min="7683" max="7683" width="13.28515625" style="3" customWidth="1"/>
    <col min="7684" max="7684" width="11.42578125" style="3"/>
    <col min="7685" max="7685" width="13.42578125" style="3" customWidth="1"/>
    <col min="7686" max="7686" width="12.7109375" style="3" customWidth="1"/>
    <col min="7687" max="7687" width="14" style="3" customWidth="1"/>
    <col min="7688" max="7936" width="11.42578125" style="3"/>
    <col min="7937" max="7937" width="15.85546875" style="3" customWidth="1"/>
    <col min="7938" max="7938" width="14.85546875" style="3" customWidth="1"/>
    <col min="7939" max="7939" width="13.28515625" style="3" customWidth="1"/>
    <col min="7940" max="7940" width="11.42578125" style="3"/>
    <col min="7941" max="7941" width="13.42578125" style="3" customWidth="1"/>
    <col min="7942" max="7942" width="12.7109375" style="3" customWidth="1"/>
    <col min="7943" max="7943" width="14" style="3" customWidth="1"/>
    <col min="7944" max="8192" width="11.42578125" style="3"/>
    <col min="8193" max="8193" width="15.85546875" style="3" customWidth="1"/>
    <col min="8194" max="8194" width="14.85546875" style="3" customWidth="1"/>
    <col min="8195" max="8195" width="13.28515625" style="3" customWidth="1"/>
    <col min="8196" max="8196" width="11.42578125" style="3"/>
    <col min="8197" max="8197" width="13.42578125" style="3" customWidth="1"/>
    <col min="8198" max="8198" width="12.7109375" style="3" customWidth="1"/>
    <col min="8199" max="8199" width="14" style="3" customWidth="1"/>
    <col min="8200" max="8448" width="11.42578125" style="3"/>
    <col min="8449" max="8449" width="15.85546875" style="3" customWidth="1"/>
    <col min="8450" max="8450" width="14.85546875" style="3" customWidth="1"/>
    <col min="8451" max="8451" width="13.28515625" style="3" customWidth="1"/>
    <col min="8452" max="8452" width="11.42578125" style="3"/>
    <col min="8453" max="8453" width="13.42578125" style="3" customWidth="1"/>
    <col min="8454" max="8454" width="12.7109375" style="3" customWidth="1"/>
    <col min="8455" max="8455" width="14" style="3" customWidth="1"/>
    <col min="8456" max="8704" width="11.42578125" style="3"/>
    <col min="8705" max="8705" width="15.85546875" style="3" customWidth="1"/>
    <col min="8706" max="8706" width="14.85546875" style="3" customWidth="1"/>
    <col min="8707" max="8707" width="13.28515625" style="3" customWidth="1"/>
    <col min="8708" max="8708" width="11.42578125" style="3"/>
    <col min="8709" max="8709" width="13.42578125" style="3" customWidth="1"/>
    <col min="8710" max="8710" width="12.7109375" style="3" customWidth="1"/>
    <col min="8711" max="8711" width="14" style="3" customWidth="1"/>
    <col min="8712" max="8960" width="11.42578125" style="3"/>
    <col min="8961" max="8961" width="15.85546875" style="3" customWidth="1"/>
    <col min="8962" max="8962" width="14.85546875" style="3" customWidth="1"/>
    <col min="8963" max="8963" width="13.28515625" style="3" customWidth="1"/>
    <col min="8964" max="8964" width="11.42578125" style="3"/>
    <col min="8965" max="8965" width="13.42578125" style="3" customWidth="1"/>
    <col min="8966" max="8966" width="12.7109375" style="3" customWidth="1"/>
    <col min="8967" max="8967" width="14" style="3" customWidth="1"/>
    <col min="8968" max="9216" width="11.42578125" style="3"/>
    <col min="9217" max="9217" width="15.85546875" style="3" customWidth="1"/>
    <col min="9218" max="9218" width="14.85546875" style="3" customWidth="1"/>
    <col min="9219" max="9219" width="13.28515625" style="3" customWidth="1"/>
    <col min="9220" max="9220" width="11.42578125" style="3"/>
    <col min="9221" max="9221" width="13.42578125" style="3" customWidth="1"/>
    <col min="9222" max="9222" width="12.7109375" style="3" customWidth="1"/>
    <col min="9223" max="9223" width="14" style="3" customWidth="1"/>
    <col min="9224" max="9472" width="11.42578125" style="3"/>
    <col min="9473" max="9473" width="15.85546875" style="3" customWidth="1"/>
    <col min="9474" max="9474" width="14.85546875" style="3" customWidth="1"/>
    <col min="9475" max="9475" width="13.28515625" style="3" customWidth="1"/>
    <col min="9476" max="9476" width="11.42578125" style="3"/>
    <col min="9477" max="9477" width="13.42578125" style="3" customWidth="1"/>
    <col min="9478" max="9478" width="12.7109375" style="3" customWidth="1"/>
    <col min="9479" max="9479" width="14" style="3" customWidth="1"/>
    <col min="9480" max="9728" width="11.42578125" style="3"/>
    <col min="9729" max="9729" width="15.85546875" style="3" customWidth="1"/>
    <col min="9730" max="9730" width="14.85546875" style="3" customWidth="1"/>
    <col min="9731" max="9731" width="13.28515625" style="3" customWidth="1"/>
    <col min="9732" max="9732" width="11.42578125" style="3"/>
    <col min="9733" max="9733" width="13.42578125" style="3" customWidth="1"/>
    <col min="9734" max="9734" width="12.7109375" style="3" customWidth="1"/>
    <col min="9735" max="9735" width="14" style="3" customWidth="1"/>
    <col min="9736" max="9984" width="11.42578125" style="3"/>
    <col min="9985" max="9985" width="15.85546875" style="3" customWidth="1"/>
    <col min="9986" max="9986" width="14.85546875" style="3" customWidth="1"/>
    <col min="9987" max="9987" width="13.28515625" style="3" customWidth="1"/>
    <col min="9988" max="9988" width="11.42578125" style="3"/>
    <col min="9989" max="9989" width="13.42578125" style="3" customWidth="1"/>
    <col min="9990" max="9990" width="12.7109375" style="3" customWidth="1"/>
    <col min="9991" max="9991" width="14" style="3" customWidth="1"/>
    <col min="9992" max="10240" width="11.42578125" style="3"/>
    <col min="10241" max="10241" width="15.85546875" style="3" customWidth="1"/>
    <col min="10242" max="10242" width="14.85546875" style="3" customWidth="1"/>
    <col min="10243" max="10243" width="13.28515625" style="3" customWidth="1"/>
    <col min="10244" max="10244" width="11.42578125" style="3"/>
    <col min="10245" max="10245" width="13.42578125" style="3" customWidth="1"/>
    <col min="10246" max="10246" width="12.7109375" style="3" customWidth="1"/>
    <col min="10247" max="10247" width="14" style="3" customWidth="1"/>
    <col min="10248" max="10496" width="11.42578125" style="3"/>
    <col min="10497" max="10497" width="15.85546875" style="3" customWidth="1"/>
    <col min="10498" max="10498" width="14.85546875" style="3" customWidth="1"/>
    <col min="10499" max="10499" width="13.28515625" style="3" customWidth="1"/>
    <col min="10500" max="10500" width="11.42578125" style="3"/>
    <col min="10501" max="10501" width="13.42578125" style="3" customWidth="1"/>
    <col min="10502" max="10502" width="12.7109375" style="3" customWidth="1"/>
    <col min="10503" max="10503" width="14" style="3" customWidth="1"/>
    <col min="10504" max="10752" width="11.42578125" style="3"/>
    <col min="10753" max="10753" width="15.85546875" style="3" customWidth="1"/>
    <col min="10754" max="10754" width="14.85546875" style="3" customWidth="1"/>
    <col min="10755" max="10755" width="13.28515625" style="3" customWidth="1"/>
    <col min="10756" max="10756" width="11.42578125" style="3"/>
    <col min="10757" max="10757" width="13.42578125" style="3" customWidth="1"/>
    <col min="10758" max="10758" width="12.7109375" style="3" customWidth="1"/>
    <col min="10759" max="10759" width="14" style="3" customWidth="1"/>
    <col min="10760" max="11008" width="11.42578125" style="3"/>
    <col min="11009" max="11009" width="15.85546875" style="3" customWidth="1"/>
    <col min="11010" max="11010" width="14.85546875" style="3" customWidth="1"/>
    <col min="11011" max="11011" width="13.28515625" style="3" customWidth="1"/>
    <col min="11012" max="11012" width="11.42578125" style="3"/>
    <col min="11013" max="11013" width="13.42578125" style="3" customWidth="1"/>
    <col min="11014" max="11014" width="12.7109375" style="3" customWidth="1"/>
    <col min="11015" max="11015" width="14" style="3" customWidth="1"/>
    <col min="11016" max="11264" width="11.42578125" style="3"/>
    <col min="11265" max="11265" width="15.85546875" style="3" customWidth="1"/>
    <col min="11266" max="11266" width="14.85546875" style="3" customWidth="1"/>
    <col min="11267" max="11267" width="13.28515625" style="3" customWidth="1"/>
    <col min="11268" max="11268" width="11.42578125" style="3"/>
    <col min="11269" max="11269" width="13.42578125" style="3" customWidth="1"/>
    <col min="11270" max="11270" width="12.7109375" style="3" customWidth="1"/>
    <col min="11271" max="11271" width="14" style="3" customWidth="1"/>
    <col min="11272" max="11520" width="11.42578125" style="3"/>
    <col min="11521" max="11521" width="15.85546875" style="3" customWidth="1"/>
    <col min="11522" max="11522" width="14.85546875" style="3" customWidth="1"/>
    <col min="11523" max="11523" width="13.28515625" style="3" customWidth="1"/>
    <col min="11524" max="11524" width="11.42578125" style="3"/>
    <col min="11525" max="11525" width="13.42578125" style="3" customWidth="1"/>
    <col min="11526" max="11526" width="12.7109375" style="3" customWidth="1"/>
    <col min="11527" max="11527" width="14" style="3" customWidth="1"/>
    <col min="11528" max="11776" width="11.42578125" style="3"/>
    <col min="11777" max="11777" width="15.85546875" style="3" customWidth="1"/>
    <col min="11778" max="11778" width="14.85546875" style="3" customWidth="1"/>
    <col min="11779" max="11779" width="13.28515625" style="3" customWidth="1"/>
    <col min="11780" max="11780" width="11.42578125" style="3"/>
    <col min="11781" max="11781" width="13.42578125" style="3" customWidth="1"/>
    <col min="11782" max="11782" width="12.7109375" style="3" customWidth="1"/>
    <col min="11783" max="11783" width="14" style="3" customWidth="1"/>
    <col min="11784" max="12032" width="11.42578125" style="3"/>
    <col min="12033" max="12033" width="15.85546875" style="3" customWidth="1"/>
    <col min="12034" max="12034" width="14.85546875" style="3" customWidth="1"/>
    <col min="12035" max="12035" width="13.28515625" style="3" customWidth="1"/>
    <col min="12036" max="12036" width="11.42578125" style="3"/>
    <col min="12037" max="12037" width="13.42578125" style="3" customWidth="1"/>
    <col min="12038" max="12038" width="12.7109375" style="3" customWidth="1"/>
    <col min="12039" max="12039" width="14" style="3" customWidth="1"/>
    <col min="12040" max="12288" width="11.42578125" style="3"/>
    <col min="12289" max="12289" width="15.85546875" style="3" customWidth="1"/>
    <col min="12290" max="12290" width="14.85546875" style="3" customWidth="1"/>
    <col min="12291" max="12291" width="13.28515625" style="3" customWidth="1"/>
    <col min="12292" max="12292" width="11.42578125" style="3"/>
    <col min="12293" max="12293" width="13.42578125" style="3" customWidth="1"/>
    <col min="12294" max="12294" width="12.7109375" style="3" customWidth="1"/>
    <col min="12295" max="12295" width="14" style="3" customWidth="1"/>
    <col min="12296" max="12544" width="11.42578125" style="3"/>
    <col min="12545" max="12545" width="15.85546875" style="3" customWidth="1"/>
    <col min="12546" max="12546" width="14.85546875" style="3" customWidth="1"/>
    <col min="12547" max="12547" width="13.28515625" style="3" customWidth="1"/>
    <col min="12548" max="12548" width="11.42578125" style="3"/>
    <col min="12549" max="12549" width="13.42578125" style="3" customWidth="1"/>
    <col min="12550" max="12550" width="12.7109375" style="3" customWidth="1"/>
    <col min="12551" max="12551" width="14" style="3" customWidth="1"/>
    <col min="12552" max="12800" width="11.42578125" style="3"/>
    <col min="12801" max="12801" width="15.85546875" style="3" customWidth="1"/>
    <col min="12802" max="12802" width="14.85546875" style="3" customWidth="1"/>
    <col min="12803" max="12803" width="13.28515625" style="3" customWidth="1"/>
    <col min="12804" max="12804" width="11.42578125" style="3"/>
    <col min="12805" max="12805" width="13.42578125" style="3" customWidth="1"/>
    <col min="12806" max="12806" width="12.7109375" style="3" customWidth="1"/>
    <col min="12807" max="12807" width="14" style="3" customWidth="1"/>
    <col min="12808" max="13056" width="11.42578125" style="3"/>
    <col min="13057" max="13057" width="15.85546875" style="3" customWidth="1"/>
    <col min="13058" max="13058" width="14.85546875" style="3" customWidth="1"/>
    <col min="13059" max="13059" width="13.28515625" style="3" customWidth="1"/>
    <col min="13060" max="13060" width="11.42578125" style="3"/>
    <col min="13061" max="13061" width="13.42578125" style="3" customWidth="1"/>
    <col min="13062" max="13062" width="12.7109375" style="3" customWidth="1"/>
    <col min="13063" max="13063" width="14" style="3" customWidth="1"/>
    <col min="13064" max="13312" width="11.42578125" style="3"/>
    <col min="13313" max="13313" width="15.85546875" style="3" customWidth="1"/>
    <col min="13314" max="13314" width="14.85546875" style="3" customWidth="1"/>
    <col min="13315" max="13315" width="13.28515625" style="3" customWidth="1"/>
    <col min="13316" max="13316" width="11.42578125" style="3"/>
    <col min="13317" max="13317" width="13.42578125" style="3" customWidth="1"/>
    <col min="13318" max="13318" width="12.7109375" style="3" customWidth="1"/>
    <col min="13319" max="13319" width="14" style="3" customWidth="1"/>
    <col min="13320" max="13568" width="11.42578125" style="3"/>
    <col min="13569" max="13569" width="15.85546875" style="3" customWidth="1"/>
    <col min="13570" max="13570" width="14.85546875" style="3" customWidth="1"/>
    <col min="13571" max="13571" width="13.28515625" style="3" customWidth="1"/>
    <col min="13572" max="13572" width="11.42578125" style="3"/>
    <col min="13573" max="13573" width="13.42578125" style="3" customWidth="1"/>
    <col min="13574" max="13574" width="12.7109375" style="3" customWidth="1"/>
    <col min="13575" max="13575" width="14" style="3" customWidth="1"/>
    <col min="13576" max="13824" width="11.42578125" style="3"/>
    <col min="13825" max="13825" width="15.85546875" style="3" customWidth="1"/>
    <col min="13826" max="13826" width="14.85546875" style="3" customWidth="1"/>
    <col min="13827" max="13827" width="13.28515625" style="3" customWidth="1"/>
    <col min="13828" max="13828" width="11.42578125" style="3"/>
    <col min="13829" max="13829" width="13.42578125" style="3" customWidth="1"/>
    <col min="13830" max="13830" width="12.7109375" style="3" customWidth="1"/>
    <col min="13831" max="13831" width="14" style="3" customWidth="1"/>
    <col min="13832" max="14080" width="11.42578125" style="3"/>
    <col min="14081" max="14081" width="15.85546875" style="3" customWidth="1"/>
    <col min="14082" max="14082" width="14.85546875" style="3" customWidth="1"/>
    <col min="14083" max="14083" width="13.28515625" style="3" customWidth="1"/>
    <col min="14084" max="14084" width="11.42578125" style="3"/>
    <col min="14085" max="14085" width="13.42578125" style="3" customWidth="1"/>
    <col min="14086" max="14086" width="12.7109375" style="3" customWidth="1"/>
    <col min="14087" max="14087" width="14" style="3" customWidth="1"/>
    <col min="14088" max="14336" width="11.42578125" style="3"/>
    <col min="14337" max="14337" width="15.85546875" style="3" customWidth="1"/>
    <col min="14338" max="14338" width="14.85546875" style="3" customWidth="1"/>
    <col min="14339" max="14339" width="13.28515625" style="3" customWidth="1"/>
    <col min="14340" max="14340" width="11.42578125" style="3"/>
    <col min="14341" max="14341" width="13.42578125" style="3" customWidth="1"/>
    <col min="14342" max="14342" width="12.7109375" style="3" customWidth="1"/>
    <col min="14343" max="14343" width="14" style="3" customWidth="1"/>
    <col min="14344" max="14592" width="11.42578125" style="3"/>
    <col min="14593" max="14593" width="15.85546875" style="3" customWidth="1"/>
    <col min="14594" max="14594" width="14.85546875" style="3" customWidth="1"/>
    <col min="14595" max="14595" width="13.28515625" style="3" customWidth="1"/>
    <col min="14596" max="14596" width="11.42578125" style="3"/>
    <col min="14597" max="14597" width="13.42578125" style="3" customWidth="1"/>
    <col min="14598" max="14598" width="12.7109375" style="3" customWidth="1"/>
    <col min="14599" max="14599" width="14" style="3" customWidth="1"/>
    <col min="14600" max="14848" width="11.42578125" style="3"/>
    <col min="14849" max="14849" width="15.85546875" style="3" customWidth="1"/>
    <col min="14850" max="14850" width="14.85546875" style="3" customWidth="1"/>
    <col min="14851" max="14851" width="13.28515625" style="3" customWidth="1"/>
    <col min="14852" max="14852" width="11.42578125" style="3"/>
    <col min="14853" max="14853" width="13.42578125" style="3" customWidth="1"/>
    <col min="14854" max="14854" width="12.7109375" style="3" customWidth="1"/>
    <col min="14855" max="14855" width="14" style="3" customWidth="1"/>
    <col min="14856" max="15104" width="11.42578125" style="3"/>
    <col min="15105" max="15105" width="15.85546875" style="3" customWidth="1"/>
    <col min="15106" max="15106" width="14.85546875" style="3" customWidth="1"/>
    <col min="15107" max="15107" width="13.28515625" style="3" customWidth="1"/>
    <col min="15108" max="15108" width="11.42578125" style="3"/>
    <col min="15109" max="15109" width="13.42578125" style="3" customWidth="1"/>
    <col min="15110" max="15110" width="12.7109375" style="3" customWidth="1"/>
    <col min="15111" max="15111" width="14" style="3" customWidth="1"/>
    <col min="15112" max="15360" width="11.42578125" style="3"/>
    <col min="15361" max="15361" width="15.85546875" style="3" customWidth="1"/>
    <col min="15362" max="15362" width="14.85546875" style="3" customWidth="1"/>
    <col min="15363" max="15363" width="13.28515625" style="3" customWidth="1"/>
    <col min="15364" max="15364" width="11.42578125" style="3"/>
    <col min="15365" max="15365" width="13.42578125" style="3" customWidth="1"/>
    <col min="15366" max="15366" width="12.7109375" style="3" customWidth="1"/>
    <col min="15367" max="15367" width="14" style="3" customWidth="1"/>
    <col min="15368" max="15616" width="11.42578125" style="3"/>
    <col min="15617" max="15617" width="15.85546875" style="3" customWidth="1"/>
    <col min="15618" max="15618" width="14.85546875" style="3" customWidth="1"/>
    <col min="15619" max="15619" width="13.28515625" style="3" customWidth="1"/>
    <col min="15620" max="15620" width="11.42578125" style="3"/>
    <col min="15621" max="15621" width="13.42578125" style="3" customWidth="1"/>
    <col min="15622" max="15622" width="12.7109375" style="3" customWidth="1"/>
    <col min="15623" max="15623" width="14" style="3" customWidth="1"/>
    <col min="15624" max="15872" width="11.42578125" style="3"/>
    <col min="15873" max="15873" width="15.85546875" style="3" customWidth="1"/>
    <col min="15874" max="15874" width="14.85546875" style="3" customWidth="1"/>
    <col min="15875" max="15875" width="13.28515625" style="3" customWidth="1"/>
    <col min="15876" max="15876" width="11.42578125" style="3"/>
    <col min="15877" max="15877" width="13.42578125" style="3" customWidth="1"/>
    <col min="15878" max="15878" width="12.7109375" style="3" customWidth="1"/>
    <col min="15879" max="15879" width="14" style="3" customWidth="1"/>
    <col min="15880" max="16128" width="11.42578125" style="3"/>
    <col min="16129" max="16129" width="15.85546875" style="3" customWidth="1"/>
    <col min="16130" max="16130" width="14.85546875" style="3" customWidth="1"/>
    <col min="16131" max="16131" width="13.28515625" style="3" customWidth="1"/>
    <col min="16132" max="16132" width="11.42578125" style="3"/>
    <col min="16133" max="16133" width="13.42578125" style="3" customWidth="1"/>
    <col min="16134" max="16134" width="12.7109375" style="3" customWidth="1"/>
    <col min="16135" max="16135" width="14" style="3" customWidth="1"/>
    <col min="16136" max="16384" width="11.42578125" style="3"/>
  </cols>
  <sheetData>
    <row r="1" spans="1:21" ht="48" customHeight="1">
      <c r="A1" s="1346" t="str">
        <f>PPTO!D3</f>
        <v>PRESUPUESTO
MUNICIPIO EL BAGRE (ANTIOQUIA).</v>
      </c>
      <c r="B1" s="1347"/>
      <c r="C1" s="1347"/>
      <c r="D1" s="1347"/>
      <c r="E1" s="1347"/>
      <c r="F1" s="1347"/>
      <c r="G1" s="1348"/>
      <c r="H1" s="1"/>
      <c r="I1" s="2"/>
    </row>
    <row r="2" spans="1:21" ht="18" customHeight="1">
      <c r="A2" s="1362" t="s">
        <v>16</v>
      </c>
      <c r="B2" s="1363"/>
      <c r="C2" s="1363"/>
      <c r="D2" s="1363"/>
      <c r="E2" s="1363"/>
      <c r="F2" s="1363"/>
      <c r="G2" s="1364"/>
      <c r="H2" s="1"/>
      <c r="I2" s="2"/>
    </row>
    <row r="3" spans="1:21" ht="28.5" customHeight="1">
      <c r="A3" s="1367" t="str">
        <f>+PPTO!$D$5</f>
        <v>PROYECTO DE MEJORAMIENTO VIAL, ESPACIO PUBLICO Y OBRAS COMPLEMENTARIAS DE LA AVENIDA LA JUVENTUD Y TRAMOS ADYACENTES Y PRIORITARIOS DEL SECTOR URBANO EN EL MUNICIPIO EL BAGRE ANTIOQUIA.</v>
      </c>
      <c r="B3" s="1368"/>
      <c r="C3" s="1368"/>
      <c r="D3" s="1368"/>
      <c r="E3" s="1368"/>
      <c r="F3" s="1368"/>
      <c r="G3" s="1369"/>
      <c r="H3" s="1"/>
      <c r="I3" s="2"/>
    </row>
    <row r="4" spans="1:21" ht="30" customHeight="1">
      <c r="A4" s="1370"/>
      <c r="B4" s="1368"/>
      <c r="C4" s="1368"/>
      <c r="D4" s="1368"/>
      <c r="E4" s="1368"/>
      <c r="F4" s="1368"/>
      <c r="G4" s="1369"/>
      <c r="H4" s="1"/>
      <c r="I4" s="2"/>
    </row>
    <row r="5" spans="1:21" ht="6.75" customHeight="1">
      <c r="A5" s="222"/>
      <c r="B5" s="6"/>
      <c r="C5" s="24"/>
      <c r="D5" s="25"/>
      <c r="E5" s="6"/>
      <c r="F5" s="6"/>
      <c r="G5" s="223"/>
      <c r="H5" s="9"/>
    </row>
    <row r="6" spans="1:21" ht="52.5" customHeight="1">
      <c r="A6" s="368">
        <v>2.2999999999999998</v>
      </c>
      <c r="B6" s="1349" t="str">
        <f>VLOOKUP(A6,PPTO!D4:I131,2,FALSE)</f>
        <v>Acarreo material de excavación sobrante (Incluye cargue y Transporte)</v>
      </c>
      <c r="C6" s="1350"/>
      <c r="D6" s="1350"/>
      <c r="E6" s="1351"/>
      <c r="F6" s="192" t="s">
        <v>118</v>
      </c>
      <c r="G6" s="248" t="str">
        <f>VLOOKUP(A6,PPTO!D4:I131,3,FALSE)</f>
        <v>m3-km</v>
      </c>
      <c r="H6" s="9"/>
    </row>
    <row r="7" spans="1:21" ht="3.75" customHeight="1">
      <c r="A7" s="226"/>
      <c r="B7" s="4"/>
      <c r="C7" s="6"/>
      <c r="D7" s="4"/>
      <c r="E7" s="4"/>
      <c r="F7" s="4"/>
      <c r="G7" s="227"/>
      <c r="H7" s="9"/>
    </row>
    <row r="8" spans="1:21" ht="22.5" customHeight="1">
      <c r="A8" s="1354" t="s">
        <v>69</v>
      </c>
      <c r="B8" s="1355"/>
      <c r="C8" s="1355"/>
      <c r="D8" s="1355"/>
      <c r="E8" s="1355"/>
      <c r="F8" s="1355"/>
      <c r="G8" s="1356"/>
      <c r="H8" s="9"/>
    </row>
    <row r="9" spans="1:21" ht="4.5" customHeight="1">
      <c r="A9" s="226"/>
      <c r="B9" s="4"/>
      <c r="C9" s="6"/>
      <c r="D9" s="4"/>
      <c r="E9" s="4"/>
      <c r="F9" s="4"/>
      <c r="G9" s="227"/>
      <c r="H9" s="9"/>
      <c r="I9" s="5"/>
      <c r="J9" s="5"/>
      <c r="K9" s="5"/>
      <c r="L9" s="26"/>
      <c r="M9" s="5"/>
      <c r="N9" s="5"/>
      <c r="O9" s="5"/>
      <c r="P9" s="5"/>
    </row>
    <row r="10" spans="1:21">
      <c r="A10" s="1373" t="s">
        <v>17</v>
      </c>
      <c r="B10" s="1374"/>
      <c r="C10" s="1374"/>
      <c r="D10" s="220" t="s">
        <v>18</v>
      </c>
      <c r="E10" s="220" t="s">
        <v>19</v>
      </c>
      <c r="F10" s="220" t="s">
        <v>20</v>
      </c>
      <c r="G10" s="228" t="s">
        <v>21</v>
      </c>
      <c r="H10" s="27"/>
      <c r="I10" s="28"/>
      <c r="J10" s="29"/>
      <c r="K10" s="30"/>
      <c r="L10" s="30"/>
      <c r="M10" s="30"/>
      <c r="N10" s="30"/>
      <c r="O10" s="30"/>
      <c r="P10" s="5"/>
    </row>
    <row r="11" spans="1:21">
      <c r="A11" s="1352"/>
      <c r="B11" s="1353"/>
      <c r="C11" s="1353"/>
      <c r="D11" s="220"/>
      <c r="E11" s="83"/>
      <c r="F11" s="97"/>
      <c r="G11" s="229"/>
      <c r="H11" s="9"/>
      <c r="I11" s="30"/>
      <c r="J11" s="31"/>
      <c r="K11" s="30"/>
      <c r="L11" s="30"/>
      <c r="M11" s="30"/>
      <c r="N11" s="30"/>
      <c r="O11" s="30"/>
      <c r="P11" s="5"/>
    </row>
    <row r="12" spans="1:21">
      <c r="A12" s="1371" t="s">
        <v>78</v>
      </c>
      <c r="B12" s="1372"/>
      <c r="C12" s="1372"/>
      <c r="D12" s="83" t="s">
        <v>42</v>
      </c>
      <c r="E12" s="83">
        <v>170000</v>
      </c>
      <c r="F12" s="97">
        <v>600</v>
      </c>
      <c r="G12" s="229">
        <f>E12/F12</f>
        <v>283</v>
      </c>
      <c r="H12" s="9"/>
      <c r="I12" s="16"/>
      <c r="J12" s="13"/>
      <c r="K12" s="8"/>
      <c r="L12" s="8"/>
      <c r="M12" s="8"/>
      <c r="N12" s="8"/>
      <c r="O12" s="8"/>
      <c r="P12" s="5"/>
    </row>
    <row r="13" spans="1:21">
      <c r="A13" s="1371" t="s">
        <v>77</v>
      </c>
      <c r="B13" s="1372"/>
      <c r="C13" s="1372"/>
      <c r="D13" s="83" t="s">
        <v>79</v>
      </c>
      <c r="E13" s="83">
        <v>1000</v>
      </c>
      <c r="F13" s="97">
        <v>1</v>
      </c>
      <c r="G13" s="229">
        <f>E13/F13</f>
        <v>1000</v>
      </c>
      <c r="H13" s="9"/>
      <c r="I13" s="13"/>
      <c r="J13" s="13"/>
      <c r="K13" s="13"/>
      <c r="L13" s="13"/>
      <c r="M13" s="13"/>
      <c r="N13" s="13"/>
      <c r="O13" s="13"/>
      <c r="P13" s="5"/>
    </row>
    <row r="14" spans="1:21">
      <c r="A14" s="1371"/>
      <c r="B14" s="1372"/>
      <c r="C14" s="1372"/>
      <c r="D14" s="83"/>
      <c r="E14" s="83"/>
      <c r="F14" s="98"/>
      <c r="G14" s="229"/>
      <c r="H14" s="9"/>
      <c r="I14" s="8"/>
      <c r="J14" s="14"/>
      <c r="K14" s="32"/>
      <c r="L14" s="14"/>
      <c r="M14" s="15"/>
      <c r="N14" s="15"/>
      <c r="O14" s="19"/>
      <c r="P14" s="5"/>
    </row>
    <row r="15" spans="1:21">
      <c r="A15" s="1371"/>
      <c r="B15" s="1372"/>
      <c r="C15" s="1372"/>
      <c r="D15" s="83"/>
      <c r="E15" s="83"/>
      <c r="F15" s="98"/>
      <c r="G15" s="229"/>
      <c r="H15" s="9"/>
      <c r="I15" s="8"/>
      <c r="J15" s="33"/>
      <c r="K15" s="32"/>
      <c r="L15" s="14"/>
      <c r="M15" s="15"/>
      <c r="N15" s="15"/>
      <c r="O15" s="19"/>
      <c r="P15" s="5"/>
      <c r="Q15" s="5"/>
      <c r="R15" s="5"/>
      <c r="S15" s="5"/>
      <c r="T15" s="5"/>
      <c r="U15" s="5"/>
    </row>
    <row r="16" spans="1:21">
      <c r="A16" s="1371"/>
      <c r="B16" s="1372"/>
      <c r="C16" s="1372"/>
      <c r="D16" s="85" t="s">
        <v>37</v>
      </c>
      <c r="E16" s="50"/>
      <c r="F16" s="49"/>
      <c r="G16" s="230">
        <f>SUM(G11:G15)</f>
        <v>1283</v>
      </c>
      <c r="H16" s="9"/>
      <c r="I16" s="34"/>
      <c r="J16" s="34"/>
      <c r="K16" s="35"/>
      <c r="L16" s="36"/>
      <c r="M16" s="7"/>
      <c r="N16" s="7"/>
      <c r="O16" s="19"/>
      <c r="P16" s="5"/>
      <c r="Q16" s="5"/>
      <c r="R16" s="5"/>
      <c r="S16" s="5"/>
      <c r="T16" s="5"/>
      <c r="U16" s="5"/>
    </row>
    <row r="17" spans="1:21" ht="4.5" customHeight="1">
      <c r="A17" s="226"/>
      <c r="B17" s="4"/>
      <c r="C17" s="6"/>
      <c r="D17" s="4"/>
      <c r="E17" s="4"/>
      <c r="F17" s="4"/>
      <c r="G17" s="227"/>
      <c r="H17" s="9"/>
      <c r="I17" s="34"/>
      <c r="J17" s="34"/>
      <c r="K17" s="35"/>
      <c r="L17" s="36"/>
      <c r="M17" s="7"/>
      <c r="N17" s="7"/>
      <c r="O17" s="19"/>
      <c r="P17" s="5"/>
      <c r="Q17" s="5"/>
      <c r="R17" s="5"/>
      <c r="S17" s="5"/>
      <c r="T17" s="5"/>
      <c r="U17" s="5"/>
    </row>
    <row r="18" spans="1:21" ht="22.5" customHeight="1">
      <c r="A18" s="1354" t="s">
        <v>70</v>
      </c>
      <c r="B18" s="1355"/>
      <c r="C18" s="1355"/>
      <c r="D18" s="1355"/>
      <c r="E18" s="1355"/>
      <c r="F18" s="1355"/>
      <c r="G18" s="1356"/>
      <c r="H18" s="9"/>
    </row>
    <row r="19" spans="1:21" ht="4.5" customHeight="1">
      <c r="A19" s="226"/>
      <c r="B19" s="4"/>
      <c r="C19" s="6"/>
      <c r="D19" s="4"/>
      <c r="E19" s="4"/>
      <c r="F19" s="38"/>
      <c r="G19" s="227"/>
      <c r="H19" s="9"/>
      <c r="I19" s="34"/>
      <c r="J19" s="34"/>
      <c r="K19" s="35"/>
      <c r="L19" s="39"/>
      <c r="M19" s="7"/>
      <c r="N19" s="7"/>
      <c r="O19" s="8"/>
      <c r="P19" s="5"/>
      <c r="Q19" s="5"/>
      <c r="R19" s="5"/>
      <c r="S19" s="5"/>
      <c r="T19" s="5"/>
      <c r="U19" s="5"/>
    </row>
    <row r="20" spans="1:21">
      <c r="A20" s="1373" t="s">
        <v>17</v>
      </c>
      <c r="B20" s="1374"/>
      <c r="C20" s="1374"/>
      <c r="D20" s="220" t="s">
        <v>3</v>
      </c>
      <c r="E20" s="220" t="s">
        <v>4</v>
      </c>
      <c r="F20" s="220" t="s">
        <v>25</v>
      </c>
      <c r="G20" s="228" t="s">
        <v>21</v>
      </c>
      <c r="H20" s="27"/>
      <c r="I20" s="34"/>
      <c r="J20" s="34"/>
      <c r="K20" s="35"/>
      <c r="L20" s="39"/>
      <c r="M20" s="7"/>
      <c r="N20" s="7"/>
      <c r="O20" s="8"/>
      <c r="P20" s="5"/>
      <c r="Q20" s="5"/>
      <c r="R20" s="5"/>
      <c r="S20" s="5"/>
      <c r="T20" s="5"/>
      <c r="U20" s="5"/>
    </row>
    <row r="21" spans="1:21">
      <c r="A21" s="1365"/>
      <c r="B21" s="1366"/>
      <c r="C21" s="1366"/>
      <c r="D21" s="73"/>
      <c r="E21" s="92"/>
      <c r="F21" s="91"/>
      <c r="G21" s="231"/>
      <c r="H21" s="9"/>
      <c r="I21" s="34"/>
      <c r="J21" s="34"/>
      <c r="K21" s="35"/>
      <c r="L21" s="39"/>
      <c r="M21" s="7"/>
      <c r="N21" s="7"/>
      <c r="O21" s="13"/>
      <c r="P21" s="5"/>
      <c r="Q21" s="5"/>
      <c r="R21" s="5"/>
      <c r="S21" s="5"/>
      <c r="T21" s="5"/>
      <c r="U21" s="5"/>
    </row>
    <row r="22" spans="1:21">
      <c r="A22" s="1365"/>
      <c r="B22" s="1366"/>
      <c r="C22" s="1366"/>
      <c r="D22" s="76"/>
      <c r="E22" s="92"/>
      <c r="F22" s="83"/>
      <c r="G22" s="231"/>
      <c r="H22" s="9"/>
      <c r="I22" s="10"/>
      <c r="J22" s="10"/>
      <c r="K22" s="12"/>
      <c r="L22" s="39"/>
      <c r="M22" s="7"/>
      <c r="N22" s="7"/>
      <c r="O22" s="15"/>
      <c r="P22" s="5"/>
      <c r="Q22" s="5"/>
      <c r="R22" s="5"/>
      <c r="S22" s="5"/>
      <c r="T22" s="5"/>
      <c r="U22" s="5"/>
    </row>
    <row r="23" spans="1:21">
      <c r="A23" s="1352"/>
      <c r="B23" s="1353"/>
      <c r="C23" s="1353"/>
      <c r="D23" s="73"/>
      <c r="E23" s="90"/>
      <c r="F23" s="83"/>
      <c r="G23" s="231"/>
      <c r="H23" s="9"/>
      <c r="I23" s="10"/>
      <c r="J23" s="10"/>
      <c r="K23" s="12"/>
      <c r="L23" s="39"/>
      <c r="M23" s="7"/>
      <c r="N23" s="7"/>
      <c r="O23" s="15"/>
      <c r="P23" s="5"/>
      <c r="Q23" s="5"/>
      <c r="R23" s="5"/>
      <c r="S23" s="5"/>
      <c r="T23" s="5"/>
      <c r="U23" s="5"/>
    </row>
    <row r="24" spans="1:21">
      <c r="A24" s="1352"/>
      <c r="B24" s="1353"/>
      <c r="C24" s="1353"/>
      <c r="D24" s="79"/>
      <c r="E24" s="82"/>
      <c r="F24" s="83"/>
      <c r="G24" s="231"/>
      <c r="H24" s="9"/>
      <c r="I24" s="10"/>
      <c r="J24" s="40"/>
      <c r="K24" s="12"/>
      <c r="L24" s="13"/>
      <c r="M24" s="14"/>
      <c r="N24" s="14"/>
      <c r="O24" s="15"/>
      <c r="P24" s="5"/>
      <c r="Q24" s="5"/>
      <c r="R24" s="5"/>
      <c r="S24" s="5"/>
      <c r="T24" s="5"/>
      <c r="U24" s="5"/>
    </row>
    <row r="25" spans="1:21">
      <c r="A25" s="1352"/>
      <c r="B25" s="1353"/>
      <c r="C25" s="1353"/>
      <c r="D25" s="81"/>
      <c r="E25" s="82"/>
      <c r="F25" s="83"/>
      <c r="G25" s="231"/>
      <c r="H25" s="9"/>
      <c r="I25" s="10"/>
      <c r="J25" s="11"/>
      <c r="K25" s="12"/>
      <c r="L25" s="13"/>
      <c r="M25" s="14"/>
      <c r="N25" s="14"/>
      <c r="O25" s="15"/>
      <c r="P25" s="5"/>
      <c r="Q25" s="5"/>
      <c r="R25" s="5"/>
      <c r="S25" s="5"/>
      <c r="T25" s="5"/>
      <c r="U25" s="5"/>
    </row>
    <row r="26" spans="1:21">
      <c r="A26" s="1352"/>
      <c r="B26" s="1353"/>
      <c r="C26" s="1353"/>
      <c r="D26" s="79"/>
      <c r="E26" s="82"/>
      <c r="F26" s="83"/>
      <c r="G26" s="231"/>
      <c r="H26" s="9"/>
      <c r="I26" s="10"/>
      <c r="J26" s="11"/>
      <c r="K26" s="12"/>
      <c r="L26" s="13"/>
      <c r="M26" s="14"/>
      <c r="N26" s="14"/>
      <c r="O26" s="15"/>
      <c r="P26" s="5"/>
      <c r="Q26" s="5"/>
      <c r="R26" s="5"/>
      <c r="S26" s="5"/>
      <c r="T26" s="5"/>
      <c r="U26" s="5"/>
    </row>
    <row r="27" spans="1:21">
      <c r="A27" s="1352"/>
      <c r="B27" s="1353"/>
      <c r="C27" s="1353"/>
      <c r="D27" s="79"/>
      <c r="E27" s="82"/>
      <c r="F27" s="83"/>
      <c r="G27" s="231"/>
      <c r="H27" s="9"/>
      <c r="I27" s="10"/>
      <c r="J27" s="11"/>
      <c r="K27" s="12"/>
      <c r="L27" s="13"/>
      <c r="M27" s="14"/>
      <c r="N27" s="14"/>
      <c r="O27" s="15"/>
      <c r="P27" s="5"/>
      <c r="Q27" s="5"/>
      <c r="R27" s="5"/>
      <c r="S27" s="5"/>
      <c r="T27" s="5"/>
      <c r="U27" s="5"/>
    </row>
    <row r="28" spans="1:21">
      <c r="A28" s="1352"/>
      <c r="B28" s="1353"/>
      <c r="C28" s="1353"/>
      <c r="D28" s="79"/>
      <c r="E28" s="82"/>
      <c r="F28" s="83"/>
      <c r="G28" s="231"/>
      <c r="H28" s="9"/>
      <c r="I28" s="41"/>
      <c r="J28" s="41"/>
      <c r="K28" s="12"/>
      <c r="L28" s="13"/>
      <c r="M28" s="14"/>
      <c r="N28" s="14"/>
      <c r="O28" s="15"/>
      <c r="P28" s="5"/>
      <c r="Q28" s="5"/>
      <c r="R28" s="5"/>
      <c r="S28" s="5"/>
      <c r="T28" s="5"/>
      <c r="U28" s="5"/>
    </row>
    <row r="29" spans="1:21">
      <c r="A29" s="1352"/>
      <c r="B29" s="1353"/>
      <c r="C29" s="1353"/>
      <c r="D29" s="84"/>
      <c r="E29" s="84"/>
      <c r="F29" s="83"/>
      <c r="G29" s="231"/>
      <c r="H29" s="9"/>
      <c r="I29" s="42"/>
      <c r="J29" s="42"/>
      <c r="K29" s="42"/>
      <c r="L29" s="13"/>
      <c r="M29" s="14"/>
      <c r="N29" s="14"/>
      <c r="O29" s="15"/>
      <c r="P29" s="5"/>
      <c r="Q29" s="5"/>
      <c r="R29" s="5"/>
      <c r="S29" s="5"/>
      <c r="T29" s="5"/>
      <c r="U29" s="5"/>
    </row>
    <row r="30" spans="1:21">
      <c r="A30" s="1352"/>
      <c r="B30" s="1353"/>
      <c r="C30" s="1353"/>
      <c r="D30" s="85" t="s">
        <v>28</v>
      </c>
      <c r="E30" s="50"/>
      <c r="F30" s="49"/>
      <c r="G30" s="230">
        <f>SUM(G21:G29)</f>
        <v>0</v>
      </c>
      <c r="H30" s="9"/>
      <c r="I30" s="8"/>
      <c r="J30" s="13"/>
      <c r="K30" s="8"/>
      <c r="L30" s="13"/>
      <c r="M30" s="14"/>
      <c r="N30" s="14"/>
      <c r="O30" s="15"/>
      <c r="P30" s="5"/>
    </row>
    <row r="31" spans="1:21" ht="3.75" customHeight="1">
      <c r="A31" s="226"/>
      <c r="B31" s="4"/>
      <c r="C31" s="6"/>
      <c r="D31" s="4"/>
      <c r="E31" s="4"/>
      <c r="F31" s="4"/>
      <c r="G31" s="227"/>
      <c r="H31" s="9"/>
      <c r="I31" s="8"/>
      <c r="J31" s="13"/>
      <c r="K31" s="18"/>
      <c r="L31" s="13"/>
      <c r="M31" s="33"/>
      <c r="N31" s="33"/>
      <c r="O31" s="15"/>
      <c r="P31" s="5"/>
    </row>
    <row r="32" spans="1:21" ht="22.5" customHeight="1">
      <c r="A32" s="1354" t="s">
        <v>71</v>
      </c>
      <c r="B32" s="1355"/>
      <c r="C32" s="1355"/>
      <c r="D32" s="1355"/>
      <c r="E32" s="1355"/>
      <c r="F32" s="1355"/>
      <c r="G32" s="1356"/>
      <c r="H32" s="9"/>
    </row>
    <row r="33" spans="1:16" ht="3.75" customHeight="1">
      <c r="A33" s="226"/>
      <c r="B33" s="4"/>
      <c r="C33" s="6"/>
      <c r="D33" s="4"/>
      <c r="E33" s="4"/>
      <c r="F33" s="4"/>
      <c r="G33" s="227"/>
      <c r="H33" s="9"/>
      <c r="I33" s="8"/>
      <c r="J33" s="13"/>
      <c r="K33" s="8"/>
      <c r="L33" s="8"/>
      <c r="M33" s="8"/>
      <c r="N33" s="8"/>
      <c r="O33" s="15"/>
      <c r="P33" s="5"/>
    </row>
    <row r="34" spans="1:16">
      <c r="A34" s="232" t="s">
        <v>5</v>
      </c>
      <c r="B34" s="60" t="s">
        <v>29</v>
      </c>
      <c r="C34" s="60" t="s">
        <v>30</v>
      </c>
      <c r="D34" s="60" t="s">
        <v>31</v>
      </c>
      <c r="E34" s="60" t="s">
        <v>32</v>
      </c>
      <c r="F34" s="60" t="s">
        <v>20</v>
      </c>
      <c r="G34" s="228" t="s">
        <v>33</v>
      </c>
      <c r="H34" s="27"/>
      <c r="I34" s="8"/>
      <c r="J34" s="13"/>
      <c r="K34" s="8"/>
      <c r="L34" s="8"/>
      <c r="M34" s="8"/>
      <c r="N34" s="8"/>
      <c r="O34" s="15"/>
      <c r="P34" s="5"/>
    </row>
    <row r="35" spans="1:16">
      <c r="A35" s="233"/>
      <c r="B35" s="63"/>
      <c r="C35" s="64"/>
      <c r="D35" s="65"/>
      <c r="E35" s="66"/>
      <c r="F35" s="65"/>
      <c r="G35" s="231"/>
      <c r="H35" s="9"/>
      <c r="I35" s="16"/>
      <c r="J35" s="13"/>
      <c r="K35" s="8"/>
      <c r="L35" s="8"/>
      <c r="M35" s="8"/>
      <c r="N35" s="8"/>
      <c r="O35" s="15"/>
      <c r="P35" s="5"/>
    </row>
    <row r="36" spans="1:16">
      <c r="A36" s="233"/>
      <c r="B36" s="63"/>
      <c r="C36" s="64"/>
      <c r="D36" s="65"/>
      <c r="E36" s="66"/>
      <c r="F36" s="65"/>
      <c r="G36" s="231"/>
      <c r="H36" s="9"/>
      <c r="I36" s="16"/>
      <c r="J36" s="13"/>
      <c r="K36" s="8"/>
      <c r="L36" s="8"/>
      <c r="M36" s="8"/>
      <c r="N36" s="8"/>
      <c r="O36" s="15"/>
      <c r="P36" s="5"/>
    </row>
    <row r="37" spans="1:16">
      <c r="A37" s="233"/>
      <c r="B37" s="63"/>
      <c r="C37" s="961"/>
      <c r="D37" s="72"/>
      <c r="E37" s="66"/>
      <c r="F37" s="69"/>
      <c r="G37" s="231"/>
      <c r="H37" s="9"/>
      <c r="I37" s="8"/>
      <c r="J37" s="8"/>
      <c r="K37" s="13"/>
      <c r="L37" s="13"/>
      <c r="M37" s="13"/>
      <c r="N37" s="13"/>
      <c r="O37" s="13"/>
      <c r="P37" s="5"/>
    </row>
    <row r="38" spans="1:16">
      <c r="A38" s="233"/>
      <c r="B38" s="63"/>
      <c r="C38" s="64"/>
      <c r="D38" s="72"/>
      <c r="E38" s="66"/>
      <c r="F38" s="69"/>
      <c r="G38" s="231"/>
      <c r="H38" s="9"/>
      <c r="I38" s="8"/>
      <c r="J38" s="13"/>
      <c r="K38" s="13"/>
      <c r="L38" s="13"/>
      <c r="M38" s="33"/>
      <c r="N38" s="33"/>
      <c r="O38" s="43"/>
      <c r="P38" s="5"/>
    </row>
    <row r="39" spans="1:16">
      <c r="A39" s="233"/>
      <c r="B39" s="65"/>
      <c r="C39" s="68"/>
      <c r="D39" s="65"/>
      <c r="E39" s="69"/>
      <c r="F39" s="69"/>
      <c r="G39" s="236"/>
      <c r="H39" s="9"/>
      <c r="I39" s="8"/>
      <c r="J39" s="13"/>
      <c r="K39" s="13"/>
      <c r="L39" s="13"/>
      <c r="M39" s="33"/>
      <c r="N39" s="33"/>
      <c r="O39" s="43"/>
      <c r="P39" s="5"/>
    </row>
    <row r="40" spans="1:16">
      <c r="A40" s="1352"/>
      <c r="B40" s="1353"/>
      <c r="C40" s="1353"/>
      <c r="D40" s="85" t="s">
        <v>34</v>
      </c>
      <c r="E40" s="50"/>
      <c r="F40" s="49"/>
      <c r="G40" s="230">
        <f>SUM(G35:G39)</f>
        <v>0</v>
      </c>
      <c r="H40" s="9"/>
      <c r="I40" s="8"/>
      <c r="J40" s="13"/>
      <c r="K40" s="8"/>
      <c r="L40" s="13"/>
      <c r="M40" s="14"/>
      <c r="N40" s="14"/>
      <c r="O40" s="15"/>
      <c r="P40" s="5"/>
    </row>
    <row r="41" spans="1:16">
      <c r="A41" s="237"/>
      <c r="B41" s="111"/>
      <c r="C41" s="111"/>
      <c r="D41" s="112"/>
      <c r="E41" s="5"/>
      <c r="F41" s="113"/>
      <c r="G41" s="238"/>
      <c r="H41" s="9"/>
      <c r="I41" s="8"/>
      <c r="J41" s="13"/>
      <c r="K41" s="8"/>
      <c r="L41" s="13"/>
      <c r="M41" s="14"/>
      <c r="N41" s="14"/>
      <c r="O41" s="15"/>
      <c r="P41" s="5"/>
    </row>
    <row r="42" spans="1:16">
      <c r="A42" s="226"/>
      <c r="B42" s="4"/>
      <c r="C42" s="6"/>
      <c r="D42" s="4"/>
      <c r="E42" s="4"/>
      <c r="F42" s="4"/>
      <c r="G42" s="227"/>
      <c r="H42" s="9"/>
      <c r="I42" s="8"/>
      <c r="J42" s="13"/>
      <c r="K42" s="13"/>
      <c r="L42" s="13"/>
      <c r="M42" s="14"/>
      <c r="N42" s="14"/>
      <c r="O42" s="19"/>
      <c r="P42" s="5"/>
    </row>
    <row r="43" spans="1:16" ht="14.25">
      <c r="A43" s="226"/>
      <c r="B43" s="4"/>
      <c r="C43" s="6"/>
      <c r="D43" s="1357" t="s">
        <v>35</v>
      </c>
      <c r="E43" s="1358"/>
      <c r="F43" s="1359"/>
      <c r="G43" s="239">
        <f>+G40+G30+G16</f>
        <v>1283</v>
      </c>
      <c r="H43" s="9"/>
      <c r="I43" s="46"/>
      <c r="J43" s="47"/>
      <c r="K43" s="8"/>
      <c r="L43" s="8"/>
      <c r="M43" s="8"/>
      <c r="N43" s="8"/>
      <c r="O43" s="8"/>
      <c r="P43" s="5"/>
    </row>
    <row r="44" spans="1:16">
      <c r="A44" s="377"/>
      <c r="B44" s="372"/>
      <c r="C44" s="372"/>
      <c r="D44" s="100"/>
      <c r="E44" s="100"/>
      <c r="F44" s="100"/>
      <c r="G44" s="227"/>
      <c r="H44" s="9"/>
      <c r="I44" s="8"/>
      <c r="J44" s="13"/>
      <c r="K44" s="13"/>
      <c r="L44" s="13"/>
      <c r="M44" s="17"/>
      <c r="N44" s="17"/>
      <c r="O44" s="37"/>
      <c r="P44" s="5"/>
    </row>
    <row r="45" spans="1:16">
      <c r="A45" s="377"/>
      <c r="B45" s="372"/>
      <c r="C45" s="372"/>
      <c r="D45" s="100"/>
      <c r="E45" s="100"/>
      <c r="F45" s="100"/>
      <c r="G45" s="227"/>
      <c r="H45" s="9"/>
      <c r="I45" s="8"/>
      <c r="J45" s="13"/>
      <c r="K45" s="13"/>
      <c r="L45" s="13"/>
      <c r="M45" s="17"/>
      <c r="N45" s="17"/>
      <c r="O45" s="37"/>
      <c r="P45" s="5"/>
    </row>
    <row r="46" spans="1:16">
      <c r="A46" s="377"/>
      <c r="B46" s="372"/>
      <c r="C46" s="372"/>
      <c r="D46" s="100"/>
      <c r="E46" s="100"/>
      <c r="F46" s="100"/>
      <c r="G46" s="227"/>
      <c r="H46" s="9"/>
      <c r="I46" s="8"/>
      <c r="J46" s="13"/>
      <c r="K46" s="13"/>
      <c r="L46" s="13"/>
      <c r="M46" s="17"/>
      <c r="N46" s="17"/>
      <c r="O46" s="37"/>
      <c r="P46" s="5"/>
    </row>
    <row r="47" spans="1:16">
      <c r="A47" s="1384" t="s">
        <v>129</v>
      </c>
      <c r="B47" s="1385"/>
      <c r="C47" s="1385"/>
      <c r="D47" s="5"/>
      <c r="E47" s="5"/>
      <c r="F47" s="5"/>
      <c r="G47" s="241"/>
      <c r="H47" s="9"/>
      <c r="I47" s="48"/>
      <c r="J47" s="13"/>
      <c r="K47" s="8"/>
      <c r="L47" s="8"/>
      <c r="M47" s="8"/>
      <c r="N47" s="8"/>
      <c r="O47" s="8"/>
      <c r="P47" s="5"/>
    </row>
    <row r="48" spans="1:16" ht="15" thickBot="1">
      <c r="A48" s="242"/>
      <c r="B48" s="243"/>
      <c r="C48" s="244"/>
      <c r="D48" s="245"/>
      <c r="E48" s="246"/>
      <c r="F48" s="246"/>
      <c r="G48" s="247"/>
      <c r="H48" s="9"/>
      <c r="I48" s="8"/>
      <c r="J48" s="13"/>
      <c r="K48" s="8"/>
      <c r="L48" s="8"/>
      <c r="M48" s="8"/>
      <c r="N48" s="8"/>
      <c r="O48" s="8"/>
      <c r="P48" s="5"/>
    </row>
    <row r="49" spans="9:16">
      <c r="I49" s="5"/>
      <c r="J49" s="5"/>
      <c r="K49" s="5"/>
      <c r="L49" s="5"/>
      <c r="M49" s="5"/>
      <c r="N49" s="5"/>
      <c r="O49" s="5"/>
      <c r="P49" s="5"/>
    </row>
  </sheetData>
  <mergeCells count="28">
    <mergeCell ref="A32:G32"/>
    <mergeCell ref="A40:C40"/>
    <mergeCell ref="A14:C14"/>
    <mergeCell ref="A15:C15"/>
    <mergeCell ref="A20:C20"/>
    <mergeCell ref="A16:C16"/>
    <mergeCell ref="A18:G18"/>
    <mergeCell ref="A11:C11"/>
    <mergeCell ref="A12:C12"/>
    <mergeCell ref="A13:C13"/>
    <mergeCell ref="A8:G8"/>
    <mergeCell ref="A29:C29"/>
    <mergeCell ref="A1:G1"/>
    <mergeCell ref="A47:C47"/>
    <mergeCell ref="A2:G2"/>
    <mergeCell ref="A28:C28"/>
    <mergeCell ref="A27:C27"/>
    <mergeCell ref="A30:C30"/>
    <mergeCell ref="B6:E6"/>
    <mergeCell ref="A22:C22"/>
    <mergeCell ref="A23:C23"/>
    <mergeCell ref="A24:C24"/>
    <mergeCell ref="A25:C25"/>
    <mergeCell ref="A26:C26"/>
    <mergeCell ref="D43:F43"/>
    <mergeCell ref="A21:C21"/>
    <mergeCell ref="A3:G4"/>
    <mergeCell ref="A10:C10"/>
  </mergeCells>
  <printOptions horizontalCentered="1" verticalCentered="1"/>
  <pageMargins left="0.74803149606299213" right="0.74803149606299213" top="0" bottom="0.98425196850393704" header="0" footer="0"/>
  <pageSetup scale="9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9"/>
  <dimension ref="A1:U50"/>
  <sheetViews>
    <sheetView view="pageBreakPreview" topLeftCell="A7" zoomScaleNormal="100" zoomScaleSheetLayoutView="100" workbookViewId="0">
      <selection activeCell="F22" sqref="F22"/>
    </sheetView>
  </sheetViews>
  <sheetFormatPr baseColWidth="10" defaultColWidth="10.7109375" defaultRowHeight="12.75"/>
  <cols>
    <col min="1" max="1" width="15.85546875" style="3" customWidth="1"/>
    <col min="2" max="2" width="14.85546875" style="3" customWidth="1"/>
    <col min="3" max="3" width="13.28515625" style="3" customWidth="1"/>
    <col min="4" max="4" width="11.42578125" style="3"/>
    <col min="5" max="5" width="13.42578125" style="3" customWidth="1"/>
    <col min="6" max="6" width="12.7109375" style="3" customWidth="1"/>
    <col min="7" max="7" width="14" style="3" customWidth="1"/>
    <col min="8" max="256" width="11.42578125" style="3"/>
    <col min="257" max="257" width="15.85546875" style="3" customWidth="1"/>
    <col min="258" max="258" width="14.85546875" style="3" customWidth="1"/>
    <col min="259" max="259" width="13.28515625" style="3" customWidth="1"/>
    <col min="260" max="260" width="11.42578125" style="3"/>
    <col min="261" max="261" width="13.42578125" style="3" customWidth="1"/>
    <col min="262" max="262" width="12.7109375" style="3" customWidth="1"/>
    <col min="263" max="263" width="14" style="3" customWidth="1"/>
    <col min="264" max="512" width="11.42578125" style="3"/>
    <col min="513" max="513" width="15.85546875" style="3" customWidth="1"/>
    <col min="514" max="514" width="14.85546875" style="3" customWidth="1"/>
    <col min="515" max="515" width="13.28515625" style="3" customWidth="1"/>
    <col min="516" max="516" width="11.42578125" style="3"/>
    <col min="517" max="517" width="13.42578125" style="3" customWidth="1"/>
    <col min="518" max="518" width="12.7109375" style="3" customWidth="1"/>
    <col min="519" max="519" width="14" style="3" customWidth="1"/>
    <col min="520" max="768" width="11.42578125" style="3"/>
    <col min="769" max="769" width="15.85546875" style="3" customWidth="1"/>
    <col min="770" max="770" width="14.85546875" style="3" customWidth="1"/>
    <col min="771" max="771" width="13.28515625" style="3" customWidth="1"/>
    <col min="772" max="772" width="11.42578125" style="3"/>
    <col min="773" max="773" width="13.42578125" style="3" customWidth="1"/>
    <col min="774" max="774" width="12.7109375" style="3" customWidth="1"/>
    <col min="775" max="775" width="14" style="3" customWidth="1"/>
    <col min="776" max="1024" width="11.42578125" style="3"/>
    <col min="1025" max="1025" width="15.85546875" style="3" customWidth="1"/>
    <col min="1026" max="1026" width="14.85546875" style="3" customWidth="1"/>
    <col min="1027" max="1027" width="13.28515625" style="3" customWidth="1"/>
    <col min="1028" max="1028" width="11.42578125" style="3"/>
    <col min="1029" max="1029" width="13.42578125" style="3" customWidth="1"/>
    <col min="1030" max="1030" width="12.7109375" style="3" customWidth="1"/>
    <col min="1031" max="1031" width="14" style="3" customWidth="1"/>
    <col min="1032" max="1280" width="11.42578125" style="3"/>
    <col min="1281" max="1281" width="15.85546875" style="3" customWidth="1"/>
    <col min="1282" max="1282" width="14.85546875" style="3" customWidth="1"/>
    <col min="1283" max="1283" width="13.28515625" style="3" customWidth="1"/>
    <col min="1284" max="1284" width="11.42578125" style="3"/>
    <col min="1285" max="1285" width="13.42578125" style="3" customWidth="1"/>
    <col min="1286" max="1286" width="12.7109375" style="3" customWidth="1"/>
    <col min="1287" max="1287" width="14" style="3" customWidth="1"/>
    <col min="1288" max="1536" width="11.42578125" style="3"/>
    <col min="1537" max="1537" width="15.85546875" style="3" customWidth="1"/>
    <col min="1538" max="1538" width="14.85546875" style="3" customWidth="1"/>
    <col min="1539" max="1539" width="13.28515625" style="3" customWidth="1"/>
    <col min="1540" max="1540" width="11.42578125" style="3"/>
    <col min="1541" max="1541" width="13.42578125" style="3" customWidth="1"/>
    <col min="1542" max="1542" width="12.7109375" style="3" customWidth="1"/>
    <col min="1543" max="1543" width="14" style="3" customWidth="1"/>
    <col min="1544" max="1792" width="11.42578125" style="3"/>
    <col min="1793" max="1793" width="15.85546875" style="3" customWidth="1"/>
    <col min="1794" max="1794" width="14.85546875" style="3" customWidth="1"/>
    <col min="1795" max="1795" width="13.28515625" style="3" customWidth="1"/>
    <col min="1796" max="1796" width="11.42578125" style="3"/>
    <col min="1797" max="1797" width="13.42578125" style="3" customWidth="1"/>
    <col min="1798" max="1798" width="12.7109375" style="3" customWidth="1"/>
    <col min="1799" max="1799" width="14" style="3" customWidth="1"/>
    <col min="1800" max="2048" width="11.42578125" style="3"/>
    <col min="2049" max="2049" width="15.85546875" style="3" customWidth="1"/>
    <col min="2050" max="2050" width="14.85546875" style="3" customWidth="1"/>
    <col min="2051" max="2051" width="13.28515625" style="3" customWidth="1"/>
    <col min="2052" max="2052" width="11.42578125" style="3"/>
    <col min="2053" max="2053" width="13.42578125" style="3" customWidth="1"/>
    <col min="2054" max="2054" width="12.7109375" style="3" customWidth="1"/>
    <col min="2055" max="2055" width="14" style="3" customWidth="1"/>
    <col min="2056" max="2304" width="11.42578125" style="3"/>
    <col min="2305" max="2305" width="15.85546875" style="3" customWidth="1"/>
    <col min="2306" max="2306" width="14.85546875" style="3" customWidth="1"/>
    <col min="2307" max="2307" width="13.28515625" style="3" customWidth="1"/>
    <col min="2308" max="2308" width="11.42578125" style="3"/>
    <col min="2309" max="2309" width="13.42578125" style="3" customWidth="1"/>
    <col min="2310" max="2310" width="12.7109375" style="3" customWidth="1"/>
    <col min="2311" max="2311" width="14" style="3" customWidth="1"/>
    <col min="2312" max="2560" width="11.42578125" style="3"/>
    <col min="2561" max="2561" width="15.85546875" style="3" customWidth="1"/>
    <col min="2562" max="2562" width="14.85546875" style="3" customWidth="1"/>
    <col min="2563" max="2563" width="13.28515625" style="3" customWidth="1"/>
    <col min="2564" max="2564" width="11.42578125" style="3"/>
    <col min="2565" max="2565" width="13.42578125" style="3" customWidth="1"/>
    <col min="2566" max="2566" width="12.7109375" style="3" customWidth="1"/>
    <col min="2567" max="2567" width="14" style="3" customWidth="1"/>
    <col min="2568" max="2816" width="11.42578125" style="3"/>
    <col min="2817" max="2817" width="15.85546875" style="3" customWidth="1"/>
    <col min="2818" max="2818" width="14.85546875" style="3" customWidth="1"/>
    <col min="2819" max="2819" width="13.28515625" style="3" customWidth="1"/>
    <col min="2820" max="2820" width="11.42578125" style="3"/>
    <col min="2821" max="2821" width="13.42578125" style="3" customWidth="1"/>
    <col min="2822" max="2822" width="12.7109375" style="3" customWidth="1"/>
    <col min="2823" max="2823" width="14" style="3" customWidth="1"/>
    <col min="2824" max="3072" width="11.42578125" style="3"/>
    <col min="3073" max="3073" width="15.85546875" style="3" customWidth="1"/>
    <col min="3074" max="3074" width="14.85546875" style="3" customWidth="1"/>
    <col min="3075" max="3075" width="13.28515625" style="3" customWidth="1"/>
    <col min="3076" max="3076" width="11.42578125" style="3"/>
    <col min="3077" max="3077" width="13.42578125" style="3" customWidth="1"/>
    <col min="3078" max="3078" width="12.7109375" style="3" customWidth="1"/>
    <col min="3079" max="3079" width="14" style="3" customWidth="1"/>
    <col min="3080" max="3328" width="11.42578125" style="3"/>
    <col min="3329" max="3329" width="15.85546875" style="3" customWidth="1"/>
    <col min="3330" max="3330" width="14.85546875" style="3" customWidth="1"/>
    <col min="3331" max="3331" width="13.28515625" style="3" customWidth="1"/>
    <col min="3332" max="3332" width="11.42578125" style="3"/>
    <col min="3333" max="3333" width="13.42578125" style="3" customWidth="1"/>
    <col min="3334" max="3334" width="12.7109375" style="3" customWidth="1"/>
    <col min="3335" max="3335" width="14" style="3" customWidth="1"/>
    <col min="3336" max="3584" width="11.42578125" style="3"/>
    <col min="3585" max="3585" width="15.85546875" style="3" customWidth="1"/>
    <col min="3586" max="3586" width="14.85546875" style="3" customWidth="1"/>
    <col min="3587" max="3587" width="13.28515625" style="3" customWidth="1"/>
    <col min="3588" max="3588" width="11.42578125" style="3"/>
    <col min="3589" max="3589" width="13.42578125" style="3" customWidth="1"/>
    <col min="3590" max="3590" width="12.7109375" style="3" customWidth="1"/>
    <col min="3591" max="3591" width="14" style="3" customWidth="1"/>
    <col min="3592" max="3840" width="11.42578125" style="3"/>
    <col min="3841" max="3841" width="15.85546875" style="3" customWidth="1"/>
    <col min="3842" max="3842" width="14.85546875" style="3" customWidth="1"/>
    <col min="3843" max="3843" width="13.28515625" style="3" customWidth="1"/>
    <col min="3844" max="3844" width="11.42578125" style="3"/>
    <col min="3845" max="3845" width="13.42578125" style="3" customWidth="1"/>
    <col min="3846" max="3846" width="12.7109375" style="3" customWidth="1"/>
    <col min="3847" max="3847" width="14" style="3" customWidth="1"/>
    <col min="3848" max="4096" width="11.42578125" style="3"/>
    <col min="4097" max="4097" width="15.85546875" style="3" customWidth="1"/>
    <col min="4098" max="4098" width="14.85546875" style="3" customWidth="1"/>
    <col min="4099" max="4099" width="13.28515625" style="3" customWidth="1"/>
    <col min="4100" max="4100" width="11.42578125" style="3"/>
    <col min="4101" max="4101" width="13.42578125" style="3" customWidth="1"/>
    <col min="4102" max="4102" width="12.7109375" style="3" customWidth="1"/>
    <col min="4103" max="4103" width="14" style="3" customWidth="1"/>
    <col min="4104" max="4352" width="11.42578125" style="3"/>
    <col min="4353" max="4353" width="15.85546875" style="3" customWidth="1"/>
    <col min="4354" max="4354" width="14.85546875" style="3" customWidth="1"/>
    <col min="4355" max="4355" width="13.28515625" style="3" customWidth="1"/>
    <col min="4356" max="4356" width="11.42578125" style="3"/>
    <col min="4357" max="4357" width="13.42578125" style="3" customWidth="1"/>
    <col min="4358" max="4358" width="12.7109375" style="3" customWidth="1"/>
    <col min="4359" max="4359" width="14" style="3" customWidth="1"/>
    <col min="4360" max="4608" width="11.42578125" style="3"/>
    <col min="4609" max="4609" width="15.85546875" style="3" customWidth="1"/>
    <col min="4610" max="4610" width="14.85546875" style="3" customWidth="1"/>
    <col min="4611" max="4611" width="13.28515625" style="3" customWidth="1"/>
    <col min="4612" max="4612" width="11.42578125" style="3"/>
    <col min="4613" max="4613" width="13.42578125" style="3" customWidth="1"/>
    <col min="4614" max="4614" width="12.7109375" style="3" customWidth="1"/>
    <col min="4615" max="4615" width="14" style="3" customWidth="1"/>
    <col min="4616" max="4864" width="11.42578125" style="3"/>
    <col min="4865" max="4865" width="15.85546875" style="3" customWidth="1"/>
    <col min="4866" max="4866" width="14.85546875" style="3" customWidth="1"/>
    <col min="4867" max="4867" width="13.28515625" style="3" customWidth="1"/>
    <col min="4868" max="4868" width="11.42578125" style="3"/>
    <col min="4869" max="4869" width="13.42578125" style="3" customWidth="1"/>
    <col min="4870" max="4870" width="12.7109375" style="3" customWidth="1"/>
    <col min="4871" max="4871" width="14" style="3" customWidth="1"/>
    <col min="4872" max="5120" width="11.42578125" style="3"/>
    <col min="5121" max="5121" width="15.85546875" style="3" customWidth="1"/>
    <col min="5122" max="5122" width="14.85546875" style="3" customWidth="1"/>
    <col min="5123" max="5123" width="13.28515625" style="3" customWidth="1"/>
    <col min="5124" max="5124" width="11.42578125" style="3"/>
    <col min="5125" max="5125" width="13.42578125" style="3" customWidth="1"/>
    <col min="5126" max="5126" width="12.7109375" style="3" customWidth="1"/>
    <col min="5127" max="5127" width="14" style="3" customWidth="1"/>
    <col min="5128" max="5376" width="11.42578125" style="3"/>
    <col min="5377" max="5377" width="15.85546875" style="3" customWidth="1"/>
    <col min="5378" max="5378" width="14.85546875" style="3" customWidth="1"/>
    <col min="5379" max="5379" width="13.28515625" style="3" customWidth="1"/>
    <col min="5380" max="5380" width="11.42578125" style="3"/>
    <col min="5381" max="5381" width="13.42578125" style="3" customWidth="1"/>
    <col min="5382" max="5382" width="12.7109375" style="3" customWidth="1"/>
    <col min="5383" max="5383" width="14" style="3" customWidth="1"/>
    <col min="5384" max="5632" width="11.42578125" style="3"/>
    <col min="5633" max="5633" width="15.85546875" style="3" customWidth="1"/>
    <col min="5634" max="5634" width="14.85546875" style="3" customWidth="1"/>
    <col min="5635" max="5635" width="13.28515625" style="3" customWidth="1"/>
    <col min="5636" max="5636" width="11.42578125" style="3"/>
    <col min="5637" max="5637" width="13.42578125" style="3" customWidth="1"/>
    <col min="5638" max="5638" width="12.7109375" style="3" customWidth="1"/>
    <col min="5639" max="5639" width="14" style="3" customWidth="1"/>
    <col min="5640" max="5888" width="11.42578125" style="3"/>
    <col min="5889" max="5889" width="15.85546875" style="3" customWidth="1"/>
    <col min="5890" max="5890" width="14.85546875" style="3" customWidth="1"/>
    <col min="5891" max="5891" width="13.28515625" style="3" customWidth="1"/>
    <col min="5892" max="5892" width="11.42578125" style="3"/>
    <col min="5893" max="5893" width="13.42578125" style="3" customWidth="1"/>
    <col min="5894" max="5894" width="12.7109375" style="3" customWidth="1"/>
    <col min="5895" max="5895" width="14" style="3" customWidth="1"/>
    <col min="5896" max="6144" width="11.42578125" style="3"/>
    <col min="6145" max="6145" width="15.85546875" style="3" customWidth="1"/>
    <col min="6146" max="6146" width="14.85546875" style="3" customWidth="1"/>
    <col min="6147" max="6147" width="13.28515625" style="3" customWidth="1"/>
    <col min="6148" max="6148" width="11.42578125" style="3"/>
    <col min="6149" max="6149" width="13.42578125" style="3" customWidth="1"/>
    <col min="6150" max="6150" width="12.7109375" style="3" customWidth="1"/>
    <col min="6151" max="6151" width="14" style="3" customWidth="1"/>
    <col min="6152" max="6400" width="11.42578125" style="3"/>
    <col min="6401" max="6401" width="15.85546875" style="3" customWidth="1"/>
    <col min="6402" max="6402" width="14.85546875" style="3" customWidth="1"/>
    <col min="6403" max="6403" width="13.28515625" style="3" customWidth="1"/>
    <col min="6404" max="6404" width="11.42578125" style="3"/>
    <col min="6405" max="6405" width="13.42578125" style="3" customWidth="1"/>
    <col min="6406" max="6406" width="12.7109375" style="3" customWidth="1"/>
    <col min="6407" max="6407" width="14" style="3" customWidth="1"/>
    <col min="6408" max="6656" width="11.42578125" style="3"/>
    <col min="6657" max="6657" width="15.85546875" style="3" customWidth="1"/>
    <col min="6658" max="6658" width="14.85546875" style="3" customWidth="1"/>
    <col min="6659" max="6659" width="13.28515625" style="3" customWidth="1"/>
    <col min="6660" max="6660" width="11.42578125" style="3"/>
    <col min="6661" max="6661" width="13.42578125" style="3" customWidth="1"/>
    <col min="6662" max="6662" width="12.7109375" style="3" customWidth="1"/>
    <col min="6663" max="6663" width="14" style="3" customWidth="1"/>
    <col min="6664" max="6912" width="11.42578125" style="3"/>
    <col min="6913" max="6913" width="15.85546875" style="3" customWidth="1"/>
    <col min="6914" max="6914" width="14.85546875" style="3" customWidth="1"/>
    <col min="6915" max="6915" width="13.28515625" style="3" customWidth="1"/>
    <col min="6916" max="6916" width="11.42578125" style="3"/>
    <col min="6917" max="6917" width="13.42578125" style="3" customWidth="1"/>
    <col min="6918" max="6918" width="12.7109375" style="3" customWidth="1"/>
    <col min="6919" max="6919" width="14" style="3" customWidth="1"/>
    <col min="6920" max="7168" width="11.42578125" style="3"/>
    <col min="7169" max="7169" width="15.85546875" style="3" customWidth="1"/>
    <col min="7170" max="7170" width="14.85546875" style="3" customWidth="1"/>
    <col min="7171" max="7171" width="13.28515625" style="3" customWidth="1"/>
    <col min="7172" max="7172" width="11.42578125" style="3"/>
    <col min="7173" max="7173" width="13.42578125" style="3" customWidth="1"/>
    <col min="7174" max="7174" width="12.7109375" style="3" customWidth="1"/>
    <col min="7175" max="7175" width="14" style="3" customWidth="1"/>
    <col min="7176" max="7424" width="11.42578125" style="3"/>
    <col min="7425" max="7425" width="15.85546875" style="3" customWidth="1"/>
    <col min="7426" max="7426" width="14.85546875" style="3" customWidth="1"/>
    <col min="7427" max="7427" width="13.28515625" style="3" customWidth="1"/>
    <col min="7428" max="7428" width="11.42578125" style="3"/>
    <col min="7429" max="7429" width="13.42578125" style="3" customWidth="1"/>
    <col min="7430" max="7430" width="12.7109375" style="3" customWidth="1"/>
    <col min="7431" max="7431" width="14" style="3" customWidth="1"/>
    <col min="7432" max="7680" width="11.42578125" style="3"/>
    <col min="7681" max="7681" width="15.85546875" style="3" customWidth="1"/>
    <col min="7682" max="7682" width="14.85546875" style="3" customWidth="1"/>
    <col min="7683" max="7683" width="13.28515625" style="3" customWidth="1"/>
    <col min="7684" max="7684" width="11.42578125" style="3"/>
    <col min="7685" max="7685" width="13.42578125" style="3" customWidth="1"/>
    <col min="7686" max="7686" width="12.7109375" style="3" customWidth="1"/>
    <col min="7687" max="7687" width="14" style="3" customWidth="1"/>
    <col min="7688" max="7936" width="11.42578125" style="3"/>
    <col min="7937" max="7937" width="15.85546875" style="3" customWidth="1"/>
    <col min="7938" max="7938" width="14.85546875" style="3" customWidth="1"/>
    <col min="7939" max="7939" width="13.28515625" style="3" customWidth="1"/>
    <col min="7940" max="7940" width="11.42578125" style="3"/>
    <col min="7941" max="7941" width="13.42578125" style="3" customWidth="1"/>
    <col min="7942" max="7942" width="12.7109375" style="3" customWidth="1"/>
    <col min="7943" max="7943" width="14" style="3" customWidth="1"/>
    <col min="7944" max="8192" width="11.42578125" style="3"/>
    <col min="8193" max="8193" width="15.85546875" style="3" customWidth="1"/>
    <col min="8194" max="8194" width="14.85546875" style="3" customWidth="1"/>
    <col min="8195" max="8195" width="13.28515625" style="3" customWidth="1"/>
    <col min="8196" max="8196" width="11.42578125" style="3"/>
    <col min="8197" max="8197" width="13.42578125" style="3" customWidth="1"/>
    <col min="8198" max="8198" width="12.7109375" style="3" customWidth="1"/>
    <col min="8199" max="8199" width="14" style="3" customWidth="1"/>
    <col min="8200" max="8448" width="11.42578125" style="3"/>
    <col min="8449" max="8449" width="15.85546875" style="3" customWidth="1"/>
    <col min="8450" max="8450" width="14.85546875" style="3" customWidth="1"/>
    <col min="8451" max="8451" width="13.28515625" style="3" customWidth="1"/>
    <col min="8452" max="8452" width="11.42578125" style="3"/>
    <col min="8453" max="8453" width="13.42578125" style="3" customWidth="1"/>
    <col min="8454" max="8454" width="12.7109375" style="3" customWidth="1"/>
    <col min="8455" max="8455" width="14" style="3" customWidth="1"/>
    <col min="8456" max="8704" width="11.42578125" style="3"/>
    <col min="8705" max="8705" width="15.85546875" style="3" customWidth="1"/>
    <col min="8706" max="8706" width="14.85546875" style="3" customWidth="1"/>
    <col min="8707" max="8707" width="13.28515625" style="3" customWidth="1"/>
    <col min="8708" max="8708" width="11.42578125" style="3"/>
    <col min="8709" max="8709" width="13.42578125" style="3" customWidth="1"/>
    <col min="8710" max="8710" width="12.7109375" style="3" customWidth="1"/>
    <col min="8711" max="8711" width="14" style="3" customWidth="1"/>
    <col min="8712" max="8960" width="11.42578125" style="3"/>
    <col min="8961" max="8961" width="15.85546875" style="3" customWidth="1"/>
    <col min="8962" max="8962" width="14.85546875" style="3" customWidth="1"/>
    <col min="8963" max="8963" width="13.28515625" style="3" customWidth="1"/>
    <col min="8964" max="8964" width="11.42578125" style="3"/>
    <col min="8965" max="8965" width="13.42578125" style="3" customWidth="1"/>
    <col min="8966" max="8966" width="12.7109375" style="3" customWidth="1"/>
    <col min="8967" max="8967" width="14" style="3" customWidth="1"/>
    <col min="8968" max="9216" width="11.42578125" style="3"/>
    <col min="9217" max="9217" width="15.85546875" style="3" customWidth="1"/>
    <col min="9218" max="9218" width="14.85546875" style="3" customWidth="1"/>
    <col min="9219" max="9219" width="13.28515625" style="3" customWidth="1"/>
    <col min="9220" max="9220" width="11.42578125" style="3"/>
    <col min="9221" max="9221" width="13.42578125" style="3" customWidth="1"/>
    <col min="9222" max="9222" width="12.7109375" style="3" customWidth="1"/>
    <col min="9223" max="9223" width="14" style="3" customWidth="1"/>
    <col min="9224" max="9472" width="11.42578125" style="3"/>
    <col min="9473" max="9473" width="15.85546875" style="3" customWidth="1"/>
    <col min="9474" max="9474" width="14.85546875" style="3" customWidth="1"/>
    <col min="9475" max="9475" width="13.28515625" style="3" customWidth="1"/>
    <col min="9476" max="9476" width="11.42578125" style="3"/>
    <col min="9477" max="9477" width="13.42578125" style="3" customWidth="1"/>
    <col min="9478" max="9478" width="12.7109375" style="3" customWidth="1"/>
    <col min="9479" max="9479" width="14" style="3" customWidth="1"/>
    <col min="9480" max="9728" width="11.42578125" style="3"/>
    <col min="9729" max="9729" width="15.85546875" style="3" customWidth="1"/>
    <col min="9730" max="9730" width="14.85546875" style="3" customWidth="1"/>
    <col min="9731" max="9731" width="13.28515625" style="3" customWidth="1"/>
    <col min="9732" max="9732" width="11.42578125" style="3"/>
    <col min="9733" max="9733" width="13.42578125" style="3" customWidth="1"/>
    <col min="9734" max="9734" width="12.7109375" style="3" customWidth="1"/>
    <col min="9735" max="9735" width="14" style="3" customWidth="1"/>
    <col min="9736" max="9984" width="11.42578125" style="3"/>
    <col min="9985" max="9985" width="15.85546875" style="3" customWidth="1"/>
    <col min="9986" max="9986" width="14.85546875" style="3" customWidth="1"/>
    <col min="9987" max="9987" width="13.28515625" style="3" customWidth="1"/>
    <col min="9988" max="9988" width="11.42578125" style="3"/>
    <col min="9989" max="9989" width="13.42578125" style="3" customWidth="1"/>
    <col min="9990" max="9990" width="12.7109375" style="3" customWidth="1"/>
    <col min="9991" max="9991" width="14" style="3" customWidth="1"/>
    <col min="9992" max="10240" width="11.42578125" style="3"/>
    <col min="10241" max="10241" width="15.85546875" style="3" customWidth="1"/>
    <col min="10242" max="10242" width="14.85546875" style="3" customWidth="1"/>
    <col min="10243" max="10243" width="13.28515625" style="3" customWidth="1"/>
    <col min="10244" max="10244" width="11.42578125" style="3"/>
    <col min="10245" max="10245" width="13.42578125" style="3" customWidth="1"/>
    <col min="10246" max="10246" width="12.7109375" style="3" customWidth="1"/>
    <col min="10247" max="10247" width="14" style="3" customWidth="1"/>
    <col min="10248" max="10496" width="11.42578125" style="3"/>
    <col min="10497" max="10497" width="15.85546875" style="3" customWidth="1"/>
    <col min="10498" max="10498" width="14.85546875" style="3" customWidth="1"/>
    <col min="10499" max="10499" width="13.28515625" style="3" customWidth="1"/>
    <col min="10500" max="10500" width="11.42578125" style="3"/>
    <col min="10501" max="10501" width="13.42578125" style="3" customWidth="1"/>
    <col min="10502" max="10502" width="12.7109375" style="3" customWidth="1"/>
    <col min="10503" max="10503" width="14" style="3" customWidth="1"/>
    <col min="10504" max="10752" width="11.42578125" style="3"/>
    <col min="10753" max="10753" width="15.85546875" style="3" customWidth="1"/>
    <col min="10754" max="10754" width="14.85546875" style="3" customWidth="1"/>
    <col min="10755" max="10755" width="13.28515625" style="3" customWidth="1"/>
    <col min="10756" max="10756" width="11.42578125" style="3"/>
    <col min="10757" max="10757" width="13.42578125" style="3" customWidth="1"/>
    <col min="10758" max="10758" width="12.7109375" style="3" customWidth="1"/>
    <col min="10759" max="10759" width="14" style="3" customWidth="1"/>
    <col min="10760" max="11008" width="11.42578125" style="3"/>
    <col min="11009" max="11009" width="15.85546875" style="3" customWidth="1"/>
    <col min="11010" max="11010" width="14.85546875" style="3" customWidth="1"/>
    <col min="11011" max="11011" width="13.28515625" style="3" customWidth="1"/>
    <col min="11012" max="11012" width="11.42578125" style="3"/>
    <col min="11013" max="11013" width="13.42578125" style="3" customWidth="1"/>
    <col min="11014" max="11014" width="12.7109375" style="3" customWidth="1"/>
    <col min="11015" max="11015" width="14" style="3" customWidth="1"/>
    <col min="11016" max="11264" width="11.42578125" style="3"/>
    <col min="11265" max="11265" width="15.85546875" style="3" customWidth="1"/>
    <col min="11266" max="11266" width="14.85546875" style="3" customWidth="1"/>
    <col min="11267" max="11267" width="13.28515625" style="3" customWidth="1"/>
    <col min="11268" max="11268" width="11.42578125" style="3"/>
    <col min="11269" max="11269" width="13.42578125" style="3" customWidth="1"/>
    <col min="11270" max="11270" width="12.7109375" style="3" customWidth="1"/>
    <col min="11271" max="11271" width="14" style="3" customWidth="1"/>
    <col min="11272" max="11520" width="11.42578125" style="3"/>
    <col min="11521" max="11521" width="15.85546875" style="3" customWidth="1"/>
    <col min="11522" max="11522" width="14.85546875" style="3" customWidth="1"/>
    <col min="11523" max="11523" width="13.28515625" style="3" customWidth="1"/>
    <col min="11524" max="11524" width="11.42578125" style="3"/>
    <col min="11525" max="11525" width="13.42578125" style="3" customWidth="1"/>
    <col min="11526" max="11526" width="12.7109375" style="3" customWidth="1"/>
    <col min="11527" max="11527" width="14" style="3" customWidth="1"/>
    <col min="11528" max="11776" width="11.42578125" style="3"/>
    <col min="11777" max="11777" width="15.85546875" style="3" customWidth="1"/>
    <col min="11778" max="11778" width="14.85546875" style="3" customWidth="1"/>
    <col min="11779" max="11779" width="13.28515625" style="3" customWidth="1"/>
    <col min="11780" max="11780" width="11.42578125" style="3"/>
    <col min="11781" max="11781" width="13.42578125" style="3" customWidth="1"/>
    <col min="11782" max="11782" width="12.7109375" style="3" customWidth="1"/>
    <col min="11783" max="11783" width="14" style="3" customWidth="1"/>
    <col min="11784" max="12032" width="11.42578125" style="3"/>
    <col min="12033" max="12033" width="15.85546875" style="3" customWidth="1"/>
    <col min="12034" max="12034" width="14.85546875" style="3" customWidth="1"/>
    <col min="12035" max="12035" width="13.28515625" style="3" customWidth="1"/>
    <col min="12036" max="12036" width="11.42578125" style="3"/>
    <col min="12037" max="12037" width="13.42578125" style="3" customWidth="1"/>
    <col min="12038" max="12038" width="12.7109375" style="3" customWidth="1"/>
    <col min="12039" max="12039" width="14" style="3" customWidth="1"/>
    <col min="12040" max="12288" width="11.42578125" style="3"/>
    <col min="12289" max="12289" width="15.85546875" style="3" customWidth="1"/>
    <col min="12290" max="12290" width="14.85546875" style="3" customWidth="1"/>
    <col min="12291" max="12291" width="13.28515625" style="3" customWidth="1"/>
    <col min="12292" max="12292" width="11.42578125" style="3"/>
    <col min="12293" max="12293" width="13.42578125" style="3" customWidth="1"/>
    <col min="12294" max="12294" width="12.7109375" style="3" customWidth="1"/>
    <col min="12295" max="12295" width="14" style="3" customWidth="1"/>
    <col min="12296" max="12544" width="11.42578125" style="3"/>
    <col min="12545" max="12545" width="15.85546875" style="3" customWidth="1"/>
    <col min="12546" max="12546" width="14.85546875" style="3" customWidth="1"/>
    <col min="12547" max="12547" width="13.28515625" style="3" customWidth="1"/>
    <col min="12548" max="12548" width="11.42578125" style="3"/>
    <col min="12549" max="12549" width="13.42578125" style="3" customWidth="1"/>
    <col min="12550" max="12550" width="12.7109375" style="3" customWidth="1"/>
    <col min="12551" max="12551" width="14" style="3" customWidth="1"/>
    <col min="12552" max="12800" width="11.42578125" style="3"/>
    <col min="12801" max="12801" width="15.85546875" style="3" customWidth="1"/>
    <col min="12802" max="12802" width="14.85546875" style="3" customWidth="1"/>
    <col min="12803" max="12803" width="13.28515625" style="3" customWidth="1"/>
    <col min="12804" max="12804" width="11.42578125" style="3"/>
    <col min="12805" max="12805" width="13.42578125" style="3" customWidth="1"/>
    <col min="12806" max="12806" width="12.7109375" style="3" customWidth="1"/>
    <col min="12807" max="12807" width="14" style="3" customWidth="1"/>
    <col min="12808" max="13056" width="11.42578125" style="3"/>
    <col min="13057" max="13057" width="15.85546875" style="3" customWidth="1"/>
    <col min="13058" max="13058" width="14.85546875" style="3" customWidth="1"/>
    <col min="13059" max="13059" width="13.28515625" style="3" customWidth="1"/>
    <col min="13060" max="13060" width="11.42578125" style="3"/>
    <col min="13061" max="13061" width="13.42578125" style="3" customWidth="1"/>
    <col min="13062" max="13062" width="12.7109375" style="3" customWidth="1"/>
    <col min="13063" max="13063" width="14" style="3" customWidth="1"/>
    <col min="13064" max="13312" width="11.42578125" style="3"/>
    <col min="13313" max="13313" width="15.85546875" style="3" customWidth="1"/>
    <col min="13314" max="13314" width="14.85546875" style="3" customWidth="1"/>
    <col min="13315" max="13315" width="13.28515625" style="3" customWidth="1"/>
    <col min="13316" max="13316" width="11.42578125" style="3"/>
    <col min="13317" max="13317" width="13.42578125" style="3" customWidth="1"/>
    <col min="13318" max="13318" width="12.7109375" style="3" customWidth="1"/>
    <col min="13319" max="13319" width="14" style="3" customWidth="1"/>
    <col min="13320" max="13568" width="11.42578125" style="3"/>
    <col min="13569" max="13569" width="15.85546875" style="3" customWidth="1"/>
    <col min="13570" max="13570" width="14.85546875" style="3" customWidth="1"/>
    <col min="13571" max="13571" width="13.28515625" style="3" customWidth="1"/>
    <col min="13572" max="13572" width="11.42578125" style="3"/>
    <col min="13573" max="13573" width="13.42578125" style="3" customWidth="1"/>
    <col min="13574" max="13574" width="12.7109375" style="3" customWidth="1"/>
    <col min="13575" max="13575" width="14" style="3" customWidth="1"/>
    <col min="13576" max="13824" width="11.42578125" style="3"/>
    <col min="13825" max="13825" width="15.85546875" style="3" customWidth="1"/>
    <col min="13826" max="13826" width="14.85546875" style="3" customWidth="1"/>
    <col min="13827" max="13827" width="13.28515625" style="3" customWidth="1"/>
    <col min="13828" max="13828" width="11.42578125" style="3"/>
    <col min="13829" max="13829" width="13.42578125" style="3" customWidth="1"/>
    <col min="13830" max="13830" width="12.7109375" style="3" customWidth="1"/>
    <col min="13831" max="13831" width="14" style="3" customWidth="1"/>
    <col min="13832" max="14080" width="11.42578125" style="3"/>
    <col min="14081" max="14081" width="15.85546875" style="3" customWidth="1"/>
    <col min="14082" max="14082" width="14.85546875" style="3" customWidth="1"/>
    <col min="14083" max="14083" width="13.28515625" style="3" customWidth="1"/>
    <col min="14084" max="14084" width="11.42578125" style="3"/>
    <col min="14085" max="14085" width="13.42578125" style="3" customWidth="1"/>
    <col min="14086" max="14086" width="12.7109375" style="3" customWidth="1"/>
    <col min="14087" max="14087" width="14" style="3" customWidth="1"/>
    <col min="14088" max="14336" width="11.42578125" style="3"/>
    <col min="14337" max="14337" width="15.85546875" style="3" customWidth="1"/>
    <col min="14338" max="14338" width="14.85546875" style="3" customWidth="1"/>
    <col min="14339" max="14339" width="13.28515625" style="3" customWidth="1"/>
    <col min="14340" max="14340" width="11.42578125" style="3"/>
    <col min="14341" max="14341" width="13.42578125" style="3" customWidth="1"/>
    <col min="14342" max="14342" width="12.7109375" style="3" customWidth="1"/>
    <col min="14343" max="14343" width="14" style="3" customWidth="1"/>
    <col min="14344" max="14592" width="11.42578125" style="3"/>
    <col min="14593" max="14593" width="15.85546875" style="3" customWidth="1"/>
    <col min="14594" max="14594" width="14.85546875" style="3" customWidth="1"/>
    <col min="14595" max="14595" width="13.28515625" style="3" customWidth="1"/>
    <col min="14596" max="14596" width="11.42578125" style="3"/>
    <col min="14597" max="14597" width="13.42578125" style="3" customWidth="1"/>
    <col min="14598" max="14598" width="12.7109375" style="3" customWidth="1"/>
    <col min="14599" max="14599" width="14" style="3" customWidth="1"/>
    <col min="14600" max="14848" width="11.42578125" style="3"/>
    <col min="14849" max="14849" width="15.85546875" style="3" customWidth="1"/>
    <col min="14850" max="14850" width="14.85546875" style="3" customWidth="1"/>
    <col min="14851" max="14851" width="13.28515625" style="3" customWidth="1"/>
    <col min="14852" max="14852" width="11.42578125" style="3"/>
    <col min="14853" max="14853" width="13.42578125" style="3" customWidth="1"/>
    <col min="14854" max="14854" width="12.7109375" style="3" customWidth="1"/>
    <col min="14855" max="14855" width="14" style="3" customWidth="1"/>
    <col min="14856" max="15104" width="11.42578125" style="3"/>
    <col min="15105" max="15105" width="15.85546875" style="3" customWidth="1"/>
    <col min="15106" max="15106" width="14.85546875" style="3" customWidth="1"/>
    <col min="15107" max="15107" width="13.28515625" style="3" customWidth="1"/>
    <col min="15108" max="15108" width="11.42578125" style="3"/>
    <col min="15109" max="15109" width="13.42578125" style="3" customWidth="1"/>
    <col min="15110" max="15110" width="12.7109375" style="3" customWidth="1"/>
    <col min="15111" max="15111" width="14" style="3" customWidth="1"/>
    <col min="15112" max="15360" width="11.42578125" style="3"/>
    <col min="15361" max="15361" width="15.85546875" style="3" customWidth="1"/>
    <col min="15362" max="15362" width="14.85546875" style="3" customWidth="1"/>
    <col min="15363" max="15363" width="13.28515625" style="3" customWidth="1"/>
    <col min="15364" max="15364" width="11.42578125" style="3"/>
    <col min="15365" max="15365" width="13.42578125" style="3" customWidth="1"/>
    <col min="15366" max="15366" width="12.7109375" style="3" customWidth="1"/>
    <col min="15367" max="15367" width="14" style="3" customWidth="1"/>
    <col min="15368" max="15616" width="11.42578125" style="3"/>
    <col min="15617" max="15617" width="15.85546875" style="3" customWidth="1"/>
    <col min="15618" max="15618" width="14.85546875" style="3" customWidth="1"/>
    <col min="15619" max="15619" width="13.28515625" style="3" customWidth="1"/>
    <col min="15620" max="15620" width="11.42578125" style="3"/>
    <col min="15621" max="15621" width="13.42578125" style="3" customWidth="1"/>
    <col min="15622" max="15622" width="12.7109375" style="3" customWidth="1"/>
    <col min="15623" max="15623" width="14" style="3" customWidth="1"/>
    <col min="15624" max="15872" width="11.42578125" style="3"/>
    <col min="15873" max="15873" width="15.85546875" style="3" customWidth="1"/>
    <col min="15874" max="15874" width="14.85546875" style="3" customWidth="1"/>
    <col min="15875" max="15875" width="13.28515625" style="3" customWidth="1"/>
    <col min="15876" max="15876" width="11.42578125" style="3"/>
    <col min="15877" max="15877" width="13.42578125" style="3" customWidth="1"/>
    <col min="15878" max="15878" width="12.7109375" style="3" customWidth="1"/>
    <col min="15879" max="15879" width="14" style="3" customWidth="1"/>
    <col min="15880" max="16128" width="11.42578125" style="3"/>
    <col min="16129" max="16129" width="15.85546875" style="3" customWidth="1"/>
    <col min="16130" max="16130" width="14.85546875" style="3" customWidth="1"/>
    <col min="16131" max="16131" width="13.28515625" style="3" customWidth="1"/>
    <col min="16132" max="16132" width="11.42578125" style="3"/>
    <col min="16133" max="16133" width="13.42578125" style="3" customWidth="1"/>
    <col min="16134" max="16134" width="12.7109375" style="3" customWidth="1"/>
    <col min="16135" max="16135" width="14" style="3" customWidth="1"/>
    <col min="16136" max="16384" width="11.42578125" style="3"/>
  </cols>
  <sheetData>
    <row r="1" spans="1:21" ht="48" customHeight="1">
      <c r="A1" s="1346" t="str">
        <f>PPTO!D3</f>
        <v>PRESUPUESTO
MUNICIPIO EL BAGRE (ANTIOQUIA).</v>
      </c>
      <c r="B1" s="1347"/>
      <c r="C1" s="1347"/>
      <c r="D1" s="1347"/>
      <c r="E1" s="1347"/>
      <c r="F1" s="1347"/>
      <c r="G1" s="1348"/>
      <c r="H1" s="1"/>
      <c r="I1" s="2"/>
    </row>
    <row r="2" spans="1:21" ht="18" customHeight="1">
      <c r="A2" s="1362" t="s">
        <v>16</v>
      </c>
      <c r="B2" s="1363"/>
      <c r="C2" s="1363"/>
      <c r="D2" s="1363"/>
      <c r="E2" s="1363"/>
      <c r="F2" s="1363"/>
      <c r="G2" s="1364"/>
      <c r="H2" s="1"/>
      <c r="I2" s="2"/>
    </row>
    <row r="3" spans="1:21" ht="24.75" customHeight="1">
      <c r="A3" s="1367" t="str">
        <f>+PPTO!$D$5</f>
        <v>PROYECTO DE MEJORAMIENTO VIAL, ESPACIO PUBLICO Y OBRAS COMPLEMENTARIAS DE LA AVENIDA LA JUVENTUD Y TRAMOS ADYACENTES Y PRIORITARIOS DEL SECTOR URBANO EN EL MUNICIPIO EL BAGRE ANTIOQUIA.</v>
      </c>
      <c r="B3" s="1368"/>
      <c r="C3" s="1368"/>
      <c r="D3" s="1368"/>
      <c r="E3" s="1368"/>
      <c r="F3" s="1368"/>
      <c r="G3" s="1369"/>
      <c r="H3" s="1"/>
      <c r="I3" s="2"/>
    </row>
    <row r="4" spans="1:21" ht="30" customHeight="1">
      <c r="A4" s="1370"/>
      <c r="B4" s="1368"/>
      <c r="C4" s="1368"/>
      <c r="D4" s="1368"/>
      <c r="E4" s="1368"/>
      <c r="F4" s="1368"/>
      <c r="G4" s="1369"/>
      <c r="H4" s="1"/>
      <c r="I4" s="2"/>
    </row>
    <row r="5" spans="1:21" ht="6.75" customHeight="1">
      <c r="A5" s="222"/>
      <c r="B5" s="6"/>
      <c r="C5" s="24"/>
      <c r="D5" s="25"/>
      <c r="E5" s="6"/>
      <c r="F5" s="6"/>
      <c r="G5" s="223"/>
      <c r="H5" s="9"/>
    </row>
    <row r="6" spans="1:21" ht="52.5" customHeight="1">
      <c r="A6" s="368">
        <v>2.4</v>
      </c>
      <c r="B6" s="1349" t="str">
        <f>VLOOKUP(A6,PPTO!D4:I131,2,FALSE)</f>
        <v>Relleno con material tipo II (Gravo-Arcilloso) para suelo estabilizado con CAL</v>
      </c>
      <c r="C6" s="1350"/>
      <c r="D6" s="1350"/>
      <c r="E6" s="1351"/>
      <c r="F6" s="192" t="s">
        <v>118</v>
      </c>
      <c r="G6" s="248" t="str">
        <f>VLOOKUP(A6,PPTO!D4:I131,3,FALSE)</f>
        <v>m3</v>
      </c>
      <c r="H6" s="9"/>
    </row>
    <row r="7" spans="1:21" ht="3.75" customHeight="1">
      <c r="A7" s="226"/>
      <c r="B7" s="4"/>
      <c r="C7" s="6"/>
      <c r="D7" s="4"/>
      <c r="E7" s="4"/>
      <c r="F7" s="4"/>
      <c r="G7" s="227"/>
      <c r="H7" s="9"/>
    </row>
    <row r="8" spans="1:21" ht="22.5" customHeight="1">
      <c r="A8" s="1354" t="s">
        <v>69</v>
      </c>
      <c r="B8" s="1355"/>
      <c r="C8" s="1355"/>
      <c r="D8" s="1355"/>
      <c r="E8" s="1355"/>
      <c r="F8" s="1355"/>
      <c r="G8" s="1356"/>
      <c r="H8" s="9"/>
    </row>
    <row r="9" spans="1:21" ht="4.5" customHeight="1">
      <c r="A9" s="226"/>
      <c r="B9" s="4"/>
      <c r="C9" s="6"/>
      <c r="D9" s="4"/>
      <c r="E9" s="4"/>
      <c r="F9" s="4"/>
      <c r="G9" s="227"/>
      <c r="H9" s="9"/>
      <c r="I9" s="5"/>
      <c r="J9" s="5"/>
      <c r="K9" s="5"/>
      <c r="L9" s="26"/>
      <c r="M9" s="5"/>
      <c r="N9" s="5"/>
      <c r="O9" s="5"/>
      <c r="P9" s="5"/>
    </row>
    <row r="10" spans="1:21">
      <c r="A10" s="1373" t="s">
        <v>17</v>
      </c>
      <c r="B10" s="1374"/>
      <c r="C10" s="1374"/>
      <c r="D10" s="220" t="s">
        <v>18</v>
      </c>
      <c r="E10" s="220" t="s">
        <v>19</v>
      </c>
      <c r="F10" s="220" t="s">
        <v>20</v>
      </c>
      <c r="G10" s="228" t="s">
        <v>21</v>
      </c>
      <c r="H10" s="27"/>
      <c r="I10" s="28"/>
      <c r="J10" s="29"/>
      <c r="K10" s="30"/>
      <c r="L10" s="30"/>
      <c r="M10" s="30"/>
      <c r="N10" s="30"/>
      <c r="O10" s="30"/>
      <c r="P10" s="5"/>
    </row>
    <row r="11" spans="1:21">
      <c r="A11" s="1352" t="s">
        <v>75</v>
      </c>
      <c r="B11" s="1353"/>
      <c r="C11" s="1353"/>
      <c r="D11" s="220"/>
      <c r="E11" s="83"/>
      <c r="F11" s="97"/>
      <c r="G11" s="229">
        <f>+G40*5%</f>
        <v>80</v>
      </c>
      <c r="H11" s="9"/>
      <c r="I11" s="30"/>
      <c r="J11" s="31"/>
      <c r="K11" s="30"/>
      <c r="L11" s="30"/>
      <c r="M11" s="30"/>
      <c r="N11" s="30"/>
      <c r="O11" s="30"/>
      <c r="P11" s="5"/>
    </row>
    <row r="12" spans="1:21">
      <c r="A12" s="1371" t="s">
        <v>48</v>
      </c>
      <c r="B12" s="1372"/>
      <c r="C12" s="1372"/>
      <c r="D12" s="83" t="s">
        <v>43</v>
      </c>
      <c r="E12" s="83">
        <v>110000</v>
      </c>
      <c r="F12" s="98">
        <f>F35</f>
        <v>100</v>
      </c>
      <c r="G12" s="229">
        <f>+E12/F12+3</f>
        <v>1103</v>
      </c>
      <c r="H12" s="9"/>
      <c r="I12" s="16"/>
      <c r="J12" s="13"/>
      <c r="K12" s="8"/>
      <c r="L12" s="8"/>
      <c r="M12" s="8"/>
      <c r="N12" s="8"/>
      <c r="O12" s="8"/>
      <c r="P12" s="5"/>
    </row>
    <row r="13" spans="1:21">
      <c r="A13" s="1352" t="s">
        <v>80</v>
      </c>
      <c r="B13" s="1353"/>
      <c r="C13" s="1353"/>
      <c r="D13" s="220" t="s">
        <v>42</v>
      </c>
      <c r="E13" s="78">
        <v>190000</v>
      </c>
      <c r="F13" s="98">
        <f>+F12</f>
        <v>100</v>
      </c>
      <c r="G13" s="229">
        <f>+E13/F13</f>
        <v>1900</v>
      </c>
      <c r="H13" s="9"/>
      <c r="I13" s="13"/>
      <c r="J13" s="13"/>
      <c r="K13" s="13"/>
      <c r="L13" s="13"/>
      <c r="M13" s="13"/>
      <c r="N13" s="13"/>
      <c r="O13" s="13"/>
      <c r="P13" s="5"/>
    </row>
    <row r="14" spans="1:21">
      <c r="A14" s="1375"/>
      <c r="B14" s="1376"/>
      <c r="C14" s="1376"/>
      <c r="D14" s="83"/>
      <c r="E14" s="83"/>
      <c r="F14" s="98"/>
      <c r="G14" s="229"/>
      <c r="H14" s="9"/>
      <c r="I14" s="8"/>
      <c r="J14" s="14"/>
      <c r="K14" s="32"/>
      <c r="L14" s="14"/>
      <c r="M14" s="15"/>
      <c r="N14" s="15"/>
      <c r="O14" s="19"/>
      <c r="P14" s="5"/>
    </row>
    <row r="15" spans="1:21">
      <c r="A15" s="1371"/>
      <c r="B15" s="1372"/>
      <c r="C15" s="1372"/>
      <c r="D15" s="83"/>
      <c r="E15" s="83"/>
      <c r="F15" s="98"/>
      <c r="G15" s="229"/>
      <c r="H15" s="9"/>
      <c r="I15" s="8"/>
      <c r="J15" s="33"/>
      <c r="K15" s="32"/>
      <c r="L15" s="14"/>
      <c r="M15" s="15"/>
      <c r="N15" s="15"/>
      <c r="O15" s="19"/>
      <c r="P15" s="5"/>
      <c r="Q15" s="5"/>
      <c r="R15" s="5"/>
      <c r="S15" s="5"/>
      <c r="T15" s="5"/>
      <c r="U15" s="5"/>
    </row>
    <row r="16" spans="1:21">
      <c r="A16" s="1371"/>
      <c r="B16" s="1372"/>
      <c r="C16" s="1372"/>
      <c r="D16" s="85" t="s">
        <v>37</v>
      </c>
      <c r="E16" s="50"/>
      <c r="F16" s="49"/>
      <c r="G16" s="230">
        <f>SUM(G11:G15)</f>
        <v>3083</v>
      </c>
      <c r="H16" s="9"/>
      <c r="I16" s="34"/>
      <c r="J16" s="34"/>
      <c r="K16" s="35"/>
      <c r="L16" s="36"/>
      <c r="M16" s="7"/>
      <c r="N16" s="7"/>
      <c r="O16" s="19"/>
      <c r="P16" s="5"/>
      <c r="Q16" s="5"/>
      <c r="R16" s="5"/>
      <c r="S16" s="5"/>
      <c r="T16" s="5"/>
      <c r="U16" s="5"/>
    </row>
    <row r="17" spans="1:21" ht="4.5" customHeight="1">
      <c r="A17" s="226"/>
      <c r="B17" s="4"/>
      <c r="C17" s="6"/>
      <c r="D17" s="4"/>
      <c r="E17" s="4"/>
      <c r="F17" s="4"/>
      <c r="G17" s="227"/>
      <c r="H17" s="9"/>
      <c r="I17" s="34"/>
      <c r="J17" s="34"/>
      <c r="K17" s="35"/>
      <c r="L17" s="36"/>
      <c r="M17" s="7"/>
      <c r="N17" s="7"/>
      <c r="O17" s="19"/>
      <c r="P17" s="5"/>
      <c r="Q17" s="5"/>
      <c r="R17" s="5"/>
      <c r="S17" s="5"/>
      <c r="T17" s="5"/>
      <c r="U17" s="5"/>
    </row>
    <row r="18" spans="1:21" ht="22.5" customHeight="1">
      <c r="A18" s="1354" t="s">
        <v>70</v>
      </c>
      <c r="B18" s="1355"/>
      <c r="C18" s="1355"/>
      <c r="D18" s="1355"/>
      <c r="E18" s="1355"/>
      <c r="F18" s="1355"/>
      <c r="G18" s="1356"/>
      <c r="H18" s="9"/>
    </row>
    <row r="19" spans="1:21" ht="4.5" customHeight="1">
      <c r="A19" s="226"/>
      <c r="B19" s="4"/>
      <c r="C19" s="6"/>
      <c r="D19" s="4"/>
      <c r="E19" s="4"/>
      <c r="F19" s="38"/>
      <c r="G19" s="227"/>
      <c r="H19" s="9"/>
      <c r="I19" s="34"/>
      <c r="J19" s="34"/>
      <c r="K19" s="35"/>
      <c r="L19" s="39"/>
      <c r="M19" s="7"/>
      <c r="N19" s="7"/>
      <c r="O19" s="8"/>
      <c r="P19" s="5"/>
      <c r="Q19" s="5"/>
      <c r="R19" s="5"/>
      <c r="S19" s="5"/>
      <c r="T19" s="5"/>
      <c r="U19" s="5"/>
    </row>
    <row r="20" spans="1:21">
      <c r="A20" s="1373" t="s">
        <v>17</v>
      </c>
      <c r="B20" s="1374"/>
      <c r="C20" s="1374"/>
      <c r="D20" s="220" t="s">
        <v>3</v>
      </c>
      <c r="E20" s="220" t="s">
        <v>4</v>
      </c>
      <c r="F20" s="220" t="s">
        <v>25</v>
      </c>
      <c r="G20" s="228" t="s">
        <v>21</v>
      </c>
      <c r="H20" s="27"/>
      <c r="I20" s="34"/>
      <c r="J20" s="34"/>
      <c r="K20" s="35"/>
      <c r="L20" s="39"/>
      <c r="M20" s="7"/>
      <c r="N20" s="7"/>
      <c r="O20" s="8"/>
      <c r="P20" s="5"/>
      <c r="Q20" s="5"/>
      <c r="R20" s="5"/>
      <c r="S20" s="5"/>
      <c r="T20" s="5"/>
      <c r="U20" s="5"/>
    </row>
    <row r="21" spans="1:21">
      <c r="A21" s="1365" t="s">
        <v>66</v>
      </c>
      <c r="B21" s="1366"/>
      <c r="C21" s="1366"/>
      <c r="D21" s="76" t="s">
        <v>1</v>
      </c>
      <c r="E21" s="82">
        <v>1.3</v>
      </c>
      <c r="F21" s="83">
        <v>20000</v>
      </c>
      <c r="G21" s="231">
        <f>ROUND(E21*F21,0)</f>
        <v>26000</v>
      </c>
      <c r="H21" s="9"/>
      <c r="I21" s="34"/>
      <c r="J21" s="34"/>
      <c r="K21" s="35"/>
      <c r="L21" s="39"/>
      <c r="M21" s="7"/>
      <c r="N21" s="7"/>
      <c r="O21" s="13"/>
      <c r="P21" s="5"/>
      <c r="Q21" s="5"/>
      <c r="R21" s="5"/>
      <c r="S21" s="5"/>
      <c r="T21" s="5"/>
      <c r="U21" s="5"/>
    </row>
    <row r="22" spans="1:21">
      <c r="A22" s="1365" t="s">
        <v>835</v>
      </c>
      <c r="B22" s="1366"/>
      <c r="C22" s="1366"/>
      <c r="D22" s="76" t="s">
        <v>53</v>
      </c>
      <c r="E22" s="82">
        <f>72/3</f>
        <v>24</v>
      </c>
      <c r="F22" s="83">
        <f>12000/25</f>
        <v>480</v>
      </c>
      <c r="G22" s="231">
        <f>ROUND(E22*F22,0)</f>
        <v>11520</v>
      </c>
      <c r="H22" s="9"/>
      <c r="I22" s="10"/>
      <c r="J22" s="10"/>
      <c r="K22" s="12"/>
      <c r="L22" s="39"/>
      <c r="M22" s="7"/>
      <c r="N22" s="7"/>
      <c r="O22" s="15"/>
      <c r="P22" s="5"/>
      <c r="Q22" s="5"/>
      <c r="R22" s="5"/>
      <c r="S22" s="5"/>
      <c r="T22" s="5"/>
      <c r="U22" s="5"/>
    </row>
    <row r="23" spans="1:21">
      <c r="A23" s="1386" t="s">
        <v>131</v>
      </c>
      <c r="B23" s="1353"/>
      <c r="C23" s="1353"/>
      <c r="D23" s="79" t="s">
        <v>132</v>
      </c>
      <c r="E23" s="82">
        <f>E21*5.66</f>
        <v>7.36</v>
      </c>
      <c r="F23" s="83">
        <f>'2.3'!G43</f>
        <v>1283</v>
      </c>
      <c r="G23" s="67">
        <f>+F23*E23</f>
        <v>9443</v>
      </c>
      <c r="H23" s="9"/>
      <c r="I23" s="10"/>
      <c r="J23" s="10"/>
      <c r="K23" s="12"/>
      <c r="L23" s="39"/>
      <c r="M23" s="7"/>
      <c r="N23" s="7"/>
      <c r="O23" s="15"/>
      <c r="P23" s="5"/>
      <c r="Q23" s="5"/>
      <c r="R23" s="5"/>
      <c r="S23" s="5"/>
      <c r="T23" s="5"/>
      <c r="U23" s="5"/>
    </row>
    <row r="24" spans="1:21">
      <c r="A24" s="1352"/>
      <c r="B24" s="1353"/>
      <c r="C24" s="1353"/>
      <c r="D24" s="79"/>
      <c r="E24" s="82"/>
      <c r="F24" s="83"/>
      <c r="G24" s="231"/>
      <c r="H24" s="9"/>
      <c r="I24" s="10"/>
      <c r="J24" s="40"/>
      <c r="K24" s="12"/>
      <c r="L24" s="13"/>
      <c r="M24" s="14"/>
      <c r="N24" s="14"/>
      <c r="O24" s="15"/>
      <c r="P24" s="5"/>
      <c r="Q24" s="5"/>
      <c r="R24" s="5"/>
      <c r="S24" s="5"/>
      <c r="T24" s="5"/>
      <c r="U24" s="5"/>
    </row>
    <row r="25" spans="1:21">
      <c r="A25" s="1352"/>
      <c r="B25" s="1353"/>
      <c r="C25" s="1353"/>
      <c r="D25" s="81"/>
      <c r="E25" s="82"/>
      <c r="F25" s="83"/>
      <c r="G25" s="231"/>
      <c r="H25" s="9"/>
      <c r="I25" s="10"/>
      <c r="J25" s="11"/>
      <c r="K25" s="12"/>
      <c r="L25" s="13"/>
      <c r="M25" s="14"/>
      <c r="N25" s="14"/>
      <c r="O25" s="15"/>
      <c r="P25" s="5"/>
      <c r="Q25" s="5"/>
      <c r="R25" s="5"/>
      <c r="S25" s="5"/>
      <c r="T25" s="5"/>
      <c r="U25" s="5"/>
    </row>
    <row r="26" spans="1:21">
      <c r="A26" s="1352"/>
      <c r="B26" s="1353"/>
      <c r="C26" s="1353"/>
      <c r="D26" s="79"/>
      <c r="E26" s="82"/>
      <c r="F26" s="83"/>
      <c r="G26" s="231"/>
      <c r="H26" s="9"/>
      <c r="I26" s="10"/>
      <c r="J26" s="11"/>
      <c r="K26" s="12"/>
      <c r="L26" s="13"/>
      <c r="M26" s="14"/>
      <c r="N26" s="14"/>
      <c r="O26" s="15"/>
      <c r="P26" s="5"/>
      <c r="Q26" s="5"/>
      <c r="R26" s="5"/>
      <c r="S26" s="5"/>
      <c r="T26" s="5"/>
      <c r="U26" s="5"/>
    </row>
    <row r="27" spans="1:21">
      <c r="A27" s="1352"/>
      <c r="B27" s="1353"/>
      <c r="C27" s="1353"/>
      <c r="D27" s="79"/>
      <c r="E27" s="82"/>
      <c r="F27" s="83"/>
      <c r="G27" s="231"/>
      <c r="H27" s="9"/>
      <c r="I27" s="10"/>
      <c r="J27" s="11"/>
      <c r="K27" s="12"/>
      <c r="L27" s="13"/>
      <c r="M27" s="14"/>
      <c r="N27" s="14"/>
      <c r="O27" s="15"/>
      <c r="P27" s="5"/>
      <c r="Q27" s="5"/>
      <c r="R27" s="5"/>
      <c r="S27" s="5"/>
      <c r="T27" s="5"/>
      <c r="U27" s="5"/>
    </row>
    <row r="28" spans="1:21">
      <c r="A28" s="1352"/>
      <c r="B28" s="1353"/>
      <c r="C28" s="1353"/>
      <c r="D28" s="79"/>
      <c r="E28" s="82"/>
      <c r="F28" s="83"/>
      <c r="G28" s="231"/>
      <c r="H28" s="9"/>
      <c r="I28" s="41"/>
      <c r="J28" s="41"/>
      <c r="K28" s="12"/>
      <c r="L28" s="13"/>
      <c r="M28" s="14"/>
      <c r="N28" s="14"/>
      <c r="O28" s="15"/>
      <c r="P28" s="5"/>
      <c r="Q28" s="5"/>
      <c r="R28" s="5"/>
      <c r="S28" s="5"/>
      <c r="T28" s="5"/>
      <c r="U28" s="5"/>
    </row>
    <row r="29" spans="1:21">
      <c r="A29" s="1352"/>
      <c r="B29" s="1353"/>
      <c r="C29" s="1353"/>
      <c r="D29" s="84"/>
      <c r="E29" s="84"/>
      <c r="F29" s="83"/>
      <c r="G29" s="231"/>
      <c r="H29" s="9"/>
      <c r="I29" s="42"/>
      <c r="J29" s="42"/>
      <c r="K29" s="42"/>
      <c r="L29" s="13"/>
      <c r="M29" s="14"/>
      <c r="N29" s="14"/>
      <c r="O29" s="15"/>
      <c r="P29" s="5"/>
      <c r="Q29" s="5"/>
      <c r="R29" s="5"/>
      <c r="S29" s="5"/>
      <c r="T29" s="5"/>
      <c r="U29" s="5"/>
    </row>
    <row r="30" spans="1:21">
      <c r="A30" s="1352"/>
      <c r="B30" s="1353"/>
      <c r="C30" s="1353"/>
      <c r="D30" s="85" t="s">
        <v>28</v>
      </c>
      <c r="E30" s="50"/>
      <c r="F30" s="49"/>
      <c r="G30" s="230">
        <f>SUM(G21:G29)</f>
        <v>46963</v>
      </c>
      <c r="H30" s="9"/>
      <c r="I30" s="8"/>
      <c r="J30" s="13"/>
      <c r="K30" s="8"/>
      <c r="L30" s="13"/>
      <c r="M30" s="14"/>
      <c r="N30" s="14"/>
      <c r="O30" s="15"/>
      <c r="P30" s="5"/>
    </row>
    <row r="31" spans="1:21" ht="3.75" customHeight="1">
      <c r="A31" s="226"/>
      <c r="B31" s="4"/>
      <c r="C31" s="6"/>
      <c r="D31" s="4"/>
      <c r="E31" s="4"/>
      <c r="F31" s="4"/>
      <c r="G31" s="227"/>
      <c r="H31" s="9"/>
      <c r="I31" s="8"/>
      <c r="J31" s="13"/>
      <c r="K31" s="18"/>
      <c r="L31" s="13"/>
      <c r="M31" s="33"/>
      <c r="N31" s="33"/>
      <c r="O31" s="15"/>
      <c r="P31" s="5"/>
    </row>
    <row r="32" spans="1:21" ht="22.5" customHeight="1">
      <c r="A32" s="1354" t="s">
        <v>71</v>
      </c>
      <c r="B32" s="1355"/>
      <c r="C32" s="1355"/>
      <c r="D32" s="1355"/>
      <c r="E32" s="1355"/>
      <c r="F32" s="1355"/>
      <c r="G32" s="1356"/>
      <c r="H32" s="9"/>
    </row>
    <row r="33" spans="1:16" ht="3.75" customHeight="1">
      <c r="A33" s="226"/>
      <c r="B33" s="4"/>
      <c r="C33" s="6"/>
      <c r="D33" s="4"/>
      <c r="E33" s="4"/>
      <c r="F33" s="4"/>
      <c r="G33" s="227"/>
      <c r="H33" s="9"/>
      <c r="I33" s="8"/>
      <c r="J33" s="13"/>
      <c r="K33" s="8"/>
      <c r="L33" s="8"/>
      <c r="M33" s="8"/>
      <c r="N33" s="8"/>
      <c r="O33" s="15"/>
      <c r="P33" s="5"/>
    </row>
    <row r="34" spans="1:16">
      <c r="A34" s="232" t="s">
        <v>5</v>
      </c>
      <c r="B34" s="60" t="s">
        <v>29</v>
      </c>
      <c r="C34" s="60" t="s">
        <v>30</v>
      </c>
      <c r="D34" s="60" t="s">
        <v>31</v>
      </c>
      <c r="E34" s="60" t="s">
        <v>32</v>
      </c>
      <c r="F34" s="60" t="s">
        <v>20</v>
      </c>
      <c r="G34" s="228" t="s">
        <v>33</v>
      </c>
      <c r="H34" s="27"/>
      <c r="I34" s="8"/>
      <c r="J34" s="13"/>
      <c r="K34" s="8"/>
      <c r="L34" s="8"/>
      <c r="M34" s="8"/>
      <c r="N34" s="8"/>
      <c r="O34" s="15"/>
      <c r="P34" s="5"/>
    </row>
    <row r="35" spans="1:16">
      <c r="A35" s="233" t="s">
        <v>67</v>
      </c>
      <c r="B35" s="63">
        <f>BOF</f>
        <v>51749</v>
      </c>
      <c r="C35" s="68">
        <f>ffpp</f>
        <v>0.64539999999999997</v>
      </c>
      <c r="D35" s="72">
        <v>1</v>
      </c>
      <c r="E35" s="66">
        <f>OF</f>
        <v>88696</v>
      </c>
      <c r="F35" s="72">
        <v>100</v>
      </c>
      <c r="G35" s="231">
        <f>ROUND(+D35*E35/F35,0)</f>
        <v>887</v>
      </c>
      <c r="H35" s="9"/>
      <c r="I35" s="16"/>
      <c r="J35" s="13"/>
      <c r="K35" s="8"/>
      <c r="L35" s="8"/>
      <c r="M35" s="8"/>
      <c r="N35" s="8"/>
      <c r="O35" s="15"/>
      <c r="P35" s="5"/>
    </row>
    <row r="36" spans="1:16">
      <c r="A36" s="233" t="s">
        <v>38</v>
      </c>
      <c r="B36" s="63">
        <f>BOB</f>
        <v>41749</v>
      </c>
      <c r="C36" s="68">
        <f>ffpp</f>
        <v>0.64539999999999997</v>
      </c>
      <c r="D36" s="72">
        <v>1</v>
      </c>
      <c r="E36" s="66">
        <f>OB</f>
        <v>72242</v>
      </c>
      <c r="F36" s="72">
        <f>F35</f>
        <v>100</v>
      </c>
      <c r="G36" s="231">
        <f>ROUND(+D36*E36/F36,0)</f>
        <v>722</v>
      </c>
      <c r="H36" s="9"/>
      <c r="I36" s="16"/>
      <c r="J36" s="13"/>
      <c r="K36" s="8"/>
      <c r="L36" s="8"/>
      <c r="M36" s="8"/>
      <c r="N36" s="8"/>
      <c r="O36" s="15"/>
      <c r="P36" s="5"/>
    </row>
    <row r="37" spans="1:16">
      <c r="A37" s="233"/>
      <c r="B37" s="63"/>
      <c r="C37" s="961"/>
      <c r="D37" s="72"/>
      <c r="E37" s="66"/>
      <c r="F37" s="69"/>
      <c r="G37" s="231"/>
      <c r="H37" s="9"/>
      <c r="I37" s="8"/>
      <c r="J37" s="8"/>
      <c r="K37" s="13"/>
      <c r="L37" s="13"/>
      <c r="M37" s="13"/>
      <c r="N37" s="13"/>
      <c r="O37" s="13"/>
      <c r="P37" s="5"/>
    </row>
    <row r="38" spans="1:16">
      <c r="A38" s="234"/>
      <c r="B38" s="50"/>
      <c r="C38" s="50"/>
      <c r="D38" s="50"/>
      <c r="E38" s="50"/>
      <c r="F38" s="50"/>
      <c r="G38" s="235"/>
      <c r="H38" s="9"/>
      <c r="I38" s="8"/>
      <c r="J38" s="13"/>
      <c r="K38" s="13"/>
      <c r="L38" s="13"/>
      <c r="M38" s="33"/>
      <c r="N38" s="33"/>
      <c r="O38" s="43"/>
      <c r="P38" s="5"/>
    </row>
    <row r="39" spans="1:16">
      <c r="A39" s="233"/>
      <c r="B39" s="65"/>
      <c r="C39" s="68"/>
      <c r="D39" s="65"/>
      <c r="E39" s="69"/>
      <c r="F39" s="69"/>
      <c r="G39" s="236"/>
      <c r="H39" s="9"/>
      <c r="I39" s="8"/>
      <c r="J39" s="13"/>
      <c r="K39" s="13"/>
      <c r="L39" s="13"/>
      <c r="M39" s="33"/>
      <c r="N39" s="33"/>
      <c r="O39" s="43"/>
      <c r="P39" s="5"/>
    </row>
    <row r="40" spans="1:16">
      <c r="A40" s="1352"/>
      <c r="B40" s="1353"/>
      <c r="C40" s="1353"/>
      <c r="D40" s="85" t="s">
        <v>34</v>
      </c>
      <c r="E40" s="50"/>
      <c r="F40" s="49"/>
      <c r="G40" s="230">
        <f>SUM(G35:G39)</f>
        <v>1609</v>
      </c>
      <c r="H40" s="9"/>
      <c r="I40" s="8"/>
      <c r="J40" s="13"/>
      <c r="K40" s="8"/>
      <c r="L40" s="13"/>
      <c r="M40" s="14"/>
      <c r="N40" s="14"/>
      <c r="O40" s="15"/>
      <c r="P40" s="5"/>
    </row>
    <row r="41" spans="1:16">
      <c r="A41" s="237"/>
      <c r="B41" s="111"/>
      <c r="C41" s="111"/>
      <c r="D41" s="112"/>
      <c r="E41" s="5"/>
      <c r="F41" s="113"/>
      <c r="G41" s="238"/>
      <c r="H41" s="9"/>
      <c r="I41" s="8"/>
      <c r="J41" s="13"/>
      <c r="K41" s="8"/>
      <c r="L41" s="13"/>
      <c r="M41" s="14"/>
      <c r="N41" s="14"/>
      <c r="O41" s="15"/>
      <c r="P41" s="5"/>
    </row>
    <row r="42" spans="1:16">
      <c r="A42" s="226"/>
      <c r="B42" s="4"/>
      <c r="C42" s="6"/>
      <c r="D42" s="4"/>
      <c r="E42" s="4"/>
      <c r="F42" s="4"/>
      <c r="G42" s="227"/>
      <c r="H42" s="9"/>
      <c r="I42" s="8"/>
      <c r="J42" s="13"/>
      <c r="K42" s="13"/>
      <c r="L42" s="13"/>
      <c r="M42" s="14"/>
      <c r="N42" s="14"/>
      <c r="O42" s="19"/>
      <c r="P42" s="5"/>
    </row>
    <row r="43" spans="1:16" ht="14.25">
      <c r="A43" s="226"/>
      <c r="B43" s="4"/>
      <c r="C43" s="6"/>
      <c r="D43" s="1357" t="s">
        <v>35</v>
      </c>
      <c r="E43" s="1358"/>
      <c r="F43" s="1359"/>
      <c r="G43" s="239">
        <f>+G40+G30+G16</f>
        <v>51655</v>
      </c>
      <c r="H43" s="9"/>
      <c r="I43" s="46"/>
      <c r="J43" s="47"/>
      <c r="K43" s="8"/>
      <c r="L43" s="8"/>
      <c r="M43" s="8"/>
      <c r="N43" s="8"/>
      <c r="O43" s="8"/>
      <c r="P43" s="5"/>
    </row>
    <row r="44" spans="1:16">
      <c r="A44" s="377"/>
      <c r="B44" s="372"/>
      <c r="C44" s="372"/>
      <c r="D44" s="100"/>
      <c r="E44" s="100"/>
      <c r="F44" s="100"/>
      <c r="G44" s="227"/>
      <c r="H44" s="206"/>
      <c r="I44" s="8"/>
      <c r="J44" s="13"/>
      <c r="K44" s="13"/>
      <c r="L44" s="13"/>
      <c r="M44" s="17"/>
      <c r="N44" s="17"/>
      <c r="O44" s="37"/>
      <c r="P44" s="5"/>
    </row>
    <row r="45" spans="1:16">
      <c r="A45" s="377"/>
      <c r="B45" s="372"/>
      <c r="C45" s="372"/>
      <c r="D45" s="100"/>
      <c r="E45" s="100"/>
      <c r="F45" s="100"/>
      <c r="G45" s="227"/>
      <c r="H45" s="9"/>
      <c r="I45" s="8"/>
      <c r="J45" s="13"/>
      <c r="K45" s="13"/>
      <c r="L45" s="13"/>
      <c r="M45" s="17"/>
      <c r="N45" s="17"/>
      <c r="O45" s="37"/>
      <c r="P45" s="5"/>
    </row>
    <row r="46" spans="1:16">
      <c r="A46" s="377"/>
      <c r="B46" s="372"/>
      <c r="C46" s="372"/>
      <c r="D46" s="100"/>
      <c r="E46" s="100"/>
      <c r="F46" s="100"/>
      <c r="G46" s="227"/>
      <c r="H46" s="9"/>
      <c r="I46" s="8"/>
      <c r="J46" s="13"/>
      <c r="K46" s="13"/>
      <c r="L46" s="13"/>
      <c r="M46" s="17"/>
      <c r="N46" s="17"/>
      <c r="O46" s="37"/>
      <c r="P46" s="5"/>
    </row>
    <row r="47" spans="1:16">
      <c r="A47" s="1384" t="s">
        <v>129</v>
      </c>
      <c r="B47" s="1385"/>
      <c r="C47" s="1385"/>
      <c r="D47" s="5"/>
      <c r="E47" s="5"/>
      <c r="F47" s="5"/>
      <c r="G47" s="241"/>
      <c r="H47" s="9"/>
      <c r="I47" s="48"/>
      <c r="J47" s="13"/>
      <c r="K47" s="8"/>
      <c r="L47" s="8"/>
      <c r="M47" s="8"/>
      <c r="N47" s="8"/>
      <c r="O47" s="8"/>
      <c r="P47" s="5"/>
    </row>
    <row r="48" spans="1:16" ht="15" thickBot="1">
      <c r="A48" s="242"/>
      <c r="B48" s="243"/>
      <c r="C48" s="244"/>
      <c r="D48" s="245"/>
      <c r="E48" s="246"/>
      <c r="F48" s="246"/>
      <c r="G48" s="247"/>
      <c r="H48" s="9"/>
      <c r="I48" s="8"/>
      <c r="J48" s="13"/>
      <c r="K48" s="8"/>
      <c r="L48" s="8"/>
      <c r="M48" s="8"/>
      <c r="N48" s="8"/>
      <c r="O48" s="8"/>
      <c r="P48" s="5"/>
    </row>
    <row r="49" spans="9:16">
      <c r="I49" s="5"/>
      <c r="J49" s="5"/>
      <c r="K49" s="5"/>
      <c r="L49" s="5"/>
      <c r="M49" s="5"/>
      <c r="N49" s="5"/>
      <c r="O49" s="5"/>
      <c r="P49" s="5"/>
    </row>
    <row r="50" spans="9:16">
      <c r="I50" s="5"/>
      <c r="J50" s="5"/>
      <c r="K50" s="5"/>
      <c r="L50" s="5"/>
      <c r="M50" s="5"/>
      <c r="N50" s="5"/>
      <c r="O50" s="5"/>
      <c r="P50" s="5"/>
    </row>
  </sheetData>
  <mergeCells count="28">
    <mergeCell ref="A47:C47"/>
    <mergeCell ref="D43:F43"/>
    <mergeCell ref="A21:C21"/>
    <mergeCell ref="A3:G4"/>
    <mergeCell ref="A10:C10"/>
    <mergeCell ref="A11:C11"/>
    <mergeCell ref="A12:C12"/>
    <mergeCell ref="A13:C13"/>
    <mergeCell ref="A14:C14"/>
    <mergeCell ref="A15:C15"/>
    <mergeCell ref="A20:C20"/>
    <mergeCell ref="A16:C16"/>
    <mergeCell ref="A18:G18"/>
    <mergeCell ref="A8:G8"/>
    <mergeCell ref="A29:C29"/>
    <mergeCell ref="A1:G1"/>
    <mergeCell ref="A32:G32"/>
    <mergeCell ref="A40:C40"/>
    <mergeCell ref="A2:G2"/>
    <mergeCell ref="A28:C28"/>
    <mergeCell ref="A27:C27"/>
    <mergeCell ref="A30:C30"/>
    <mergeCell ref="B6:E6"/>
    <mergeCell ref="A22:C22"/>
    <mergeCell ref="A23:C23"/>
    <mergeCell ref="A24:C24"/>
    <mergeCell ref="A25:C25"/>
    <mergeCell ref="A26:C26"/>
  </mergeCells>
  <printOptions horizontalCentered="1" verticalCentered="1"/>
  <pageMargins left="0.74803149606299213" right="0.74803149606299213" top="0" bottom="0.98425196850393704" header="0" footer="0"/>
  <pageSetup scale="90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6"/>
  <dimension ref="A1:U50"/>
  <sheetViews>
    <sheetView view="pageBreakPreview" topLeftCell="A10" zoomScaleNormal="100" zoomScaleSheetLayoutView="100" workbookViewId="0">
      <selection activeCell="E13" sqref="E13"/>
    </sheetView>
  </sheetViews>
  <sheetFormatPr baseColWidth="10" defaultColWidth="10.7109375" defaultRowHeight="12.75"/>
  <cols>
    <col min="1" max="1" width="15.85546875" style="3" customWidth="1"/>
    <col min="2" max="2" width="14.85546875" style="3" customWidth="1"/>
    <col min="3" max="3" width="13.28515625" style="3" customWidth="1"/>
    <col min="4" max="4" width="11.42578125" style="3"/>
    <col min="5" max="5" width="13.42578125" style="3" customWidth="1"/>
    <col min="6" max="6" width="12.7109375" style="3" customWidth="1"/>
    <col min="7" max="7" width="14" style="3" customWidth="1"/>
    <col min="8" max="256" width="11.42578125" style="3"/>
    <col min="257" max="257" width="15.85546875" style="3" customWidth="1"/>
    <col min="258" max="258" width="14.85546875" style="3" customWidth="1"/>
    <col min="259" max="259" width="13.28515625" style="3" customWidth="1"/>
    <col min="260" max="260" width="11.42578125" style="3"/>
    <col min="261" max="261" width="13.42578125" style="3" customWidth="1"/>
    <col min="262" max="262" width="12.7109375" style="3" customWidth="1"/>
    <col min="263" max="263" width="14" style="3" customWidth="1"/>
    <col min="264" max="512" width="11.42578125" style="3"/>
    <col min="513" max="513" width="15.85546875" style="3" customWidth="1"/>
    <col min="514" max="514" width="14.85546875" style="3" customWidth="1"/>
    <col min="515" max="515" width="13.28515625" style="3" customWidth="1"/>
    <col min="516" max="516" width="11.42578125" style="3"/>
    <col min="517" max="517" width="13.42578125" style="3" customWidth="1"/>
    <col min="518" max="518" width="12.7109375" style="3" customWidth="1"/>
    <col min="519" max="519" width="14" style="3" customWidth="1"/>
    <col min="520" max="768" width="11.42578125" style="3"/>
    <col min="769" max="769" width="15.85546875" style="3" customWidth="1"/>
    <col min="770" max="770" width="14.85546875" style="3" customWidth="1"/>
    <col min="771" max="771" width="13.28515625" style="3" customWidth="1"/>
    <col min="772" max="772" width="11.42578125" style="3"/>
    <col min="773" max="773" width="13.42578125" style="3" customWidth="1"/>
    <col min="774" max="774" width="12.7109375" style="3" customWidth="1"/>
    <col min="775" max="775" width="14" style="3" customWidth="1"/>
    <col min="776" max="1024" width="11.42578125" style="3"/>
    <col min="1025" max="1025" width="15.85546875" style="3" customWidth="1"/>
    <col min="1026" max="1026" width="14.85546875" style="3" customWidth="1"/>
    <col min="1027" max="1027" width="13.28515625" style="3" customWidth="1"/>
    <col min="1028" max="1028" width="11.42578125" style="3"/>
    <col min="1029" max="1029" width="13.42578125" style="3" customWidth="1"/>
    <col min="1030" max="1030" width="12.7109375" style="3" customWidth="1"/>
    <col min="1031" max="1031" width="14" style="3" customWidth="1"/>
    <col min="1032" max="1280" width="11.42578125" style="3"/>
    <col min="1281" max="1281" width="15.85546875" style="3" customWidth="1"/>
    <col min="1282" max="1282" width="14.85546875" style="3" customWidth="1"/>
    <col min="1283" max="1283" width="13.28515625" style="3" customWidth="1"/>
    <col min="1284" max="1284" width="11.42578125" style="3"/>
    <col min="1285" max="1285" width="13.42578125" style="3" customWidth="1"/>
    <col min="1286" max="1286" width="12.7109375" style="3" customWidth="1"/>
    <col min="1287" max="1287" width="14" style="3" customWidth="1"/>
    <col min="1288" max="1536" width="11.42578125" style="3"/>
    <col min="1537" max="1537" width="15.85546875" style="3" customWidth="1"/>
    <col min="1538" max="1538" width="14.85546875" style="3" customWidth="1"/>
    <col min="1539" max="1539" width="13.28515625" style="3" customWidth="1"/>
    <col min="1540" max="1540" width="11.42578125" style="3"/>
    <col min="1541" max="1541" width="13.42578125" style="3" customWidth="1"/>
    <col min="1542" max="1542" width="12.7109375" style="3" customWidth="1"/>
    <col min="1543" max="1543" width="14" style="3" customWidth="1"/>
    <col min="1544" max="1792" width="11.42578125" style="3"/>
    <col min="1793" max="1793" width="15.85546875" style="3" customWidth="1"/>
    <col min="1794" max="1794" width="14.85546875" style="3" customWidth="1"/>
    <col min="1795" max="1795" width="13.28515625" style="3" customWidth="1"/>
    <col min="1796" max="1796" width="11.42578125" style="3"/>
    <col min="1797" max="1797" width="13.42578125" style="3" customWidth="1"/>
    <col min="1798" max="1798" width="12.7109375" style="3" customWidth="1"/>
    <col min="1799" max="1799" width="14" style="3" customWidth="1"/>
    <col min="1800" max="2048" width="11.42578125" style="3"/>
    <col min="2049" max="2049" width="15.85546875" style="3" customWidth="1"/>
    <col min="2050" max="2050" width="14.85546875" style="3" customWidth="1"/>
    <col min="2051" max="2051" width="13.28515625" style="3" customWidth="1"/>
    <col min="2052" max="2052" width="11.42578125" style="3"/>
    <col min="2053" max="2053" width="13.42578125" style="3" customWidth="1"/>
    <col min="2054" max="2054" width="12.7109375" style="3" customWidth="1"/>
    <col min="2055" max="2055" width="14" style="3" customWidth="1"/>
    <col min="2056" max="2304" width="11.42578125" style="3"/>
    <col min="2305" max="2305" width="15.85546875" style="3" customWidth="1"/>
    <col min="2306" max="2306" width="14.85546875" style="3" customWidth="1"/>
    <col min="2307" max="2307" width="13.28515625" style="3" customWidth="1"/>
    <col min="2308" max="2308" width="11.42578125" style="3"/>
    <col min="2309" max="2309" width="13.42578125" style="3" customWidth="1"/>
    <col min="2310" max="2310" width="12.7109375" style="3" customWidth="1"/>
    <col min="2311" max="2311" width="14" style="3" customWidth="1"/>
    <col min="2312" max="2560" width="11.42578125" style="3"/>
    <col min="2561" max="2561" width="15.85546875" style="3" customWidth="1"/>
    <col min="2562" max="2562" width="14.85546875" style="3" customWidth="1"/>
    <col min="2563" max="2563" width="13.28515625" style="3" customWidth="1"/>
    <col min="2564" max="2564" width="11.42578125" style="3"/>
    <col min="2565" max="2565" width="13.42578125" style="3" customWidth="1"/>
    <col min="2566" max="2566" width="12.7109375" style="3" customWidth="1"/>
    <col min="2567" max="2567" width="14" style="3" customWidth="1"/>
    <col min="2568" max="2816" width="11.42578125" style="3"/>
    <col min="2817" max="2817" width="15.85546875" style="3" customWidth="1"/>
    <col min="2818" max="2818" width="14.85546875" style="3" customWidth="1"/>
    <col min="2819" max="2819" width="13.28515625" style="3" customWidth="1"/>
    <col min="2820" max="2820" width="11.42578125" style="3"/>
    <col min="2821" max="2821" width="13.42578125" style="3" customWidth="1"/>
    <col min="2822" max="2822" width="12.7109375" style="3" customWidth="1"/>
    <col min="2823" max="2823" width="14" style="3" customWidth="1"/>
    <col min="2824" max="3072" width="11.42578125" style="3"/>
    <col min="3073" max="3073" width="15.85546875" style="3" customWidth="1"/>
    <col min="3074" max="3074" width="14.85546875" style="3" customWidth="1"/>
    <col min="3075" max="3075" width="13.28515625" style="3" customWidth="1"/>
    <col min="3076" max="3076" width="11.42578125" style="3"/>
    <col min="3077" max="3077" width="13.42578125" style="3" customWidth="1"/>
    <col min="3078" max="3078" width="12.7109375" style="3" customWidth="1"/>
    <col min="3079" max="3079" width="14" style="3" customWidth="1"/>
    <col min="3080" max="3328" width="11.42578125" style="3"/>
    <col min="3329" max="3329" width="15.85546875" style="3" customWidth="1"/>
    <col min="3330" max="3330" width="14.85546875" style="3" customWidth="1"/>
    <col min="3331" max="3331" width="13.28515625" style="3" customWidth="1"/>
    <col min="3332" max="3332" width="11.42578125" style="3"/>
    <col min="3333" max="3333" width="13.42578125" style="3" customWidth="1"/>
    <col min="3334" max="3334" width="12.7109375" style="3" customWidth="1"/>
    <col min="3335" max="3335" width="14" style="3" customWidth="1"/>
    <col min="3336" max="3584" width="11.42578125" style="3"/>
    <col min="3585" max="3585" width="15.85546875" style="3" customWidth="1"/>
    <col min="3586" max="3586" width="14.85546875" style="3" customWidth="1"/>
    <col min="3587" max="3587" width="13.28515625" style="3" customWidth="1"/>
    <col min="3588" max="3588" width="11.42578125" style="3"/>
    <col min="3589" max="3589" width="13.42578125" style="3" customWidth="1"/>
    <col min="3590" max="3590" width="12.7109375" style="3" customWidth="1"/>
    <col min="3591" max="3591" width="14" style="3" customWidth="1"/>
    <col min="3592" max="3840" width="11.42578125" style="3"/>
    <col min="3841" max="3841" width="15.85546875" style="3" customWidth="1"/>
    <col min="3842" max="3842" width="14.85546875" style="3" customWidth="1"/>
    <col min="3843" max="3843" width="13.28515625" style="3" customWidth="1"/>
    <col min="3844" max="3844" width="11.42578125" style="3"/>
    <col min="3845" max="3845" width="13.42578125" style="3" customWidth="1"/>
    <col min="3846" max="3846" width="12.7109375" style="3" customWidth="1"/>
    <col min="3847" max="3847" width="14" style="3" customWidth="1"/>
    <col min="3848" max="4096" width="11.42578125" style="3"/>
    <col min="4097" max="4097" width="15.85546875" style="3" customWidth="1"/>
    <col min="4098" max="4098" width="14.85546875" style="3" customWidth="1"/>
    <col min="4099" max="4099" width="13.28515625" style="3" customWidth="1"/>
    <col min="4100" max="4100" width="11.42578125" style="3"/>
    <col min="4101" max="4101" width="13.42578125" style="3" customWidth="1"/>
    <col min="4102" max="4102" width="12.7109375" style="3" customWidth="1"/>
    <col min="4103" max="4103" width="14" style="3" customWidth="1"/>
    <col min="4104" max="4352" width="11.42578125" style="3"/>
    <col min="4353" max="4353" width="15.85546875" style="3" customWidth="1"/>
    <col min="4354" max="4354" width="14.85546875" style="3" customWidth="1"/>
    <col min="4355" max="4355" width="13.28515625" style="3" customWidth="1"/>
    <col min="4356" max="4356" width="11.42578125" style="3"/>
    <col min="4357" max="4357" width="13.42578125" style="3" customWidth="1"/>
    <col min="4358" max="4358" width="12.7109375" style="3" customWidth="1"/>
    <col min="4359" max="4359" width="14" style="3" customWidth="1"/>
    <col min="4360" max="4608" width="11.42578125" style="3"/>
    <col min="4609" max="4609" width="15.85546875" style="3" customWidth="1"/>
    <col min="4610" max="4610" width="14.85546875" style="3" customWidth="1"/>
    <col min="4611" max="4611" width="13.28515625" style="3" customWidth="1"/>
    <col min="4612" max="4612" width="11.42578125" style="3"/>
    <col min="4613" max="4613" width="13.42578125" style="3" customWidth="1"/>
    <col min="4614" max="4614" width="12.7109375" style="3" customWidth="1"/>
    <col min="4615" max="4615" width="14" style="3" customWidth="1"/>
    <col min="4616" max="4864" width="11.42578125" style="3"/>
    <col min="4865" max="4865" width="15.85546875" style="3" customWidth="1"/>
    <col min="4866" max="4866" width="14.85546875" style="3" customWidth="1"/>
    <col min="4867" max="4867" width="13.28515625" style="3" customWidth="1"/>
    <col min="4868" max="4868" width="11.42578125" style="3"/>
    <col min="4869" max="4869" width="13.42578125" style="3" customWidth="1"/>
    <col min="4870" max="4870" width="12.7109375" style="3" customWidth="1"/>
    <col min="4871" max="4871" width="14" style="3" customWidth="1"/>
    <col min="4872" max="5120" width="11.42578125" style="3"/>
    <col min="5121" max="5121" width="15.85546875" style="3" customWidth="1"/>
    <col min="5122" max="5122" width="14.85546875" style="3" customWidth="1"/>
    <col min="5123" max="5123" width="13.28515625" style="3" customWidth="1"/>
    <col min="5124" max="5124" width="11.42578125" style="3"/>
    <col min="5125" max="5125" width="13.42578125" style="3" customWidth="1"/>
    <col min="5126" max="5126" width="12.7109375" style="3" customWidth="1"/>
    <col min="5127" max="5127" width="14" style="3" customWidth="1"/>
    <col min="5128" max="5376" width="11.42578125" style="3"/>
    <col min="5377" max="5377" width="15.85546875" style="3" customWidth="1"/>
    <col min="5378" max="5378" width="14.85546875" style="3" customWidth="1"/>
    <col min="5379" max="5379" width="13.28515625" style="3" customWidth="1"/>
    <col min="5380" max="5380" width="11.42578125" style="3"/>
    <col min="5381" max="5381" width="13.42578125" style="3" customWidth="1"/>
    <col min="5382" max="5382" width="12.7109375" style="3" customWidth="1"/>
    <col min="5383" max="5383" width="14" style="3" customWidth="1"/>
    <col min="5384" max="5632" width="11.42578125" style="3"/>
    <col min="5633" max="5633" width="15.85546875" style="3" customWidth="1"/>
    <col min="5634" max="5634" width="14.85546875" style="3" customWidth="1"/>
    <col min="5635" max="5635" width="13.28515625" style="3" customWidth="1"/>
    <col min="5636" max="5636" width="11.42578125" style="3"/>
    <col min="5637" max="5637" width="13.42578125" style="3" customWidth="1"/>
    <col min="5638" max="5638" width="12.7109375" style="3" customWidth="1"/>
    <col min="5639" max="5639" width="14" style="3" customWidth="1"/>
    <col min="5640" max="5888" width="11.42578125" style="3"/>
    <col min="5889" max="5889" width="15.85546875" style="3" customWidth="1"/>
    <col min="5890" max="5890" width="14.85546875" style="3" customWidth="1"/>
    <col min="5891" max="5891" width="13.28515625" style="3" customWidth="1"/>
    <col min="5892" max="5892" width="11.42578125" style="3"/>
    <col min="5893" max="5893" width="13.42578125" style="3" customWidth="1"/>
    <col min="5894" max="5894" width="12.7109375" style="3" customWidth="1"/>
    <col min="5895" max="5895" width="14" style="3" customWidth="1"/>
    <col min="5896" max="6144" width="11.42578125" style="3"/>
    <col min="6145" max="6145" width="15.85546875" style="3" customWidth="1"/>
    <col min="6146" max="6146" width="14.85546875" style="3" customWidth="1"/>
    <col min="6147" max="6147" width="13.28515625" style="3" customWidth="1"/>
    <col min="6148" max="6148" width="11.42578125" style="3"/>
    <col min="6149" max="6149" width="13.42578125" style="3" customWidth="1"/>
    <col min="6150" max="6150" width="12.7109375" style="3" customWidth="1"/>
    <col min="6151" max="6151" width="14" style="3" customWidth="1"/>
    <col min="6152" max="6400" width="11.42578125" style="3"/>
    <col min="6401" max="6401" width="15.85546875" style="3" customWidth="1"/>
    <col min="6402" max="6402" width="14.85546875" style="3" customWidth="1"/>
    <col min="6403" max="6403" width="13.28515625" style="3" customWidth="1"/>
    <col min="6404" max="6404" width="11.42578125" style="3"/>
    <col min="6405" max="6405" width="13.42578125" style="3" customWidth="1"/>
    <col min="6406" max="6406" width="12.7109375" style="3" customWidth="1"/>
    <col min="6407" max="6407" width="14" style="3" customWidth="1"/>
    <col min="6408" max="6656" width="11.42578125" style="3"/>
    <col min="6657" max="6657" width="15.85546875" style="3" customWidth="1"/>
    <col min="6658" max="6658" width="14.85546875" style="3" customWidth="1"/>
    <col min="6659" max="6659" width="13.28515625" style="3" customWidth="1"/>
    <col min="6660" max="6660" width="11.42578125" style="3"/>
    <col min="6661" max="6661" width="13.42578125" style="3" customWidth="1"/>
    <col min="6662" max="6662" width="12.7109375" style="3" customWidth="1"/>
    <col min="6663" max="6663" width="14" style="3" customWidth="1"/>
    <col min="6664" max="6912" width="11.42578125" style="3"/>
    <col min="6913" max="6913" width="15.85546875" style="3" customWidth="1"/>
    <col min="6914" max="6914" width="14.85546875" style="3" customWidth="1"/>
    <col min="6915" max="6915" width="13.28515625" style="3" customWidth="1"/>
    <col min="6916" max="6916" width="11.42578125" style="3"/>
    <col min="6917" max="6917" width="13.42578125" style="3" customWidth="1"/>
    <col min="6918" max="6918" width="12.7109375" style="3" customWidth="1"/>
    <col min="6919" max="6919" width="14" style="3" customWidth="1"/>
    <col min="6920" max="7168" width="11.42578125" style="3"/>
    <col min="7169" max="7169" width="15.85546875" style="3" customWidth="1"/>
    <col min="7170" max="7170" width="14.85546875" style="3" customWidth="1"/>
    <col min="7171" max="7171" width="13.28515625" style="3" customWidth="1"/>
    <col min="7172" max="7172" width="11.42578125" style="3"/>
    <col min="7173" max="7173" width="13.42578125" style="3" customWidth="1"/>
    <col min="7174" max="7174" width="12.7109375" style="3" customWidth="1"/>
    <col min="7175" max="7175" width="14" style="3" customWidth="1"/>
    <col min="7176" max="7424" width="11.42578125" style="3"/>
    <col min="7425" max="7425" width="15.85546875" style="3" customWidth="1"/>
    <col min="7426" max="7426" width="14.85546875" style="3" customWidth="1"/>
    <col min="7427" max="7427" width="13.28515625" style="3" customWidth="1"/>
    <col min="7428" max="7428" width="11.42578125" style="3"/>
    <col min="7429" max="7429" width="13.42578125" style="3" customWidth="1"/>
    <col min="7430" max="7430" width="12.7109375" style="3" customWidth="1"/>
    <col min="7431" max="7431" width="14" style="3" customWidth="1"/>
    <col min="7432" max="7680" width="11.42578125" style="3"/>
    <col min="7681" max="7681" width="15.85546875" style="3" customWidth="1"/>
    <col min="7682" max="7682" width="14.85546875" style="3" customWidth="1"/>
    <col min="7683" max="7683" width="13.28515625" style="3" customWidth="1"/>
    <col min="7684" max="7684" width="11.42578125" style="3"/>
    <col min="7685" max="7685" width="13.42578125" style="3" customWidth="1"/>
    <col min="7686" max="7686" width="12.7109375" style="3" customWidth="1"/>
    <col min="7687" max="7687" width="14" style="3" customWidth="1"/>
    <col min="7688" max="7936" width="11.42578125" style="3"/>
    <col min="7937" max="7937" width="15.85546875" style="3" customWidth="1"/>
    <col min="7938" max="7938" width="14.85546875" style="3" customWidth="1"/>
    <col min="7939" max="7939" width="13.28515625" style="3" customWidth="1"/>
    <col min="7940" max="7940" width="11.42578125" style="3"/>
    <col min="7941" max="7941" width="13.42578125" style="3" customWidth="1"/>
    <col min="7942" max="7942" width="12.7109375" style="3" customWidth="1"/>
    <col min="7943" max="7943" width="14" style="3" customWidth="1"/>
    <col min="7944" max="8192" width="11.42578125" style="3"/>
    <col min="8193" max="8193" width="15.85546875" style="3" customWidth="1"/>
    <col min="8194" max="8194" width="14.85546875" style="3" customWidth="1"/>
    <col min="8195" max="8195" width="13.28515625" style="3" customWidth="1"/>
    <col min="8196" max="8196" width="11.42578125" style="3"/>
    <col min="8197" max="8197" width="13.42578125" style="3" customWidth="1"/>
    <col min="8198" max="8198" width="12.7109375" style="3" customWidth="1"/>
    <col min="8199" max="8199" width="14" style="3" customWidth="1"/>
    <col min="8200" max="8448" width="11.42578125" style="3"/>
    <col min="8449" max="8449" width="15.85546875" style="3" customWidth="1"/>
    <col min="8450" max="8450" width="14.85546875" style="3" customWidth="1"/>
    <col min="8451" max="8451" width="13.28515625" style="3" customWidth="1"/>
    <col min="8452" max="8452" width="11.42578125" style="3"/>
    <col min="8453" max="8453" width="13.42578125" style="3" customWidth="1"/>
    <col min="8454" max="8454" width="12.7109375" style="3" customWidth="1"/>
    <col min="8455" max="8455" width="14" style="3" customWidth="1"/>
    <col min="8456" max="8704" width="11.42578125" style="3"/>
    <col min="8705" max="8705" width="15.85546875" style="3" customWidth="1"/>
    <col min="8706" max="8706" width="14.85546875" style="3" customWidth="1"/>
    <col min="8707" max="8707" width="13.28515625" style="3" customWidth="1"/>
    <col min="8708" max="8708" width="11.42578125" style="3"/>
    <col min="8709" max="8709" width="13.42578125" style="3" customWidth="1"/>
    <col min="8710" max="8710" width="12.7109375" style="3" customWidth="1"/>
    <col min="8711" max="8711" width="14" style="3" customWidth="1"/>
    <col min="8712" max="8960" width="11.42578125" style="3"/>
    <col min="8961" max="8961" width="15.85546875" style="3" customWidth="1"/>
    <col min="8962" max="8962" width="14.85546875" style="3" customWidth="1"/>
    <col min="8963" max="8963" width="13.28515625" style="3" customWidth="1"/>
    <col min="8964" max="8964" width="11.42578125" style="3"/>
    <col min="8965" max="8965" width="13.42578125" style="3" customWidth="1"/>
    <col min="8966" max="8966" width="12.7109375" style="3" customWidth="1"/>
    <col min="8967" max="8967" width="14" style="3" customWidth="1"/>
    <col min="8968" max="9216" width="11.42578125" style="3"/>
    <col min="9217" max="9217" width="15.85546875" style="3" customWidth="1"/>
    <col min="9218" max="9218" width="14.85546875" style="3" customWidth="1"/>
    <col min="9219" max="9219" width="13.28515625" style="3" customWidth="1"/>
    <col min="9220" max="9220" width="11.42578125" style="3"/>
    <col min="9221" max="9221" width="13.42578125" style="3" customWidth="1"/>
    <col min="9222" max="9222" width="12.7109375" style="3" customWidth="1"/>
    <col min="9223" max="9223" width="14" style="3" customWidth="1"/>
    <col min="9224" max="9472" width="11.42578125" style="3"/>
    <col min="9473" max="9473" width="15.85546875" style="3" customWidth="1"/>
    <col min="9474" max="9474" width="14.85546875" style="3" customWidth="1"/>
    <col min="9475" max="9475" width="13.28515625" style="3" customWidth="1"/>
    <col min="9476" max="9476" width="11.42578125" style="3"/>
    <col min="9477" max="9477" width="13.42578125" style="3" customWidth="1"/>
    <col min="9478" max="9478" width="12.7109375" style="3" customWidth="1"/>
    <col min="9479" max="9479" width="14" style="3" customWidth="1"/>
    <col min="9480" max="9728" width="11.42578125" style="3"/>
    <col min="9729" max="9729" width="15.85546875" style="3" customWidth="1"/>
    <col min="9730" max="9730" width="14.85546875" style="3" customWidth="1"/>
    <col min="9731" max="9731" width="13.28515625" style="3" customWidth="1"/>
    <col min="9732" max="9732" width="11.42578125" style="3"/>
    <col min="9733" max="9733" width="13.42578125" style="3" customWidth="1"/>
    <col min="9734" max="9734" width="12.7109375" style="3" customWidth="1"/>
    <col min="9735" max="9735" width="14" style="3" customWidth="1"/>
    <col min="9736" max="9984" width="11.42578125" style="3"/>
    <col min="9985" max="9985" width="15.85546875" style="3" customWidth="1"/>
    <col min="9986" max="9986" width="14.85546875" style="3" customWidth="1"/>
    <col min="9987" max="9987" width="13.28515625" style="3" customWidth="1"/>
    <col min="9988" max="9988" width="11.42578125" style="3"/>
    <col min="9989" max="9989" width="13.42578125" style="3" customWidth="1"/>
    <col min="9990" max="9990" width="12.7109375" style="3" customWidth="1"/>
    <col min="9991" max="9991" width="14" style="3" customWidth="1"/>
    <col min="9992" max="10240" width="11.42578125" style="3"/>
    <col min="10241" max="10241" width="15.85546875" style="3" customWidth="1"/>
    <col min="10242" max="10242" width="14.85546875" style="3" customWidth="1"/>
    <col min="10243" max="10243" width="13.28515625" style="3" customWidth="1"/>
    <col min="10244" max="10244" width="11.42578125" style="3"/>
    <col min="10245" max="10245" width="13.42578125" style="3" customWidth="1"/>
    <col min="10246" max="10246" width="12.7109375" style="3" customWidth="1"/>
    <col min="10247" max="10247" width="14" style="3" customWidth="1"/>
    <col min="10248" max="10496" width="11.42578125" style="3"/>
    <col min="10497" max="10497" width="15.85546875" style="3" customWidth="1"/>
    <col min="10498" max="10498" width="14.85546875" style="3" customWidth="1"/>
    <col min="10499" max="10499" width="13.28515625" style="3" customWidth="1"/>
    <col min="10500" max="10500" width="11.42578125" style="3"/>
    <col min="10501" max="10501" width="13.42578125" style="3" customWidth="1"/>
    <col min="10502" max="10502" width="12.7109375" style="3" customWidth="1"/>
    <col min="10503" max="10503" width="14" style="3" customWidth="1"/>
    <col min="10504" max="10752" width="11.42578125" style="3"/>
    <col min="10753" max="10753" width="15.85546875" style="3" customWidth="1"/>
    <col min="10754" max="10754" width="14.85546875" style="3" customWidth="1"/>
    <col min="10755" max="10755" width="13.28515625" style="3" customWidth="1"/>
    <col min="10756" max="10756" width="11.42578125" style="3"/>
    <col min="10757" max="10757" width="13.42578125" style="3" customWidth="1"/>
    <col min="10758" max="10758" width="12.7109375" style="3" customWidth="1"/>
    <col min="10759" max="10759" width="14" style="3" customWidth="1"/>
    <col min="10760" max="11008" width="11.42578125" style="3"/>
    <col min="11009" max="11009" width="15.85546875" style="3" customWidth="1"/>
    <col min="11010" max="11010" width="14.85546875" style="3" customWidth="1"/>
    <col min="11011" max="11011" width="13.28515625" style="3" customWidth="1"/>
    <col min="11012" max="11012" width="11.42578125" style="3"/>
    <col min="11013" max="11013" width="13.42578125" style="3" customWidth="1"/>
    <col min="11014" max="11014" width="12.7109375" style="3" customWidth="1"/>
    <col min="11015" max="11015" width="14" style="3" customWidth="1"/>
    <col min="11016" max="11264" width="11.42578125" style="3"/>
    <col min="11265" max="11265" width="15.85546875" style="3" customWidth="1"/>
    <col min="11266" max="11266" width="14.85546875" style="3" customWidth="1"/>
    <col min="11267" max="11267" width="13.28515625" style="3" customWidth="1"/>
    <col min="11268" max="11268" width="11.42578125" style="3"/>
    <col min="11269" max="11269" width="13.42578125" style="3" customWidth="1"/>
    <col min="11270" max="11270" width="12.7109375" style="3" customWidth="1"/>
    <col min="11271" max="11271" width="14" style="3" customWidth="1"/>
    <col min="11272" max="11520" width="11.42578125" style="3"/>
    <col min="11521" max="11521" width="15.85546875" style="3" customWidth="1"/>
    <col min="11522" max="11522" width="14.85546875" style="3" customWidth="1"/>
    <col min="11523" max="11523" width="13.28515625" style="3" customWidth="1"/>
    <col min="11524" max="11524" width="11.42578125" style="3"/>
    <col min="11525" max="11525" width="13.42578125" style="3" customWidth="1"/>
    <col min="11526" max="11526" width="12.7109375" style="3" customWidth="1"/>
    <col min="11527" max="11527" width="14" style="3" customWidth="1"/>
    <col min="11528" max="11776" width="11.42578125" style="3"/>
    <col min="11777" max="11777" width="15.85546875" style="3" customWidth="1"/>
    <col min="11778" max="11778" width="14.85546875" style="3" customWidth="1"/>
    <col min="11779" max="11779" width="13.28515625" style="3" customWidth="1"/>
    <col min="11780" max="11780" width="11.42578125" style="3"/>
    <col min="11781" max="11781" width="13.42578125" style="3" customWidth="1"/>
    <col min="11782" max="11782" width="12.7109375" style="3" customWidth="1"/>
    <col min="11783" max="11783" width="14" style="3" customWidth="1"/>
    <col min="11784" max="12032" width="11.42578125" style="3"/>
    <col min="12033" max="12033" width="15.85546875" style="3" customWidth="1"/>
    <col min="12034" max="12034" width="14.85546875" style="3" customWidth="1"/>
    <col min="12035" max="12035" width="13.28515625" style="3" customWidth="1"/>
    <col min="12036" max="12036" width="11.42578125" style="3"/>
    <col min="12037" max="12037" width="13.42578125" style="3" customWidth="1"/>
    <col min="12038" max="12038" width="12.7109375" style="3" customWidth="1"/>
    <col min="12039" max="12039" width="14" style="3" customWidth="1"/>
    <col min="12040" max="12288" width="11.42578125" style="3"/>
    <col min="12289" max="12289" width="15.85546875" style="3" customWidth="1"/>
    <col min="12290" max="12290" width="14.85546875" style="3" customWidth="1"/>
    <col min="12291" max="12291" width="13.28515625" style="3" customWidth="1"/>
    <col min="12292" max="12292" width="11.42578125" style="3"/>
    <col min="12293" max="12293" width="13.42578125" style="3" customWidth="1"/>
    <col min="12294" max="12294" width="12.7109375" style="3" customWidth="1"/>
    <col min="12295" max="12295" width="14" style="3" customWidth="1"/>
    <col min="12296" max="12544" width="11.42578125" style="3"/>
    <col min="12545" max="12545" width="15.85546875" style="3" customWidth="1"/>
    <col min="12546" max="12546" width="14.85546875" style="3" customWidth="1"/>
    <col min="12547" max="12547" width="13.28515625" style="3" customWidth="1"/>
    <col min="12548" max="12548" width="11.42578125" style="3"/>
    <col min="12549" max="12549" width="13.42578125" style="3" customWidth="1"/>
    <col min="12550" max="12550" width="12.7109375" style="3" customWidth="1"/>
    <col min="12551" max="12551" width="14" style="3" customWidth="1"/>
    <col min="12552" max="12800" width="11.42578125" style="3"/>
    <col min="12801" max="12801" width="15.85546875" style="3" customWidth="1"/>
    <col min="12802" max="12802" width="14.85546875" style="3" customWidth="1"/>
    <col min="12803" max="12803" width="13.28515625" style="3" customWidth="1"/>
    <col min="12804" max="12804" width="11.42578125" style="3"/>
    <col min="12805" max="12805" width="13.42578125" style="3" customWidth="1"/>
    <col min="12806" max="12806" width="12.7109375" style="3" customWidth="1"/>
    <col min="12807" max="12807" width="14" style="3" customWidth="1"/>
    <col min="12808" max="13056" width="11.42578125" style="3"/>
    <col min="13057" max="13057" width="15.85546875" style="3" customWidth="1"/>
    <col min="13058" max="13058" width="14.85546875" style="3" customWidth="1"/>
    <col min="13059" max="13059" width="13.28515625" style="3" customWidth="1"/>
    <col min="13060" max="13060" width="11.42578125" style="3"/>
    <col min="13061" max="13061" width="13.42578125" style="3" customWidth="1"/>
    <col min="13062" max="13062" width="12.7109375" style="3" customWidth="1"/>
    <col min="13063" max="13063" width="14" style="3" customWidth="1"/>
    <col min="13064" max="13312" width="11.42578125" style="3"/>
    <col min="13313" max="13313" width="15.85546875" style="3" customWidth="1"/>
    <col min="13314" max="13314" width="14.85546875" style="3" customWidth="1"/>
    <col min="13315" max="13315" width="13.28515625" style="3" customWidth="1"/>
    <col min="13316" max="13316" width="11.42578125" style="3"/>
    <col min="13317" max="13317" width="13.42578125" style="3" customWidth="1"/>
    <col min="13318" max="13318" width="12.7109375" style="3" customWidth="1"/>
    <col min="13319" max="13319" width="14" style="3" customWidth="1"/>
    <col min="13320" max="13568" width="11.42578125" style="3"/>
    <col min="13569" max="13569" width="15.85546875" style="3" customWidth="1"/>
    <col min="13570" max="13570" width="14.85546875" style="3" customWidth="1"/>
    <col min="13571" max="13571" width="13.28515625" style="3" customWidth="1"/>
    <col min="13572" max="13572" width="11.42578125" style="3"/>
    <col min="13573" max="13573" width="13.42578125" style="3" customWidth="1"/>
    <col min="13574" max="13574" width="12.7109375" style="3" customWidth="1"/>
    <col min="13575" max="13575" width="14" style="3" customWidth="1"/>
    <col min="13576" max="13824" width="11.42578125" style="3"/>
    <col min="13825" max="13825" width="15.85546875" style="3" customWidth="1"/>
    <col min="13826" max="13826" width="14.85546875" style="3" customWidth="1"/>
    <col min="13827" max="13827" width="13.28515625" style="3" customWidth="1"/>
    <col min="13828" max="13828" width="11.42578125" style="3"/>
    <col min="13829" max="13829" width="13.42578125" style="3" customWidth="1"/>
    <col min="13830" max="13830" width="12.7109375" style="3" customWidth="1"/>
    <col min="13831" max="13831" width="14" style="3" customWidth="1"/>
    <col min="13832" max="14080" width="11.42578125" style="3"/>
    <col min="14081" max="14081" width="15.85546875" style="3" customWidth="1"/>
    <col min="14082" max="14082" width="14.85546875" style="3" customWidth="1"/>
    <col min="14083" max="14083" width="13.28515625" style="3" customWidth="1"/>
    <col min="14084" max="14084" width="11.42578125" style="3"/>
    <col min="14085" max="14085" width="13.42578125" style="3" customWidth="1"/>
    <col min="14086" max="14086" width="12.7109375" style="3" customWidth="1"/>
    <col min="14087" max="14087" width="14" style="3" customWidth="1"/>
    <col min="14088" max="14336" width="11.42578125" style="3"/>
    <col min="14337" max="14337" width="15.85546875" style="3" customWidth="1"/>
    <col min="14338" max="14338" width="14.85546875" style="3" customWidth="1"/>
    <col min="14339" max="14339" width="13.28515625" style="3" customWidth="1"/>
    <col min="14340" max="14340" width="11.42578125" style="3"/>
    <col min="14341" max="14341" width="13.42578125" style="3" customWidth="1"/>
    <col min="14342" max="14342" width="12.7109375" style="3" customWidth="1"/>
    <col min="14343" max="14343" width="14" style="3" customWidth="1"/>
    <col min="14344" max="14592" width="11.42578125" style="3"/>
    <col min="14593" max="14593" width="15.85546875" style="3" customWidth="1"/>
    <col min="14594" max="14594" width="14.85546875" style="3" customWidth="1"/>
    <col min="14595" max="14595" width="13.28515625" style="3" customWidth="1"/>
    <col min="14596" max="14596" width="11.42578125" style="3"/>
    <col min="14597" max="14597" width="13.42578125" style="3" customWidth="1"/>
    <col min="14598" max="14598" width="12.7109375" style="3" customWidth="1"/>
    <col min="14599" max="14599" width="14" style="3" customWidth="1"/>
    <col min="14600" max="14848" width="11.42578125" style="3"/>
    <col min="14849" max="14849" width="15.85546875" style="3" customWidth="1"/>
    <col min="14850" max="14850" width="14.85546875" style="3" customWidth="1"/>
    <col min="14851" max="14851" width="13.28515625" style="3" customWidth="1"/>
    <col min="14852" max="14852" width="11.42578125" style="3"/>
    <col min="14853" max="14853" width="13.42578125" style="3" customWidth="1"/>
    <col min="14854" max="14854" width="12.7109375" style="3" customWidth="1"/>
    <col min="14855" max="14855" width="14" style="3" customWidth="1"/>
    <col min="14856" max="15104" width="11.42578125" style="3"/>
    <col min="15105" max="15105" width="15.85546875" style="3" customWidth="1"/>
    <col min="15106" max="15106" width="14.85546875" style="3" customWidth="1"/>
    <col min="15107" max="15107" width="13.28515625" style="3" customWidth="1"/>
    <col min="15108" max="15108" width="11.42578125" style="3"/>
    <col min="15109" max="15109" width="13.42578125" style="3" customWidth="1"/>
    <col min="15110" max="15110" width="12.7109375" style="3" customWidth="1"/>
    <col min="15111" max="15111" width="14" style="3" customWidth="1"/>
    <col min="15112" max="15360" width="11.42578125" style="3"/>
    <col min="15361" max="15361" width="15.85546875" style="3" customWidth="1"/>
    <col min="15362" max="15362" width="14.85546875" style="3" customWidth="1"/>
    <col min="15363" max="15363" width="13.28515625" style="3" customWidth="1"/>
    <col min="15364" max="15364" width="11.42578125" style="3"/>
    <col min="15365" max="15365" width="13.42578125" style="3" customWidth="1"/>
    <col min="15366" max="15366" width="12.7109375" style="3" customWidth="1"/>
    <col min="15367" max="15367" width="14" style="3" customWidth="1"/>
    <col min="15368" max="15616" width="11.42578125" style="3"/>
    <col min="15617" max="15617" width="15.85546875" style="3" customWidth="1"/>
    <col min="15618" max="15618" width="14.85546875" style="3" customWidth="1"/>
    <col min="15619" max="15619" width="13.28515625" style="3" customWidth="1"/>
    <col min="15620" max="15620" width="11.42578125" style="3"/>
    <col min="15621" max="15621" width="13.42578125" style="3" customWidth="1"/>
    <col min="15622" max="15622" width="12.7109375" style="3" customWidth="1"/>
    <col min="15623" max="15623" width="14" style="3" customWidth="1"/>
    <col min="15624" max="15872" width="11.42578125" style="3"/>
    <col min="15873" max="15873" width="15.85546875" style="3" customWidth="1"/>
    <col min="15874" max="15874" width="14.85546875" style="3" customWidth="1"/>
    <col min="15875" max="15875" width="13.28515625" style="3" customWidth="1"/>
    <col min="15876" max="15876" width="11.42578125" style="3"/>
    <col min="15877" max="15877" width="13.42578125" style="3" customWidth="1"/>
    <col min="15878" max="15878" width="12.7109375" style="3" customWidth="1"/>
    <col min="15879" max="15879" width="14" style="3" customWidth="1"/>
    <col min="15880" max="16128" width="11.42578125" style="3"/>
    <col min="16129" max="16129" width="15.85546875" style="3" customWidth="1"/>
    <col min="16130" max="16130" width="14.85546875" style="3" customWidth="1"/>
    <col min="16131" max="16131" width="13.28515625" style="3" customWidth="1"/>
    <col min="16132" max="16132" width="11.42578125" style="3"/>
    <col min="16133" max="16133" width="13.42578125" style="3" customWidth="1"/>
    <col min="16134" max="16134" width="12.7109375" style="3" customWidth="1"/>
    <col min="16135" max="16135" width="14" style="3" customWidth="1"/>
    <col min="16136" max="16384" width="11.42578125" style="3"/>
  </cols>
  <sheetData>
    <row r="1" spans="1:21" ht="48" customHeight="1">
      <c r="A1" s="1346" t="str">
        <f>PPTO!D3</f>
        <v>PRESUPUESTO
MUNICIPIO EL BAGRE (ANTIOQUIA).</v>
      </c>
      <c r="B1" s="1347"/>
      <c r="C1" s="1347"/>
      <c r="D1" s="1347"/>
      <c r="E1" s="1347"/>
      <c r="F1" s="1347"/>
      <c r="G1" s="1348"/>
      <c r="H1" s="1"/>
      <c r="I1" s="2"/>
    </row>
    <row r="2" spans="1:21" ht="18" customHeight="1">
      <c r="A2" s="1362" t="s">
        <v>16</v>
      </c>
      <c r="B2" s="1363"/>
      <c r="C2" s="1363"/>
      <c r="D2" s="1363"/>
      <c r="E2" s="1363"/>
      <c r="F2" s="1363"/>
      <c r="G2" s="1364"/>
      <c r="H2" s="1"/>
      <c r="I2" s="2"/>
    </row>
    <row r="3" spans="1:21" ht="24.75" customHeight="1">
      <c r="A3" s="1367" t="str">
        <f>+PPTO!$D$5</f>
        <v>PROYECTO DE MEJORAMIENTO VIAL, ESPACIO PUBLICO Y OBRAS COMPLEMENTARIAS DE LA AVENIDA LA JUVENTUD Y TRAMOS ADYACENTES Y PRIORITARIOS DEL SECTOR URBANO EN EL MUNICIPIO EL BAGRE ANTIOQUIA.</v>
      </c>
      <c r="B3" s="1368"/>
      <c r="C3" s="1368"/>
      <c r="D3" s="1368"/>
      <c r="E3" s="1368"/>
      <c r="F3" s="1368"/>
      <c r="G3" s="1369"/>
      <c r="H3" s="1"/>
      <c r="I3" s="2"/>
    </row>
    <row r="4" spans="1:21" ht="30" customHeight="1">
      <c r="A4" s="1370"/>
      <c r="B4" s="1368"/>
      <c r="C4" s="1368"/>
      <c r="D4" s="1368"/>
      <c r="E4" s="1368"/>
      <c r="F4" s="1368"/>
      <c r="G4" s="1369"/>
      <c r="H4" s="1"/>
      <c r="I4" s="2"/>
    </row>
    <row r="5" spans="1:21" ht="6.75" customHeight="1">
      <c r="A5" s="222"/>
      <c r="B5" s="6"/>
      <c r="C5" s="24"/>
      <c r="D5" s="25"/>
      <c r="E5" s="6"/>
      <c r="F5" s="6"/>
      <c r="G5" s="223"/>
      <c r="H5" s="9"/>
    </row>
    <row r="6" spans="1:21" ht="52.5" customHeight="1">
      <c r="A6" s="368">
        <v>2.5</v>
      </c>
      <c r="B6" s="1349" t="str">
        <f>VLOOKUP(A6,PPTO!D4:I131,2,FALSE)</f>
        <v>Seleccion, extendido, conformación y compactación de material seleccionado proveniente de la excavacion.</v>
      </c>
      <c r="C6" s="1350"/>
      <c r="D6" s="1350"/>
      <c r="E6" s="1351"/>
      <c r="F6" s="192" t="s">
        <v>118</v>
      </c>
      <c r="G6" s="248" t="str">
        <f>VLOOKUP(A6,PPTO!D4:I131,3,FALSE)</f>
        <v>m3</v>
      </c>
      <c r="H6" s="9"/>
    </row>
    <row r="7" spans="1:21" ht="3.75" customHeight="1">
      <c r="A7" s="226"/>
      <c r="B7" s="4"/>
      <c r="C7" s="6"/>
      <c r="D7" s="4"/>
      <c r="E7" s="4"/>
      <c r="F7" s="4"/>
      <c r="G7" s="227"/>
      <c r="H7" s="9"/>
    </row>
    <row r="8" spans="1:21" ht="22.5" customHeight="1">
      <c r="A8" s="1354" t="s">
        <v>69</v>
      </c>
      <c r="B8" s="1355"/>
      <c r="C8" s="1355"/>
      <c r="D8" s="1355"/>
      <c r="E8" s="1355"/>
      <c r="F8" s="1355"/>
      <c r="G8" s="1356"/>
      <c r="H8" s="9"/>
    </row>
    <row r="9" spans="1:21" ht="4.5" customHeight="1">
      <c r="A9" s="226"/>
      <c r="B9" s="4"/>
      <c r="C9" s="6"/>
      <c r="D9" s="4"/>
      <c r="E9" s="4"/>
      <c r="F9" s="4"/>
      <c r="G9" s="227"/>
      <c r="H9" s="9"/>
      <c r="I9" s="5"/>
      <c r="J9" s="5"/>
      <c r="K9" s="5"/>
      <c r="L9" s="26"/>
      <c r="M9" s="5"/>
      <c r="N9" s="5"/>
      <c r="O9" s="5"/>
      <c r="P9" s="5"/>
    </row>
    <row r="10" spans="1:21">
      <c r="A10" s="1373" t="s">
        <v>17</v>
      </c>
      <c r="B10" s="1374"/>
      <c r="C10" s="1374"/>
      <c r="D10" s="353" t="s">
        <v>18</v>
      </c>
      <c r="E10" s="353" t="s">
        <v>19</v>
      </c>
      <c r="F10" s="353" t="s">
        <v>20</v>
      </c>
      <c r="G10" s="228" t="s">
        <v>21</v>
      </c>
      <c r="H10" s="27"/>
      <c r="I10" s="28"/>
      <c r="J10" s="29"/>
      <c r="K10" s="30"/>
      <c r="L10" s="30"/>
      <c r="M10" s="30"/>
      <c r="N10" s="30"/>
      <c r="O10" s="30"/>
      <c r="P10" s="5"/>
    </row>
    <row r="11" spans="1:21">
      <c r="A11" s="1387" t="s">
        <v>75</v>
      </c>
      <c r="B11" s="1388"/>
      <c r="C11" s="1388"/>
      <c r="D11" s="751"/>
      <c r="E11" s="394"/>
      <c r="F11" s="395"/>
      <c r="G11" s="396">
        <f>+G40*5%</f>
        <v>366</v>
      </c>
      <c r="H11" s="9"/>
      <c r="I11" s="30"/>
      <c r="J11" s="31"/>
      <c r="K11" s="30"/>
      <c r="L11" s="30"/>
      <c r="M11" s="30"/>
      <c r="N11" s="30"/>
      <c r="O11" s="30"/>
      <c r="P11" s="5"/>
    </row>
    <row r="12" spans="1:21">
      <c r="A12" s="1387" t="s">
        <v>703</v>
      </c>
      <c r="B12" s="1388"/>
      <c r="C12" s="1388"/>
      <c r="D12" s="394"/>
      <c r="E12" s="394">
        <v>110000</v>
      </c>
      <c r="F12" s="398">
        <f>F35</f>
        <v>22</v>
      </c>
      <c r="G12" s="396">
        <f>+E12/F12</f>
        <v>5000</v>
      </c>
      <c r="H12" s="9"/>
      <c r="I12" s="16"/>
      <c r="J12" s="13"/>
      <c r="K12" s="8"/>
      <c r="L12" s="8"/>
      <c r="M12" s="8"/>
      <c r="N12" s="8"/>
      <c r="O12" s="8"/>
      <c r="P12" s="5"/>
    </row>
    <row r="13" spans="1:21">
      <c r="A13" s="1352" t="s">
        <v>80</v>
      </c>
      <c r="B13" s="1353"/>
      <c r="C13" s="1353"/>
      <c r="D13" s="771" t="s">
        <v>42</v>
      </c>
      <c r="E13" s="78">
        <v>190000</v>
      </c>
      <c r="F13" s="98">
        <f>+F12</f>
        <v>22</v>
      </c>
      <c r="G13" s="229">
        <f>+E13/F13</f>
        <v>8636</v>
      </c>
      <c r="H13" s="9"/>
      <c r="I13" s="13"/>
      <c r="J13" s="13"/>
      <c r="K13" s="13"/>
      <c r="L13" s="13"/>
      <c r="M13" s="13"/>
      <c r="N13" s="13"/>
      <c r="O13" s="13"/>
      <c r="P13" s="5"/>
    </row>
    <row r="14" spans="1:21">
      <c r="A14" s="1375"/>
      <c r="B14" s="1376"/>
      <c r="C14" s="1376"/>
      <c r="D14" s="83"/>
      <c r="E14" s="83"/>
      <c r="F14" s="98"/>
      <c r="G14" s="229"/>
      <c r="H14" s="9"/>
      <c r="I14" s="8"/>
      <c r="J14" s="14"/>
      <c r="K14" s="32"/>
      <c r="L14" s="14"/>
      <c r="M14" s="15"/>
      <c r="N14" s="15"/>
      <c r="O14" s="19"/>
      <c r="P14" s="5"/>
    </row>
    <row r="15" spans="1:21">
      <c r="A15" s="1371"/>
      <c r="B15" s="1372"/>
      <c r="C15" s="1372"/>
      <c r="D15" s="83"/>
      <c r="E15" s="83"/>
      <c r="F15" s="98"/>
      <c r="G15" s="229"/>
      <c r="H15" s="9"/>
      <c r="I15" s="8"/>
      <c r="J15" s="33"/>
      <c r="K15" s="32"/>
      <c r="L15" s="14"/>
      <c r="M15" s="15"/>
      <c r="N15" s="15"/>
      <c r="O15" s="19"/>
      <c r="P15" s="5"/>
      <c r="Q15" s="5"/>
      <c r="R15" s="5"/>
      <c r="S15" s="5"/>
      <c r="T15" s="5"/>
      <c r="U15" s="5"/>
    </row>
    <row r="16" spans="1:21">
      <c r="A16" s="1371"/>
      <c r="B16" s="1372"/>
      <c r="C16" s="1372"/>
      <c r="D16" s="85" t="s">
        <v>37</v>
      </c>
      <c r="E16" s="50"/>
      <c r="F16" s="49"/>
      <c r="G16" s="230">
        <f>SUM(G11:G15)</f>
        <v>14002</v>
      </c>
      <c r="H16" s="9"/>
      <c r="I16" s="34"/>
      <c r="J16" s="34"/>
      <c r="K16" s="35"/>
      <c r="L16" s="36"/>
      <c r="M16" s="7"/>
      <c r="N16" s="7"/>
      <c r="O16" s="19"/>
      <c r="P16" s="5"/>
      <c r="Q16" s="5"/>
      <c r="R16" s="5"/>
      <c r="S16" s="5"/>
      <c r="T16" s="5"/>
      <c r="U16" s="5"/>
    </row>
    <row r="17" spans="1:21" ht="4.5" customHeight="1">
      <c r="A17" s="226"/>
      <c r="B17" s="4"/>
      <c r="C17" s="6"/>
      <c r="D17" s="4"/>
      <c r="E17" s="4"/>
      <c r="F17" s="4"/>
      <c r="G17" s="227"/>
      <c r="H17" s="9"/>
      <c r="I17" s="34"/>
      <c r="J17" s="34"/>
      <c r="K17" s="35"/>
      <c r="L17" s="36"/>
      <c r="M17" s="7"/>
      <c r="N17" s="7"/>
      <c r="O17" s="19"/>
      <c r="P17" s="5"/>
      <c r="Q17" s="5"/>
      <c r="R17" s="5"/>
      <c r="S17" s="5"/>
      <c r="T17" s="5"/>
      <c r="U17" s="5"/>
    </row>
    <row r="18" spans="1:21" ht="22.5" customHeight="1">
      <c r="A18" s="1354" t="s">
        <v>70</v>
      </c>
      <c r="B18" s="1355"/>
      <c r="C18" s="1355"/>
      <c r="D18" s="1355"/>
      <c r="E18" s="1355"/>
      <c r="F18" s="1355"/>
      <c r="G18" s="1356"/>
      <c r="H18" s="9"/>
    </row>
    <row r="19" spans="1:21" ht="4.5" customHeight="1">
      <c r="A19" s="226"/>
      <c r="B19" s="4"/>
      <c r="C19" s="6"/>
      <c r="D19" s="4"/>
      <c r="E19" s="4"/>
      <c r="F19" s="38"/>
      <c r="G19" s="227"/>
      <c r="H19" s="9"/>
      <c r="I19" s="34"/>
      <c r="J19" s="34"/>
      <c r="K19" s="35"/>
      <c r="L19" s="39"/>
      <c r="M19" s="7"/>
      <c r="N19" s="7"/>
      <c r="O19" s="8"/>
      <c r="P19" s="5"/>
      <c r="Q19" s="5"/>
      <c r="R19" s="5"/>
      <c r="S19" s="5"/>
      <c r="T19" s="5"/>
      <c r="U19" s="5"/>
    </row>
    <row r="20" spans="1:21">
      <c r="A20" s="1373" t="s">
        <v>17</v>
      </c>
      <c r="B20" s="1374"/>
      <c r="C20" s="1374"/>
      <c r="D20" s="353" t="s">
        <v>3</v>
      </c>
      <c r="E20" s="353" t="s">
        <v>4</v>
      </c>
      <c r="F20" s="353" t="s">
        <v>25</v>
      </c>
      <c r="G20" s="228" t="s">
        <v>21</v>
      </c>
      <c r="H20" s="27"/>
      <c r="I20" s="34"/>
      <c r="J20" s="34"/>
      <c r="K20" s="35"/>
      <c r="L20" s="39"/>
      <c r="M20" s="7"/>
      <c r="N20" s="7"/>
      <c r="O20" s="8"/>
      <c r="P20" s="5"/>
      <c r="Q20" s="5"/>
      <c r="R20" s="5"/>
      <c r="S20" s="5"/>
      <c r="T20" s="5"/>
      <c r="U20" s="5"/>
    </row>
    <row r="21" spans="1:21">
      <c r="A21" s="1365"/>
      <c r="B21" s="1366"/>
      <c r="C21" s="1366"/>
      <c r="D21" s="76"/>
      <c r="E21" s="82"/>
      <c r="F21" s="78"/>
      <c r="G21" s="231">
        <f>ROUND(E21*F21,0)</f>
        <v>0</v>
      </c>
      <c r="H21" s="9"/>
      <c r="I21" s="34"/>
      <c r="J21" s="34"/>
      <c r="K21" s="35"/>
      <c r="L21" s="39"/>
      <c r="M21" s="7"/>
      <c r="N21" s="7"/>
      <c r="O21" s="13"/>
      <c r="P21" s="5"/>
      <c r="Q21" s="5"/>
      <c r="R21" s="5"/>
      <c r="S21" s="5"/>
      <c r="T21" s="5"/>
      <c r="U21" s="5"/>
    </row>
    <row r="22" spans="1:21">
      <c r="A22" s="1365"/>
      <c r="B22" s="1366"/>
      <c r="C22" s="1366"/>
      <c r="D22" s="76"/>
      <c r="E22" s="82"/>
      <c r="F22" s="78"/>
      <c r="G22" s="231"/>
      <c r="H22" s="9"/>
      <c r="I22" s="10"/>
      <c r="J22" s="10"/>
      <c r="K22" s="12"/>
      <c r="L22" s="39"/>
      <c r="M22" s="7"/>
      <c r="N22" s="7"/>
      <c r="O22" s="15"/>
      <c r="P22" s="5"/>
      <c r="Q22" s="5"/>
      <c r="R22" s="5"/>
      <c r="S22" s="5"/>
      <c r="T22" s="5"/>
      <c r="U22" s="5"/>
    </row>
    <row r="23" spans="1:21">
      <c r="A23" s="1386"/>
      <c r="B23" s="1353"/>
      <c r="C23" s="1353"/>
      <c r="D23" s="79"/>
      <c r="E23" s="82"/>
      <c r="F23" s="83"/>
      <c r="G23" s="67"/>
      <c r="H23" s="9"/>
      <c r="I23" s="10"/>
      <c r="J23" s="10"/>
      <c r="K23" s="12"/>
      <c r="L23" s="39"/>
      <c r="M23" s="7"/>
      <c r="N23" s="7"/>
      <c r="O23" s="15"/>
      <c r="P23" s="5"/>
      <c r="Q23" s="5"/>
      <c r="R23" s="5"/>
      <c r="S23" s="5"/>
      <c r="T23" s="5"/>
      <c r="U23" s="5"/>
    </row>
    <row r="24" spans="1:21">
      <c r="A24" s="1352"/>
      <c r="B24" s="1353"/>
      <c r="C24" s="1353"/>
      <c r="D24" s="79"/>
      <c r="E24" s="82"/>
      <c r="F24" s="83"/>
      <c r="G24" s="231"/>
      <c r="H24" s="9"/>
      <c r="I24" s="10"/>
      <c r="J24" s="40"/>
      <c r="K24" s="12"/>
      <c r="L24" s="13"/>
      <c r="M24" s="14"/>
      <c r="N24" s="14"/>
      <c r="O24" s="15"/>
      <c r="P24" s="5"/>
      <c r="Q24" s="5"/>
      <c r="R24" s="5"/>
      <c r="S24" s="5"/>
      <c r="T24" s="5"/>
      <c r="U24" s="5"/>
    </row>
    <row r="25" spans="1:21">
      <c r="A25" s="1352"/>
      <c r="B25" s="1353"/>
      <c r="C25" s="1353"/>
      <c r="D25" s="81"/>
      <c r="E25" s="82"/>
      <c r="F25" s="83"/>
      <c r="G25" s="231"/>
      <c r="H25" s="9"/>
      <c r="I25" s="10"/>
      <c r="J25" s="11"/>
      <c r="K25" s="12"/>
      <c r="L25" s="13"/>
      <c r="M25" s="14"/>
      <c r="N25" s="14"/>
      <c r="O25" s="15"/>
      <c r="P25" s="5"/>
      <c r="Q25" s="5"/>
      <c r="R25" s="5"/>
      <c r="S25" s="5"/>
      <c r="T25" s="5"/>
      <c r="U25" s="5"/>
    </row>
    <row r="26" spans="1:21">
      <c r="A26" s="1352"/>
      <c r="B26" s="1353"/>
      <c r="C26" s="1353"/>
      <c r="D26" s="79"/>
      <c r="E26" s="82"/>
      <c r="F26" s="83"/>
      <c r="G26" s="231"/>
      <c r="H26" s="9"/>
      <c r="I26" s="10"/>
      <c r="J26" s="11"/>
      <c r="K26" s="12"/>
      <c r="L26" s="13"/>
      <c r="M26" s="14"/>
      <c r="N26" s="14"/>
      <c r="O26" s="15"/>
      <c r="P26" s="5"/>
      <c r="Q26" s="5"/>
      <c r="R26" s="5"/>
      <c r="S26" s="5"/>
      <c r="T26" s="5"/>
      <c r="U26" s="5"/>
    </row>
    <row r="27" spans="1:21">
      <c r="A27" s="1352"/>
      <c r="B27" s="1353"/>
      <c r="C27" s="1353"/>
      <c r="D27" s="79"/>
      <c r="E27" s="82"/>
      <c r="F27" s="83"/>
      <c r="G27" s="231"/>
      <c r="H27" s="9"/>
      <c r="I27" s="10"/>
      <c r="J27" s="11"/>
      <c r="K27" s="12"/>
      <c r="L27" s="13"/>
      <c r="M27" s="14"/>
      <c r="N27" s="14"/>
      <c r="O27" s="15"/>
      <c r="P27" s="5"/>
      <c r="Q27" s="5"/>
      <c r="R27" s="5"/>
      <c r="S27" s="5"/>
      <c r="T27" s="5"/>
      <c r="U27" s="5"/>
    </row>
    <row r="28" spans="1:21">
      <c r="A28" s="1352"/>
      <c r="B28" s="1353"/>
      <c r="C28" s="1353"/>
      <c r="D28" s="79"/>
      <c r="E28" s="82"/>
      <c r="F28" s="83"/>
      <c r="G28" s="231"/>
      <c r="H28" s="9"/>
      <c r="I28" s="41"/>
      <c r="J28" s="41"/>
      <c r="K28" s="12"/>
      <c r="L28" s="13"/>
      <c r="M28" s="14"/>
      <c r="N28" s="14"/>
      <c r="O28" s="15"/>
      <c r="P28" s="5"/>
      <c r="Q28" s="5"/>
      <c r="R28" s="5"/>
      <c r="S28" s="5"/>
      <c r="T28" s="5"/>
      <c r="U28" s="5"/>
    </row>
    <row r="29" spans="1:21">
      <c r="A29" s="1352"/>
      <c r="B29" s="1353"/>
      <c r="C29" s="1353"/>
      <c r="D29" s="84"/>
      <c r="E29" s="84"/>
      <c r="F29" s="83"/>
      <c r="G29" s="231"/>
      <c r="H29" s="9"/>
      <c r="I29" s="42"/>
      <c r="J29" s="42"/>
      <c r="K29" s="42"/>
      <c r="L29" s="13"/>
      <c r="M29" s="14"/>
      <c r="N29" s="14"/>
      <c r="O29" s="15"/>
      <c r="P29" s="5"/>
      <c r="Q29" s="5"/>
      <c r="R29" s="5"/>
      <c r="S29" s="5"/>
      <c r="T29" s="5"/>
      <c r="U29" s="5"/>
    </row>
    <row r="30" spans="1:21">
      <c r="A30" s="1352"/>
      <c r="B30" s="1353"/>
      <c r="C30" s="1353"/>
      <c r="D30" s="85" t="s">
        <v>28</v>
      </c>
      <c r="E30" s="50"/>
      <c r="F30" s="49"/>
      <c r="G30" s="230">
        <f>SUM(G21:G29)</f>
        <v>0</v>
      </c>
      <c r="H30" s="9"/>
      <c r="I30" s="8"/>
      <c r="J30" s="13"/>
      <c r="K30" s="8"/>
      <c r="L30" s="13"/>
      <c r="M30" s="14"/>
      <c r="N30" s="14"/>
      <c r="O30" s="15"/>
      <c r="P30" s="5"/>
    </row>
    <row r="31" spans="1:21" ht="3.75" customHeight="1">
      <c r="A31" s="226"/>
      <c r="B31" s="4"/>
      <c r="C31" s="6"/>
      <c r="D31" s="4"/>
      <c r="E31" s="4"/>
      <c r="F31" s="4"/>
      <c r="G31" s="227"/>
      <c r="H31" s="9"/>
      <c r="I31" s="8"/>
      <c r="J31" s="13"/>
      <c r="K31" s="18"/>
      <c r="L31" s="13"/>
      <c r="M31" s="33"/>
      <c r="N31" s="33"/>
      <c r="O31" s="15"/>
      <c r="P31" s="5"/>
    </row>
    <row r="32" spans="1:21" ht="22.5" customHeight="1">
      <c r="A32" s="1354" t="s">
        <v>71</v>
      </c>
      <c r="B32" s="1355"/>
      <c r="C32" s="1355"/>
      <c r="D32" s="1355"/>
      <c r="E32" s="1355"/>
      <c r="F32" s="1355"/>
      <c r="G32" s="1356"/>
      <c r="H32" s="9"/>
    </row>
    <row r="33" spans="1:16" ht="3.75" customHeight="1">
      <c r="A33" s="226"/>
      <c r="B33" s="4"/>
      <c r="C33" s="6"/>
      <c r="D33" s="4"/>
      <c r="E33" s="4"/>
      <c r="F33" s="4"/>
      <c r="G33" s="227"/>
      <c r="H33" s="9"/>
      <c r="I33" s="8"/>
      <c r="J33" s="13"/>
      <c r="K33" s="8"/>
      <c r="L33" s="8"/>
      <c r="M33" s="8"/>
      <c r="N33" s="8"/>
      <c r="O33" s="15"/>
      <c r="P33" s="5"/>
    </row>
    <row r="34" spans="1:16">
      <c r="A34" s="232" t="s">
        <v>5</v>
      </c>
      <c r="B34" s="60" t="s">
        <v>29</v>
      </c>
      <c r="C34" s="60" t="s">
        <v>30</v>
      </c>
      <c r="D34" s="60" t="s">
        <v>31</v>
      </c>
      <c r="E34" s="60" t="s">
        <v>32</v>
      </c>
      <c r="F34" s="60" t="s">
        <v>20</v>
      </c>
      <c r="G34" s="228" t="s">
        <v>33</v>
      </c>
      <c r="H34" s="27"/>
      <c r="I34" s="8"/>
      <c r="J34" s="13"/>
      <c r="K34" s="8"/>
      <c r="L34" s="8"/>
      <c r="M34" s="8"/>
      <c r="N34" s="8"/>
      <c r="O34" s="15"/>
      <c r="P34" s="5"/>
    </row>
    <row r="35" spans="1:16">
      <c r="A35" s="233" t="s">
        <v>67</v>
      </c>
      <c r="B35" s="63">
        <f>BOF</f>
        <v>51749</v>
      </c>
      <c r="C35" s="68">
        <f>ffpp</f>
        <v>0.64539999999999997</v>
      </c>
      <c r="D35" s="72">
        <v>1</v>
      </c>
      <c r="E35" s="66">
        <f>OF</f>
        <v>88696</v>
      </c>
      <c r="F35" s="72">
        <v>22</v>
      </c>
      <c r="G35" s="231">
        <f>ROUND(+D35*E35/F35,0)</f>
        <v>4032</v>
      </c>
      <c r="H35" s="9"/>
      <c r="I35" s="16"/>
      <c r="J35" s="13"/>
      <c r="K35" s="8"/>
      <c r="L35" s="8"/>
      <c r="M35" s="8"/>
      <c r="N35" s="8"/>
      <c r="O35" s="15"/>
      <c r="P35" s="5"/>
    </row>
    <row r="36" spans="1:16">
      <c r="A36" s="233" t="s">
        <v>38</v>
      </c>
      <c r="B36" s="63">
        <f>BOB</f>
        <v>41749</v>
      </c>
      <c r="C36" s="68">
        <f>ffpp</f>
        <v>0.64539999999999997</v>
      </c>
      <c r="D36" s="72">
        <v>1</v>
      </c>
      <c r="E36" s="66">
        <f>OB</f>
        <v>72242</v>
      </c>
      <c r="F36" s="72">
        <f>F35</f>
        <v>22</v>
      </c>
      <c r="G36" s="231">
        <f>ROUND(+D36*E36/F36,0)</f>
        <v>3284</v>
      </c>
      <c r="H36" s="9"/>
      <c r="I36" s="16"/>
      <c r="J36" s="13"/>
      <c r="K36" s="8"/>
      <c r="L36" s="8"/>
      <c r="M36" s="8"/>
      <c r="N36" s="8"/>
      <c r="O36" s="15"/>
      <c r="P36" s="5"/>
    </row>
    <row r="37" spans="1:16">
      <c r="A37" s="233"/>
      <c r="B37" s="63"/>
      <c r="C37" s="961"/>
      <c r="D37" s="72"/>
      <c r="E37" s="66"/>
      <c r="F37" s="69"/>
      <c r="G37" s="231"/>
      <c r="H37" s="9"/>
      <c r="I37" s="8"/>
      <c r="J37" s="8"/>
      <c r="K37" s="13"/>
      <c r="L37" s="13"/>
      <c r="M37" s="13"/>
      <c r="N37" s="13"/>
      <c r="O37" s="13"/>
      <c r="P37" s="5"/>
    </row>
    <row r="38" spans="1:16">
      <c r="A38" s="234"/>
      <c r="B38" s="50"/>
      <c r="C38" s="50"/>
      <c r="D38" s="50"/>
      <c r="E38" s="50"/>
      <c r="F38" s="50"/>
      <c r="G38" s="235"/>
      <c r="H38" s="9"/>
      <c r="I38" s="8"/>
      <c r="J38" s="13"/>
      <c r="K38" s="13"/>
      <c r="L38" s="13"/>
      <c r="M38" s="33"/>
      <c r="N38" s="33"/>
      <c r="O38" s="43"/>
      <c r="P38" s="5"/>
    </row>
    <row r="39" spans="1:16">
      <c r="A39" s="233"/>
      <c r="B39" s="65"/>
      <c r="C39" s="68"/>
      <c r="D39" s="65"/>
      <c r="E39" s="69"/>
      <c r="F39" s="69"/>
      <c r="G39" s="236"/>
      <c r="H39" s="9"/>
      <c r="I39" s="8"/>
      <c r="J39" s="13"/>
      <c r="K39" s="13"/>
      <c r="L39" s="13"/>
      <c r="M39" s="33"/>
      <c r="N39" s="33"/>
      <c r="O39" s="43"/>
      <c r="P39" s="5"/>
    </row>
    <row r="40" spans="1:16">
      <c r="A40" s="1352"/>
      <c r="B40" s="1353"/>
      <c r="C40" s="1353"/>
      <c r="D40" s="85" t="s">
        <v>34</v>
      </c>
      <c r="E40" s="50"/>
      <c r="F40" s="49"/>
      <c r="G40" s="230">
        <f>SUM(G35:G39)</f>
        <v>7316</v>
      </c>
      <c r="H40" s="9"/>
      <c r="I40" s="8"/>
      <c r="J40" s="13"/>
      <c r="K40" s="8"/>
      <c r="L40" s="13"/>
      <c r="M40" s="14"/>
      <c r="N40" s="14"/>
      <c r="O40" s="15"/>
      <c r="P40" s="5"/>
    </row>
    <row r="41" spans="1:16">
      <c r="A41" s="237"/>
      <c r="B41" s="111"/>
      <c r="C41" s="111"/>
      <c r="D41" s="112"/>
      <c r="E41" s="5"/>
      <c r="F41" s="113"/>
      <c r="G41" s="238"/>
      <c r="H41" s="9"/>
      <c r="I41" s="8"/>
      <c r="J41" s="13"/>
      <c r="K41" s="8"/>
      <c r="L41" s="13"/>
      <c r="M41" s="14"/>
      <c r="N41" s="14"/>
      <c r="O41" s="15"/>
      <c r="P41" s="5"/>
    </row>
    <row r="42" spans="1:16">
      <c r="A42" s="226"/>
      <c r="B42" s="4"/>
      <c r="C42" s="6"/>
      <c r="D42" s="4"/>
      <c r="E42" s="4"/>
      <c r="F42" s="4"/>
      <c r="G42" s="227"/>
      <c r="H42" s="9"/>
      <c r="I42" s="8"/>
      <c r="J42" s="13"/>
      <c r="K42" s="13"/>
      <c r="L42" s="13"/>
      <c r="M42" s="14"/>
      <c r="N42" s="14"/>
      <c r="O42" s="19"/>
      <c r="P42" s="5"/>
    </row>
    <row r="43" spans="1:16" ht="14.25">
      <c r="A43" s="226"/>
      <c r="B43" s="4"/>
      <c r="C43" s="6"/>
      <c r="D43" s="1357" t="s">
        <v>35</v>
      </c>
      <c r="E43" s="1358"/>
      <c r="F43" s="1359"/>
      <c r="G43" s="239">
        <f>+G40+G30+G16</f>
        <v>21318</v>
      </c>
      <c r="H43" s="9"/>
      <c r="I43" s="46"/>
      <c r="J43" s="47"/>
      <c r="K43" s="8"/>
      <c r="L43" s="8"/>
      <c r="M43" s="8"/>
      <c r="N43" s="8"/>
      <c r="O43" s="8"/>
      <c r="P43" s="5"/>
    </row>
    <row r="44" spans="1:16">
      <c r="A44" s="377"/>
      <c r="B44" s="372"/>
      <c r="C44" s="372"/>
      <c r="D44" s="100"/>
      <c r="E44" s="100"/>
      <c r="F44" s="100"/>
      <c r="G44" s="227"/>
      <c r="H44" s="206"/>
      <c r="I44" s="8"/>
      <c r="J44" s="13"/>
      <c r="K44" s="13"/>
      <c r="L44" s="13"/>
      <c r="M44" s="17"/>
      <c r="N44" s="17"/>
      <c r="O44" s="37"/>
      <c r="P44" s="5"/>
    </row>
    <row r="45" spans="1:16">
      <c r="A45" s="377"/>
      <c r="B45" s="372"/>
      <c r="C45" s="372"/>
      <c r="D45" s="100"/>
      <c r="E45" s="100"/>
      <c r="F45" s="100"/>
      <c r="G45" s="227"/>
      <c r="H45" s="9"/>
      <c r="I45" s="8"/>
      <c r="J45" s="13"/>
      <c r="K45" s="13"/>
      <c r="L45" s="13"/>
      <c r="M45" s="17"/>
      <c r="N45" s="17"/>
      <c r="O45" s="37"/>
      <c r="P45" s="5"/>
    </row>
    <row r="46" spans="1:16">
      <c r="A46" s="377"/>
      <c r="B46" s="372"/>
      <c r="C46" s="372"/>
      <c r="D46" s="100"/>
      <c r="E46" s="100"/>
      <c r="F46" s="100"/>
      <c r="G46" s="227"/>
      <c r="H46" s="9"/>
      <c r="I46" s="8"/>
      <c r="J46" s="13"/>
      <c r="K46" s="13"/>
      <c r="L46" s="13"/>
      <c r="M46" s="17"/>
      <c r="N46" s="17"/>
      <c r="O46" s="37"/>
      <c r="P46" s="5"/>
    </row>
    <row r="47" spans="1:16">
      <c r="A47" s="1384" t="s">
        <v>129</v>
      </c>
      <c r="B47" s="1385"/>
      <c r="C47" s="1385"/>
      <c r="D47" s="5"/>
      <c r="E47" s="5"/>
      <c r="F47" s="5"/>
      <c r="G47" s="241"/>
      <c r="H47" s="9"/>
      <c r="I47" s="48"/>
      <c r="J47" s="13"/>
      <c r="K47" s="8"/>
      <c r="L47" s="8"/>
      <c r="M47" s="8"/>
      <c r="N47" s="8"/>
      <c r="O47" s="8"/>
      <c r="P47" s="5"/>
    </row>
    <row r="48" spans="1:16" ht="15" thickBot="1">
      <c r="A48" s="242"/>
      <c r="B48" s="243"/>
      <c r="C48" s="244"/>
      <c r="D48" s="245"/>
      <c r="E48" s="246"/>
      <c r="F48" s="246"/>
      <c r="G48" s="247"/>
      <c r="H48" s="9"/>
      <c r="I48" s="8"/>
      <c r="J48" s="13"/>
      <c r="K48" s="8"/>
      <c r="L48" s="8"/>
      <c r="M48" s="8"/>
      <c r="N48" s="8"/>
      <c r="O48" s="8"/>
      <c r="P48" s="5"/>
    </row>
    <row r="49" spans="9:16">
      <c r="I49" s="5"/>
      <c r="J49" s="5"/>
      <c r="K49" s="5"/>
      <c r="L49" s="5"/>
      <c r="M49" s="5"/>
      <c r="N49" s="5"/>
      <c r="O49" s="5"/>
      <c r="P49" s="5"/>
    </row>
    <row r="50" spans="9:16">
      <c r="I50" s="5"/>
      <c r="J50" s="5"/>
      <c r="K50" s="5"/>
      <c r="L50" s="5"/>
      <c r="M50" s="5"/>
      <c r="N50" s="5"/>
      <c r="O50" s="5"/>
      <c r="P50" s="5"/>
    </row>
  </sheetData>
  <mergeCells count="28">
    <mergeCell ref="A10:C10"/>
    <mergeCell ref="A1:G1"/>
    <mergeCell ref="A2:G2"/>
    <mergeCell ref="A3:G4"/>
    <mergeCell ref="B6:E6"/>
    <mergeCell ref="A8:G8"/>
    <mergeCell ref="A24:C24"/>
    <mergeCell ref="A11:C11"/>
    <mergeCell ref="A12:C12"/>
    <mergeCell ref="A13:C13"/>
    <mergeCell ref="A14:C14"/>
    <mergeCell ref="A15:C15"/>
    <mergeCell ref="A16:C16"/>
    <mergeCell ref="A18:G18"/>
    <mergeCell ref="A20:C20"/>
    <mergeCell ref="A21:C21"/>
    <mergeCell ref="A22:C22"/>
    <mergeCell ref="A23:C23"/>
    <mergeCell ref="A32:G32"/>
    <mergeCell ref="A40:C40"/>
    <mergeCell ref="D43:F43"/>
    <mergeCell ref="A47:C47"/>
    <mergeCell ref="A25:C25"/>
    <mergeCell ref="A26:C26"/>
    <mergeCell ref="A27:C27"/>
    <mergeCell ref="A28:C28"/>
    <mergeCell ref="A29:C29"/>
    <mergeCell ref="A30:C30"/>
  </mergeCells>
  <printOptions horizontalCentered="1" verticalCentered="1"/>
  <pageMargins left="0.74803149606299213" right="0.74803149606299213" top="0" bottom="0.98425196850393704" header="0" footer="0"/>
  <pageSetup scale="9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7"/>
  <dimension ref="A1:U50"/>
  <sheetViews>
    <sheetView view="pageBreakPreview" topLeftCell="A7" zoomScaleNormal="100" zoomScaleSheetLayoutView="100" workbookViewId="0">
      <selection activeCell="F22" sqref="F22"/>
    </sheetView>
  </sheetViews>
  <sheetFormatPr baseColWidth="10" defaultColWidth="10.7109375" defaultRowHeight="12.75"/>
  <cols>
    <col min="1" max="1" width="15.85546875" style="3" customWidth="1"/>
    <col min="2" max="2" width="14.85546875" style="3" customWidth="1"/>
    <col min="3" max="3" width="13.28515625" style="3" customWidth="1"/>
    <col min="4" max="4" width="11.42578125" style="3"/>
    <col min="5" max="5" width="13.42578125" style="3" customWidth="1"/>
    <col min="6" max="6" width="12.7109375" style="3" customWidth="1"/>
    <col min="7" max="7" width="14" style="3" customWidth="1"/>
    <col min="8" max="256" width="11.42578125" style="3"/>
    <col min="257" max="257" width="15.85546875" style="3" customWidth="1"/>
    <col min="258" max="258" width="14.85546875" style="3" customWidth="1"/>
    <col min="259" max="259" width="13.28515625" style="3" customWidth="1"/>
    <col min="260" max="260" width="11.42578125" style="3"/>
    <col min="261" max="261" width="13.42578125" style="3" customWidth="1"/>
    <col min="262" max="262" width="12.7109375" style="3" customWidth="1"/>
    <col min="263" max="263" width="14" style="3" customWidth="1"/>
    <col min="264" max="512" width="11.42578125" style="3"/>
    <col min="513" max="513" width="15.85546875" style="3" customWidth="1"/>
    <col min="514" max="514" width="14.85546875" style="3" customWidth="1"/>
    <col min="515" max="515" width="13.28515625" style="3" customWidth="1"/>
    <col min="516" max="516" width="11.42578125" style="3"/>
    <col min="517" max="517" width="13.42578125" style="3" customWidth="1"/>
    <col min="518" max="518" width="12.7109375" style="3" customWidth="1"/>
    <col min="519" max="519" width="14" style="3" customWidth="1"/>
    <col min="520" max="768" width="11.42578125" style="3"/>
    <col min="769" max="769" width="15.85546875" style="3" customWidth="1"/>
    <col min="770" max="770" width="14.85546875" style="3" customWidth="1"/>
    <col min="771" max="771" width="13.28515625" style="3" customWidth="1"/>
    <col min="772" max="772" width="11.42578125" style="3"/>
    <col min="773" max="773" width="13.42578125" style="3" customWidth="1"/>
    <col min="774" max="774" width="12.7109375" style="3" customWidth="1"/>
    <col min="775" max="775" width="14" style="3" customWidth="1"/>
    <col min="776" max="1024" width="11.42578125" style="3"/>
    <col min="1025" max="1025" width="15.85546875" style="3" customWidth="1"/>
    <col min="1026" max="1026" width="14.85546875" style="3" customWidth="1"/>
    <col min="1027" max="1027" width="13.28515625" style="3" customWidth="1"/>
    <col min="1028" max="1028" width="11.42578125" style="3"/>
    <col min="1029" max="1029" width="13.42578125" style="3" customWidth="1"/>
    <col min="1030" max="1030" width="12.7109375" style="3" customWidth="1"/>
    <col min="1031" max="1031" width="14" style="3" customWidth="1"/>
    <col min="1032" max="1280" width="11.42578125" style="3"/>
    <col min="1281" max="1281" width="15.85546875" style="3" customWidth="1"/>
    <col min="1282" max="1282" width="14.85546875" style="3" customWidth="1"/>
    <col min="1283" max="1283" width="13.28515625" style="3" customWidth="1"/>
    <col min="1284" max="1284" width="11.42578125" style="3"/>
    <col min="1285" max="1285" width="13.42578125" style="3" customWidth="1"/>
    <col min="1286" max="1286" width="12.7109375" style="3" customWidth="1"/>
    <col min="1287" max="1287" width="14" style="3" customWidth="1"/>
    <col min="1288" max="1536" width="11.42578125" style="3"/>
    <col min="1537" max="1537" width="15.85546875" style="3" customWidth="1"/>
    <col min="1538" max="1538" width="14.85546875" style="3" customWidth="1"/>
    <col min="1539" max="1539" width="13.28515625" style="3" customWidth="1"/>
    <col min="1540" max="1540" width="11.42578125" style="3"/>
    <col min="1541" max="1541" width="13.42578125" style="3" customWidth="1"/>
    <col min="1542" max="1542" width="12.7109375" style="3" customWidth="1"/>
    <col min="1543" max="1543" width="14" style="3" customWidth="1"/>
    <col min="1544" max="1792" width="11.42578125" style="3"/>
    <col min="1793" max="1793" width="15.85546875" style="3" customWidth="1"/>
    <col min="1794" max="1794" width="14.85546875" style="3" customWidth="1"/>
    <col min="1795" max="1795" width="13.28515625" style="3" customWidth="1"/>
    <col min="1796" max="1796" width="11.42578125" style="3"/>
    <col min="1797" max="1797" width="13.42578125" style="3" customWidth="1"/>
    <col min="1798" max="1798" width="12.7109375" style="3" customWidth="1"/>
    <col min="1799" max="1799" width="14" style="3" customWidth="1"/>
    <col min="1800" max="2048" width="11.42578125" style="3"/>
    <col min="2049" max="2049" width="15.85546875" style="3" customWidth="1"/>
    <col min="2050" max="2050" width="14.85546875" style="3" customWidth="1"/>
    <col min="2051" max="2051" width="13.28515625" style="3" customWidth="1"/>
    <col min="2052" max="2052" width="11.42578125" style="3"/>
    <col min="2053" max="2053" width="13.42578125" style="3" customWidth="1"/>
    <col min="2054" max="2054" width="12.7109375" style="3" customWidth="1"/>
    <col min="2055" max="2055" width="14" style="3" customWidth="1"/>
    <col min="2056" max="2304" width="11.42578125" style="3"/>
    <col min="2305" max="2305" width="15.85546875" style="3" customWidth="1"/>
    <col min="2306" max="2306" width="14.85546875" style="3" customWidth="1"/>
    <col min="2307" max="2307" width="13.28515625" style="3" customWidth="1"/>
    <col min="2308" max="2308" width="11.42578125" style="3"/>
    <col min="2309" max="2309" width="13.42578125" style="3" customWidth="1"/>
    <col min="2310" max="2310" width="12.7109375" style="3" customWidth="1"/>
    <col min="2311" max="2311" width="14" style="3" customWidth="1"/>
    <col min="2312" max="2560" width="11.42578125" style="3"/>
    <col min="2561" max="2561" width="15.85546875" style="3" customWidth="1"/>
    <col min="2562" max="2562" width="14.85546875" style="3" customWidth="1"/>
    <col min="2563" max="2563" width="13.28515625" style="3" customWidth="1"/>
    <col min="2564" max="2564" width="11.42578125" style="3"/>
    <col min="2565" max="2565" width="13.42578125" style="3" customWidth="1"/>
    <col min="2566" max="2566" width="12.7109375" style="3" customWidth="1"/>
    <col min="2567" max="2567" width="14" style="3" customWidth="1"/>
    <col min="2568" max="2816" width="11.42578125" style="3"/>
    <col min="2817" max="2817" width="15.85546875" style="3" customWidth="1"/>
    <col min="2818" max="2818" width="14.85546875" style="3" customWidth="1"/>
    <col min="2819" max="2819" width="13.28515625" style="3" customWidth="1"/>
    <col min="2820" max="2820" width="11.42578125" style="3"/>
    <col min="2821" max="2821" width="13.42578125" style="3" customWidth="1"/>
    <col min="2822" max="2822" width="12.7109375" style="3" customWidth="1"/>
    <col min="2823" max="2823" width="14" style="3" customWidth="1"/>
    <col min="2824" max="3072" width="11.42578125" style="3"/>
    <col min="3073" max="3073" width="15.85546875" style="3" customWidth="1"/>
    <col min="3074" max="3074" width="14.85546875" style="3" customWidth="1"/>
    <col min="3075" max="3075" width="13.28515625" style="3" customWidth="1"/>
    <col min="3076" max="3076" width="11.42578125" style="3"/>
    <col min="3077" max="3077" width="13.42578125" style="3" customWidth="1"/>
    <col min="3078" max="3078" width="12.7109375" style="3" customWidth="1"/>
    <col min="3079" max="3079" width="14" style="3" customWidth="1"/>
    <col min="3080" max="3328" width="11.42578125" style="3"/>
    <col min="3329" max="3329" width="15.85546875" style="3" customWidth="1"/>
    <col min="3330" max="3330" width="14.85546875" style="3" customWidth="1"/>
    <col min="3331" max="3331" width="13.28515625" style="3" customWidth="1"/>
    <col min="3332" max="3332" width="11.42578125" style="3"/>
    <col min="3333" max="3333" width="13.42578125" style="3" customWidth="1"/>
    <col min="3334" max="3334" width="12.7109375" style="3" customWidth="1"/>
    <col min="3335" max="3335" width="14" style="3" customWidth="1"/>
    <col min="3336" max="3584" width="11.42578125" style="3"/>
    <col min="3585" max="3585" width="15.85546875" style="3" customWidth="1"/>
    <col min="3586" max="3586" width="14.85546875" style="3" customWidth="1"/>
    <col min="3587" max="3587" width="13.28515625" style="3" customWidth="1"/>
    <col min="3588" max="3588" width="11.42578125" style="3"/>
    <col min="3589" max="3589" width="13.42578125" style="3" customWidth="1"/>
    <col min="3590" max="3590" width="12.7109375" style="3" customWidth="1"/>
    <col min="3591" max="3591" width="14" style="3" customWidth="1"/>
    <col min="3592" max="3840" width="11.42578125" style="3"/>
    <col min="3841" max="3841" width="15.85546875" style="3" customWidth="1"/>
    <col min="3842" max="3842" width="14.85546875" style="3" customWidth="1"/>
    <col min="3843" max="3843" width="13.28515625" style="3" customWidth="1"/>
    <col min="3844" max="3844" width="11.42578125" style="3"/>
    <col min="3845" max="3845" width="13.42578125" style="3" customWidth="1"/>
    <col min="3846" max="3846" width="12.7109375" style="3" customWidth="1"/>
    <col min="3847" max="3847" width="14" style="3" customWidth="1"/>
    <col min="3848" max="4096" width="11.42578125" style="3"/>
    <col min="4097" max="4097" width="15.85546875" style="3" customWidth="1"/>
    <col min="4098" max="4098" width="14.85546875" style="3" customWidth="1"/>
    <col min="4099" max="4099" width="13.28515625" style="3" customWidth="1"/>
    <col min="4100" max="4100" width="11.42578125" style="3"/>
    <col min="4101" max="4101" width="13.42578125" style="3" customWidth="1"/>
    <col min="4102" max="4102" width="12.7109375" style="3" customWidth="1"/>
    <col min="4103" max="4103" width="14" style="3" customWidth="1"/>
    <col min="4104" max="4352" width="11.42578125" style="3"/>
    <col min="4353" max="4353" width="15.85546875" style="3" customWidth="1"/>
    <col min="4354" max="4354" width="14.85546875" style="3" customWidth="1"/>
    <col min="4355" max="4355" width="13.28515625" style="3" customWidth="1"/>
    <col min="4356" max="4356" width="11.42578125" style="3"/>
    <col min="4357" max="4357" width="13.42578125" style="3" customWidth="1"/>
    <col min="4358" max="4358" width="12.7109375" style="3" customWidth="1"/>
    <col min="4359" max="4359" width="14" style="3" customWidth="1"/>
    <col min="4360" max="4608" width="11.42578125" style="3"/>
    <col min="4609" max="4609" width="15.85546875" style="3" customWidth="1"/>
    <col min="4610" max="4610" width="14.85546875" style="3" customWidth="1"/>
    <col min="4611" max="4611" width="13.28515625" style="3" customWidth="1"/>
    <col min="4612" max="4612" width="11.42578125" style="3"/>
    <col min="4613" max="4613" width="13.42578125" style="3" customWidth="1"/>
    <col min="4614" max="4614" width="12.7109375" style="3" customWidth="1"/>
    <col min="4615" max="4615" width="14" style="3" customWidth="1"/>
    <col min="4616" max="4864" width="11.42578125" style="3"/>
    <col min="4865" max="4865" width="15.85546875" style="3" customWidth="1"/>
    <col min="4866" max="4866" width="14.85546875" style="3" customWidth="1"/>
    <col min="4867" max="4867" width="13.28515625" style="3" customWidth="1"/>
    <col min="4868" max="4868" width="11.42578125" style="3"/>
    <col min="4869" max="4869" width="13.42578125" style="3" customWidth="1"/>
    <col min="4870" max="4870" width="12.7109375" style="3" customWidth="1"/>
    <col min="4871" max="4871" width="14" style="3" customWidth="1"/>
    <col min="4872" max="5120" width="11.42578125" style="3"/>
    <col min="5121" max="5121" width="15.85546875" style="3" customWidth="1"/>
    <col min="5122" max="5122" width="14.85546875" style="3" customWidth="1"/>
    <col min="5123" max="5123" width="13.28515625" style="3" customWidth="1"/>
    <col min="5124" max="5124" width="11.42578125" style="3"/>
    <col min="5125" max="5125" width="13.42578125" style="3" customWidth="1"/>
    <col min="5126" max="5126" width="12.7109375" style="3" customWidth="1"/>
    <col min="5127" max="5127" width="14" style="3" customWidth="1"/>
    <col min="5128" max="5376" width="11.42578125" style="3"/>
    <col min="5377" max="5377" width="15.85546875" style="3" customWidth="1"/>
    <col min="5378" max="5378" width="14.85546875" style="3" customWidth="1"/>
    <col min="5379" max="5379" width="13.28515625" style="3" customWidth="1"/>
    <col min="5380" max="5380" width="11.42578125" style="3"/>
    <col min="5381" max="5381" width="13.42578125" style="3" customWidth="1"/>
    <col min="5382" max="5382" width="12.7109375" style="3" customWidth="1"/>
    <col min="5383" max="5383" width="14" style="3" customWidth="1"/>
    <col min="5384" max="5632" width="11.42578125" style="3"/>
    <col min="5633" max="5633" width="15.85546875" style="3" customWidth="1"/>
    <col min="5634" max="5634" width="14.85546875" style="3" customWidth="1"/>
    <col min="5635" max="5635" width="13.28515625" style="3" customWidth="1"/>
    <col min="5636" max="5636" width="11.42578125" style="3"/>
    <col min="5637" max="5637" width="13.42578125" style="3" customWidth="1"/>
    <col min="5638" max="5638" width="12.7109375" style="3" customWidth="1"/>
    <col min="5639" max="5639" width="14" style="3" customWidth="1"/>
    <col min="5640" max="5888" width="11.42578125" style="3"/>
    <col min="5889" max="5889" width="15.85546875" style="3" customWidth="1"/>
    <col min="5890" max="5890" width="14.85546875" style="3" customWidth="1"/>
    <col min="5891" max="5891" width="13.28515625" style="3" customWidth="1"/>
    <col min="5892" max="5892" width="11.42578125" style="3"/>
    <col min="5893" max="5893" width="13.42578125" style="3" customWidth="1"/>
    <col min="5894" max="5894" width="12.7109375" style="3" customWidth="1"/>
    <col min="5895" max="5895" width="14" style="3" customWidth="1"/>
    <col min="5896" max="6144" width="11.42578125" style="3"/>
    <col min="6145" max="6145" width="15.85546875" style="3" customWidth="1"/>
    <col min="6146" max="6146" width="14.85546875" style="3" customWidth="1"/>
    <col min="6147" max="6147" width="13.28515625" style="3" customWidth="1"/>
    <col min="6148" max="6148" width="11.42578125" style="3"/>
    <col min="6149" max="6149" width="13.42578125" style="3" customWidth="1"/>
    <col min="6150" max="6150" width="12.7109375" style="3" customWidth="1"/>
    <col min="6151" max="6151" width="14" style="3" customWidth="1"/>
    <col min="6152" max="6400" width="11.42578125" style="3"/>
    <col min="6401" max="6401" width="15.85546875" style="3" customWidth="1"/>
    <col min="6402" max="6402" width="14.85546875" style="3" customWidth="1"/>
    <col min="6403" max="6403" width="13.28515625" style="3" customWidth="1"/>
    <col min="6404" max="6404" width="11.42578125" style="3"/>
    <col min="6405" max="6405" width="13.42578125" style="3" customWidth="1"/>
    <col min="6406" max="6406" width="12.7109375" style="3" customWidth="1"/>
    <col min="6407" max="6407" width="14" style="3" customWidth="1"/>
    <col min="6408" max="6656" width="11.42578125" style="3"/>
    <col min="6657" max="6657" width="15.85546875" style="3" customWidth="1"/>
    <col min="6658" max="6658" width="14.85546875" style="3" customWidth="1"/>
    <col min="6659" max="6659" width="13.28515625" style="3" customWidth="1"/>
    <col min="6660" max="6660" width="11.42578125" style="3"/>
    <col min="6661" max="6661" width="13.42578125" style="3" customWidth="1"/>
    <col min="6662" max="6662" width="12.7109375" style="3" customWidth="1"/>
    <col min="6663" max="6663" width="14" style="3" customWidth="1"/>
    <col min="6664" max="6912" width="11.42578125" style="3"/>
    <col min="6913" max="6913" width="15.85546875" style="3" customWidth="1"/>
    <col min="6914" max="6914" width="14.85546875" style="3" customWidth="1"/>
    <col min="6915" max="6915" width="13.28515625" style="3" customWidth="1"/>
    <col min="6916" max="6916" width="11.42578125" style="3"/>
    <col min="6917" max="6917" width="13.42578125" style="3" customWidth="1"/>
    <col min="6918" max="6918" width="12.7109375" style="3" customWidth="1"/>
    <col min="6919" max="6919" width="14" style="3" customWidth="1"/>
    <col min="6920" max="7168" width="11.42578125" style="3"/>
    <col min="7169" max="7169" width="15.85546875" style="3" customWidth="1"/>
    <col min="7170" max="7170" width="14.85546875" style="3" customWidth="1"/>
    <col min="7171" max="7171" width="13.28515625" style="3" customWidth="1"/>
    <col min="7172" max="7172" width="11.42578125" style="3"/>
    <col min="7173" max="7173" width="13.42578125" style="3" customWidth="1"/>
    <col min="7174" max="7174" width="12.7109375" style="3" customWidth="1"/>
    <col min="7175" max="7175" width="14" style="3" customWidth="1"/>
    <col min="7176" max="7424" width="11.42578125" style="3"/>
    <col min="7425" max="7425" width="15.85546875" style="3" customWidth="1"/>
    <col min="7426" max="7426" width="14.85546875" style="3" customWidth="1"/>
    <col min="7427" max="7427" width="13.28515625" style="3" customWidth="1"/>
    <col min="7428" max="7428" width="11.42578125" style="3"/>
    <col min="7429" max="7429" width="13.42578125" style="3" customWidth="1"/>
    <col min="7430" max="7430" width="12.7109375" style="3" customWidth="1"/>
    <col min="7431" max="7431" width="14" style="3" customWidth="1"/>
    <col min="7432" max="7680" width="11.42578125" style="3"/>
    <col min="7681" max="7681" width="15.85546875" style="3" customWidth="1"/>
    <col min="7682" max="7682" width="14.85546875" style="3" customWidth="1"/>
    <col min="7683" max="7683" width="13.28515625" style="3" customWidth="1"/>
    <col min="7684" max="7684" width="11.42578125" style="3"/>
    <col min="7685" max="7685" width="13.42578125" style="3" customWidth="1"/>
    <col min="7686" max="7686" width="12.7109375" style="3" customWidth="1"/>
    <col min="7687" max="7687" width="14" style="3" customWidth="1"/>
    <col min="7688" max="7936" width="11.42578125" style="3"/>
    <col min="7937" max="7937" width="15.85546875" style="3" customWidth="1"/>
    <col min="7938" max="7938" width="14.85546875" style="3" customWidth="1"/>
    <col min="7939" max="7939" width="13.28515625" style="3" customWidth="1"/>
    <col min="7940" max="7940" width="11.42578125" style="3"/>
    <col min="7941" max="7941" width="13.42578125" style="3" customWidth="1"/>
    <col min="7942" max="7942" width="12.7109375" style="3" customWidth="1"/>
    <col min="7943" max="7943" width="14" style="3" customWidth="1"/>
    <col min="7944" max="8192" width="11.42578125" style="3"/>
    <col min="8193" max="8193" width="15.85546875" style="3" customWidth="1"/>
    <col min="8194" max="8194" width="14.85546875" style="3" customWidth="1"/>
    <col min="8195" max="8195" width="13.28515625" style="3" customWidth="1"/>
    <col min="8196" max="8196" width="11.42578125" style="3"/>
    <col min="8197" max="8197" width="13.42578125" style="3" customWidth="1"/>
    <col min="8198" max="8198" width="12.7109375" style="3" customWidth="1"/>
    <col min="8199" max="8199" width="14" style="3" customWidth="1"/>
    <col min="8200" max="8448" width="11.42578125" style="3"/>
    <col min="8449" max="8449" width="15.85546875" style="3" customWidth="1"/>
    <col min="8450" max="8450" width="14.85546875" style="3" customWidth="1"/>
    <col min="8451" max="8451" width="13.28515625" style="3" customWidth="1"/>
    <col min="8452" max="8452" width="11.42578125" style="3"/>
    <col min="8453" max="8453" width="13.42578125" style="3" customWidth="1"/>
    <col min="8454" max="8454" width="12.7109375" style="3" customWidth="1"/>
    <col min="8455" max="8455" width="14" style="3" customWidth="1"/>
    <col min="8456" max="8704" width="11.42578125" style="3"/>
    <col min="8705" max="8705" width="15.85546875" style="3" customWidth="1"/>
    <col min="8706" max="8706" width="14.85546875" style="3" customWidth="1"/>
    <col min="8707" max="8707" width="13.28515625" style="3" customWidth="1"/>
    <col min="8708" max="8708" width="11.42578125" style="3"/>
    <col min="8709" max="8709" width="13.42578125" style="3" customWidth="1"/>
    <col min="8710" max="8710" width="12.7109375" style="3" customWidth="1"/>
    <col min="8711" max="8711" width="14" style="3" customWidth="1"/>
    <col min="8712" max="8960" width="11.42578125" style="3"/>
    <col min="8961" max="8961" width="15.85546875" style="3" customWidth="1"/>
    <col min="8962" max="8962" width="14.85546875" style="3" customWidth="1"/>
    <col min="8963" max="8963" width="13.28515625" style="3" customWidth="1"/>
    <col min="8964" max="8964" width="11.42578125" style="3"/>
    <col min="8965" max="8965" width="13.42578125" style="3" customWidth="1"/>
    <col min="8966" max="8966" width="12.7109375" style="3" customWidth="1"/>
    <col min="8967" max="8967" width="14" style="3" customWidth="1"/>
    <col min="8968" max="9216" width="11.42578125" style="3"/>
    <col min="9217" max="9217" width="15.85546875" style="3" customWidth="1"/>
    <col min="9218" max="9218" width="14.85546875" style="3" customWidth="1"/>
    <col min="9219" max="9219" width="13.28515625" style="3" customWidth="1"/>
    <col min="9220" max="9220" width="11.42578125" style="3"/>
    <col min="9221" max="9221" width="13.42578125" style="3" customWidth="1"/>
    <col min="9222" max="9222" width="12.7109375" style="3" customWidth="1"/>
    <col min="9223" max="9223" width="14" style="3" customWidth="1"/>
    <col min="9224" max="9472" width="11.42578125" style="3"/>
    <col min="9473" max="9473" width="15.85546875" style="3" customWidth="1"/>
    <col min="9474" max="9474" width="14.85546875" style="3" customWidth="1"/>
    <col min="9475" max="9475" width="13.28515625" style="3" customWidth="1"/>
    <col min="9476" max="9476" width="11.42578125" style="3"/>
    <col min="9477" max="9477" width="13.42578125" style="3" customWidth="1"/>
    <col min="9478" max="9478" width="12.7109375" style="3" customWidth="1"/>
    <col min="9479" max="9479" width="14" style="3" customWidth="1"/>
    <col min="9480" max="9728" width="11.42578125" style="3"/>
    <col min="9729" max="9729" width="15.85546875" style="3" customWidth="1"/>
    <col min="9730" max="9730" width="14.85546875" style="3" customWidth="1"/>
    <col min="9731" max="9731" width="13.28515625" style="3" customWidth="1"/>
    <col min="9732" max="9732" width="11.42578125" style="3"/>
    <col min="9733" max="9733" width="13.42578125" style="3" customWidth="1"/>
    <col min="9734" max="9734" width="12.7109375" style="3" customWidth="1"/>
    <col min="9735" max="9735" width="14" style="3" customWidth="1"/>
    <col min="9736" max="9984" width="11.42578125" style="3"/>
    <col min="9985" max="9985" width="15.85546875" style="3" customWidth="1"/>
    <col min="9986" max="9986" width="14.85546875" style="3" customWidth="1"/>
    <col min="9987" max="9987" width="13.28515625" style="3" customWidth="1"/>
    <col min="9988" max="9988" width="11.42578125" style="3"/>
    <col min="9989" max="9989" width="13.42578125" style="3" customWidth="1"/>
    <col min="9990" max="9990" width="12.7109375" style="3" customWidth="1"/>
    <col min="9991" max="9991" width="14" style="3" customWidth="1"/>
    <col min="9992" max="10240" width="11.42578125" style="3"/>
    <col min="10241" max="10241" width="15.85546875" style="3" customWidth="1"/>
    <col min="10242" max="10242" width="14.85546875" style="3" customWidth="1"/>
    <col min="10243" max="10243" width="13.28515625" style="3" customWidth="1"/>
    <col min="10244" max="10244" width="11.42578125" style="3"/>
    <col min="10245" max="10245" width="13.42578125" style="3" customWidth="1"/>
    <col min="10246" max="10246" width="12.7109375" style="3" customWidth="1"/>
    <col min="10247" max="10247" width="14" style="3" customWidth="1"/>
    <col min="10248" max="10496" width="11.42578125" style="3"/>
    <col min="10497" max="10497" width="15.85546875" style="3" customWidth="1"/>
    <col min="10498" max="10498" width="14.85546875" style="3" customWidth="1"/>
    <col min="10499" max="10499" width="13.28515625" style="3" customWidth="1"/>
    <col min="10500" max="10500" width="11.42578125" style="3"/>
    <col min="10501" max="10501" width="13.42578125" style="3" customWidth="1"/>
    <col min="10502" max="10502" width="12.7109375" style="3" customWidth="1"/>
    <col min="10503" max="10503" width="14" style="3" customWidth="1"/>
    <col min="10504" max="10752" width="11.42578125" style="3"/>
    <col min="10753" max="10753" width="15.85546875" style="3" customWidth="1"/>
    <col min="10754" max="10754" width="14.85546875" style="3" customWidth="1"/>
    <col min="10755" max="10755" width="13.28515625" style="3" customWidth="1"/>
    <col min="10756" max="10756" width="11.42578125" style="3"/>
    <col min="10757" max="10757" width="13.42578125" style="3" customWidth="1"/>
    <col min="10758" max="10758" width="12.7109375" style="3" customWidth="1"/>
    <col min="10759" max="10759" width="14" style="3" customWidth="1"/>
    <col min="10760" max="11008" width="11.42578125" style="3"/>
    <col min="11009" max="11009" width="15.85546875" style="3" customWidth="1"/>
    <col min="11010" max="11010" width="14.85546875" style="3" customWidth="1"/>
    <col min="11011" max="11011" width="13.28515625" style="3" customWidth="1"/>
    <col min="11012" max="11012" width="11.42578125" style="3"/>
    <col min="11013" max="11013" width="13.42578125" style="3" customWidth="1"/>
    <col min="11014" max="11014" width="12.7109375" style="3" customWidth="1"/>
    <col min="11015" max="11015" width="14" style="3" customWidth="1"/>
    <col min="11016" max="11264" width="11.42578125" style="3"/>
    <col min="11265" max="11265" width="15.85546875" style="3" customWidth="1"/>
    <col min="11266" max="11266" width="14.85546875" style="3" customWidth="1"/>
    <col min="11267" max="11267" width="13.28515625" style="3" customWidth="1"/>
    <col min="11268" max="11268" width="11.42578125" style="3"/>
    <col min="11269" max="11269" width="13.42578125" style="3" customWidth="1"/>
    <col min="11270" max="11270" width="12.7109375" style="3" customWidth="1"/>
    <col min="11271" max="11271" width="14" style="3" customWidth="1"/>
    <col min="11272" max="11520" width="11.42578125" style="3"/>
    <col min="11521" max="11521" width="15.85546875" style="3" customWidth="1"/>
    <col min="11522" max="11522" width="14.85546875" style="3" customWidth="1"/>
    <col min="11523" max="11523" width="13.28515625" style="3" customWidth="1"/>
    <col min="11524" max="11524" width="11.42578125" style="3"/>
    <col min="11525" max="11525" width="13.42578125" style="3" customWidth="1"/>
    <col min="11526" max="11526" width="12.7109375" style="3" customWidth="1"/>
    <col min="11527" max="11527" width="14" style="3" customWidth="1"/>
    <col min="11528" max="11776" width="11.42578125" style="3"/>
    <col min="11777" max="11777" width="15.85546875" style="3" customWidth="1"/>
    <col min="11778" max="11778" width="14.85546875" style="3" customWidth="1"/>
    <col min="11779" max="11779" width="13.28515625" style="3" customWidth="1"/>
    <col min="11780" max="11780" width="11.42578125" style="3"/>
    <col min="11781" max="11781" width="13.42578125" style="3" customWidth="1"/>
    <col min="11782" max="11782" width="12.7109375" style="3" customWidth="1"/>
    <col min="11783" max="11783" width="14" style="3" customWidth="1"/>
    <col min="11784" max="12032" width="11.42578125" style="3"/>
    <col min="12033" max="12033" width="15.85546875" style="3" customWidth="1"/>
    <col min="12034" max="12034" width="14.85546875" style="3" customWidth="1"/>
    <col min="12035" max="12035" width="13.28515625" style="3" customWidth="1"/>
    <col min="12036" max="12036" width="11.42578125" style="3"/>
    <col min="12037" max="12037" width="13.42578125" style="3" customWidth="1"/>
    <col min="12038" max="12038" width="12.7109375" style="3" customWidth="1"/>
    <col min="12039" max="12039" width="14" style="3" customWidth="1"/>
    <col min="12040" max="12288" width="11.42578125" style="3"/>
    <col min="12289" max="12289" width="15.85546875" style="3" customWidth="1"/>
    <col min="12290" max="12290" width="14.85546875" style="3" customWidth="1"/>
    <col min="12291" max="12291" width="13.28515625" style="3" customWidth="1"/>
    <col min="12292" max="12292" width="11.42578125" style="3"/>
    <col min="12293" max="12293" width="13.42578125" style="3" customWidth="1"/>
    <col min="12294" max="12294" width="12.7109375" style="3" customWidth="1"/>
    <col min="12295" max="12295" width="14" style="3" customWidth="1"/>
    <col min="12296" max="12544" width="11.42578125" style="3"/>
    <col min="12545" max="12545" width="15.85546875" style="3" customWidth="1"/>
    <col min="12546" max="12546" width="14.85546875" style="3" customWidth="1"/>
    <col min="12547" max="12547" width="13.28515625" style="3" customWidth="1"/>
    <col min="12548" max="12548" width="11.42578125" style="3"/>
    <col min="12549" max="12549" width="13.42578125" style="3" customWidth="1"/>
    <col min="12550" max="12550" width="12.7109375" style="3" customWidth="1"/>
    <col min="12551" max="12551" width="14" style="3" customWidth="1"/>
    <col min="12552" max="12800" width="11.42578125" style="3"/>
    <col min="12801" max="12801" width="15.85546875" style="3" customWidth="1"/>
    <col min="12802" max="12802" width="14.85546875" style="3" customWidth="1"/>
    <col min="12803" max="12803" width="13.28515625" style="3" customWidth="1"/>
    <col min="12804" max="12804" width="11.42578125" style="3"/>
    <col min="12805" max="12805" width="13.42578125" style="3" customWidth="1"/>
    <col min="12806" max="12806" width="12.7109375" style="3" customWidth="1"/>
    <col min="12807" max="12807" width="14" style="3" customWidth="1"/>
    <col min="12808" max="13056" width="11.42578125" style="3"/>
    <col min="13057" max="13057" width="15.85546875" style="3" customWidth="1"/>
    <col min="13058" max="13058" width="14.85546875" style="3" customWidth="1"/>
    <col min="13059" max="13059" width="13.28515625" style="3" customWidth="1"/>
    <col min="13060" max="13060" width="11.42578125" style="3"/>
    <col min="13061" max="13061" width="13.42578125" style="3" customWidth="1"/>
    <col min="13062" max="13062" width="12.7109375" style="3" customWidth="1"/>
    <col min="13063" max="13063" width="14" style="3" customWidth="1"/>
    <col min="13064" max="13312" width="11.42578125" style="3"/>
    <col min="13313" max="13313" width="15.85546875" style="3" customWidth="1"/>
    <col min="13314" max="13314" width="14.85546875" style="3" customWidth="1"/>
    <col min="13315" max="13315" width="13.28515625" style="3" customWidth="1"/>
    <col min="13316" max="13316" width="11.42578125" style="3"/>
    <col min="13317" max="13317" width="13.42578125" style="3" customWidth="1"/>
    <col min="13318" max="13318" width="12.7109375" style="3" customWidth="1"/>
    <col min="13319" max="13319" width="14" style="3" customWidth="1"/>
    <col min="13320" max="13568" width="11.42578125" style="3"/>
    <col min="13569" max="13569" width="15.85546875" style="3" customWidth="1"/>
    <col min="13570" max="13570" width="14.85546875" style="3" customWidth="1"/>
    <col min="13571" max="13571" width="13.28515625" style="3" customWidth="1"/>
    <col min="13572" max="13572" width="11.42578125" style="3"/>
    <col min="13573" max="13573" width="13.42578125" style="3" customWidth="1"/>
    <col min="13574" max="13574" width="12.7109375" style="3" customWidth="1"/>
    <col min="13575" max="13575" width="14" style="3" customWidth="1"/>
    <col min="13576" max="13824" width="11.42578125" style="3"/>
    <col min="13825" max="13825" width="15.85546875" style="3" customWidth="1"/>
    <col min="13826" max="13826" width="14.85546875" style="3" customWidth="1"/>
    <col min="13827" max="13827" width="13.28515625" style="3" customWidth="1"/>
    <col min="13828" max="13828" width="11.42578125" style="3"/>
    <col min="13829" max="13829" width="13.42578125" style="3" customWidth="1"/>
    <col min="13830" max="13830" width="12.7109375" style="3" customWidth="1"/>
    <col min="13831" max="13831" width="14" style="3" customWidth="1"/>
    <col min="13832" max="14080" width="11.42578125" style="3"/>
    <col min="14081" max="14081" width="15.85546875" style="3" customWidth="1"/>
    <col min="14082" max="14082" width="14.85546875" style="3" customWidth="1"/>
    <col min="14083" max="14083" width="13.28515625" style="3" customWidth="1"/>
    <col min="14084" max="14084" width="11.42578125" style="3"/>
    <col min="14085" max="14085" width="13.42578125" style="3" customWidth="1"/>
    <col min="14086" max="14086" width="12.7109375" style="3" customWidth="1"/>
    <col min="14087" max="14087" width="14" style="3" customWidth="1"/>
    <col min="14088" max="14336" width="11.42578125" style="3"/>
    <col min="14337" max="14337" width="15.85546875" style="3" customWidth="1"/>
    <col min="14338" max="14338" width="14.85546875" style="3" customWidth="1"/>
    <col min="14339" max="14339" width="13.28515625" style="3" customWidth="1"/>
    <col min="14340" max="14340" width="11.42578125" style="3"/>
    <col min="14341" max="14341" width="13.42578125" style="3" customWidth="1"/>
    <col min="14342" max="14342" width="12.7109375" style="3" customWidth="1"/>
    <col min="14343" max="14343" width="14" style="3" customWidth="1"/>
    <col min="14344" max="14592" width="11.42578125" style="3"/>
    <col min="14593" max="14593" width="15.85546875" style="3" customWidth="1"/>
    <col min="14594" max="14594" width="14.85546875" style="3" customWidth="1"/>
    <col min="14595" max="14595" width="13.28515625" style="3" customWidth="1"/>
    <col min="14596" max="14596" width="11.42578125" style="3"/>
    <col min="14597" max="14597" width="13.42578125" style="3" customWidth="1"/>
    <col min="14598" max="14598" width="12.7109375" style="3" customWidth="1"/>
    <col min="14599" max="14599" width="14" style="3" customWidth="1"/>
    <col min="14600" max="14848" width="11.42578125" style="3"/>
    <col min="14849" max="14849" width="15.85546875" style="3" customWidth="1"/>
    <col min="14850" max="14850" width="14.85546875" style="3" customWidth="1"/>
    <col min="14851" max="14851" width="13.28515625" style="3" customWidth="1"/>
    <col min="14852" max="14852" width="11.42578125" style="3"/>
    <col min="14853" max="14853" width="13.42578125" style="3" customWidth="1"/>
    <col min="14854" max="14854" width="12.7109375" style="3" customWidth="1"/>
    <col min="14855" max="14855" width="14" style="3" customWidth="1"/>
    <col min="14856" max="15104" width="11.42578125" style="3"/>
    <col min="15105" max="15105" width="15.85546875" style="3" customWidth="1"/>
    <col min="15106" max="15106" width="14.85546875" style="3" customWidth="1"/>
    <col min="15107" max="15107" width="13.28515625" style="3" customWidth="1"/>
    <col min="15108" max="15108" width="11.42578125" style="3"/>
    <col min="15109" max="15109" width="13.42578125" style="3" customWidth="1"/>
    <col min="15110" max="15110" width="12.7109375" style="3" customWidth="1"/>
    <col min="15111" max="15111" width="14" style="3" customWidth="1"/>
    <col min="15112" max="15360" width="11.42578125" style="3"/>
    <col min="15361" max="15361" width="15.85546875" style="3" customWidth="1"/>
    <col min="15362" max="15362" width="14.85546875" style="3" customWidth="1"/>
    <col min="15363" max="15363" width="13.28515625" style="3" customWidth="1"/>
    <col min="15364" max="15364" width="11.42578125" style="3"/>
    <col min="15365" max="15365" width="13.42578125" style="3" customWidth="1"/>
    <col min="15366" max="15366" width="12.7109375" style="3" customWidth="1"/>
    <col min="15367" max="15367" width="14" style="3" customWidth="1"/>
    <col min="15368" max="15616" width="11.42578125" style="3"/>
    <col min="15617" max="15617" width="15.85546875" style="3" customWidth="1"/>
    <col min="15618" max="15618" width="14.85546875" style="3" customWidth="1"/>
    <col min="15619" max="15619" width="13.28515625" style="3" customWidth="1"/>
    <col min="15620" max="15620" width="11.42578125" style="3"/>
    <col min="15621" max="15621" width="13.42578125" style="3" customWidth="1"/>
    <col min="15622" max="15622" width="12.7109375" style="3" customWidth="1"/>
    <col min="15623" max="15623" width="14" style="3" customWidth="1"/>
    <col min="15624" max="15872" width="11.42578125" style="3"/>
    <col min="15873" max="15873" width="15.85546875" style="3" customWidth="1"/>
    <col min="15874" max="15874" width="14.85546875" style="3" customWidth="1"/>
    <col min="15875" max="15875" width="13.28515625" style="3" customWidth="1"/>
    <col min="15876" max="15876" width="11.42578125" style="3"/>
    <col min="15877" max="15877" width="13.42578125" style="3" customWidth="1"/>
    <col min="15878" max="15878" width="12.7109375" style="3" customWidth="1"/>
    <col min="15879" max="15879" width="14" style="3" customWidth="1"/>
    <col min="15880" max="16128" width="11.42578125" style="3"/>
    <col min="16129" max="16129" width="15.85546875" style="3" customWidth="1"/>
    <col min="16130" max="16130" width="14.85546875" style="3" customWidth="1"/>
    <col min="16131" max="16131" width="13.28515625" style="3" customWidth="1"/>
    <col min="16132" max="16132" width="11.42578125" style="3"/>
    <col min="16133" max="16133" width="13.42578125" style="3" customWidth="1"/>
    <col min="16134" max="16134" width="12.7109375" style="3" customWidth="1"/>
    <col min="16135" max="16135" width="14" style="3" customWidth="1"/>
    <col min="16136" max="16384" width="11.42578125" style="3"/>
  </cols>
  <sheetData>
    <row r="1" spans="1:21" ht="48" customHeight="1">
      <c r="A1" s="1346" t="str">
        <f>PPTO!D3</f>
        <v>PRESUPUESTO
MUNICIPIO EL BAGRE (ANTIOQUIA).</v>
      </c>
      <c r="B1" s="1347"/>
      <c r="C1" s="1347"/>
      <c r="D1" s="1347"/>
      <c r="E1" s="1347"/>
      <c r="F1" s="1347"/>
      <c r="G1" s="1348"/>
      <c r="H1" s="1"/>
      <c r="I1" s="2"/>
    </row>
    <row r="2" spans="1:21" ht="18" customHeight="1">
      <c r="A2" s="1362" t="s">
        <v>16</v>
      </c>
      <c r="B2" s="1363"/>
      <c r="C2" s="1363"/>
      <c r="D2" s="1363"/>
      <c r="E2" s="1363"/>
      <c r="F2" s="1363"/>
      <c r="G2" s="1364"/>
      <c r="H2" s="1"/>
      <c r="I2" s="2"/>
    </row>
    <row r="3" spans="1:21" ht="24.75" customHeight="1">
      <c r="A3" s="1367" t="str">
        <f>+PPTO!$D$5</f>
        <v>PROYECTO DE MEJORAMIENTO VIAL, ESPACIO PUBLICO Y OBRAS COMPLEMENTARIAS DE LA AVENIDA LA JUVENTUD Y TRAMOS ADYACENTES Y PRIORITARIOS DEL SECTOR URBANO EN EL MUNICIPIO EL BAGRE ANTIOQUIA.</v>
      </c>
      <c r="B3" s="1368"/>
      <c r="C3" s="1368"/>
      <c r="D3" s="1368"/>
      <c r="E3" s="1368"/>
      <c r="F3" s="1368"/>
      <c r="G3" s="1369"/>
      <c r="H3" s="1"/>
      <c r="I3" s="2"/>
    </row>
    <row r="4" spans="1:21" ht="30" customHeight="1">
      <c r="A4" s="1370"/>
      <c r="B4" s="1368"/>
      <c r="C4" s="1368"/>
      <c r="D4" s="1368"/>
      <c r="E4" s="1368"/>
      <c r="F4" s="1368"/>
      <c r="G4" s="1369"/>
      <c r="H4" s="1"/>
      <c r="I4" s="2"/>
    </row>
    <row r="5" spans="1:21" ht="6.75" customHeight="1">
      <c r="A5" s="222"/>
      <c r="B5" s="6"/>
      <c r="C5" s="24"/>
      <c r="D5" s="25"/>
      <c r="E5" s="6"/>
      <c r="F5" s="6"/>
      <c r="G5" s="223"/>
      <c r="H5" s="9"/>
    </row>
    <row r="6" spans="1:21" ht="52.5" customHeight="1">
      <c r="A6" s="368">
        <v>2.6</v>
      </c>
      <c r="B6" s="1349" t="str">
        <f>VLOOKUP(A6,PPTO!D4:I131,2,FALSE)</f>
        <v>Suministro, extendido, conformación y compactación de arena para proteccion de tuberia de Alcantarillado.</v>
      </c>
      <c r="C6" s="1350"/>
      <c r="D6" s="1350"/>
      <c r="E6" s="1351"/>
      <c r="F6" s="192" t="s">
        <v>118</v>
      </c>
      <c r="G6" s="248" t="str">
        <f>VLOOKUP(A6,PPTO!D4:I131,3,FALSE)</f>
        <v>m3</v>
      </c>
      <c r="H6" s="9"/>
    </row>
    <row r="7" spans="1:21" ht="3.75" customHeight="1">
      <c r="A7" s="226"/>
      <c r="B7" s="4"/>
      <c r="C7" s="6"/>
      <c r="D7" s="4"/>
      <c r="E7" s="4"/>
      <c r="F7" s="4"/>
      <c r="G7" s="227"/>
      <c r="H7" s="9"/>
    </row>
    <row r="8" spans="1:21" ht="22.5" customHeight="1">
      <c r="A8" s="1354" t="s">
        <v>69</v>
      </c>
      <c r="B8" s="1355"/>
      <c r="C8" s="1355"/>
      <c r="D8" s="1355"/>
      <c r="E8" s="1355"/>
      <c r="F8" s="1355"/>
      <c r="G8" s="1356"/>
      <c r="H8" s="9"/>
    </row>
    <row r="9" spans="1:21" ht="4.5" customHeight="1">
      <c r="A9" s="226"/>
      <c r="B9" s="4"/>
      <c r="C9" s="6"/>
      <c r="D9" s="4"/>
      <c r="E9" s="4"/>
      <c r="F9" s="4"/>
      <c r="G9" s="227"/>
      <c r="H9" s="9"/>
      <c r="I9" s="5"/>
      <c r="J9" s="5"/>
      <c r="K9" s="5"/>
      <c r="L9" s="26"/>
      <c r="M9" s="5"/>
      <c r="N9" s="5"/>
      <c r="O9" s="5"/>
      <c r="P9" s="5"/>
    </row>
    <row r="10" spans="1:21">
      <c r="A10" s="1373" t="s">
        <v>17</v>
      </c>
      <c r="B10" s="1374"/>
      <c r="C10" s="1374"/>
      <c r="D10" s="353" t="s">
        <v>18</v>
      </c>
      <c r="E10" s="353" t="s">
        <v>19</v>
      </c>
      <c r="F10" s="353" t="s">
        <v>20</v>
      </c>
      <c r="G10" s="228" t="s">
        <v>21</v>
      </c>
      <c r="H10" s="27"/>
      <c r="I10" s="28"/>
      <c r="J10" s="29"/>
      <c r="K10" s="30"/>
      <c r="L10" s="30"/>
      <c r="M10" s="30"/>
      <c r="N10" s="30"/>
      <c r="O10" s="30"/>
      <c r="P10" s="5"/>
    </row>
    <row r="11" spans="1:21">
      <c r="A11" s="1352" t="s">
        <v>75</v>
      </c>
      <c r="B11" s="1353"/>
      <c r="C11" s="1353"/>
      <c r="D11" s="353"/>
      <c r="E11" s="83"/>
      <c r="F11" s="97"/>
      <c r="G11" s="229">
        <f>+G40*5%</f>
        <v>389</v>
      </c>
      <c r="H11" s="9"/>
      <c r="I11" s="30"/>
      <c r="J11" s="31"/>
      <c r="K11" s="30"/>
      <c r="L11" s="30"/>
      <c r="M11" s="30"/>
      <c r="N11" s="30"/>
      <c r="O11" s="30"/>
      <c r="P11" s="5"/>
    </row>
    <row r="12" spans="1:21">
      <c r="A12" s="1371" t="s">
        <v>48</v>
      </c>
      <c r="B12" s="1372"/>
      <c r="C12" s="1372"/>
      <c r="D12" s="83" t="s">
        <v>43</v>
      </c>
      <c r="E12" s="83">
        <v>110000</v>
      </c>
      <c r="F12" s="98">
        <f>F35</f>
        <v>30</v>
      </c>
      <c r="G12" s="229">
        <f>+E12/F12+3</f>
        <v>3670</v>
      </c>
      <c r="H12" s="9"/>
      <c r="I12" s="16"/>
      <c r="J12" s="13"/>
      <c r="K12" s="8"/>
      <c r="L12" s="8"/>
      <c r="M12" s="8"/>
      <c r="N12" s="8"/>
      <c r="O12" s="8"/>
      <c r="P12" s="5"/>
    </row>
    <row r="13" spans="1:21">
      <c r="A13" s="1352"/>
      <c r="B13" s="1353"/>
      <c r="C13" s="1353"/>
      <c r="D13" s="353"/>
      <c r="E13" s="78"/>
      <c r="F13" s="98"/>
      <c r="G13" s="229"/>
      <c r="H13" s="9"/>
      <c r="I13" s="13"/>
      <c r="J13" s="13"/>
      <c r="K13" s="13"/>
      <c r="L13" s="13"/>
      <c r="M13" s="13"/>
      <c r="N13" s="13"/>
      <c r="O13" s="13"/>
      <c r="P13" s="5"/>
    </row>
    <row r="14" spans="1:21">
      <c r="A14" s="1375"/>
      <c r="B14" s="1376"/>
      <c r="C14" s="1376"/>
      <c r="D14" s="83"/>
      <c r="E14" s="83"/>
      <c r="F14" s="98"/>
      <c r="G14" s="229"/>
      <c r="H14" s="9"/>
      <c r="I14" s="8"/>
      <c r="J14" s="14"/>
      <c r="K14" s="32"/>
      <c r="L14" s="14"/>
      <c r="M14" s="15"/>
      <c r="N14" s="15"/>
      <c r="O14" s="19"/>
      <c r="P14" s="5"/>
    </row>
    <row r="15" spans="1:21">
      <c r="A15" s="1371"/>
      <c r="B15" s="1372"/>
      <c r="C15" s="1372"/>
      <c r="D15" s="83"/>
      <c r="E15" s="83"/>
      <c r="F15" s="98"/>
      <c r="G15" s="229"/>
      <c r="H15" s="9"/>
      <c r="I15" s="8"/>
      <c r="J15" s="33"/>
      <c r="K15" s="32"/>
      <c r="L15" s="14"/>
      <c r="M15" s="15"/>
      <c r="N15" s="15"/>
      <c r="O15" s="19"/>
      <c r="P15" s="5"/>
      <c r="Q15" s="5"/>
      <c r="R15" s="5"/>
      <c r="S15" s="5"/>
      <c r="T15" s="5"/>
      <c r="U15" s="5"/>
    </row>
    <row r="16" spans="1:21">
      <c r="A16" s="1371"/>
      <c r="B16" s="1372"/>
      <c r="C16" s="1372"/>
      <c r="D16" s="85" t="s">
        <v>37</v>
      </c>
      <c r="E16" s="50"/>
      <c r="F16" s="49"/>
      <c r="G16" s="230">
        <f>SUM(G11:G15)</f>
        <v>4059</v>
      </c>
      <c r="H16" s="9"/>
      <c r="I16" s="34"/>
      <c r="J16" s="34"/>
      <c r="K16" s="35"/>
      <c r="L16" s="36"/>
      <c r="M16" s="7"/>
      <c r="N16" s="7"/>
      <c r="O16" s="19"/>
      <c r="P16" s="5"/>
      <c r="Q16" s="5"/>
      <c r="R16" s="5"/>
      <c r="S16" s="5"/>
      <c r="T16" s="5"/>
      <c r="U16" s="5"/>
    </row>
    <row r="17" spans="1:21" ht="4.5" customHeight="1">
      <c r="A17" s="226"/>
      <c r="B17" s="4"/>
      <c r="C17" s="6"/>
      <c r="D17" s="4"/>
      <c r="E17" s="4"/>
      <c r="F17" s="4"/>
      <c r="G17" s="227"/>
      <c r="H17" s="9"/>
      <c r="I17" s="34"/>
      <c r="J17" s="34"/>
      <c r="K17" s="35"/>
      <c r="L17" s="36"/>
      <c r="M17" s="7"/>
      <c r="N17" s="7"/>
      <c r="O17" s="19"/>
      <c r="P17" s="5"/>
      <c r="Q17" s="5"/>
      <c r="R17" s="5"/>
      <c r="S17" s="5"/>
      <c r="T17" s="5"/>
      <c r="U17" s="5"/>
    </row>
    <row r="18" spans="1:21" ht="22.5" customHeight="1">
      <c r="A18" s="1354" t="s">
        <v>70</v>
      </c>
      <c r="B18" s="1355"/>
      <c r="C18" s="1355"/>
      <c r="D18" s="1355"/>
      <c r="E18" s="1355"/>
      <c r="F18" s="1355"/>
      <c r="G18" s="1356"/>
      <c r="H18" s="9"/>
    </row>
    <row r="19" spans="1:21" ht="4.5" customHeight="1">
      <c r="A19" s="226"/>
      <c r="B19" s="4"/>
      <c r="C19" s="6"/>
      <c r="D19" s="4"/>
      <c r="E19" s="4"/>
      <c r="F19" s="38"/>
      <c r="G19" s="227"/>
      <c r="H19" s="9"/>
      <c r="I19" s="34"/>
      <c r="J19" s="34"/>
      <c r="K19" s="35"/>
      <c r="L19" s="39"/>
      <c r="M19" s="7"/>
      <c r="N19" s="7"/>
      <c r="O19" s="8"/>
      <c r="P19" s="5"/>
      <c r="Q19" s="5"/>
      <c r="R19" s="5"/>
      <c r="S19" s="5"/>
      <c r="T19" s="5"/>
      <c r="U19" s="5"/>
    </row>
    <row r="20" spans="1:21">
      <c r="A20" s="1373" t="s">
        <v>17</v>
      </c>
      <c r="B20" s="1374"/>
      <c r="C20" s="1374"/>
      <c r="D20" s="353" t="s">
        <v>3</v>
      </c>
      <c r="E20" s="353" t="s">
        <v>4</v>
      </c>
      <c r="F20" s="353" t="s">
        <v>25</v>
      </c>
      <c r="G20" s="228" t="s">
        <v>21</v>
      </c>
      <c r="H20" s="27"/>
      <c r="I20" s="34"/>
      <c r="J20" s="34"/>
      <c r="K20" s="35"/>
      <c r="L20" s="39"/>
      <c r="M20" s="7"/>
      <c r="N20" s="7"/>
      <c r="O20" s="8"/>
      <c r="P20" s="5"/>
      <c r="Q20" s="5"/>
      <c r="R20" s="5"/>
      <c r="S20" s="5"/>
      <c r="T20" s="5"/>
      <c r="U20" s="5"/>
    </row>
    <row r="21" spans="1:21">
      <c r="A21" s="1365" t="s">
        <v>303</v>
      </c>
      <c r="B21" s="1366"/>
      <c r="C21" s="1366"/>
      <c r="D21" s="76" t="s">
        <v>44</v>
      </c>
      <c r="E21" s="82">
        <v>1.05</v>
      </c>
      <c r="F21" s="78">
        <v>50000</v>
      </c>
      <c r="G21" s="231">
        <f>ROUND(E21*F21,0)</f>
        <v>52500</v>
      </c>
      <c r="H21" s="9"/>
      <c r="I21" s="34"/>
      <c r="J21" s="34"/>
      <c r="K21" s="35"/>
      <c r="L21" s="39"/>
      <c r="M21" s="7"/>
      <c r="N21" s="7"/>
      <c r="O21" s="13"/>
      <c r="P21" s="5"/>
      <c r="Q21" s="5"/>
      <c r="R21" s="5"/>
      <c r="S21" s="5"/>
      <c r="T21" s="5"/>
      <c r="U21" s="5"/>
    </row>
    <row r="22" spans="1:21">
      <c r="A22" s="1365"/>
      <c r="B22" s="1366"/>
      <c r="C22" s="1366"/>
      <c r="D22" s="76"/>
      <c r="E22" s="82"/>
      <c r="F22" s="78"/>
      <c r="G22" s="231"/>
      <c r="H22" s="9"/>
      <c r="I22" s="10"/>
      <c r="J22" s="10"/>
      <c r="K22" s="12"/>
      <c r="L22" s="39"/>
      <c r="M22" s="7"/>
      <c r="N22" s="7"/>
      <c r="O22" s="15"/>
      <c r="P22" s="5"/>
      <c r="Q22" s="5"/>
      <c r="R22" s="5"/>
      <c r="S22" s="5"/>
      <c r="T22" s="5"/>
      <c r="U22" s="5"/>
    </row>
    <row r="23" spans="1:21">
      <c r="A23" s="1386" t="s">
        <v>131</v>
      </c>
      <c r="B23" s="1353"/>
      <c r="C23" s="1353"/>
      <c r="D23" s="79" t="s">
        <v>132</v>
      </c>
      <c r="E23" s="82">
        <v>1</v>
      </c>
      <c r="F23" s="83">
        <v>1200</v>
      </c>
      <c r="G23" s="67">
        <f>+F23*E23</f>
        <v>1200</v>
      </c>
      <c r="H23" s="9"/>
      <c r="I23" s="10"/>
      <c r="J23" s="10"/>
      <c r="K23" s="12"/>
      <c r="L23" s="39"/>
      <c r="M23" s="7"/>
      <c r="N23" s="7"/>
      <c r="O23" s="15"/>
      <c r="P23" s="5"/>
      <c r="Q23" s="5"/>
      <c r="R23" s="5"/>
      <c r="S23" s="5"/>
      <c r="T23" s="5"/>
      <c r="U23" s="5"/>
    </row>
    <row r="24" spans="1:21">
      <c r="A24" s="1352"/>
      <c r="B24" s="1353"/>
      <c r="C24" s="1353"/>
      <c r="D24" s="79"/>
      <c r="E24" s="82"/>
      <c r="F24" s="83"/>
      <c r="G24" s="231"/>
      <c r="H24" s="9"/>
      <c r="I24" s="10"/>
      <c r="J24" s="40"/>
      <c r="K24" s="12"/>
      <c r="L24" s="13"/>
      <c r="M24" s="14"/>
      <c r="N24" s="14"/>
      <c r="O24" s="15"/>
      <c r="P24" s="5"/>
      <c r="Q24" s="5"/>
      <c r="R24" s="5"/>
      <c r="S24" s="5"/>
      <c r="T24" s="5"/>
      <c r="U24" s="5"/>
    </row>
    <row r="25" spans="1:21">
      <c r="A25" s="1352"/>
      <c r="B25" s="1353"/>
      <c r="C25" s="1353"/>
      <c r="D25" s="81"/>
      <c r="E25" s="82"/>
      <c r="F25" s="83"/>
      <c r="G25" s="231"/>
      <c r="H25" s="9"/>
      <c r="I25" s="10"/>
      <c r="J25" s="11"/>
      <c r="K25" s="12"/>
      <c r="L25" s="13"/>
      <c r="M25" s="14"/>
      <c r="N25" s="14"/>
      <c r="O25" s="15"/>
      <c r="P25" s="5"/>
      <c r="Q25" s="5"/>
      <c r="R25" s="5"/>
      <c r="S25" s="5"/>
      <c r="T25" s="5"/>
      <c r="U25" s="5"/>
    </row>
    <row r="26" spans="1:21">
      <c r="A26" s="1352"/>
      <c r="B26" s="1353"/>
      <c r="C26" s="1353"/>
      <c r="D26" s="79"/>
      <c r="E26" s="82"/>
      <c r="F26" s="83"/>
      <c r="G26" s="231"/>
      <c r="H26" s="9"/>
      <c r="I26" s="10"/>
      <c r="J26" s="11"/>
      <c r="K26" s="12"/>
      <c r="L26" s="13"/>
      <c r="M26" s="14"/>
      <c r="N26" s="14"/>
      <c r="O26" s="15"/>
      <c r="P26" s="5"/>
      <c r="Q26" s="5"/>
      <c r="R26" s="5"/>
      <c r="S26" s="5"/>
      <c r="T26" s="5"/>
      <c r="U26" s="5"/>
    </row>
    <row r="27" spans="1:21">
      <c r="A27" s="1352"/>
      <c r="B27" s="1353"/>
      <c r="C27" s="1353"/>
      <c r="D27" s="79"/>
      <c r="E27" s="82"/>
      <c r="F27" s="83"/>
      <c r="G27" s="231"/>
      <c r="H27" s="9"/>
      <c r="I27" s="10"/>
      <c r="J27" s="11"/>
      <c r="K27" s="12"/>
      <c r="L27" s="13"/>
      <c r="M27" s="14"/>
      <c r="N27" s="14"/>
      <c r="O27" s="15"/>
      <c r="P27" s="5"/>
      <c r="Q27" s="5"/>
      <c r="R27" s="5"/>
      <c r="S27" s="5"/>
      <c r="T27" s="5"/>
      <c r="U27" s="5"/>
    </row>
    <row r="28" spans="1:21">
      <c r="A28" s="1352"/>
      <c r="B28" s="1353"/>
      <c r="C28" s="1353"/>
      <c r="D28" s="79"/>
      <c r="E28" s="82"/>
      <c r="F28" s="83"/>
      <c r="G28" s="231"/>
      <c r="H28" s="9"/>
      <c r="I28" s="41"/>
      <c r="J28" s="41"/>
      <c r="K28" s="12"/>
      <c r="L28" s="13"/>
      <c r="M28" s="14"/>
      <c r="N28" s="14"/>
      <c r="O28" s="15"/>
      <c r="P28" s="5"/>
      <c r="Q28" s="5"/>
      <c r="R28" s="5"/>
      <c r="S28" s="5"/>
      <c r="T28" s="5"/>
      <c r="U28" s="5"/>
    </row>
    <row r="29" spans="1:21">
      <c r="A29" s="1352"/>
      <c r="B29" s="1353"/>
      <c r="C29" s="1353"/>
      <c r="D29" s="84"/>
      <c r="E29" s="84"/>
      <c r="F29" s="83"/>
      <c r="G29" s="231"/>
      <c r="H29" s="9"/>
      <c r="I29" s="42"/>
      <c r="J29" s="42"/>
      <c r="K29" s="42"/>
      <c r="L29" s="13"/>
      <c r="M29" s="14"/>
      <c r="N29" s="14"/>
      <c r="O29" s="15"/>
      <c r="P29" s="5"/>
      <c r="Q29" s="5"/>
      <c r="R29" s="5"/>
      <c r="S29" s="5"/>
      <c r="T29" s="5"/>
      <c r="U29" s="5"/>
    </row>
    <row r="30" spans="1:21">
      <c r="A30" s="1352"/>
      <c r="B30" s="1353"/>
      <c r="C30" s="1353"/>
      <c r="D30" s="85" t="s">
        <v>28</v>
      </c>
      <c r="E30" s="50"/>
      <c r="F30" s="49"/>
      <c r="G30" s="230">
        <f>SUM(G21:G29)</f>
        <v>53700</v>
      </c>
      <c r="H30" s="9"/>
      <c r="I30" s="8"/>
      <c r="J30" s="13"/>
      <c r="K30" s="8"/>
      <c r="L30" s="13"/>
      <c r="M30" s="14"/>
      <c r="N30" s="14"/>
      <c r="O30" s="15"/>
      <c r="P30" s="5"/>
    </row>
    <row r="31" spans="1:21" ht="3.75" customHeight="1">
      <c r="A31" s="226"/>
      <c r="B31" s="4"/>
      <c r="C31" s="6"/>
      <c r="D31" s="4"/>
      <c r="E31" s="4"/>
      <c r="F31" s="4"/>
      <c r="G31" s="227"/>
      <c r="H31" s="9"/>
      <c r="I31" s="8"/>
      <c r="J31" s="13"/>
      <c r="K31" s="18"/>
      <c r="L31" s="13"/>
      <c r="M31" s="33"/>
      <c r="N31" s="33"/>
      <c r="O31" s="15"/>
      <c r="P31" s="5"/>
    </row>
    <row r="32" spans="1:21" ht="22.5" customHeight="1">
      <c r="A32" s="1354" t="s">
        <v>71</v>
      </c>
      <c r="B32" s="1355"/>
      <c r="C32" s="1355"/>
      <c r="D32" s="1355"/>
      <c r="E32" s="1355"/>
      <c r="F32" s="1355"/>
      <c r="G32" s="1356"/>
      <c r="H32" s="9"/>
    </row>
    <row r="33" spans="1:16" ht="3.75" customHeight="1">
      <c r="A33" s="226"/>
      <c r="B33" s="4"/>
      <c r="C33" s="6"/>
      <c r="D33" s="4"/>
      <c r="E33" s="4"/>
      <c r="F33" s="4"/>
      <c r="G33" s="227"/>
      <c r="H33" s="9"/>
      <c r="I33" s="8"/>
      <c r="J33" s="13"/>
      <c r="K33" s="8"/>
      <c r="L33" s="8"/>
      <c r="M33" s="8"/>
      <c r="N33" s="8"/>
      <c r="O33" s="15"/>
      <c r="P33" s="5"/>
    </row>
    <row r="34" spans="1:16">
      <c r="A34" s="232" t="s">
        <v>5</v>
      </c>
      <c r="B34" s="60" t="s">
        <v>29</v>
      </c>
      <c r="C34" s="60" t="s">
        <v>30</v>
      </c>
      <c r="D34" s="60" t="s">
        <v>31</v>
      </c>
      <c r="E34" s="60" t="s">
        <v>32</v>
      </c>
      <c r="F34" s="60" t="s">
        <v>20</v>
      </c>
      <c r="G34" s="228" t="s">
        <v>33</v>
      </c>
      <c r="H34" s="27"/>
      <c r="I34" s="8"/>
      <c r="J34" s="13"/>
      <c r="K34" s="8"/>
      <c r="L34" s="8"/>
      <c r="M34" s="8"/>
      <c r="N34" s="8"/>
      <c r="O34" s="15"/>
      <c r="P34" s="5"/>
    </row>
    <row r="35" spans="1:16">
      <c r="A35" s="233" t="s">
        <v>67</v>
      </c>
      <c r="B35" s="63">
        <f>BOF</f>
        <v>51749</v>
      </c>
      <c r="C35" s="68">
        <f>ffpp</f>
        <v>0.64539999999999997</v>
      </c>
      <c r="D35" s="72">
        <v>1</v>
      </c>
      <c r="E35" s="66">
        <f>OF</f>
        <v>88696</v>
      </c>
      <c r="F35" s="72">
        <v>30</v>
      </c>
      <c r="G35" s="231">
        <f>ROUND(+D35*E35/F35,0)</f>
        <v>2957</v>
      </c>
      <c r="H35" s="9"/>
      <c r="I35" s="16"/>
      <c r="J35" s="13"/>
      <c r="K35" s="8"/>
      <c r="L35" s="8"/>
      <c r="M35" s="8"/>
      <c r="N35" s="8"/>
      <c r="O35" s="15"/>
      <c r="P35" s="5"/>
    </row>
    <row r="36" spans="1:16">
      <c r="A36" s="233" t="s">
        <v>38</v>
      </c>
      <c r="B36" s="63">
        <f>BOB</f>
        <v>41749</v>
      </c>
      <c r="C36" s="68">
        <f>ffpp</f>
        <v>0.64539999999999997</v>
      </c>
      <c r="D36" s="72">
        <v>2</v>
      </c>
      <c r="E36" s="66">
        <f>OB</f>
        <v>72242</v>
      </c>
      <c r="F36" s="72">
        <f>F35</f>
        <v>30</v>
      </c>
      <c r="G36" s="231">
        <f>ROUND(+D36*E36/F36,0)</f>
        <v>4816</v>
      </c>
      <c r="H36" s="9"/>
      <c r="I36" s="16"/>
      <c r="J36" s="13"/>
      <c r="K36" s="8"/>
      <c r="L36" s="8"/>
      <c r="M36" s="8"/>
      <c r="N36" s="8"/>
      <c r="O36" s="15"/>
      <c r="P36" s="5"/>
    </row>
    <row r="37" spans="1:16">
      <c r="A37" s="233"/>
      <c r="B37" s="63"/>
      <c r="C37" s="961"/>
      <c r="D37" s="72"/>
      <c r="E37" s="66"/>
      <c r="F37" s="69"/>
      <c r="G37" s="231"/>
      <c r="H37" s="9"/>
      <c r="I37" s="8"/>
      <c r="J37" s="8"/>
      <c r="K37" s="13"/>
      <c r="L37" s="13"/>
      <c r="M37" s="13"/>
      <c r="N37" s="13"/>
      <c r="O37" s="13"/>
      <c r="P37" s="5"/>
    </row>
    <row r="38" spans="1:16">
      <c r="A38" s="234"/>
      <c r="B38" s="50"/>
      <c r="C38" s="50"/>
      <c r="D38" s="50"/>
      <c r="E38" s="50"/>
      <c r="F38" s="50"/>
      <c r="G38" s="235"/>
      <c r="H38" s="9"/>
      <c r="I38" s="8"/>
      <c r="J38" s="13"/>
      <c r="K38" s="13"/>
      <c r="L38" s="13"/>
      <c r="M38" s="33"/>
      <c r="N38" s="33"/>
      <c r="O38" s="43"/>
      <c r="P38" s="5"/>
    </row>
    <row r="39" spans="1:16">
      <c r="A39" s="233"/>
      <c r="B39" s="65"/>
      <c r="C39" s="68"/>
      <c r="D39" s="65"/>
      <c r="E39" s="69"/>
      <c r="F39" s="69"/>
      <c r="G39" s="236"/>
      <c r="H39" s="9"/>
      <c r="I39" s="8"/>
      <c r="J39" s="13"/>
      <c r="K39" s="13"/>
      <c r="L39" s="13"/>
      <c r="M39" s="33"/>
      <c r="N39" s="33"/>
      <c r="O39" s="43"/>
      <c r="P39" s="5"/>
    </row>
    <row r="40" spans="1:16">
      <c r="A40" s="1352"/>
      <c r="B40" s="1353"/>
      <c r="C40" s="1353"/>
      <c r="D40" s="85" t="s">
        <v>34</v>
      </c>
      <c r="E40" s="50"/>
      <c r="F40" s="49"/>
      <c r="G40" s="230">
        <f>SUM(G35:G39)</f>
        <v>7773</v>
      </c>
      <c r="H40" s="9"/>
      <c r="I40" s="8"/>
      <c r="J40" s="13"/>
      <c r="K40" s="8"/>
      <c r="L40" s="13"/>
      <c r="M40" s="14"/>
      <c r="N40" s="14"/>
      <c r="O40" s="15"/>
      <c r="P40" s="5"/>
    </row>
    <row r="41" spans="1:16">
      <c r="A41" s="237"/>
      <c r="B41" s="111"/>
      <c r="C41" s="111"/>
      <c r="D41" s="112"/>
      <c r="E41" s="5"/>
      <c r="F41" s="113"/>
      <c r="G41" s="238"/>
      <c r="H41" s="9"/>
      <c r="I41" s="8"/>
      <c r="J41" s="13"/>
      <c r="K41" s="8"/>
      <c r="L41" s="13"/>
      <c r="M41" s="14"/>
      <c r="N41" s="14"/>
      <c r="O41" s="15"/>
      <c r="P41" s="5"/>
    </row>
    <row r="42" spans="1:16">
      <c r="A42" s="226"/>
      <c r="B42" s="4"/>
      <c r="C42" s="6"/>
      <c r="D42" s="4"/>
      <c r="E42" s="4"/>
      <c r="F42" s="4"/>
      <c r="G42" s="227"/>
      <c r="H42" s="9"/>
      <c r="I42" s="8"/>
      <c r="J42" s="13"/>
      <c r="K42" s="13"/>
      <c r="L42" s="13"/>
      <c r="M42" s="14"/>
      <c r="N42" s="14"/>
      <c r="O42" s="19"/>
      <c r="P42" s="5"/>
    </row>
    <row r="43" spans="1:16" ht="14.25">
      <c r="A43" s="226"/>
      <c r="B43" s="4"/>
      <c r="C43" s="6"/>
      <c r="D43" s="1357" t="s">
        <v>35</v>
      </c>
      <c r="E43" s="1358"/>
      <c r="F43" s="1359"/>
      <c r="G43" s="239">
        <f>+G40+G30+G16</f>
        <v>65532</v>
      </c>
      <c r="H43" s="9"/>
      <c r="I43" s="46"/>
      <c r="J43" s="47"/>
      <c r="K43" s="8"/>
      <c r="L43" s="8"/>
      <c r="M43" s="8"/>
      <c r="N43" s="8"/>
      <c r="O43" s="8"/>
      <c r="P43" s="5"/>
    </row>
    <row r="44" spans="1:16">
      <c r="A44" s="377"/>
      <c r="B44" s="372"/>
      <c r="C44" s="372"/>
      <c r="D44" s="100"/>
      <c r="E44" s="100"/>
      <c r="F44" s="100"/>
      <c r="G44" s="227"/>
      <c r="H44" s="206"/>
      <c r="I44" s="8"/>
      <c r="J44" s="13"/>
      <c r="K44" s="13"/>
      <c r="L44" s="13"/>
      <c r="M44" s="17"/>
      <c r="N44" s="17"/>
      <c r="O44" s="37"/>
      <c r="P44" s="5"/>
    </row>
    <row r="45" spans="1:16">
      <c r="A45" s="377"/>
      <c r="B45" s="372"/>
      <c r="C45" s="372"/>
      <c r="D45" s="100"/>
      <c r="E45" s="100"/>
      <c r="F45" s="100"/>
      <c r="G45" s="227"/>
      <c r="H45" s="9"/>
      <c r="I45" s="8"/>
      <c r="J45" s="13"/>
      <c r="K45" s="13"/>
      <c r="L45" s="13"/>
      <c r="M45" s="17"/>
      <c r="N45" s="17"/>
      <c r="O45" s="37"/>
      <c r="P45" s="5"/>
    </row>
    <row r="46" spans="1:16">
      <c r="A46" s="377"/>
      <c r="B46" s="372"/>
      <c r="C46" s="372"/>
      <c r="D46" s="100"/>
      <c r="E46" s="100"/>
      <c r="F46" s="100"/>
      <c r="G46" s="227"/>
      <c r="H46" s="9"/>
      <c r="I46" s="8"/>
      <c r="J46" s="13"/>
      <c r="K46" s="13"/>
      <c r="L46" s="13"/>
      <c r="M46" s="17"/>
      <c r="N46" s="17"/>
      <c r="O46" s="37"/>
      <c r="P46" s="5"/>
    </row>
    <row r="47" spans="1:16">
      <c r="A47" s="1384"/>
      <c r="B47" s="1385"/>
      <c r="C47" s="1385"/>
      <c r="D47" s="5"/>
      <c r="E47" s="5"/>
      <c r="F47" s="5"/>
      <c r="G47" s="241"/>
      <c r="H47" s="9"/>
      <c r="I47" s="48"/>
      <c r="J47" s="13"/>
      <c r="K47" s="8"/>
      <c r="L47" s="8"/>
      <c r="M47" s="8"/>
      <c r="N47" s="8"/>
      <c r="O47" s="8"/>
      <c r="P47" s="5"/>
    </row>
    <row r="48" spans="1:16" ht="15" thickBot="1">
      <c r="A48" s="242"/>
      <c r="B48" s="243"/>
      <c r="C48" s="244"/>
      <c r="D48" s="245"/>
      <c r="E48" s="246"/>
      <c r="F48" s="246"/>
      <c r="G48" s="247"/>
      <c r="H48" s="9"/>
      <c r="I48" s="8"/>
      <c r="J48" s="13"/>
      <c r="K48" s="8"/>
      <c r="L48" s="8"/>
      <c r="M48" s="8"/>
      <c r="N48" s="8"/>
      <c r="O48" s="8"/>
      <c r="P48" s="5"/>
    </row>
    <row r="49" spans="9:16">
      <c r="I49" s="5"/>
      <c r="J49" s="5"/>
      <c r="K49" s="5"/>
      <c r="L49" s="5"/>
      <c r="M49" s="5"/>
      <c r="N49" s="5"/>
      <c r="O49" s="5"/>
      <c r="P49" s="5"/>
    </row>
    <row r="50" spans="9:16">
      <c r="I50" s="5"/>
      <c r="J50" s="5"/>
      <c r="K50" s="5"/>
      <c r="L50" s="5"/>
      <c r="M50" s="5"/>
      <c r="N50" s="5"/>
      <c r="O50" s="5"/>
      <c r="P50" s="5"/>
    </row>
  </sheetData>
  <mergeCells count="28">
    <mergeCell ref="A10:C10"/>
    <mergeCell ref="A1:G1"/>
    <mergeCell ref="A2:G2"/>
    <mergeCell ref="A3:G4"/>
    <mergeCell ref="B6:E6"/>
    <mergeCell ref="A8:G8"/>
    <mergeCell ref="A24:C24"/>
    <mergeCell ref="A11:C11"/>
    <mergeCell ref="A12:C12"/>
    <mergeCell ref="A13:C13"/>
    <mergeCell ref="A14:C14"/>
    <mergeCell ref="A15:C15"/>
    <mergeCell ref="A16:C16"/>
    <mergeCell ref="A18:G18"/>
    <mergeCell ref="A20:C20"/>
    <mergeCell ref="A21:C21"/>
    <mergeCell ref="A22:C22"/>
    <mergeCell ref="A23:C23"/>
    <mergeCell ref="A32:G32"/>
    <mergeCell ref="A40:C40"/>
    <mergeCell ref="D43:F43"/>
    <mergeCell ref="A47:C47"/>
    <mergeCell ref="A25:C25"/>
    <mergeCell ref="A26:C26"/>
    <mergeCell ref="A27:C27"/>
    <mergeCell ref="A28:C28"/>
    <mergeCell ref="A29:C29"/>
    <mergeCell ref="A30:C30"/>
  </mergeCells>
  <printOptions horizontalCentered="1" verticalCentered="1"/>
  <pageMargins left="0.74803149606299213" right="0.74803149606299213" top="0" bottom="0.98425196850393704" header="0" footer="0"/>
  <pageSetup scale="9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8"/>
  <dimension ref="A1:U50"/>
  <sheetViews>
    <sheetView view="pageBreakPreview" topLeftCell="A7" zoomScaleNormal="100" zoomScaleSheetLayoutView="100" workbookViewId="0">
      <selection activeCell="E13" sqref="E13"/>
    </sheetView>
  </sheetViews>
  <sheetFormatPr baseColWidth="10" defaultColWidth="10.7109375" defaultRowHeight="12.75"/>
  <cols>
    <col min="1" max="1" width="15.85546875" style="3" customWidth="1"/>
    <col min="2" max="2" width="14.85546875" style="3" customWidth="1"/>
    <col min="3" max="3" width="13.28515625" style="3" customWidth="1"/>
    <col min="4" max="4" width="11.42578125" style="3"/>
    <col min="5" max="5" width="13.42578125" style="3" customWidth="1"/>
    <col min="6" max="6" width="12.7109375" style="3" customWidth="1"/>
    <col min="7" max="7" width="14" style="3" customWidth="1"/>
    <col min="8" max="256" width="11.42578125" style="3"/>
    <col min="257" max="257" width="15.85546875" style="3" customWidth="1"/>
    <col min="258" max="258" width="14.85546875" style="3" customWidth="1"/>
    <col min="259" max="259" width="13.28515625" style="3" customWidth="1"/>
    <col min="260" max="260" width="11.42578125" style="3"/>
    <col min="261" max="261" width="13.42578125" style="3" customWidth="1"/>
    <col min="262" max="262" width="12.7109375" style="3" customWidth="1"/>
    <col min="263" max="263" width="14" style="3" customWidth="1"/>
    <col min="264" max="512" width="11.42578125" style="3"/>
    <col min="513" max="513" width="15.85546875" style="3" customWidth="1"/>
    <col min="514" max="514" width="14.85546875" style="3" customWidth="1"/>
    <col min="515" max="515" width="13.28515625" style="3" customWidth="1"/>
    <col min="516" max="516" width="11.42578125" style="3"/>
    <col min="517" max="517" width="13.42578125" style="3" customWidth="1"/>
    <col min="518" max="518" width="12.7109375" style="3" customWidth="1"/>
    <col min="519" max="519" width="14" style="3" customWidth="1"/>
    <col min="520" max="768" width="11.42578125" style="3"/>
    <col min="769" max="769" width="15.85546875" style="3" customWidth="1"/>
    <col min="770" max="770" width="14.85546875" style="3" customWidth="1"/>
    <col min="771" max="771" width="13.28515625" style="3" customWidth="1"/>
    <col min="772" max="772" width="11.42578125" style="3"/>
    <col min="773" max="773" width="13.42578125" style="3" customWidth="1"/>
    <col min="774" max="774" width="12.7109375" style="3" customWidth="1"/>
    <col min="775" max="775" width="14" style="3" customWidth="1"/>
    <col min="776" max="1024" width="11.42578125" style="3"/>
    <col min="1025" max="1025" width="15.85546875" style="3" customWidth="1"/>
    <col min="1026" max="1026" width="14.85546875" style="3" customWidth="1"/>
    <col min="1027" max="1027" width="13.28515625" style="3" customWidth="1"/>
    <col min="1028" max="1028" width="11.42578125" style="3"/>
    <col min="1029" max="1029" width="13.42578125" style="3" customWidth="1"/>
    <col min="1030" max="1030" width="12.7109375" style="3" customWidth="1"/>
    <col min="1031" max="1031" width="14" style="3" customWidth="1"/>
    <col min="1032" max="1280" width="11.42578125" style="3"/>
    <col min="1281" max="1281" width="15.85546875" style="3" customWidth="1"/>
    <col min="1282" max="1282" width="14.85546875" style="3" customWidth="1"/>
    <col min="1283" max="1283" width="13.28515625" style="3" customWidth="1"/>
    <col min="1284" max="1284" width="11.42578125" style="3"/>
    <col min="1285" max="1285" width="13.42578125" style="3" customWidth="1"/>
    <col min="1286" max="1286" width="12.7109375" style="3" customWidth="1"/>
    <col min="1287" max="1287" width="14" style="3" customWidth="1"/>
    <col min="1288" max="1536" width="11.42578125" style="3"/>
    <col min="1537" max="1537" width="15.85546875" style="3" customWidth="1"/>
    <col min="1538" max="1538" width="14.85546875" style="3" customWidth="1"/>
    <col min="1539" max="1539" width="13.28515625" style="3" customWidth="1"/>
    <col min="1540" max="1540" width="11.42578125" style="3"/>
    <col min="1541" max="1541" width="13.42578125" style="3" customWidth="1"/>
    <col min="1542" max="1542" width="12.7109375" style="3" customWidth="1"/>
    <col min="1543" max="1543" width="14" style="3" customWidth="1"/>
    <col min="1544" max="1792" width="11.42578125" style="3"/>
    <col min="1793" max="1793" width="15.85546875" style="3" customWidth="1"/>
    <col min="1794" max="1794" width="14.85546875" style="3" customWidth="1"/>
    <col min="1795" max="1795" width="13.28515625" style="3" customWidth="1"/>
    <col min="1796" max="1796" width="11.42578125" style="3"/>
    <col min="1797" max="1797" width="13.42578125" style="3" customWidth="1"/>
    <col min="1798" max="1798" width="12.7109375" style="3" customWidth="1"/>
    <col min="1799" max="1799" width="14" style="3" customWidth="1"/>
    <col min="1800" max="2048" width="11.42578125" style="3"/>
    <col min="2049" max="2049" width="15.85546875" style="3" customWidth="1"/>
    <col min="2050" max="2050" width="14.85546875" style="3" customWidth="1"/>
    <col min="2051" max="2051" width="13.28515625" style="3" customWidth="1"/>
    <col min="2052" max="2052" width="11.42578125" style="3"/>
    <col min="2053" max="2053" width="13.42578125" style="3" customWidth="1"/>
    <col min="2054" max="2054" width="12.7109375" style="3" customWidth="1"/>
    <col min="2055" max="2055" width="14" style="3" customWidth="1"/>
    <col min="2056" max="2304" width="11.42578125" style="3"/>
    <col min="2305" max="2305" width="15.85546875" style="3" customWidth="1"/>
    <col min="2306" max="2306" width="14.85546875" style="3" customWidth="1"/>
    <col min="2307" max="2307" width="13.28515625" style="3" customWidth="1"/>
    <col min="2308" max="2308" width="11.42578125" style="3"/>
    <col min="2309" max="2309" width="13.42578125" style="3" customWidth="1"/>
    <col min="2310" max="2310" width="12.7109375" style="3" customWidth="1"/>
    <col min="2311" max="2311" width="14" style="3" customWidth="1"/>
    <col min="2312" max="2560" width="11.42578125" style="3"/>
    <col min="2561" max="2561" width="15.85546875" style="3" customWidth="1"/>
    <col min="2562" max="2562" width="14.85546875" style="3" customWidth="1"/>
    <col min="2563" max="2563" width="13.28515625" style="3" customWidth="1"/>
    <col min="2564" max="2564" width="11.42578125" style="3"/>
    <col min="2565" max="2565" width="13.42578125" style="3" customWidth="1"/>
    <col min="2566" max="2566" width="12.7109375" style="3" customWidth="1"/>
    <col min="2567" max="2567" width="14" style="3" customWidth="1"/>
    <col min="2568" max="2816" width="11.42578125" style="3"/>
    <col min="2817" max="2817" width="15.85546875" style="3" customWidth="1"/>
    <col min="2818" max="2818" width="14.85546875" style="3" customWidth="1"/>
    <col min="2819" max="2819" width="13.28515625" style="3" customWidth="1"/>
    <col min="2820" max="2820" width="11.42578125" style="3"/>
    <col min="2821" max="2821" width="13.42578125" style="3" customWidth="1"/>
    <col min="2822" max="2822" width="12.7109375" style="3" customWidth="1"/>
    <col min="2823" max="2823" width="14" style="3" customWidth="1"/>
    <col min="2824" max="3072" width="11.42578125" style="3"/>
    <col min="3073" max="3073" width="15.85546875" style="3" customWidth="1"/>
    <col min="3074" max="3074" width="14.85546875" style="3" customWidth="1"/>
    <col min="3075" max="3075" width="13.28515625" style="3" customWidth="1"/>
    <col min="3076" max="3076" width="11.42578125" style="3"/>
    <col min="3077" max="3077" width="13.42578125" style="3" customWidth="1"/>
    <col min="3078" max="3078" width="12.7109375" style="3" customWidth="1"/>
    <col min="3079" max="3079" width="14" style="3" customWidth="1"/>
    <col min="3080" max="3328" width="11.42578125" style="3"/>
    <col min="3329" max="3329" width="15.85546875" style="3" customWidth="1"/>
    <col min="3330" max="3330" width="14.85546875" style="3" customWidth="1"/>
    <col min="3331" max="3331" width="13.28515625" style="3" customWidth="1"/>
    <col min="3332" max="3332" width="11.42578125" style="3"/>
    <col min="3333" max="3333" width="13.42578125" style="3" customWidth="1"/>
    <col min="3334" max="3334" width="12.7109375" style="3" customWidth="1"/>
    <col min="3335" max="3335" width="14" style="3" customWidth="1"/>
    <col min="3336" max="3584" width="11.42578125" style="3"/>
    <col min="3585" max="3585" width="15.85546875" style="3" customWidth="1"/>
    <col min="3586" max="3586" width="14.85546875" style="3" customWidth="1"/>
    <col min="3587" max="3587" width="13.28515625" style="3" customWidth="1"/>
    <col min="3588" max="3588" width="11.42578125" style="3"/>
    <col min="3589" max="3589" width="13.42578125" style="3" customWidth="1"/>
    <col min="3590" max="3590" width="12.7109375" style="3" customWidth="1"/>
    <col min="3591" max="3591" width="14" style="3" customWidth="1"/>
    <col min="3592" max="3840" width="11.42578125" style="3"/>
    <col min="3841" max="3841" width="15.85546875" style="3" customWidth="1"/>
    <col min="3842" max="3842" width="14.85546875" style="3" customWidth="1"/>
    <col min="3843" max="3843" width="13.28515625" style="3" customWidth="1"/>
    <col min="3844" max="3844" width="11.42578125" style="3"/>
    <col min="3845" max="3845" width="13.42578125" style="3" customWidth="1"/>
    <col min="3846" max="3846" width="12.7109375" style="3" customWidth="1"/>
    <col min="3847" max="3847" width="14" style="3" customWidth="1"/>
    <col min="3848" max="4096" width="11.42578125" style="3"/>
    <col min="4097" max="4097" width="15.85546875" style="3" customWidth="1"/>
    <col min="4098" max="4098" width="14.85546875" style="3" customWidth="1"/>
    <col min="4099" max="4099" width="13.28515625" style="3" customWidth="1"/>
    <col min="4100" max="4100" width="11.42578125" style="3"/>
    <col min="4101" max="4101" width="13.42578125" style="3" customWidth="1"/>
    <col min="4102" max="4102" width="12.7109375" style="3" customWidth="1"/>
    <col min="4103" max="4103" width="14" style="3" customWidth="1"/>
    <col min="4104" max="4352" width="11.42578125" style="3"/>
    <col min="4353" max="4353" width="15.85546875" style="3" customWidth="1"/>
    <col min="4354" max="4354" width="14.85546875" style="3" customWidth="1"/>
    <col min="4355" max="4355" width="13.28515625" style="3" customWidth="1"/>
    <col min="4356" max="4356" width="11.42578125" style="3"/>
    <col min="4357" max="4357" width="13.42578125" style="3" customWidth="1"/>
    <col min="4358" max="4358" width="12.7109375" style="3" customWidth="1"/>
    <col min="4359" max="4359" width="14" style="3" customWidth="1"/>
    <col min="4360" max="4608" width="11.42578125" style="3"/>
    <col min="4609" max="4609" width="15.85546875" style="3" customWidth="1"/>
    <col min="4610" max="4610" width="14.85546875" style="3" customWidth="1"/>
    <col min="4611" max="4611" width="13.28515625" style="3" customWidth="1"/>
    <col min="4612" max="4612" width="11.42578125" style="3"/>
    <col min="4613" max="4613" width="13.42578125" style="3" customWidth="1"/>
    <col min="4614" max="4614" width="12.7109375" style="3" customWidth="1"/>
    <col min="4615" max="4615" width="14" style="3" customWidth="1"/>
    <col min="4616" max="4864" width="11.42578125" style="3"/>
    <col min="4865" max="4865" width="15.85546875" style="3" customWidth="1"/>
    <col min="4866" max="4866" width="14.85546875" style="3" customWidth="1"/>
    <col min="4867" max="4867" width="13.28515625" style="3" customWidth="1"/>
    <col min="4868" max="4868" width="11.42578125" style="3"/>
    <col min="4869" max="4869" width="13.42578125" style="3" customWidth="1"/>
    <col min="4870" max="4870" width="12.7109375" style="3" customWidth="1"/>
    <col min="4871" max="4871" width="14" style="3" customWidth="1"/>
    <col min="4872" max="5120" width="11.42578125" style="3"/>
    <col min="5121" max="5121" width="15.85546875" style="3" customWidth="1"/>
    <col min="5122" max="5122" width="14.85546875" style="3" customWidth="1"/>
    <col min="5123" max="5123" width="13.28515625" style="3" customWidth="1"/>
    <col min="5124" max="5124" width="11.42578125" style="3"/>
    <col min="5125" max="5125" width="13.42578125" style="3" customWidth="1"/>
    <col min="5126" max="5126" width="12.7109375" style="3" customWidth="1"/>
    <col min="5127" max="5127" width="14" style="3" customWidth="1"/>
    <col min="5128" max="5376" width="11.42578125" style="3"/>
    <col min="5377" max="5377" width="15.85546875" style="3" customWidth="1"/>
    <col min="5378" max="5378" width="14.85546875" style="3" customWidth="1"/>
    <col min="5379" max="5379" width="13.28515625" style="3" customWidth="1"/>
    <col min="5380" max="5380" width="11.42578125" style="3"/>
    <col min="5381" max="5381" width="13.42578125" style="3" customWidth="1"/>
    <col min="5382" max="5382" width="12.7109375" style="3" customWidth="1"/>
    <col min="5383" max="5383" width="14" style="3" customWidth="1"/>
    <col min="5384" max="5632" width="11.42578125" style="3"/>
    <col min="5633" max="5633" width="15.85546875" style="3" customWidth="1"/>
    <col min="5634" max="5634" width="14.85546875" style="3" customWidth="1"/>
    <col min="5635" max="5635" width="13.28515625" style="3" customWidth="1"/>
    <col min="5636" max="5636" width="11.42578125" style="3"/>
    <col min="5637" max="5637" width="13.42578125" style="3" customWidth="1"/>
    <col min="5638" max="5638" width="12.7109375" style="3" customWidth="1"/>
    <col min="5639" max="5639" width="14" style="3" customWidth="1"/>
    <col min="5640" max="5888" width="11.42578125" style="3"/>
    <col min="5889" max="5889" width="15.85546875" style="3" customWidth="1"/>
    <col min="5890" max="5890" width="14.85546875" style="3" customWidth="1"/>
    <col min="5891" max="5891" width="13.28515625" style="3" customWidth="1"/>
    <col min="5892" max="5892" width="11.42578125" style="3"/>
    <col min="5893" max="5893" width="13.42578125" style="3" customWidth="1"/>
    <col min="5894" max="5894" width="12.7109375" style="3" customWidth="1"/>
    <col min="5895" max="5895" width="14" style="3" customWidth="1"/>
    <col min="5896" max="6144" width="11.42578125" style="3"/>
    <col min="6145" max="6145" width="15.85546875" style="3" customWidth="1"/>
    <col min="6146" max="6146" width="14.85546875" style="3" customWidth="1"/>
    <col min="6147" max="6147" width="13.28515625" style="3" customWidth="1"/>
    <col min="6148" max="6148" width="11.42578125" style="3"/>
    <col min="6149" max="6149" width="13.42578125" style="3" customWidth="1"/>
    <col min="6150" max="6150" width="12.7109375" style="3" customWidth="1"/>
    <col min="6151" max="6151" width="14" style="3" customWidth="1"/>
    <col min="6152" max="6400" width="11.42578125" style="3"/>
    <col min="6401" max="6401" width="15.85546875" style="3" customWidth="1"/>
    <col min="6402" max="6402" width="14.85546875" style="3" customWidth="1"/>
    <col min="6403" max="6403" width="13.28515625" style="3" customWidth="1"/>
    <col min="6404" max="6404" width="11.42578125" style="3"/>
    <col min="6405" max="6405" width="13.42578125" style="3" customWidth="1"/>
    <col min="6406" max="6406" width="12.7109375" style="3" customWidth="1"/>
    <col min="6407" max="6407" width="14" style="3" customWidth="1"/>
    <col min="6408" max="6656" width="11.42578125" style="3"/>
    <col min="6657" max="6657" width="15.85546875" style="3" customWidth="1"/>
    <col min="6658" max="6658" width="14.85546875" style="3" customWidth="1"/>
    <col min="6659" max="6659" width="13.28515625" style="3" customWidth="1"/>
    <col min="6660" max="6660" width="11.42578125" style="3"/>
    <col min="6661" max="6661" width="13.42578125" style="3" customWidth="1"/>
    <col min="6662" max="6662" width="12.7109375" style="3" customWidth="1"/>
    <col min="6663" max="6663" width="14" style="3" customWidth="1"/>
    <col min="6664" max="6912" width="11.42578125" style="3"/>
    <col min="6913" max="6913" width="15.85546875" style="3" customWidth="1"/>
    <col min="6914" max="6914" width="14.85546875" style="3" customWidth="1"/>
    <col min="6915" max="6915" width="13.28515625" style="3" customWidth="1"/>
    <col min="6916" max="6916" width="11.42578125" style="3"/>
    <col min="6917" max="6917" width="13.42578125" style="3" customWidth="1"/>
    <col min="6918" max="6918" width="12.7109375" style="3" customWidth="1"/>
    <col min="6919" max="6919" width="14" style="3" customWidth="1"/>
    <col min="6920" max="7168" width="11.42578125" style="3"/>
    <col min="7169" max="7169" width="15.85546875" style="3" customWidth="1"/>
    <col min="7170" max="7170" width="14.85546875" style="3" customWidth="1"/>
    <col min="7171" max="7171" width="13.28515625" style="3" customWidth="1"/>
    <col min="7172" max="7172" width="11.42578125" style="3"/>
    <col min="7173" max="7173" width="13.42578125" style="3" customWidth="1"/>
    <col min="7174" max="7174" width="12.7109375" style="3" customWidth="1"/>
    <col min="7175" max="7175" width="14" style="3" customWidth="1"/>
    <col min="7176" max="7424" width="11.42578125" style="3"/>
    <col min="7425" max="7425" width="15.85546875" style="3" customWidth="1"/>
    <col min="7426" max="7426" width="14.85546875" style="3" customWidth="1"/>
    <col min="7427" max="7427" width="13.28515625" style="3" customWidth="1"/>
    <col min="7428" max="7428" width="11.42578125" style="3"/>
    <col min="7429" max="7429" width="13.42578125" style="3" customWidth="1"/>
    <col min="7430" max="7430" width="12.7109375" style="3" customWidth="1"/>
    <col min="7431" max="7431" width="14" style="3" customWidth="1"/>
    <col min="7432" max="7680" width="11.42578125" style="3"/>
    <col min="7681" max="7681" width="15.85546875" style="3" customWidth="1"/>
    <col min="7682" max="7682" width="14.85546875" style="3" customWidth="1"/>
    <col min="7683" max="7683" width="13.28515625" style="3" customWidth="1"/>
    <col min="7684" max="7684" width="11.42578125" style="3"/>
    <col min="7685" max="7685" width="13.42578125" style="3" customWidth="1"/>
    <col min="7686" max="7686" width="12.7109375" style="3" customWidth="1"/>
    <col min="7687" max="7687" width="14" style="3" customWidth="1"/>
    <col min="7688" max="7936" width="11.42578125" style="3"/>
    <col min="7937" max="7937" width="15.85546875" style="3" customWidth="1"/>
    <col min="7938" max="7938" width="14.85546875" style="3" customWidth="1"/>
    <col min="7939" max="7939" width="13.28515625" style="3" customWidth="1"/>
    <col min="7940" max="7940" width="11.42578125" style="3"/>
    <col min="7941" max="7941" width="13.42578125" style="3" customWidth="1"/>
    <col min="7942" max="7942" width="12.7109375" style="3" customWidth="1"/>
    <col min="7943" max="7943" width="14" style="3" customWidth="1"/>
    <col min="7944" max="8192" width="11.42578125" style="3"/>
    <col min="8193" max="8193" width="15.85546875" style="3" customWidth="1"/>
    <col min="8194" max="8194" width="14.85546875" style="3" customWidth="1"/>
    <col min="8195" max="8195" width="13.28515625" style="3" customWidth="1"/>
    <col min="8196" max="8196" width="11.42578125" style="3"/>
    <col min="8197" max="8197" width="13.42578125" style="3" customWidth="1"/>
    <col min="8198" max="8198" width="12.7109375" style="3" customWidth="1"/>
    <col min="8199" max="8199" width="14" style="3" customWidth="1"/>
    <col min="8200" max="8448" width="11.42578125" style="3"/>
    <col min="8449" max="8449" width="15.85546875" style="3" customWidth="1"/>
    <col min="8450" max="8450" width="14.85546875" style="3" customWidth="1"/>
    <col min="8451" max="8451" width="13.28515625" style="3" customWidth="1"/>
    <col min="8452" max="8452" width="11.42578125" style="3"/>
    <col min="8453" max="8453" width="13.42578125" style="3" customWidth="1"/>
    <col min="8454" max="8454" width="12.7109375" style="3" customWidth="1"/>
    <col min="8455" max="8455" width="14" style="3" customWidth="1"/>
    <col min="8456" max="8704" width="11.42578125" style="3"/>
    <col min="8705" max="8705" width="15.85546875" style="3" customWidth="1"/>
    <col min="8706" max="8706" width="14.85546875" style="3" customWidth="1"/>
    <col min="8707" max="8707" width="13.28515625" style="3" customWidth="1"/>
    <col min="8708" max="8708" width="11.42578125" style="3"/>
    <col min="8709" max="8709" width="13.42578125" style="3" customWidth="1"/>
    <col min="8710" max="8710" width="12.7109375" style="3" customWidth="1"/>
    <col min="8711" max="8711" width="14" style="3" customWidth="1"/>
    <col min="8712" max="8960" width="11.42578125" style="3"/>
    <col min="8961" max="8961" width="15.85546875" style="3" customWidth="1"/>
    <col min="8962" max="8962" width="14.85546875" style="3" customWidth="1"/>
    <col min="8963" max="8963" width="13.28515625" style="3" customWidth="1"/>
    <col min="8964" max="8964" width="11.42578125" style="3"/>
    <col min="8965" max="8965" width="13.42578125" style="3" customWidth="1"/>
    <col min="8966" max="8966" width="12.7109375" style="3" customWidth="1"/>
    <col min="8967" max="8967" width="14" style="3" customWidth="1"/>
    <col min="8968" max="9216" width="11.42578125" style="3"/>
    <col min="9217" max="9217" width="15.85546875" style="3" customWidth="1"/>
    <col min="9218" max="9218" width="14.85546875" style="3" customWidth="1"/>
    <col min="9219" max="9219" width="13.28515625" style="3" customWidth="1"/>
    <col min="9220" max="9220" width="11.42578125" style="3"/>
    <col min="9221" max="9221" width="13.42578125" style="3" customWidth="1"/>
    <col min="9222" max="9222" width="12.7109375" style="3" customWidth="1"/>
    <col min="9223" max="9223" width="14" style="3" customWidth="1"/>
    <col min="9224" max="9472" width="11.42578125" style="3"/>
    <col min="9473" max="9473" width="15.85546875" style="3" customWidth="1"/>
    <col min="9474" max="9474" width="14.85546875" style="3" customWidth="1"/>
    <col min="9475" max="9475" width="13.28515625" style="3" customWidth="1"/>
    <col min="9476" max="9476" width="11.42578125" style="3"/>
    <col min="9477" max="9477" width="13.42578125" style="3" customWidth="1"/>
    <col min="9478" max="9478" width="12.7109375" style="3" customWidth="1"/>
    <col min="9479" max="9479" width="14" style="3" customWidth="1"/>
    <col min="9480" max="9728" width="11.42578125" style="3"/>
    <col min="9729" max="9729" width="15.85546875" style="3" customWidth="1"/>
    <col min="9730" max="9730" width="14.85546875" style="3" customWidth="1"/>
    <col min="9731" max="9731" width="13.28515625" style="3" customWidth="1"/>
    <col min="9732" max="9732" width="11.42578125" style="3"/>
    <col min="9733" max="9733" width="13.42578125" style="3" customWidth="1"/>
    <col min="9734" max="9734" width="12.7109375" style="3" customWidth="1"/>
    <col min="9735" max="9735" width="14" style="3" customWidth="1"/>
    <col min="9736" max="9984" width="11.42578125" style="3"/>
    <col min="9985" max="9985" width="15.85546875" style="3" customWidth="1"/>
    <col min="9986" max="9986" width="14.85546875" style="3" customWidth="1"/>
    <col min="9987" max="9987" width="13.28515625" style="3" customWidth="1"/>
    <col min="9988" max="9988" width="11.42578125" style="3"/>
    <col min="9989" max="9989" width="13.42578125" style="3" customWidth="1"/>
    <col min="9990" max="9990" width="12.7109375" style="3" customWidth="1"/>
    <col min="9991" max="9991" width="14" style="3" customWidth="1"/>
    <col min="9992" max="10240" width="11.42578125" style="3"/>
    <col min="10241" max="10241" width="15.85546875" style="3" customWidth="1"/>
    <col min="10242" max="10242" width="14.85546875" style="3" customWidth="1"/>
    <col min="10243" max="10243" width="13.28515625" style="3" customWidth="1"/>
    <col min="10244" max="10244" width="11.42578125" style="3"/>
    <col min="10245" max="10245" width="13.42578125" style="3" customWidth="1"/>
    <col min="10246" max="10246" width="12.7109375" style="3" customWidth="1"/>
    <col min="10247" max="10247" width="14" style="3" customWidth="1"/>
    <col min="10248" max="10496" width="11.42578125" style="3"/>
    <col min="10497" max="10497" width="15.85546875" style="3" customWidth="1"/>
    <col min="10498" max="10498" width="14.85546875" style="3" customWidth="1"/>
    <col min="10499" max="10499" width="13.28515625" style="3" customWidth="1"/>
    <col min="10500" max="10500" width="11.42578125" style="3"/>
    <col min="10501" max="10501" width="13.42578125" style="3" customWidth="1"/>
    <col min="10502" max="10502" width="12.7109375" style="3" customWidth="1"/>
    <col min="10503" max="10503" width="14" style="3" customWidth="1"/>
    <col min="10504" max="10752" width="11.42578125" style="3"/>
    <col min="10753" max="10753" width="15.85546875" style="3" customWidth="1"/>
    <col min="10754" max="10754" width="14.85546875" style="3" customWidth="1"/>
    <col min="10755" max="10755" width="13.28515625" style="3" customWidth="1"/>
    <col min="10756" max="10756" width="11.42578125" style="3"/>
    <col min="10757" max="10757" width="13.42578125" style="3" customWidth="1"/>
    <col min="10758" max="10758" width="12.7109375" style="3" customWidth="1"/>
    <col min="10759" max="10759" width="14" style="3" customWidth="1"/>
    <col min="10760" max="11008" width="11.42578125" style="3"/>
    <col min="11009" max="11009" width="15.85546875" style="3" customWidth="1"/>
    <col min="11010" max="11010" width="14.85546875" style="3" customWidth="1"/>
    <col min="11011" max="11011" width="13.28515625" style="3" customWidth="1"/>
    <col min="11012" max="11012" width="11.42578125" style="3"/>
    <col min="11013" max="11013" width="13.42578125" style="3" customWidth="1"/>
    <col min="11014" max="11014" width="12.7109375" style="3" customWidth="1"/>
    <col min="11015" max="11015" width="14" style="3" customWidth="1"/>
    <col min="11016" max="11264" width="11.42578125" style="3"/>
    <col min="11265" max="11265" width="15.85546875" style="3" customWidth="1"/>
    <col min="11266" max="11266" width="14.85546875" style="3" customWidth="1"/>
    <col min="11267" max="11267" width="13.28515625" style="3" customWidth="1"/>
    <col min="11268" max="11268" width="11.42578125" style="3"/>
    <col min="11269" max="11269" width="13.42578125" style="3" customWidth="1"/>
    <col min="11270" max="11270" width="12.7109375" style="3" customWidth="1"/>
    <col min="11271" max="11271" width="14" style="3" customWidth="1"/>
    <col min="11272" max="11520" width="11.42578125" style="3"/>
    <col min="11521" max="11521" width="15.85546875" style="3" customWidth="1"/>
    <col min="11522" max="11522" width="14.85546875" style="3" customWidth="1"/>
    <col min="11523" max="11523" width="13.28515625" style="3" customWidth="1"/>
    <col min="11524" max="11524" width="11.42578125" style="3"/>
    <col min="11525" max="11525" width="13.42578125" style="3" customWidth="1"/>
    <col min="11526" max="11526" width="12.7109375" style="3" customWidth="1"/>
    <col min="11527" max="11527" width="14" style="3" customWidth="1"/>
    <col min="11528" max="11776" width="11.42578125" style="3"/>
    <col min="11777" max="11777" width="15.85546875" style="3" customWidth="1"/>
    <col min="11778" max="11778" width="14.85546875" style="3" customWidth="1"/>
    <col min="11779" max="11779" width="13.28515625" style="3" customWidth="1"/>
    <col min="11780" max="11780" width="11.42578125" style="3"/>
    <col min="11781" max="11781" width="13.42578125" style="3" customWidth="1"/>
    <col min="11782" max="11782" width="12.7109375" style="3" customWidth="1"/>
    <col min="11783" max="11783" width="14" style="3" customWidth="1"/>
    <col min="11784" max="12032" width="11.42578125" style="3"/>
    <col min="12033" max="12033" width="15.85546875" style="3" customWidth="1"/>
    <col min="12034" max="12034" width="14.85546875" style="3" customWidth="1"/>
    <col min="12035" max="12035" width="13.28515625" style="3" customWidth="1"/>
    <col min="12036" max="12036" width="11.42578125" style="3"/>
    <col min="12037" max="12037" width="13.42578125" style="3" customWidth="1"/>
    <col min="12038" max="12038" width="12.7109375" style="3" customWidth="1"/>
    <col min="12039" max="12039" width="14" style="3" customWidth="1"/>
    <col min="12040" max="12288" width="11.42578125" style="3"/>
    <col min="12289" max="12289" width="15.85546875" style="3" customWidth="1"/>
    <col min="12290" max="12290" width="14.85546875" style="3" customWidth="1"/>
    <col min="12291" max="12291" width="13.28515625" style="3" customWidth="1"/>
    <col min="12292" max="12292" width="11.42578125" style="3"/>
    <col min="12293" max="12293" width="13.42578125" style="3" customWidth="1"/>
    <col min="12294" max="12294" width="12.7109375" style="3" customWidth="1"/>
    <col min="12295" max="12295" width="14" style="3" customWidth="1"/>
    <col min="12296" max="12544" width="11.42578125" style="3"/>
    <col min="12545" max="12545" width="15.85546875" style="3" customWidth="1"/>
    <col min="12546" max="12546" width="14.85546875" style="3" customWidth="1"/>
    <col min="12547" max="12547" width="13.28515625" style="3" customWidth="1"/>
    <col min="12548" max="12548" width="11.42578125" style="3"/>
    <col min="12549" max="12549" width="13.42578125" style="3" customWidth="1"/>
    <col min="12550" max="12550" width="12.7109375" style="3" customWidth="1"/>
    <col min="12551" max="12551" width="14" style="3" customWidth="1"/>
    <col min="12552" max="12800" width="11.42578125" style="3"/>
    <col min="12801" max="12801" width="15.85546875" style="3" customWidth="1"/>
    <col min="12802" max="12802" width="14.85546875" style="3" customWidth="1"/>
    <col min="12803" max="12803" width="13.28515625" style="3" customWidth="1"/>
    <col min="12804" max="12804" width="11.42578125" style="3"/>
    <col min="12805" max="12805" width="13.42578125" style="3" customWidth="1"/>
    <col min="12806" max="12806" width="12.7109375" style="3" customWidth="1"/>
    <col min="12807" max="12807" width="14" style="3" customWidth="1"/>
    <col min="12808" max="13056" width="11.42578125" style="3"/>
    <col min="13057" max="13057" width="15.85546875" style="3" customWidth="1"/>
    <col min="13058" max="13058" width="14.85546875" style="3" customWidth="1"/>
    <col min="13059" max="13059" width="13.28515625" style="3" customWidth="1"/>
    <col min="13060" max="13060" width="11.42578125" style="3"/>
    <col min="13061" max="13061" width="13.42578125" style="3" customWidth="1"/>
    <col min="13062" max="13062" width="12.7109375" style="3" customWidth="1"/>
    <col min="13063" max="13063" width="14" style="3" customWidth="1"/>
    <col min="13064" max="13312" width="11.42578125" style="3"/>
    <col min="13313" max="13313" width="15.85546875" style="3" customWidth="1"/>
    <col min="13314" max="13314" width="14.85546875" style="3" customWidth="1"/>
    <col min="13315" max="13315" width="13.28515625" style="3" customWidth="1"/>
    <col min="13316" max="13316" width="11.42578125" style="3"/>
    <col min="13317" max="13317" width="13.42578125" style="3" customWidth="1"/>
    <col min="13318" max="13318" width="12.7109375" style="3" customWidth="1"/>
    <col min="13319" max="13319" width="14" style="3" customWidth="1"/>
    <col min="13320" max="13568" width="11.42578125" style="3"/>
    <col min="13569" max="13569" width="15.85546875" style="3" customWidth="1"/>
    <col min="13570" max="13570" width="14.85546875" style="3" customWidth="1"/>
    <col min="13571" max="13571" width="13.28515625" style="3" customWidth="1"/>
    <col min="13572" max="13572" width="11.42578125" style="3"/>
    <col min="13573" max="13573" width="13.42578125" style="3" customWidth="1"/>
    <col min="13574" max="13574" width="12.7109375" style="3" customWidth="1"/>
    <col min="13575" max="13575" width="14" style="3" customWidth="1"/>
    <col min="13576" max="13824" width="11.42578125" style="3"/>
    <col min="13825" max="13825" width="15.85546875" style="3" customWidth="1"/>
    <col min="13826" max="13826" width="14.85546875" style="3" customWidth="1"/>
    <col min="13827" max="13827" width="13.28515625" style="3" customWidth="1"/>
    <col min="13828" max="13828" width="11.42578125" style="3"/>
    <col min="13829" max="13829" width="13.42578125" style="3" customWidth="1"/>
    <col min="13830" max="13830" width="12.7109375" style="3" customWidth="1"/>
    <col min="13831" max="13831" width="14" style="3" customWidth="1"/>
    <col min="13832" max="14080" width="11.42578125" style="3"/>
    <col min="14081" max="14081" width="15.85546875" style="3" customWidth="1"/>
    <col min="14082" max="14082" width="14.85546875" style="3" customWidth="1"/>
    <col min="14083" max="14083" width="13.28515625" style="3" customWidth="1"/>
    <col min="14084" max="14084" width="11.42578125" style="3"/>
    <col min="14085" max="14085" width="13.42578125" style="3" customWidth="1"/>
    <col min="14086" max="14086" width="12.7109375" style="3" customWidth="1"/>
    <col min="14087" max="14087" width="14" style="3" customWidth="1"/>
    <col min="14088" max="14336" width="11.42578125" style="3"/>
    <col min="14337" max="14337" width="15.85546875" style="3" customWidth="1"/>
    <col min="14338" max="14338" width="14.85546875" style="3" customWidth="1"/>
    <col min="14339" max="14339" width="13.28515625" style="3" customWidth="1"/>
    <col min="14340" max="14340" width="11.42578125" style="3"/>
    <col min="14341" max="14341" width="13.42578125" style="3" customWidth="1"/>
    <col min="14342" max="14342" width="12.7109375" style="3" customWidth="1"/>
    <col min="14343" max="14343" width="14" style="3" customWidth="1"/>
    <col min="14344" max="14592" width="11.42578125" style="3"/>
    <col min="14593" max="14593" width="15.85546875" style="3" customWidth="1"/>
    <col min="14594" max="14594" width="14.85546875" style="3" customWidth="1"/>
    <col min="14595" max="14595" width="13.28515625" style="3" customWidth="1"/>
    <col min="14596" max="14596" width="11.42578125" style="3"/>
    <col min="14597" max="14597" width="13.42578125" style="3" customWidth="1"/>
    <col min="14598" max="14598" width="12.7109375" style="3" customWidth="1"/>
    <col min="14599" max="14599" width="14" style="3" customWidth="1"/>
    <col min="14600" max="14848" width="11.42578125" style="3"/>
    <col min="14849" max="14849" width="15.85546875" style="3" customWidth="1"/>
    <col min="14850" max="14850" width="14.85546875" style="3" customWidth="1"/>
    <col min="14851" max="14851" width="13.28515625" style="3" customWidth="1"/>
    <col min="14852" max="14852" width="11.42578125" style="3"/>
    <col min="14853" max="14853" width="13.42578125" style="3" customWidth="1"/>
    <col min="14854" max="14854" width="12.7109375" style="3" customWidth="1"/>
    <col min="14855" max="14855" width="14" style="3" customWidth="1"/>
    <col min="14856" max="15104" width="11.42578125" style="3"/>
    <col min="15105" max="15105" width="15.85546875" style="3" customWidth="1"/>
    <col min="15106" max="15106" width="14.85546875" style="3" customWidth="1"/>
    <col min="15107" max="15107" width="13.28515625" style="3" customWidth="1"/>
    <col min="15108" max="15108" width="11.42578125" style="3"/>
    <col min="15109" max="15109" width="13.42578125" style="3" customWidth="1"/>
    <col min="15110" max="15110" width="12.7109375" style="3" customWidth="1"/>
    <col min="15111" max="15111" width="14" style="3" customWidth="1"/>
    <col min="15112" max="15360" width="11.42578125" style="3"/>
    <col min="15361" max="15361" width="15.85546875" style="3" customWidth="1"/>
    <col min="15362" max="15362" width="14.85546875" style="3" customWidth="1"/>
    <col min="15363" max="15363" width="13.28515625" style="3" customWidth="1"/>
    <col min="15364" max="15364" width="11.42578125" style="3"/>
    <col min="15365" max="15365" width="13.42578125" style="3" customWidth="1"/>
    <col min="15366" max="15366" width="12.7109375" style="3" customWidth="1"/>
    <col min="15367" max="15367" width="14" style="3" customWidth="1"/>
    <col min="15368" max="15616" width="11.42578125" style="3"/>
    <col min="15617" max="15617" width="15.85546875" style="3" customWidth="1"/>
    <col min="15618" max="15618" width="14.85546875" style="3" customWidth="1"/>
    <col min="15619" max="15619" width="13.28515625" style="3" customWidth="1"/>
    <col min="15620" max="15620" width="11.42578125" style="3"/>
    <col min="15621" max="15621" width="13.42578125" style="3" customWidth="1"/>
    <col min="15622" max="15622" width="12.7109375" style="3" customWidth="1"/>
    <col min="15623" max="15623" width="14" style="3" customWidth="1"/>
    <col min="15624" max="15872" width="11.42578125" style="3"/>
    <col min="15873" max="15873" width="15.85546875" style="3" customWidth="1"/>
    <col min="15874" max="15874" width="14.85546875" style="3" customWidth="1"/>
    <col min="15875" max="15875" width="13.28515625" style="3" customWidth="1"/>
    <col min="15876" max="15876" width="11.42578125" style="3"/>
    <col min="15877" max="15877" width="13.42578125" style="3" customWidth="1"/>
    <col min="15878" max="15878" width="12.7109375" style="3" customWidth="1"/>
    <col min="15879" max="15879" width="14" style="3" customWidth="1"/>
    <col min="15880" max="16128" width="11.42578125" style="3"/>
    <col min="16129" max="16129" width="15.85546875" style="3" customWidth="1"/>
    <col min="16130" max="16130" width="14.85546875" style="3" customWidth="1"/>
    <col min="16131" max="16131" width="13.28515625" style="3" customWidth="1"/>
    <col min="16132" max="16132" width="11.42578125" style="3"/>
    <col min="16133" max="16133" width="13.42578125" style="3" customWidth="1"/>
    <col min="16134" max="16134" width="12.7109375" style="3" customWidth="1"/>
    <col min="16135" max="16135" width="14" style="3" customWidth="1"/>
    <col min="16136" max="16384" width="11.42578125" style="3"/>
  </cols>
  <sheetData>
    <row r="1" spans="1:21" ht="48" customHeight="1">
      <c r="A1" s="1346" t="str">
        <f>PPTO!D3</f>
        <v>PRESUPUESTO
MUNICIPIO EL BAGRE (ANTIOQUIA).</v>
      </c>
      <c r="B1" s="1347"/>
      <c r="C1" s="1347"/>
      <c r="D1" s="1347"/>
      <c r="E1" s="1347"/>
      <c r="F1" s="1347"/>
      <c r="G1" s="1348"/>
      <c r="H1" s="1"/>
      <c r="I1" s="2"/>
    </row>
    <row r="2" spans="1:21" ht="18" customHeight="1">
      <c r="A2" s="1362" t="s">
        <v>16</v>
      </c>
      <c r="B2" s="1363"/>
      <c r="C2" s="1363"/>
      <c r="D2" s="1363"/>
      <c r="E2" s="1363"/>
      <c r="F2" s="1363"/>
      <c r="G2" s="1364"/>
      <c r="H2" s="1"/>
      <c r="I2" s="2"/>
    </row>
    <row r="3" spans="1:21" ht="24.75" customHeight="1">
      <c r="A3" s="1367" t="str">
        <f>+PPTO!$D$5</f>
        <v>PROYECTO DE MEJORAMIENTO VIAL, ESPACIO PUBLICO Y OBRAS COMPLEMENTARIAS DE LA AVENIDA LA JUVENTUD Y TRAMOS ADYACENTES Y PRIORITARIOS DEL SECTOR URBANO EN EL MUNICIPIO EL BAGRE ANTIOQUIA.</v>
      </c>
      <c r="B3" s="1368"/>
      <c r="C3" s="1368"/>
      <c r="D3" s="1368"/>
      <c r="E3" s="1368"/>
      <c r="F3" s="1368"/>
      <c r="G3" s="1369"/>
      <c r="H3" s="1"/>
      <c r="I3" s="2"/>
    </row>
    <row r="4" spans="1:21" ht="30" customHeight="1">
      <c r="A4" s="1370"/>
      <c r="B4" s="1368"/>
      <c r="C4" s="1368"/>
      <c r="D4" s="1368"/>
      <c r="E4" s="1368"/>
      <c r="F4" s="1368"/>
      <c r="G4" s="1369"/>
      <c r="H4" s="1"/>
      <c r="I4" s="2"/>
    </row>
    <row r="5" spans="1:21" ht="6.75" customHeight="1">
      <c r="A5" s="222"/>
      <c r="B5" s="6"/>
      <c r="C5" s="24"/>
      <c r="D5" s="25"/>
      <c r="E5" s="6"/>
      <c r="F5" s="6"/>
      <c r="G5" s="223"/>
      <c r="H5" s="9"/>
    </row>
    <row r="6" spans="1:21" ht="52.5" customHeight="1">
      <c r="A6" s="368">
        <v>2.7</v>
      </c>
      <c r="B6" s="1349" t="str">
        <f>VLOOKUP(A6,PPTO!D4:I131,2,FALSE)</f>
        <v>Colchon filtrante en material de entre 1 1/2" y 2 1/2" detrás de muros de contencion separado del suelo por Geotextil NT, e=0.30, incluye lloraderos de D=2"</v>
      </c>
      <c r="C6" s="1350"/>
      <c r="D6" s="1350"/>
      <c r="E6" s="1351"/>
      <c r="F6" s="192" t="s">
        <v>118</v>
      </c>
      <c r="G6" s="248" t="str">
        <f>VLOOKUP(A6,PPTO!D4:I131,3,FALSE)</f>
        <v>m2</v>
      </c>
      <c r="H6" s="9"/>
    </row>
    <row r="7" spans="1:21" ht="3.75" customHeight="1">
      <c r="A7" s="226"/>
      <c r="B7" s="4"/>
      <c r="C7" s="6"/>
      <c r="D7" s="4"/>
      <c r="E7" s="4"/>
      <c r="F7" s="4"/>
      <c r="G7" s="227"/>
      <c r="H7" s="9"/>
    </row>
    <row r="8" spans="1:21" ht="22.5" customHeight="1">
      <c r="A8" s="1354" t="s">
        <v>69</v>
      </c>
      <c r="B8" s="1355"/>
      <c r="C8" s="1355"/>
      <c r="D8" s="1355"/>
      <c r="E8" s="1355"/>
      <c r="F8" s="1355"/>
      <c r="G8" s="1356"/>
      <c r="H8" s="9"/>
    </row>
    <row r="9" spans="1:21" ht="4.5" customHeight="1">
      <c r="A9" s="226"/>
      <c r="B9" s="4"/>
      <c r="C9" s="6"/>
      <c r="D9" s="4"/>
      <c r="E9" s="4"/>
      <c r="F9" s="4"/>
      <c r="G9" s="227"/>
      <c r="H9" s="9"/>
      <c r="I9" s="5"/>
      <c r="J9" s="5"/>
      <c r="K9" s="5"/>
      <c r="L9" s="26"/>
      <c r="M9" s="5"/>
      <c r="N9" s="5"/>
      <c r="O9" s="5"/>
      <c r="P9" s="5"/>
    </row>
    <row r="10" spans="1:21">
      <c r="A10" s="1373" t="s">
        <v>17</v>
      </c>
      <c r="B10" s="1374"/>
      <c r="C10" s="1374"/>
      <c r="D10" s="353" t="s">
        <v>18</v>
      </c>
      <c r="E10" s="353" t="s">
        <v>19</v>
      </c>
      <c r="F10" s="353" t="s">
        <v>20</v>
      </c>
      <c r="G10" s="228" t="s">
        <v>21</v>
      </c>
      <c r="H10" s="27"/>
      <c r="I10" s="28"/>
      <c r="J10" s="29"/>
      <c r="K10" s="30"/>
      <c r="L10" s="30"/>
      <c r="M10" s="30"/>
      <c r="N10" s="30"/>
      <c r="O10" s="30"/>
      <c r="P10" s="5"/>
    </row>
    <row r="11" spans="1:21">
      <c r="A11" s="1352" t="s">
        <v>75</v>
      </c>
      <c r="B11" s="1353"/>
      <c r="C11" s="1353"/>
      <c r="D11" s="353"/>
      <c r="E11" s="83"/>
      <c r="F11" s="97"/>
      <c r="G11" s="229">
        <f>+G40*5%</f>
        <v>536</v>
      </c>
      <c r="H11" s="9"/>
      <c r="I11" s="30"/>
      <c r="J11" s="31"/>
      <c r="K11" s="30"/>
      <c r="L11" s="30"/>
      <c r="M11" s="30"/>
      <c r="N11" s="30"/>
      <c r="O11" s="30"/>
      <c r="P11" s="5"/>
    </row>
    <row r="12" spans="1:21">
      <c r="A12" s="1371" t="s">
        <v>48</v>
      </c>
      <c r="B12" s="1372"/>
      <c r="C12" s="1372"/>
      <c r="D12" s="83" t="s">
        <v>43</v>
      </c>
      <c r="E12" s="83">
        <v>110000</v>
      </c>
      <c r="F12" s="98">
        <f>F35</f>
        <v>15</v>
      </c>
      <c r="G12" s="229">
        <f>+E12/F12+3</f>
        <v>7336</v>
      </c>
      <c r="H12" s="9"/>
      <c r="I12" s="16"/>
      <c r="J12" s="13"/>
      <c r="K12" s="8"/>
      <c r="L12" s="8"/>
      <c r="M12" s="8"/>
      <c r="N12" s="8"/>
      <c r="O12" s="8"/>
      <c r="P12" s="5"/>
    </row>
    <row r="13" spans="1:21">
      <c r="A13" s="1352"/>
      <c r="B13" s="1353"/>
      <c r="C13" s="1353"/>
      <c r="D13" s="353"/>
      <c r="E13" s="78"/>
      <c r="F13" s="98"/>
      <c r="G13" s="229"/>
      <c r="H13" s="9"/>
      <c r="I13" s="13"/>
      <c r="J13" s="13"/>
      <c r="K13" s="13"/>
      <c r="L13" s="13"/>
      <c r="M13" s="13"/>
      <c r="N13" s="13"/>
      <c r="O13" s="13"/>
      <c r="P13" s="5"/>
    </row>
    <row r="14" spans="1:21">
      <c r="A14" s="1375"/>
      <c r="B14" s="1376"/>
      <c r="C14" s="1376"/>
      <c r="D14" s="83"/>
      <c r="E14" s="83"/>
      <c r="F14" s="98"/>
      <c r="G14" s="229"/>
      <c r="H14" s="9"/>
      <c r="I14" s="8"/>
      <c r="J14" s="14"/>
      <c r="K14" s="32"/>
      <c r="L14" s="14"/>
      <c r="M14" s="15"/>
      <c r="N14" s="15"/>
      <c r="O14" s="19"/>
      <c r="P14" s="5"/>
    </row>
    <row r="15" spans="1:21">
      <c r="A15" s="1371"/>
      <c r="B15" s="1372"/>
      <c r="C15" s="1372"/>
      <c r="D15" s="83"/>
      <c r="E15" s="83"/>
      <c r="F15" s="98"/>
      <c r="G15" s="229"/>
      <c r="H15" s="9"/>
      <c r="I15" s="8"/>
      <c r="J15" s="33"/>
      <c r="K15" s="32"/>
      <c r="L15" s="14"/>
      <c r="M15" s="15"/>
      <c r="N15" s="15"/>
      <c r="O15" s="19"/>
      <c r="P15" s="5"/>
      <c r="Q15" s="5"/>
      <c r="R15" s="5"/>
      <c r="S15" s="5"/>
      <c r="T15" s="5"/>
      <c r="U15" s="5"/>
    </row>
    <row r="16" spans="1:21">
      <c r="A16" s="1371"/>
      <c r="B16" s="1372"/>
      <c r="C16" s="1372"/>
      <c r="D16" s="85" t="s">
        <v>37</v>
      </c>
      <c r="E16" s="50"/>
      <c r="F16" s="49"/>
      <c r="G16" s="230">
        <f>SUM(G11:G15)</f>
        <v>7872</v>
      </c>
      <c r="H16" s="9"/>
      <c r="I16" s="34"/>
      <c r="J16" s="34"/>
      <c r="K16" s="35"/>
      <c r="L16" s="36"/>
      <c r="M16" s="7"/>
      <c r="N16" s="7"/>
      <c r="O16" s="19"/>
      <c r="P16" s="5"/>
      <c r="Q16" s="5"/>
      <c r="R16" s="5"/>
      <c r="S16" s="5"/>
      <c r="T16" s="5"/>
      <c r="U16" s="5"/>
    </row>
    <row r="17" spans="1:21" ht="4.5" customHeight="1">
      <c r="A17" s="226"/>
      <c r="B17" s="4"/>
      <c r="C17" s="6"/>
      <c r="D17" s="4"/>
      <c r="E17" s="4"/>
      <c r="F17" s="4"/>
      <c r="G17" s="227"/>
      <c r="H17" s="9"/>
      <c r="I17" s="34"/>
      <c r="J17" s="34"/>
      <c r="K17" s="35"/>
      <c r="L17" s="36"/>
      <c r="M17" s="7"/>
      <c r="N17" s="7"/>
      <c r="O17" s="19"/>
      <c r="P17" s="5"/>
      <c r="Q17" s="5"/>
      <c r="R17" s="5"/>
      <c r="S17" s="5"/>
      <c r="T17" s="5"/>
      <c r="U17" s="5"/>
    </row>
    <row r="18" spans="1:21" ht="22.5" customHeight="1">
      <c r="A18" s="1354" t="s">
        <v>70</v>
      </c>
      <c r="B18" s="1355"/>
      <c r="C18" s="1355"/>
      <c r="D18" s="1355"/>
      <c r="E18" s="1355"/>
      <c r="F18" s="1355"/>
      <c r="G18" s="1356"/>
      <c r="H18" s="9"/>
    </row>
    <row r="19" spans="1:21" ht="4.5" customHeight="1">
      <c r="A19" s="226"/>
      <c r="B19" s="4"/>
      <c r="C19" s="6"/>
      <c r="D19" s="4"/>
      <c r="E19" s="4"/>
      <c r="F19" s="38"/>
      <c r="G19" s="227"/>
      <c r="H19" s="9"/>
      <c r="I19" s="34"/>
      <c r="J19" s="34"/>
      <c r="K19" s="35"/>
      <c r="L19" s="39"/>
      <c r="M19" s="7"/>
      <c r="N19" s="7"/>
      <c r="O19" s="8"/>
      <c r="P19" s="5"/>
      <c r="Q19" s="5"/>
      <c r="R19" s="5"/>
      <c r="S19" s="5"/>
      <c r="T19" s="5"/>
      <c r="U19" s="5"/>
    </row>
    <row r="20" spans="1:21">
      <c r="A20" s="1373" t="s">
        <v>17</v>
      </c>
      <c r="B20" s="1374"/>
      <c r="C20" s="1374"/>
      <c r="D20" s="353" t="s">
        <v>3</v>
      </c>
      <c r="E20" s="353" t="s">
        <v>4</v>
      </c>
      <c r="F20" s="353" t="s">
        <v>25</v>
      </c>
      <c r="G20" s="228" t="s">
        <v>21</v>
      </c>
      <c r="H20" s="27"/>
      <c r="I20" s="34"/>
      <c r="J20" s="34"/>
      <c r="K20" s="35"/>
      <c r="L20" s="39"/>
      <c r="M20" s="7"/>
      <c r="N20" s="7"/>
      <c r="O20" s="8"/>
      <c r="P20" s="5"/>
      <c r="Q20" s="5"/>
      <c r="R20" s="5"/>
      <c r="S20" s="5"/>
      <c r="T20" s="5"/>
      <c r="U20" s="5"/>
    </row>
    <row r="21" spans="1:21">
      <c r="A21" s="1365" t="s">
        <v>300</v>
      </c>
      <c r="B21" s="1366"/>
      <c r="C21" s="1366"/>
      <c r="D21" s="76" t="s">
        <v>1</v>
      </c>
      <c r="E21" s="82">
        <v>0.3</v>
      </c>
      <c r="F21" s="78">
        <v>60000</v>
      </c>
      <c r="G21" s="231">
        <f>ROUND(E21*F21,0)</f>
        <v>18000</v>
      </c>
      <c r="H21" s="9"/>
      <c r="I21" s="34"/>
      <c r="J21" s="34"/>
      <c r="K21" s="35"/>
      <c r="L21" s="39"/>
      <c r="M21" s="7"/>
      <c r="N21" s="7"/>
      <c r="O21" s="13"/>
      <c r="P21" s="5"/>
      <c r="Q21" s="5"/>
      <c r="R21" s="5"/>
      <c r="S21" s="5"/>
      <c r="T21" s="5"/>
      <c r="U21" s="5"/>
    </row>
    <row r="22" spans="1:21">
      <c r="A22" s="1365" t="s">
        <v>301</v>
      </c>
      <c r="B22" s="1366"/>
      <c r="C22" s="1366"/>
      <c r="D22" s="76" t="s">
        <v>72</v>
      </c>
      <c r="E22" s="82">
        <v>2.1</v>
      </c>
      <c r="F22" s="78">
        <v>4238</v>
      </c>
      <c r="G22" s="231">
        <f>ROUND(E22*F22,0)</f>
        <v>8900</v>
      </c>
      <c r="H22" s="9"/>
      <c r="I22" s="10"/>
      <c r="J22" s="10"/>
      <c r="K22" s="12"/>
      <c r="L22" s="39"/>
      <c r="M22" s="7"/>
      <c r="N22" s="7"/>
      <c r="O22" s="15"/>
      <c r="P22" s="5"/>
      <c r="Q22" s="5"/>
      <c r="R22" s="5"/>
      <c r="S22" s="5"/>
      <c r="T22" s="5"/>
      <c r="U22" s="5"/>
    </row>
    <row r="23" spans="1:21">
      <c r="A23" s="1386" t="s">
        <v>302</v>
      </c>
      <c r="B23" s="1353"/>
      <c r="C23" s="1353"/>
      <c r="D23" s="79" t="s">
        <v>122</v>
      </c>
      <c r="E23" s="82">
        <f>1/3*0.2</f>
        <v>7.0000000000000007E-2</v>
      </c>
      <c r="F23" s="83">
        <v>45000</v>
      </c>
      <c r="G23" s="231">
        <f>ROUND(E23*F23,0)</f>
        <v>3150</v>
      </c>
      <c r="H23" s="9"/>
      <c r="I23" s="10"/>
      <c r="J23" s="10"/>
      <c r="K23" s="12"/>
      <c r="L23" s="39"/>
      <c r="M23" s="7"/>
      <c r="N23" s="7"/>
      <c r="O23" s="15"/>
      <c r="P23" s="5"/>
      <c r="Q23" s="5"/>
      <c r="R23" s="5"/>
      <c r="S23" s="5"/>
      <c r="T23" s="5"/>
      <c r="U23" s="5"/>
    </row>
    <row r="24" spans="1:21" ht="24" customHeight="1">
      <c r="A24" s="1377" t="s">
        <v>687</v>
      </c>
      <c r="B24" s="1378"/>
      <c r="C24" s="1378"/>
      <c r="D24" s="79" t="s">
        <v>122</v>
      </c>
      <c r="E24" s="82">
        <f>1/3.5</f>
        <v>0.28999999999999998</v>
      </c>
      <c r="F24" s="83">
        <v>8000</v>
      </c>
      <c r="G24" s="231">
        <f>ROUND(E24*F24,0)</f>
        <v>2320</v>
      </c>
      <c r="H24" s="9"/>
      <c r="I24" s="10"/>
      <c r="J24" s="40"/>
      <c r="K24" s="12"/>
      <c r="L24" s="13"/>
      <c r="M24" s="14"/>
      <c r="N24" s="14"/>
      <c r="O24" s="15"/>
      <c r="P24" s="5"/>
      <c r="Q24" s="5"/>
      <c r="R24" s="5"/>
      <c r="S24" s="5"/>
      <c r="T24" s="5"/>
      <c r="U24" s="5"/>
    </row>
    <row r="25" spans="1:21">
      <c r="A25" s="1352"/>
      <c r="B25" s="1353"/>
      <c r="C25" s="1353"/>
      <c r="D25" s="81"/>
      <c r="E25" s="82"/>
      <c r="F25" s="83"/>
      <c r="G25" s="231"/>
      <c r="H25" s="9"/>
      <c r="I25" s="10"/>
      <c r="J25" s="11"/>
      <c r="K25" s="12"/>
      <c r="L25" s="13"/>
      <c r="M25" s="14"/>
      <c r="N25" s="14"/>
      <c r="O25" s="15"/>
      <c r="P25" s="5"/>
      <c r="Q25" s="5"/>
      <c r="R25" s="5"/>
      <c r="S25" s="5"/>
      <c r="T25" s="5"/>
      <c r="U25" s="5"/>
    </row>
    <row r="26" spans="1:21">
      <c r="A26" s="1352"/>
      <c r="B26" s="1353"/>
      <c r="C26" s="1353"/>
      <c r="D26" s="79"/>
      <c r="E26" s="82"/>
      <c r="F26" s="83"/>
      <c r="G26" s="231"/>
      <c r="H26" s="9"/>
      <c r="I26" s="10"/>
      <c r="J26" s="11"/>
      <c r="K26" s="12"/>
      <c r="L26" s="13"/>
      <c r="M26" s="14"/>
      <c r="N26" s="14"/>
      <c r="O26" s="15"/>
      <c r="P26" s="5"/>
      <c r="Q26" s="5"/>
      <c r="R26" s="5"/>
      <c r="S26" s="5"/>
      <c r="T26" s="5"/>
      <c r="U26" s="5"/>
    </row>
    <row r="27" spans="1:21">
      <c r="A27" s="1352"/>
      <c r="B27" s="1353"/>
      <c r="C27" s="1353"/>
      <c r="D27" s="79"/>
      <c r="E27" s="82"/>
      <c r="F27" s="83"/>
      <c r="G27" s="231"/>
      <c r="H27" s="9"/>
      <c r="I27" s="10"/>
      <c r="J27" s="11"/>
      <c r="K27" s="12"/>
      <c r="L27" s="13"/>
      <c r="M27" s="14"/>
      <c r="N27" s="14"/>
      <c r="O27" s="15"/>
      <c r="P27" s="5"/>
      <c r="Q27" s="5"/>
      <c r="R27" s="5"/>
      <c r="S27" s="5"/>
      <c r="T27" s="5"/>
      <c r="U27" s="5"/>
    </row>
    <row r="28" spans="1:21">
      <c r="A28" s="1352"/>
      <c r="B28" s="1353"/>
      <c r="C28" s="1353"/>
      <c r="D28" s="79"/>
      <c r="E28" s="82"/>
      <c r="F28" s="83"/>
      <c r="G28" s="231"/>
      <c r="H28" s="9"/>
      <c r="I28" s="41"/>
      <c r="J28" s="41"/>
      <c r="K28" s="12"/>
      <c r="L28" s="13"/>
      <c r="M28" s="14"/>
      <c r="N28" s="14"/>
      <c r="O28" s="15"/>
      <c r="P28" s="5"/>
      <c r="Q28" s="5"/>
      <c r="R28" s="5"/>
      <c r="S28" s="5"/>
      <c r="T28" s="5"/>
      <c r="U28" s="5"/>
    </row>
    <row r="29" spans="1:21">
      <c r="A29" s="1352"/>
      <c r="B29" s="1353"/>
      <c r="C29" s="1353"/>
      <c r="D29" s="84"/>
      <c r="E29" s="84"/>
      <c r="F29" s="83"/>
      <c r="G29" s="231"/>
      <c r="H29" s="9"/>
      <c r="I29" s="42"/>
      <c r="J29" s="42"/>
      <c r="K29" s="42"/>
      <c r="L29" s="13"/>
      <c r="M29" s="14"/>
      <c r="N29" s="14"/>
      <c r="O29" s="15"/>
      <c r="P29" s="5"/>
      <c r="Q29" s="5"/>
      <c r="R29" s="5"/>
      <c r="S29" s="5"/>
      <c r="T29" s="5"/>
      <c r="U29" s="5"/>
    </row>
    <row r="30" spans="1:21">
      <c r="A30" s="1352"/>
      <c r="B30" s="1353"/>
      <c r="C30" s="1353"/>
      <c r="D30" s="85" t="s">
        <v>28</v>
      </c>
      <c r="E30" s="50"/>
      <c r="F30" s="49"/>
      <c r="G30" s="230">
        <f>SUM(G21:G29)</f>
        <v>32370</v>
      </c>
      <c r="H30" s="9"/>
      <c r="I30" s="8"/>
      <c r="J30" s="13"/>
      <c r="K30" s="8"/>
      <c r="L30" s="13"/>
      <c r="M30" s="14"/>
      <c r="N30" s="14"/>
      <c r="O30" s="15"/>
      <c r="P30" s="5"/>
    </row>
    <row r="31" spans="1:21" ht="3.75" customHeight="1">
      <c r="A31" s="226"/>
      <c r="B31" s="4"/>
      <c r="C31" s="6"/>
      <c r="D31" s="4"/>
      <c r="E31" s="4"/>
      <c r="F31" s="4"/>
      <c r="G31" s="227"/>
      <c r="H31" s="9"/>
      <c r="I31" s="8"/>
      <c r="J31" s="13"/>
      <c r="K31" s="18"/>
      <c r="L31" s="13"/>
      <c r="M31" s="33"/>
      <c r="N31" s="33"/>
      <c r="O31" s="15"/>
      <c r="P31" s="5"/>
    </row>
    <row r="32" spans="1:21" ht="22.5" customHeight="1">
      <c r="A32" s="1354" t="s">
        <v>71</v>
      </c>
      <c r="B32" s="1355"/>
      <c r="C32" s="1355"/>
      <c r="D32" s="1355"/>
      <c r="E32" s="1355"/>
      <c r="F32" s="1355"/>
      <c r="G32" s="1356"/>
      <c r="H32" s="9"/>
    </row>
    <row r="33" spans="1:16" ht="3.75" customHeight="1">
      <c r="A33" s="226"/>
      <c r="B33" s="4"/>
      <c r="C33" s="6"/>
      <c r="D33" s="4"/>
      <c r="E33" s="4"/>
      <c r="F33" s="4"/>
      <c r="G33" s="227"/>
      <c r="H33" s="9"/>
      <c r="I33" s="8"/>
      <c r="J33" s="13"/>
      <c r="K33" s="8"/>
      <c r="L33" s="8"/>
      <c r="M33" s="8"/>
      <c r="N33" s="8"/>
      <c r="O33" s="15"/>
      <c r="P33" s="5"/>
    </row>
    <row r="34" spans="1:16">
      <c r="A34" s="232" t="s">
        <v>5</v>
      </c>
      <c r="B34" s="60" t="s">
        <v>29</v>
      </c>
      <c r="C34" s="60" t="s">
        <v>30</v>
      </c>
      <c r="D34" s="60" t="s">
        <v>31</v>
      </c>
      <c r="E34" s="60" t="s">
        <v>32</v>
      </c>
      <c r="F34" s="60" t="s">
        <v>20</v>
      </c>
      <c r="G34" s="228" t="s">
        <v>33</v>
      </c>
      <c r="H34" s="27"/>
      <c r="I34" s="8"/>
      <c r="J34" s="13"/>
      <c r="K34" s="8"/>
      <c r="L34" s="8"/>
      <c r="M34" s="8"/>
      <c r="N34" s="8"/>
      <c r="O34" s="15"/>
      <c r="P34" s="5"/>
    </row>
    <row r="35" spans="1:16">
      <c r="A35" s="233" t="s">
        <v>67</v>
      </c>
      <c r="B35" s="63">
        <f>BOF</f>
        <v>51749</v>
      </c>
      <c r="C35" s="68">
        <f>ffpp</f>
        <v>0.64539999999999997</v>
      </c>
      <c r="D35" s="72">
        <v>1</v>
      </c>
      <c r="E35" s="66">
        <f>OF</f>
        <v>88696</v>
      </c>
      <c r="F35" s="72">
        <v>15</v>
      </c>
      <c r="G35" s="231">
        <f>ROUND(+D35*E35/F35,0)</f>
        <v>5913</v>
      </c>
      <c r="H35" s="9"/>
      <c r="I35" s="16"/>
      <c r="J35" s="13"/>
      <c r="K35" s="8"/>
      <c r="L35" s="8"/>
      <c r="M35" s="8"/>
      <c r="N35" s="8"/>
      <c r="O35" s="15"/>
      <c r="P35" s="5"/>
    </row>
    <row r="36" spans="1:16">
      <c r="A36" s="233" t="s">
        <v>38</v>
      </c>
      <c r="B36" s="63">
        <f>BOB</f>
        <v>41749</v>
      </c>
      <c r="C36" s="68">
        <f>ffpp</f>
        <v>0.64539999999999997</v>
      </c>
      <c r="D36" s="72">
        <v>1</v>
      </c>
      <c r="E36" s="66">
        <f>OB</f>
        <v>72242</v>
      </c>
      <c r="F36" s="72">
        <f>F35</f>
        <v>15</v>
      </c>
      <c r="G36" s="231">
        <f>ROUND(+D36*E36/F36,0)</f>
        <v>4816</v>
      </c>
      <c r="H36" s="9"/>
      <c r="I36" s="16"/>
      <c r="J36" s="13"/>
      <c r="K36" s="8"/>
      <c r="L36" s="8"/>
      <c r="M36" s="8"/>
      <c r="N36" s="8"/>
      <c r="O36" s="15"/>
      <c r="P36" s="5"/>
    </row>
    <row r="37" spans="1:16">
      <c r="A37" s="233"/>
      <c r="B37" s="63"/>
      <c r="C37" s="961"/>
      <c r="D37" s="72"/>
      <c r="E37" s="66"/>
      <c r="F37" s="69"/>
      <c r="G37" s="231"/>
      <c r="H37" s="9"/>
      <c r="I37" s="8"/>
      <c r="J37" s="8"/>
      <c r="K37" s="13"/>
      <c r="L37" s="13"/>
      <c r="M37" s="13"/>
      <c r="N37" s="13"/>
      <c r="O37" s="13"/>
      <c r="P37" s="5"/>
    </row>
    <row r="38" spans="1:16">
      <c r="A38" s="234"/>
      <c r="B38" s="50"/>
      <c r="C38" s="50"/>
      <c r="D38" s="50"/>
      <c r="E38" s="50"/>
      <c r="F38" s="50"/>
      <c r="G38" s="235"/>
      <c r="H38" s="9"/>
      <c r="I38" s="8"/>
      <c r="J38" s="13"/>
      <c r="K38" s="13"/>
      <c r="L38" s="13"/>
      <c r="M38" s="33"/>
      <c r="N38" s="33"/>
      <c r="O38" s="43"/>
      <c r="P38" s="5"/>
    </row>
    <row r="39" spans="1:16">
      <c r="A39" s="233"/>
      <c r="B39" s="65"/>
      <c r="C39" s="68"/>
      <c r="D39" s="65"/>
      <c r="E39" s="69"/>
      <c r="F39" s="69"/>
      <c r="G39" s="236"/>
      <c r="H39" s="9"/>
      <c r="I39" s="8"/>
      <c r="J39" s="13"/>
      <c r="K39" s="13"/>
      <c r="L39" s="13"/>
      <c r="M39" s="33"/>
      <c r="N39" s="33"/>
      <c r="O39" s="43"/>
      <c r="P39" s="5"/>
    </row>
    <row r="40" spans="1:16">
      <c r="A40" s="1352"/>
      <c r="B40" s="1353"/>
      <c r="C40" s="1353"/>
      <c r="D40" s="85" t="s">
        <v>34</v>
      </c>
      <c r="E40" s="50"/>
      <c r="F40" s="49"/>
      <c r="G40" s="230">
        <f>SUM(G35:G39)</f>
        <v>10729</v>
      </c>
      <c r="H40" s="9"/>
      <c r="I40" s="8"/>
      <c r="J40" s="13"/>
      <c r="K40" s="8"/>
      <c r="L40" s="13"/>
      <c r="M40" s="14"/>
      <c r="N40" s="14"/>
      <c r="O40" s="15"/>
      <c r="P40" s="5"/>
    </row>
    <row r="41" spans="1:16">
      <c r="A41" s="237"/>
      <c r="B41" s="111"/>
      <c r="C41" s="111"/>
      <c r="D41" s="112"/>
      <c r="E41" s="5"/>
      <c r="F41" s="113"/>
      <c r="G41" s="238"/>
      <c r="H41" s="9"/>
      <c r="I41" s="8"/>
      <c r="J41" s="13"/>
      <c r="K41" s="8"/>
      <c r="L41" s="13"/>
      <c r="M41" s="14"/>
      <c r="N41" s="14"/>
      <c r="O41" s="15"/>
      <c r="P41" s="5"/>
    </row>
    <row r="42" spans="1:16">
      <c r="A42" s="226"/>
      <c r="B42" s="4"/>
      <c r="C42" s="6"/>
      <c r="D42" s="4"/>
      <c r="E42" s="4"/>
      <c r="F42" s="4"/>
      <c r="G42" s="227"/>
      <c r="H42" s="9"/>
      <c r="I42" s="8"/>
      <c r="J42" s="13"/>
      <c r="K42" s="13"/>
      <c r="L42" s="13"/>
      <c r="M42" s="14"/>
      <c r="N42" s="14"/>
      <c r="O42" s="19"/>
      <c r="P42" s="5"/>
    </row>
    <row r="43" spans="1:16" ht="14.25">
      <c r="A43" s="226"/>
      <c r="B43" s="4"/>
      <c r="C43" s="6"/>
      <c r="D43" s="1357" t="s">
        <v>35</v>
      </c>
      <c r="E43" s="1358"/>
      <c r="F43" s="1359"/>
      <c r="G43" s="239">
        <f>+G40+G30+G16</f>
        <v>50971</v>
      </c>
      <c r="H43" s="9"/>
      <c r="I43" s="46"/>
      <c r="J43" s="47"/>
      <c r="K43" s="8"/>
      <c r="L43" s="8"/>
      <c r="M43" s="8"/>
      <c r="N43" s="8"/>
      <c r="O43" s="8"/>
      <c r="P43" s="5"/>
    </row>
    <row r="44" spans="1:16">
      <c r="A44" s="377"/>
      <c r="B44" s="372"/>
      <c r="C44" s="372"/>
      <c r="D44" s="100"/>
      <c r="E44" s="100"/>
      <c r="F44" s="100"/>
      <c r="G44" s="227"/>
      <c r="H44" s="206"/>
      <c r="I44" s="8"/>
      <c r="J44" s="13"/>
      <c r="K44" s="13"/>
      <c r="L44" s="13"/>
      <c r="M44" s="17"/>
      <c r="N44" s="17"/>
      <c r="O44" s="37"/>
      <c r="P44" s="5"/>
    </row>
    <row r="45" spans="1:16">
      <c r="A45" s="377"/>
      <c r="B45" s="372"/>
      <c r="C45" s="372"/>
      <c r="D45" s="100"/>
      <c r="E45" s="100"/>
      <c r="F45" s="100"/>
      <c r="G45" s="227"/>
      <c r="H45" s="9"/>
      <c r="I45" s="8"/>
      <c r="J45" s="13"/>
      <c r="K45" s="13"/>
      <c r="L45" s="13"/>
      <c r="M45" s="17"/>
      <c r="N45" s="17"/>
      <c r="O45" s="37"/>
      <c r="P45" s="5"/>
    </row>
    <row r="46" spans="1:16">
      <c r="A46" s="377"/>
      <c r="B46" s="372"/>
      <c r="C46" s="372"/>
      <c r="D46" s="100"/>
      <c r="E46" s="100"/>
      <c r="F46" s="100"/>
      <c r="G46" s="227"/>
      <c r="H46" s="9"/>
      <c r="I46" s="8"/>
      <c r="J46" s="13"/>
      <c r="K46" s="13"/>
      <c r="L46" s="13"/>
      <c r="M46" s="17"/>
      <c r="N46" s="17"/>
      <c r="O46" s="37"/>
      <c r="P46" s="5"/>
    </row>
    <row r="47" spans="1:16">
      <c r="A47" s="1384"/>
      <c r="B47" s="1385"/>
      <c r="C47" s="1385"/>
      <c r="D47" s="5"/>
      <c r="E47" s="5"/>
      <c r="F47" s="5"/>
      <c r="G47" s="241"/>
      <c r="H47" s="9"/>
      <c r="I47" s="48"/>
      <c r="J47" s="13"/>
      <c r="K47" s="8"/>
      <c r="L47" s="8"/>
      <c r="M47" s="8"/>
      <c r="N47" s="8"/>
      <c r="O47" s="8"/>
      <c r="P47" s="5"/>
    </row>
    <row r="48" spans="1:16" ht="15" thickBot="1">
      <c r="A48" s="242"/>
      <c r="B48" s="243"/>
      <c r="C48" s="244"/>
      <c r="D48" s="245"/>
      <c r="E48" s="246"/>
      <c r="F48" s="246"/>
      <c r="G48" s="247"/>
      <c r="H48" s="9"/>
      <c r="I48" s="8"/>
      <c r="J48" s="13"/>
      <c r="K48" s="8"/>
      <c r="L48" s="8"/>
      <c r="M48" s="8"/>
      <c r="N48" s="8"/>
      <c r="O48" s="8"/>
      <c r="P48" s="5"/>
    </row>
    <row r="49" spans="9:16">
      <c r="I49" s="5"/>
      <c r="J49" s="5"/>
      <c r="K49" s="5"/>
      <c r="L49" s="5"/>
      <c r="M49" s="5"/>
      <c r="N49" s="5"/>
      <c r="O49" s="5"/>
      <c r="P49" s="5"/>
    </row>
    <row r="50" spans="9:16">
      <c r="I50" s="5"/>
      <c r="J50" s="5"/>
      <c r="K50" s="5"/>
      <c r="L50" s="5"/>
      <c r="M50" s="5"/>
      <c r="N50" s="5"/>
      <c r="O50" s="5"/>
      <c r="P50" s="5"/>
    </row>
  </sheetData>
  <mergeCells count="28">
    <mergeCell ref="A10:C10"/>
    <mergeCell ref="A1:G1"/>
    <mergeCell ref="A2:G2"/>
    <mergeCell ref="A3:G4"/>
    <mergeCell ref="B6:E6"/>
    <mergeCell ref="A8:G8"/>
    <mergeCell ref="A24:C24"/>
    <mergeCell ref="A11:C11"/>
    <mergeCell ref="A12:C12"/>
    <mergeCell ref="A13:C13"/>
    <mergeCell ref="A14:C14"/>
    <mergeCell ref="A15:C15"/>
    <mergeCell ref="A16:C16"/>
    <mergeCell ref="A18:G18"/>
    <mergeCell ref="A20:C20"/>
    <mergeCell ref="A21:C21"/>
    <mergeCell ref="A22:C22"/>
    <mergeCell ref="A23:C23"/>
    <mergeCell ref="A32:G32"/>
    <mergeCell ref="A40:C40"/>
    <mergeCell ref="D43:F43"/>
    <mergeCell ref="A47:C47"/>
    <mergeCell ref="A25:C25"/>
    <mergeCell ref="A26:C26"/>
    <mergeCell ref="A27:C27"/>
    <mergeCell ref="A28:C28"/>
    <mergeCell ref="A29:C29"/>
    <mergeCell ref="A30:C30"/>
  </mergeCells>
  <printOptions horizontalCentered="1" verticalCentered="1"/>
  <pageMargins left="0.74803149606299213" right="0.74803149606299213" top="0" bottom="0.98425196850393704" header="0" footer="0"/>
  <pageSetup scale="90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0"/>
  <dimension ref="A1:U48"/>
  <sheetViews>
    <sheetView view="pageBreakPreview" topLeftCell="A10" zoomScaleNormal="100" zoomScaleSheetLayoutView="100" workbookViewId="0">
      <selection activeCell="F22" sqref="F22"/>
    </sheetView>
  </sheetViews>
  <sheetFormatPr baseColWidth="10" defaultColWidth="10.7109375" defaultRowHeight="12.75"/>
  <cols>
    <col min="1" max="1" width="18.28515625" style="3" customWidth="1"/>
    <col min="2" max="2" width="14.85546875" style="3" customWidth="1"/>
    <col min="3" max="3" width="13.28515625" style="3" customWidth="1"/>
    <col min="4" max="4" width="11.42578125" style="3"/>
    <col min="5" max="5" width="13.42578125" style="3" customWidth="1"/>
    <col min="6" max="6" width="12.7109375" style="3" customWidth="1"/>
    <col min="7" max="7" width="14" style="3" customWidth="1"/>
    <col min="8" max="8" width="7.42578125" style="3" customWidth="1"/>
    <col min="9" max="256" width="11.42578125" style="3"/>
    <col min="257" max="257" width="15.85546875" style="3" customWidth="1"/>
    <col min="258" max="258" width="14.85546875" style="3" customWidth="1"/>
    <col min="259" max="259" width="13.28515625" style="3" customWidth="1"/>
    <col min="260" max="260" width="11.42578125" style="3"/>
    <col min="261" max="261" width="13.42578125" style="3" customWidth="1"/>
    <col min="262" max="262" width="12.7109375" style="3" customWidth="1"/>
    <col min="263" max="263" width="14" style="3" customWidth="1"/>
    <col min="264" max="264" width="7.42578125" style="3" customWidth="1"/>
    <col min="265" max="512" width="11.42578125" style="3"/>
    <col min="513" max="513" width="15.85546875" style="3" customWidth="1"/>
    <col min="514" max="514" width="14.85546875" style="3" customWidth="1"/>
    <col min="515" max="515" width="13.28515625" style="3" customWidth="1"/>
    <col min="516" max="516" width="11.42578125" style="3"/>
    <col min="517" max="517" width="13.42578125" style="3" customWidth="1"/>
    <col min="518" max="518" width="12.7109375" style="3" customWidth="1"/>
    <col min="519" max="519" width="14" style="3" customWidth="1"/>
    <col min="520" max="520" width="7.42578125" style="3" customWidth="1"/>
    <col min="521" max="768" width="11.42578125" style="3"/>
    <col min="769" max="769" width="15.85546875" style="3" customWidth="1"/>
    <col min="770" max="770" width="14.85546875" style="3" customWidth="1"/>
    <col min="771" max="771" width="13.28515625" style="3" customWidth="1"/>
    <col min="772" max="772" width="11.42578125" style="3"/>
    <col min="773" max="773" width="13.42578125" style="3" customWidth="1"/>
    <col min="774" max="774" width="12.7109375" style="3" customWidth="1"/>
    <col min="775" max="775" width="14" style="3" customWidth="1"/>
    <col min="776" max="776" width="7.42578125" style="3" customWidth="1"/>
    <col min="777" max="1024" width="11.42578125" style="3"/>
    <col min="1025" max="1025" width="15.85546875" style="3" customWidth="1"/>
    <col min="1026" max="1026" width="14.85546875" style="3" customWidth="1"/>
    <col min="1027" max="1027" width="13.28515625" style="3" customWidth="1"/>
    <col min="1028" max="1028" width="11.42578125" style="3"/>
    <col min="1029" max="1029" width="13.42578125" style="3" customWidth="1"/>
    <col min="1030" max="1030" width="12.7109375" style="3" customWidth="1"/>
    <col min="1031" max="1031" width="14" style="3" customWidth="1"/>
    <col min="1032" max="1032" width="7.42578125" style="3" customWidth="1"/>
    <col min="1033" max="1280" width="11.42578125" style="3"/>
    <col min="1281" max="1281" width="15.85546875" style="3" customWidth="1"/>
    <col min="1282" max="1282" width="14.85546875" style="3" customWidth="1"/>
    <col min="1283" max="1283" width="13.28515625" style="3" customWidth="1"/>
    <col min="1284" max="1284" width="11.42578125" style="3"/>
    <col min="1285" max="1285" width="13.42578125" style="3" customWidth="1"/>
    <col min="1286" max="1286" width="12.7109375" style="3" customWidth="1"/>
    <col min="1287" max="1287" width="14" style="3" customWidth="1"/>
    <col min="1288" max="1288" width="7.42578125" style="3" customWidth="1"/>
    <col min="1289" max="1536" width="11.42578125" style="3"/>
    <col min="1537" max="1537" width="15.85546875" style="3" customWidth="1"/>
    <col min="1538" max="1538" width="14.85546875" style="3" customWidth="1"/>
    <col min="1539" max="1539" width="13.28515625" style="3" customWidth="1"/>
    <col min="1540" max="1540" width="11.42578125" style="3"/>
    <col min="1541" max="1541" width="13.42578125" style="3" customWidth="1"/>
    <col min="1542" max="1542" width="12.7109375" style="3" customWidth="1"/>
    <col min="1543" max="1543" width="14" style="3" customWidth="1"/>
    <col min="1544" max="1544" width="7.42578125" style="3" customWidth="1"/>
    <col min="1545" max="1792" width="11.42578125" style="3"/>
    <col min="1793" max="1793" width="15.85546875" style="3" customWidth="1"/>
    <col min="1794" max="1794" width="14.85546875" style="3" customWidth="1"/>
    <col min="1795" max="1795" width="13.28515625" style="3" customWidth="1"/>
    <col min="1796" max="1796" width="11.42578125" style="3"/>
    <col min="1797" max="1797" width="13.42578125" style="3" customWidth="1"/>
    <col min="1798" max="1798" width="12.7109375" style="3" customWidth="1"/>
    <col min="1799" max="1799" width="14" style="3" customWidth="1"/>
    <col min="1800" max="1800" width="7.42578125" style="3" customWidth="1"/>
    <col min="1801" max="2048" width="11.42578125" style="3"/>
    <col min="2049" max="2049" width="15.85546875" style="3" customWidth="1"/>
    <col min="2050" max="2050" width="14.85546875" style="3" customWidth="1"/>
    <col min="2051" max="2051" width="13.28515625" style="3" customWidth="1"/>
    <col min="2052" max="2052" width="11.42578125" style="3"/>
    <col min="2053" max="2053" width="13.42578125" style="3" customWidth="1"/>
    <col min="2054" max="2054" width="12.7109375" style="3" customWidth="1"/>
    <col min="2055" max="2055" width="14" style="3" customWidth="1"/>
    <col min="2056" max="2056" width="7.42578125" style="3" customWidth="1"/>
    <col min="2057" max="2304" width="11.42578125" style="3"/>
    <col min="2305" max="2305" width="15.85546875" style="3" customWidth="1"/>
    <col min="2306" max="2306" width="14.85546875" style="3" customWidth="1"/>
    <col min="2307" max="2307" width="13.28515625" style="3" customWidth="1"/>
    <col min="2308" max="2308" width="11.42578125" style="3"/>
    <col min="2309" max="2309" width="13.42578125" style="3" customWidth="1"/>
    <col min="2310" max="2310" width="12.7109375" style="3" customWidth="1"/>
    <col min="2311" max="2311" width="14" style="3" customWidth="1"/>
    <col min="2312" max="2312" width="7.42578125" style="3" customWidth="1"/>
    <col min="2313" max="2560" width="11.42578125" style="3"/>
    <col min="2561" max="2561" width="15.85546875" style="3" customWidth="1"/>
    <col min="2562" max="2562" width="14.85546875" style="3" customWidth="1"/>
    <col min="2563" max="2563" width="13.28515625" style="3" customWidth="1"/>
    <col min="2564" max="2564" width="11.42578125" style="3"/>
    <col min="2565" max="2565" width="13.42578125" style="3" customWidth="1"/>
    <col min="2566" max="2566" width="12.7109375" style="3" customWidth="1"/>
    <col min="2567" max="2567" width="14" style="3" customWidth="1"/>
    <col min="2568" max="2568" width="7.42578125" style="3" customWidth="1"/>
    <col min="2569" max="2816" width="11.42578125" style="3"/>
    <col min="2817" max="2817" width="15.85546875" style="3" customWidth="1"/>
    <col min="2818" max="2818" width="14.85546875" style="3" customWidth="1"/>
    <col min="2819" max="2819" width="13.28515625" style="3" customWidth="1"/>
    <col min="2820" max="2820" width="11.42578125" style="3"/>
    <col min="2821" max="2821" width="13.42578125" style="3" customWidth="1"/>
    <col min="2822" max="2822" width="12.7109375" style="3" customWidth="1"/>
    <col min="2823" max="2823" width="14" style="3" customWidth="1"/>
    <col min="2824" max="2824" width="7.42578125" style="3" customWidth="1"/>
    <col min="2825" max="3072" width="11.42578125" style="3"/>
    <col min="3073" max="3073" width="15.85546875" style="3" customWidth="1"/>
    <col min="3074" max="3074" width="14.85546875" style="3" customWidth="1"/>
    <col min="3075" max="3075" width="13.28515625" style="3" customWidth="1"/>
    <col min="3076" max="3076" width="11.42578125" style="3"/>
    <col min="3077" max="3077" width="13.42578125" style="3" customWidth="1"/>
    <col min="3078" max="3078" width="12.7109375" style="3" customWidth="1"/>
    <col min="3079" max="3079" width="14" style="3" customWidth="1"/>
    <col min="3080" max="3080" width="7.42578125" style="3" customWidth="1"/>
    <col min="3081" max="3328" width="11.42578125" style="3"/>
    <col min="3329" max="3329" width="15.85546875" style="3" customWidth="1"/>
    <col min="3330" max="3330" width="14.85546875" style="3" customWidth="1"/>
    <col min="3331" max="3331" width="13.28515625" style="3" customWidth="1"/>
    <col min="3332" max="3332" width="11.42578125" style="3"/>
    <col min="3333" max="3333" width="13.42578125" style="3" customWidth="1"/>
    <col min="3334" max="3334" width="12.7109375" style="3" customWidth="1"/>
    <col min="3335" max="3335" width="14" style="3" customWidth="1"/>
    <col min="3336" max="3336" width="7.42578125" style="3" customWidth="1"/>
    <col min="3337" max="3584" width="11.42578125" style="3"/>
    <col min="3585" max="3585" width="15.85546875" style="3" customWidth="1"/>
    <col min="3586" max="3586" width="14.85546875" style="3" customWidth="1"/>
    <col min="3587" max="3587" width="13.28515625" style="3" customWidth="1"/>
    <col min="3588" max="3588" width="11.42578125" style="3"/>
    <col min="3589" max="3589" width="13.42578125" style="3" customWidth="1"/>
    <col min="3590" max="3590" width="12.7109375" style="3" customWidth="1"/>
    <col min="3591" max="3591" width="14" style="3" customWidth="1"/>
    <col min="3592" max="3592" width="7.42578125" style="3" customWidth="1"/>
    <col min="3593" max="3840" width="11.42578125" style="3"/>
    <col min="3841" max="3841" width="15.85546875" style="3" customWidth="1"/>
    <col min="3842" max="3842" width="14.85546875" style="3" customWidth="1"/>
    <col min="3843" max="3843" width="13.28515625" style="3" customWidth="1"/>
    <col min="3844" max="3844" width="11.42578125" style="3"/>
    <col min="3845" max="3845" width="13.42578125" style="3" customWidth="1"/>
    <col min="3846" max="3846" width="12.7109375" style="3" customWidth="1"/>
    <col min="3847" max="3847" width="14" style="3" customWidth="1"/>
    <col min="3848" max="3848" width="7.42578125" style="3" customWidth="1"/>
    <col min="3849" max="4096" width="11.42578125" style="3"/>
    <col min="4097" max="4097" width="15.85546875" style="3" customWidth="1"/>
    <col min="4098" max="4098" width="14.85546875" style="3" customWidth="1"/>
    <col min="4099" max="4099" width="13.28515625" style="3" customWidth="1"/>
    <col min="4100" max="4100" width="11.42578125" style="3"/>
    <col min="4101" max="4101" width="13.42578125" style="3" customWidth="1"/>
    <col min="4102" max="4102" width="12.7109375" style="3" customWidth="1"/>
    <col min="4103" max="4103" width="14" style="3" customWidth="1"/>
    <col min="4104" max="4104" width="7.42578125" style="3" customWidth="1"/>
    <col min="4105" max="4352" width="11.42578125" style="3"/>
    <col min="4353" max="4353" width="15.85546875" style="3" customWidth="1"/>
    <col min="4354" max="4354" width="14.85546875" style="3" customWidth="1"/>
    <col min="4355" max="4355" width="13.28515625" style="3" customWidth="1"/>
    <col min="4356" max="4356" width="11.42578125" style="3"/>
    <col min="4357" max="4357" width="13.42578125" style="3" customWidth="1"/>
    <col min="4358" max="4358" width="12.7109375" style="3" customWidth="1"/>
    <col min="4359" max="4359" width="14" style="3" customWidth="1"/>
    <col min="4360" max="4360" width="7.42578125" style="3" customWidth="1"/>
    <col min="4361" max="4608" width="11.42578125" style="3"/>
    <col min="4609" max="4609" width="15.85546875" style="3" customWidth="1"/>
    <col min="4610" max="4610" width="14.85546875" style="3" customWidth="1"/>
    <col min="4611" max="4611" width="13.28515625" style="3" customWidth="1"/>
    <col min="4612" max="4612" width="11.42578125" style="3"/>
    <col min="4613" max="4613" width="13.42578125" style="3" customWidth="1"/>
    <col min="4614" max="4614" width="12.7109375" style="3" customWidth="1"/>
    <col min="4615" max="4615" width="14" style="3" customWidth="1"/>
    <col min="4616" max="4616" width="7.42578125" style="3" customWidth="1"/>
    <col min="4617" max="4864" width="11.42578125" style="3"/>
    <col min="4865" max="4865" width="15.85546875" style="3" customWidth="1"/>
    <col min="4866" max="4866" width="14.85546875" style="3" customWidth="1"/>
    <col min="4867" max="4867" width="13.28515625" style="3" customWidth="1"/>
    <col min="4868" max="4868" width="11.42578125" style="3"/>
    <col min="4869" max="4869" width="13.42578125" style="3" customWidth="1"/>
    <col min="4870" max="4870" width="12.7109375" style="3" customWidth="1"/>
    <col min="4871" max="4871" width="14" style="3" customWidth="1"/>
    <col min="4872" max="4872" width="7.42578125" style="3" customWidth="1"/>
    <col min="4873" max="5120" width="11.42578125" style="3"/>
    <col min="5121" max="5121" width="15.85546875" style="3" customWidth="1"/>
    <col min="5122" max="5122" width="14.85546875" style="3" customWidth="1"/>
    <col min="5123" max="5123" width="13.28515625" style="3" customWidth="1"/>
    <col min="5124" max="5124" width="11.42578125" style="3"/>
    <col min="5125" max="5125" width="13.42578125" style="3" customWidth="1"/>
    <col min="5126" max="5126" width="12.7109375" style="3" customWidth="1"/>
    <col min="5127" max="5127" width="14" style="3" customWidth="1"/>
    <col min="5128" max="5128" width="7.42578125" style="3" customWidth="1"/>
    <col min="5129" max="5376" width="11.42578125" style="3"/>
    <col min="5377" max="5377" width="15.85546875" style="3" customWidth="1"/>
    <col min="5378" max="5378" width="14.85546875" style="3" customWidth="1"/>
    <col min="5379" max="5379" width="13.28515625" style="3" customWidth="1"/>
    <col min="5380" max="5380" width="11.42578125" style="3"/>
    <col min="5381" max="5381" width="13.42578125" style="3" customWidth="1"/>
    <col min="5382" max="5382" width="12.7109375" style="3" customWidth="1"/>
    <col min="5383" max="5383" width="14" style="3" customWidth="1"/>
    <col min="5384" max="5384" width="7.42578125" style="3" customWidth="1"/>
    <col min="5385" max="5632" width="11.42578125" style="3"/>
    <col min="5633" max="5633" width="15.85546875" style="3" customWidth="1"/>
    <col min="5634" max="5634" width="14.85546875" style="3" customWidth="1"/>
    <col min="5635" max="5635" width="13.28515625" style="3" customWidth="1"/>
    <col min="5636" max="5636" width="11.42578125" style="3"/>
    <col min="5637" max="5637" width="13.42578125" style="3" customWidth="1"/>
    <col min="5638" max="5638" width="12.7109375" style="3" customWidth="1"/>
    <col min="5639" max="5639" width="14" style="3" customWidth="1"/>
    <col min="5640" max="5640" width="7.42578125" style="3" customWidth="1"/>
    <col min="5641" max="5888" width="11.42578125" style="3"/>
    <col min="5889" max="5889" width="15.85546875" style="3" customWidth="1"/>
    <col min="5890" max="5890" width="14.85546875" style="3" customWidth="1"/>
    <col min="5891" max="5891" width="13.28515625" style="3" customWidth="1"/>
    <col min="5892" max="5892" width="11.42578125" style="3"/>
    <col min="5893" max="5893" width="13.42578125" style="3" customWidth="1"/>
    <col min="5894" max="5894" width="12.7109375" style="3" customWidth="1"/>
    <col min="5895" max="5895" width="14" style="3" customWidth="1"/>
    <col min="5896" max="5896" width="7.42578125" style="3" customWidth="1"/>
    <col min="5897" max="6144" width="11.42578125" style="3"/>
    <col min="6145" max="6145" width="15.85546875" style="3" customWidth="1"/>
    <col min="6146" max="6146" width="14.85546875" style="3" customWidth="1"/>
    <col min="6147" max="6147" width="13.28515625" style="3" customWidth="1"/>
    <col min="6148" max="6148" width="11.42578125" style="3"/>
    <col min="6149" max="6149" width="13.42578125" style="3" customWidth="1"/>
    <col min="6150" max="6150" width="12.7109375" style="3" customWidth="1"/>
    <col min="6151" max="6151" width="14" style="3" customWidth="1"/>
    <col min="6152" max="6152" width="7.42578125" style="3" customWidth="1"/>
    <col min="6153" max="6400" width="11.42578125" style="3"/>
    <col min="6401" max="6401" width="15.85546875" style="3" customWidth="1"/>
    <col min="6402" max="6402" width="14.85546875" style="3" customWidth="1"/>
    <col min="6403" max="6403" width="13.28515625" style="3" customWidth="1"/>
    <col min="6404" max="6404" width="11.42578125" style="3"/>
    <col min="6405" max="6405" width="13.42578125" style="3" customWidth="1"/>
    <col min="6406" max="6406" width="12.7109375" style="3" customWidth="1"/>
    <col min="6407" max="6407" width="14" style="3" customWidth="1"/>
    <col min="6408" max="6408" width="7.42578125" style="3" customWidth="1"/>
    <col min="6409" max="6656" width="11.42578125" style="3"/>
    <col min="6657" max="6657" width="15.85546875" style="3" customWidth="1"/>
    <col min="6658" max="6658" width="14.85546875" style="3" customWidth="1"/>
    <col min="6659" max="6659" width="13.28515625" style="3" customWidth="1"/>
    <col min="6660" max="6660" width="11.42578125" style="3"/>
    <col min="6661" max="6661" width="13.42578125" style="3" customWidth="1"/>
    <col min="6662" max="6662" width="12.7109375" style="3" customWidth="1"/>
    <col min="6663" max="6663" width="14" style="3" customWidth="1"/>
    <col min="6664" max="6664" width="7.42578125" style="3" customWidth="1"/>
    <col min="6665" max="6912" width="11.42578125" style="3"/>
    <col min="6913" max="6913" width="15.85546875" style="3" customWidth="1"/>
    <col min="6914" max="6914" width="14.85546875" style="3" customWidth="1"/>
    <col min="6915" max="6915" width="13.28515625" style="3" customWidth="1"/>
    <col min="6916" max="6916" width="11.42578125" style="3"/>
    <col min="6917" max="6917" width="13.42578125" style="3" customWidth="1"/>
    <col min="6918" max="6918" width="12.7109375" style="3" customWidth="1"/>
    <col min="6919" max="6919" width="14" style="3" customWidth="1"/>
    <col min="6920" max="6920" width="7.42578125" style="3" customWidth="1"/>
    <col min="6921" max="7168" width="11.42578125" style="3"/>
    <col min="7169" max="7169" width="15.85546875" style="3" customWidth="1"/>
    <col min="7170" max="7170" width="14.85546875" style="3" customWidth="1"/>
    <col min="7171" max="7171" width="13.28515625" style="3" customWidth="1"/>
    <col min="7172" max="7172" width="11.42578125" style="3"/>
    <col min="7173" max="7173" width="13.42578125" style="3" customWidth="1"/>
    <col min="7174" max="7174" width="12.7109375" style="3" customWidth="1"/>
    <col min="7175" max="7175" width="14" style="3" customWidth="1"/>
    <col min="7176" max="7176" width="7.42578125" style="3" customWidth="1"/>
    <col min="7177" max="7424" width="11.42578125" style="3"/>
    <col min="7425" max="7425" width="15.85546875" style="3" customWidth="1"/>
    <col min="7426" max="7426" width="14.85546875" style="3" customWidth="1"/>
    <col min="7427" max="7427" width="13.28515625" style="3" customWidth="1"/>
    <col min="7428" max="7428" width="11.42578125" style="3"/>
    <col min="7429" max="7429" width="13.42578125" style="3" customWidth="1"/>
    <col min="7430" max="7430" width="12.7109375" style="3" customWidth="1"/>
    <col min="7431" max="7431" width="14" style="3" customWidth="1"/>
    <col min="7432" max="7432" width="7.42578125" style="3" customWidth="1"/>
    <col min="7433" max="7680" width="11.42578125" style="3"/>
    <col min="7681" max="7681" width="15.85546875" style="3" customWidth="1"/>
    <col min="7682" max="7682" width="14.85546875" style="3" customWidth="1"/>
    <col min="7683" max="7683" width="13.28515625" style="3" customWidth="1"/>
    <col min="7684" max="7684" width="11.42578125" style="3"/>
    <col min="7685" max="7685" width="13.42578125" style="3" customWidth="1"/>
    <col min="7686" max="7686" width="12.7109375" style="3" customWidth="1"/>
    <col min="7687" max="7687" width="14" style="3" customWidth="1"/>
    <col min="7688" max="7688" width="7.42578125" style="3" customWidth="1"/>
    <col min="7689" max="7936" width="11.42578125" style="3"/>
    <col min="7937" max="7937" width="15.85546875" style="3" customWidth="1"/>
    <col min="7938" max="7938" width="14.85546875" style="3" customWidth="1"/>
    <col min="7939" max="7939" width="13.28515625" style="3" customWidth="1"/>
    <col min="7940" max="7940" width="11.42578125" style="3"/>
    <col min="7941" max="7941" width="13.42578125" style="3" customWidth="1"/>
    <col min="7942" max="7942" width="12.7109375" style="3" customWidth="1"/>
    <col min="7943" max="7943" width="14" style="3" customWidth="1"/>
    <col min="7944" max="7944" width="7.42578125" style="3" customWidth="1"/>
    <col min="7945" max="8192" width="11.42578125" style="3"/>
    <col min="8193" max="8193" width="15.85546875" style="3" customWidth="1"/>
    <col min="8194" max="8194" width="14.85546875" style="3" customWidth="1"/>
    <col min="8195" max="8195" width="13.28515625" style="3" customWidth="1"/>
    <col min="8196" max="8196" width="11.42578125" style="3"/>
    <col min="8197" max="8197" width="13.42578125" style="3" customWidth="1"/>
    <col min="8198" max="8198" width="12.7109375" style="3" customWidth="1"/>
    <col min="8199" max="8199" width="14" style="3" customWidth="1"/>
    <col min="8200" max="8200" width="7.42578125" style="3" customWidth="1"/>
    <col min="8201" max="8448" width="11.42578125" style="3"/>
    <col min="8449" max="8449" width="15.85546875" style="3" customWidth="1"/>
    <col min="8450" max="8450" width="14.85546875" style="3" customWidth="1"/>
    <col min="8451" max="8451" width="13.28515625" style="3" customWidth="1"/>
    <col min="8452" max="8452" width="11.42578125" style="3"/>
    <col min="8453" max="8453" width="13.42578125" style="3" customWidth="1"/>
    <col min="8454" max="8454" width="12.7109375" style="3" customWidth="1"/>
    <col min="8455" max="8455" width="14" style="3" customWidth="1"/>
    <col min="8456" max="8456" width="7.42578125" style="3" customWidth="1"/>
    <col min="8457" max="8704" width="11.42578125" style="3"/>
    <col min="8705" max="8705" width="15.85546875" style="3" customWidth="1"/>
    <col min="8706" max="8706" width="14.85546875" style="3" customWidth="1"/>
    <col min="8707" max="8707" width="13.28515625" style="3" customWidth="1"/>
    <col min="8708" max="8708" width="11.42578125" style="3"/>
    <col min="8709" max="8709" width="13.42578125" style="3" customWidth="1"/>
    <col min="8710" max="8710" width="12.7109375" style="3" customWidth="1"/>
    <col min="8711" max="8711" width="14" style="3" customWidth="1"/>
    <col min="8712" max="8712" width="7.42578125" style="3" customWidth="1"/>
    <col min="8713" max="8960" width="11.42578125" style="3"/>
    <col min="8961" max="8961" width="15.85546875" style="3" customWidth="1"/>
    <col min="8962" max="8962" width="14.85546875" style="3" customWidth="1"/>
    <col min="8963" max="8963" width="13.28515625" style="3" customWidth="1"/>
    <col min="8964" max="8964" width="11.42578125" style="3"/>
    <col min="8965" max="8965" width="13.42578125" style="3" customWidth="1"/>
    <col min="8966" max="8966" width="12.7109375" style="3" customWidth="1"/>
    <col min="8967" max="8967" width="14" style="3" customWidth="1"/>
    <col min="8968" max="8968" width="7.42578125" style="3" customWidth="1"/>
    <col min="8969" max="9216" width="11.42578125" style="3"/>
    <col min="9217" max="9217" width="15.85546875" style="3" customWidth="1"/>
    <col min="9218" max="9218" width="14.85546875" style="3" customWidth="1"/>
    <col min="9219" max="9219" width="13.28515625" style="3" customWidth="1"/>
    <col min="9220" max="9220" width="11.42578125" style="3"/>
    <col min="9221" max="9221" width="13.42578125" style="3" customWidth="1"/>
    <col min="9222" max="9222" width="12.7109375" style="3" customWidth="1"/>
    <col min="9223" max="9223" width="14" style="3" customWidth="1"/>
    <col min="9224" max="9224" width="7.42578125" style="3" customWidth="1"/>
    <col min="9225" max="9472" width="11.42578125" style="3"/>
    <col min="9473" max="9473" width="15.85546875" style="3" customWidth="1"/>
    <col min="9474" max="9474" width="14.85546875" style="3" customWidth="1"/>
    <col min="9475" max="9475" width="13.28515625" style="3" customWidth="1"/>
    <col min="9476" max="9476" width="11.42578125" style="3"/>
    <col min="9477" max="9477" width="13.42578125" style="3" customWidth="1"/>
    <col min="9478" max="9478" width="12.7109375" style="3" customWidth="1"/>
    <col min="9479" max="9479" width="14" style="3" customWidth="1"/>
    <col min="9480" max="9480" width="7.42578125" style="3" customWidth="1"/>
    <col min="9481" max="9728" width="11.42578125" style="3"/>
    <col min="9729" max="9729" width="15.85546875" style="3" customWidth="1"/>
    <col min="9730" max="9730" width="14.85546875" style="3" customWidth="1"/>
    <col min="9731" max="9731" width="13.28515625" style="3" customWidth="1"/>
    <col min="9732" max="9732" width="11.42578125" style="3"/>
    <col min="9733" max="9733" width="13.42578125" style="3" customWidth="1"/>
    <col min="9734" max="9734" width="12.7109375" style="3" customWidth="1"/>
    <col min="9735" max="9735" width="14" style="3" customWidth="1"/>
    <col min="9736" max="9736" width="7.42578125" style="3" customWidth="1"/>
    <col min="9737" max="9984" width="11.42578125" style="3"/>
    <col min="9985" max="9985" width="15.85546875" style="3" customWidth="1"/>
    <col min="9986" max="9986" width="14.85546875" style="3" customWidth="1"/>
    <col min="9987" max="9987" width="13.28515625" style="3" customWidth="1"/>
    <col min="9988" max="9988" width="11.42578125" style="3"/>
    <col min="9989" max="9989" width="13.42578125" style="3" customWidth="1"/>
    <col min="9990" max="9990" width="12.7109375" style="3" customWidth="1"/>
    <col min="9991" max="9991" width="14" style="3" customWidth="1"/>
    <col min="9992" max="9992" width="7.42578125" style="3" customWidth="1"/>
    <col min="9993" max="10240" width="11.42578125" style="3"/>
    <col min="10241" max="10241" width="15.85546875" style="3" customWidth="1"/>
    <col min="10242" max="10242" width="14.85546875" style="3" customWidth="1"/>
    <col min="10243" max="10243" width="13.28515625" style="3" customWidth="1"/>
    <col min="10244" max="10244" width="11.42578125" style="3"/>
    <col min="10245" max="10245" width="13.42578125" style="3" customWidth="1"/>
    <col min="10246" max="10246" width="12.7109375" style="3" customWidth="1"/>
    <col min="10247" max="10247" width="14" style="3" customWidth="1"/>
    <col min="10248" max="10248" width="7.42578125" style="3" customWidth="1"/>
    <col min="10249" max="10496" width="11.42578125" style="3"/>
    <col min="10497" max="10497" width="15.85546875" style="3" customWidth="1"/>
    <col min="10498" max="10498" width="14.85546875" style="3" customWidth="1"/>
    <col min="10499" max="10499" width="13.28515625" style="3" customWidth="1"/>
    <col min="10500" max="10500" width="11.42578125" style="3"/>
    <col min="10501" max="10501" width="13.42578125" style="3" customWidth="1"/>
    <col min="10502" max="10502" width="12.7109375" style="3" customWidth="1"/>
    <col min="10503" max="10503" width="14" style="3" customWidth="1"/>
    <col min="10504" max="10504" width="7.42578125" style="3" customWidth="1"/>
    <col min="10505" max="10752" width="11.42578125" style="3"/>
    <col min="10753" max="10753" width="15.85546875" style="3" customWidth="1"/>
    <col min="10754" max="10754" width="14.85546875" style="3" customWidth="1"/>
    <col min="10755" max="10755" width="13.28515625" style="3" customWidth="1"/>
    <col min="10756" max="10756" width="11.42578125" style="3"/>
    <col min="10757" max="10757" width="13.42578125" style="3" customWidth="1"/>
    <col min="10758" max="10758" width="12.7109375" style="3" customWidth="1"/>
    <col min="10759" max="10759" width="14" style="3" customWidth="1"/>
    <col min="10760" max="10760" width="7.42578125" style="3" customWidth="1"/>
    <col min="10761" max="11008" width="11.42578125" style="3"/>
    <col min="11009" max="11009" width="15.85546875" style="3" customWidth="1"/>
    <col min="11010" max="11010" width="14.85546875" style="3" customWidth="1"/>
    <col min="11011" max="11011" width="13.28515625" style="3" customWidth="1"/>
    <col min="11012" max="11012" width="11.42578125" style="3"/>
    <col min="11013" max="11013" width="13.42578125" style="3" customWidth="1"/>
    <col min="11014" max="11014" width="12.7109375" style="3" customWidth="1"/>
    <col min="11015" max="11015" width="14" style="3" customWidth="1"/>
    <col min="11016" max="11016" width="7.42578125" style="3" customWidth="1"/>
    <col min="11017" max="11264" width="11.42578125" style="3"/>
    <col min="11265" max="11265" width="15.85546875" style="3" customWidth="1"/>
    <col min="11266" max="11266" width="14.85546875" style="3" customWidth="1"/>
    <col min="11267" max="11267" width="13.28515625" style="3" customWidth="1"/>
    <col min="11268" max="11268" width="11.42578125" style="3"/>
    <col min="11269" max="11269" width="13.42578125" style="3" customWidth="1"/>
    <col min="11270" max="11270" width="12.7109375" style="3" customWidth="1"/>
    <col min="11271" max="11271" width="14" style="3" customWidth="1"/>
    <col min="11272" max="11272" width="7.42578125" style="3" customWidth="1"/>
    <col min="11273" max="11520" width="11.42578125" style="3"/>
    <col min="11521" max="11521" width="15.85546875" style="3" customWidth="1"/>
    <col min="11522" max="11522" width="14.85546875" style="3" customWidth="1"/>
    <col min="11523" max="11523" width="13.28515625" style="3" customWidth="1"/>
    <col min="11524" max="11524" width="11.42578125" style="3"/>
    <col min="11525" max="11525" width="13.42578125" style="3" customWidth="1"/>
    <col min="11526" max="11526" width="12.7109375" style="3" customWidth="1"/>
    <col min="11527" max="11527" width="14" style="3" customWidth="1"/>
    <col min="11528" max="11528" width="7.42578125" style="3" customWidth="1"/>
    <col min="11529" max="11776" width="11.42578125" style="3"/>
    <col min="11777" max="11777" width="15.85546875" style="3" customWidth="1"/>
    <col min="11778" max="11778" width="14.85546875" style="3" customWidth="1"/>
    <col min="11779" max="11779" width="13.28515625" style="3" customWidth="1"/>
    <col min="11780" max="11780" width="11.42578125" style="3"/>
    <col min="11781" max="11781" width="13.42578125" style="3" customWidth="1"/>
    <col min="11782" max="11782" width="12.7109375" style="3" customWidth="1"/>
    <col min="11783" max="11783" width="14" style="3" customWidth="1"/>
    <col min="11784" max="11784" width="7.42578125" style="3" customWidth="1"/>
    <col min="11785" max="12032" width="11.42578125" style="3"/>
    <col min="12033" max="12033" width="15.85546875" style="3" customWidth="1"/>
    <col min="12034" max="12034" width="14.85546875" style="3" customWidth="1"/>
    <col min="12035" max="12035" width="13.28515625" style="3" customWidth="1"/>
    <col min="12036" max="12036" width="11.42578125" style="3"/>
    <col min="12037" max="12037" width="13.42578125" style="3" customWidth="1"/>
    <col min="12038" max="12038" width="12.7109375" style="3" customWidth="1"/>
    <col min="12039" max="12039" width="14" style="3" customWidth="1"/>
    <col min="12040" max="12040" width="7.42578125" style="3" customWidth="1"/>
    <col min="12041" max="12288" width="11.42578125" style="3"/>
    <col min="12289" max="12289" width="15.85546875" style="3" customWidth="1"/>
    <col min="12290" max="12290" width="14.85546875" style="3" customWidth="1"/>
    <col min="12291" max="12291" width="13.28515625" style="3" customWidth="1"/>
    <col min="12292" max="12292" width="11.42578125" style="3"/>
    <col min="12293" max="12293" width="13.42578125" style="3" customWidth="1"/>
    <col min="12294" max="12294" width="12.7109375" style="3" customWidth="1"/>
    <col min="12295" max="12295" width="14" style="3" customWidth="1"/>
    <col min="12296" max="12296" width="7.42578125" style="3" customWidth="1"/>
    <col min="12297" max="12544" width="11.42578125" style="3"/>
    <col min="12545" max="12545" width="15.85546875" style="3" customWidth="1"/>
    <col min="12546" max="12546" width="14.85546875" style="3" customWidth="1"/>
    <col min="12547" max="12547" width="13.28515625" style="3" customWidth="1"/>
    <col min="12548" max="12548" width="11.42578125" style="3"/>
    <col min="12549" max="12549" width="13.42578125" style="3" customWidth="1"/>
    <col min="12550" max="12550" width="12.7109375" style="3" customWidth="1"/>
    <col min="12551" max="12551" width="14" style="3" customWidth="1"/>
    <col min="12552" max="12552" width="7.42578125" style="3" customWidth="1"/>
    <col min="12553" max="12800" width="11.42578125" style="3"/>
    <col min="12801" max="12801" width="15.85546875" style="3" customWidth="1"/>
    <col min="12802" max="12802" width="14.85546875" style="3" customWidth="1"/>
    <col min="12803" max="12803" width="13.28515625" style="3" customWidth="1"/>
    <col min="12804" max="12804" width="11.42578125" style="3"/>
    <col min="12805" max="12805" width="13.42578125" style="3" customWidth="1"/>
    <col min="12806" max="12806" width="12.7109375" style="3" customWidth="1"/>
    <col min="12807" max="12807" width="14" style="3" customWidth="1"/>
    <col min="12808" max="12808" width="7.42578125" style="3" customWidth="1"/>
    <col min="12809" max="13056" width="11.42578125" style="3"/>
    <col min="13057" max="13057" width="15.85546875" style="3" customWidth="1"/>
    <col min="13058" max="13058" width="14.85546875" style="3" customWidth="1"/>
    <col min="13059" max="13059" width="13.28515625" style="3" customWidth="1"/>
    <col min="13060" max="13060" width="11.42578125" style="3"/>
    <col min="13061" max="13061" width="13.42578125" style="3" customWidth="1"/>
    <col min="13062" max="13062" width="12.7109375" style="3" customWidth="1"/>
    <col min="13063" max="13063" width="14" style="3" customWidth="1"/>
    <col min="13064" max="13064" width="7.42578125" style="3" customWidth="1"/>
    <col min="13065" max="13312" width="11.42578125" style="3"/>
    <col min="13313" max="13313" width="15.85546875" style="3" customWidth="1"/>
    <col min="13314" max="13314" width="14.85546875" style="3" customWidth="1"/>
    <col min="13315" max="13315" width="13.28515625" style="3" customWidth="1"/>
    <col min="13316" max="13316" width="11.42578125" style="3"/>
    <col min="13317" max="13317" width="13.42578125" style="3" customWidth="1"/>
    <col min="13318" max="13318" width="12.7109375" style="3" customWidth="1"/>
    <col min="13319" max="13319" width="14" style="3" customWidth="1"/>
    <col min="13320" max="13320" width="7.42578125" style="3" customWidth="1"/>
    <col min="13321" max="13568" width="11.42578125" style="3"/>
    <col min="13569" max="13569" width="15.85546875" style="3" customWidth="1"/>
    <col min="13570" max="13570" width="14.85546875" style="3" customWidth="1"/>
    <col min="13571" max="13571" width="13.28515625" style="3" customWidth="1"/>
    <col min="13572" max="13572" width="11.42578125" style="3"/>
    <col min="13573" max="13573" width="13.42578125" style="3" customWidth="1"/>
    <col min="13574" max="13574" width="12.7109375" style="3" customWidth="1"/>
    <col min="13575" max="13575" width="14" style="3" customWidth="1"/>
    <col min="13576" max="13576" width="7.42578125" style="3" customWidth="1"/>
    <col min="13577" max="13824" width="11.42578125" style="3"/>
    <col min="13825" max="13825" width="15.85546875" style="3" customWidth="1"/>
    <col min="13826" max="13826" width="14.85546875" style="3" customWidth="1"/>
    <col min="13827" max="13827" width="13.28515625" style="3" customWidth="1"/>
    <col min="13828" max="13828" width="11.42578125" style="3"/>
    <col min="13829" max="13829" width="13.42578125" style="3" customWidth="1"/>
    <col min="13830" max="13830" width="12.7109375" style="3" customWidth="1"/>
    <col min="13831" max="13831" width="14" style="3" customWidth="1"/>
    <col min="13832" max="13832" width="7.42578125" style="3" customWidth="1"/>
    <col min="13833" max="14080" width="11.42578125" style="3"/>
    <col min="14081" max="14081" width="15.85546875" style="3" customWidth="1"/>
    <col min="14082" max="14082" width="14.85546875" style="3" customWidth="1"/>
    <col min="14083" max="14083" width="13.28515625" style="3" customWidth="1"/>
    <col min="14084" max="14084" width="11.42578125" style="3"/>
    <col min="14085" max="14085" width="13.42578125" style="3" customWidth="1"/>
    <col min="14086" max="14086" width="12.7109375" style="3" customWidth="1"/>
    <col min="14087" max="14087" width="14" style="3" customWidth="1"/>
    <col min="14088" max="14088" width="7.42578125" style="3" customWidth="1"/>
    <col min="14089" max="14336" width="11.42578125" style="3"/>
    <col min="14337" max="14337" width="15.85546875" style="3" customWidth="1"/>
    <col min="14338" max="14338" width="14.85546875" style="3" customWidth="1"/>
    <col min="14339" max="14339" width="13.28515625" style="3" customWidth="1"/>
    <col min="14340" max="14340" width="11.42578125" style="3"/>
    <col min="14341" max="14341" width="13.42578125" style="3" customWidth="1"/>
    <col min="14342" max="14342" width="12.7109375" style="3" customWidth="1"/>
    <col min="14343" max="14343" width="14" style="3" customWidth="1"/>
    <col min="14344" max="14344" width="7.42578125" style="3" customWidth="1"/>
    <col min="14345" max="14592" width="11.42578125" style="3"/>
    <col min="14593" max="14593" width="15.85546875" style="3" customWidth="1"/>
    <col min="14594" max="14594" width="14.85546875" style="3" customWidth="1"/>
    <col min="14595" max="14595" width="13.28515625" style="3" customWidth="1"/>
    <col min="14596" max="14596" width="11.42578125" style="3"/>
    <col min="14597" max="14597" width="13.42578125" style="3" customWidth="1"/>
    <col min="14598" max="14598" width="12.7109375" style="3" customWidth="1"/>
    <col min="14599" max="14599" width="14" style="3" customWidth="1"/>
    <col min="14600" max="14600" width="7.42578125" style="3" customWidth="1"/>
    <col min="14601" max="14848" width="11.42578125" style="3"/>
    <col min="14849" max="14849" width="15.85546875" style="3" customWidth="1"/>
    <col min="14850" max="14850" width="14.85546875" style="3" customWidth="1"/>
    <col min="14851" max="14851" width="13.28515625" style="3" customWidth="1"/>
    <col min="14852" max="14852" width="11.42578125" style="3"/>
    <col min="14853" max="14853" width="13.42578125" style="3" customWidth="1"/>
    <col min="14854" max="14854" width="12.7109375" style="3" customWidth="1"/>
    <col min="14855" max="14855" width="14" style="3" customWidth="1"/>
    <col min="14856" max="14856" width="7.42578125" style="3" customWidth="1"/>
    <col min="14857" max="15104" width="11.42578125" style="3"/>
    <col min="15105" max="15105" width="15.85546875" style="3" customWidth="1"/>
    <col min="15106" max="15106" width="14.85546875" style="3" customWidth="1"/>
    <col min="15107" max="15107" width="13.28515625" style="3" customWidth="1"/>
    <col min="15108" max="15108" width="11.42578125" style="3"/>
    <col min="15109" max="15109" width="13.42578125" style="3" customWidth="1"/>
    <col min="15110" max="15110" width="12.7109375" style="3" customWidth="1"/>
    <col min="15111" max="15111" width="14" style="3" customWidth="1"/>
    <col min="15112" max="15112" width="7.42578125" style="3" customWidth="1"/>
    <col min="15113" max="15360" width="11.42578125" style="3"/>
    <col min="15361" max="15361" width="15.85546875" style="3" customWidth="1"/>
    <col min="15362" max="15362" width="14.85546875" style="3" customWidth="1"/>
    <col min="15363" max="15363" width="13.28515625" style="3" customWidth="1"/>
    <col min="15364" max="15364" width="11.42578125" style="3"/>
    <col min="15365" max="15365" width="13.42578125" style="3" customWidth="1"/>
    <col min="15366" max="15366" width="12.7109375" style="3" customWidth="1"/>
    <col min="15367" max="15367" width="14" style="3" customWidth="1"/>
    <col min="15368" max="15368" width="7.42578125" style="3" customWidth="1"/>
    <col min="15369" max="15616" width="11.42578125" style="3"/>
    <col min="15617" max="15617" width="15.85546875" style="3" customWidth="1"/>
    <col min="15618" max="15618" width="14.85546875" style="3" customWidth="1"/>
    <col min="15619" max="15619" width="13.28515625" style="3" customWidth="1"/>
    <col min="15620" max="15620" width="11.42578125" style="3"/>
    <col min="15621" max="15621" width="13.42578125" style="3" customWidth="1"/>
    <col min="15622" max="15622" width="12.7109375" style="3" customWidth="1"/>
    <col min="15623" max="15623" width="14" style="3" customWidth="1"/>
    <col min="15624" max="15624" width="7.42578125" style="3" customWidth="1"/>
    <col min="15625" max="15872" width="11.42578125" style="3"/>
    <col min="15873" max="15873" width="15.85546875" style="3" customWidth="1"/>
    <col min="15874" max="15874" width="14.85546875" style="3" customWidth="1"/>
    <col min="15875" max="15875" width="13.28515625" style="3" customWidth="1"/>
    <col min="15876" max="15876" width="11.42578125" style="3"/>
    <col min="15877" max="15877" width="13.42578125" style="3" customWidth="1"/>
    <col min="15878" max="15878" width="12.7109375" style="3" customWidth="1"/>
    <col min="15879" max="15879" width="14" style="3" customWidth="1"/>
    <col min="15880" max="15880" width="7.42578125" style="3" customWidth="1"/>
    <col min="15881" max="16128" width="11.42578125" style="3"/>
    <col min="16129" max="16129" width="15.85546875" style="3" customWidth="1"/>
    <col min="16130" max="16130" width="14.85546875" style="3" customWidth="1"/>
    <col min="16131" max="16131" width="13.28515625" style="3" customWidth="1"/>
    <col min="16132" max="16132" width="11.42578125" style="3"/>
    <col min="16133" max="16133" width="13.42578125" style="3" customWidth="1"/>
    <col min="16134" max="16134" width="12.7109375" style="3" customWidth="1"/>
    <col min="16135" max="16135" width="14" style="3" customWidth="1"/>
    <col min="16136" max="16136" width="7.42578125" style="3" customWidth="1"/>
    <col min="16137" max="16384" width="11.42578125" style="3"/>
  </cols>
  <sheetData>
    <row r="1" spans="1:21" ht="48" customHeight="1">
      <c r="A1" s="1346" t="str">
        <f>PPTO!D3</f>
        <v>PRESUPUESTO
MUNICIPIO EL BAGRE (ANTIOQUIA).</v>
      </c>
      <c r="B1" s="1347"/>
      <c r="C1" s="1347"/>
      <c r="D1" s="1347"/>
      <c r="E1" s="1347"/>
      <c r="F1" s="1347"/>
      <c r="G1" s="1348"/>
      <c r="H1" s="1"/>
      <c r="I1" s="2"/>
    </row>
    <row r="2" spans="1:21" ht="18" customHeight="1">
      <c r="A2" s="1397" t="s">
        <v>16</v>
      </c>
      <c r="B2" s="1363"/>
      <c r="C2" s="1363"/>
      <c r="D2" s="1363"/>
      <c r="E2" s="1363"/>
      <c r="F2" s="1363"/>
      <c r="G2" s="1398"/>
      <c r="H2" s="1"/>
      <c r="I2" s="2"/>
    </row>
    <row r="3" spans="1:21" ht="24" customHeight="1">
      <c r="A3" s="1392" t="str">
        <f>+PPTO!$D$5</f>
        <v>PROYECTO DE MEJORAMIENTO VIAL, ESPACIO PUBLICO Y OBRAS COMPLEMENTARIAS DE LA AVENIDA LA JUVENTUD Y TRAMOS ADYACENTES Y PRIORITARIOS DEL SECTOR URBANO EN EL MUNICIPIO EL BAGRE ANTIOQUIA.</v>
      </c>
      <c r="B3" s="1368"/>
      <c r="C3" s="1368"/>
      <c r="D3" s="1368"/>
      <c r="E3" s="1368"/>
      <c r="F3" s="1368"/>
      <c r="G3" s="1393"/>
      <c r="H3" s="1"/>
      <c r="I3" s="2"/>
    </row>
    <row r="4" spans="1:21" ht="30" customHeight="1">
      <c r="A4" s="1394"/>
      <c r="B4" s="1368"/>
      <c r="C4" s="1368"/>
      <c r="D4" s="1368"/>
      <c r="E4" s="1368"/>
      <c r="F4" s="1368"/>
      <c r="G4" s="1393"/>
      <c r="H4" s="1"/>
      <c r="I4" s="2"/>
    </row>
    <row r="5" spans="1:21" ht="6.75" customHeight="1">
      <c r="A5" s="52"/>
      <c r="B5" s="6"/>
      <c r="C5" s="24"/>
      <c r="D5" s="25"/>
      <c r="E5" s="6"/>
      <c r="F5" s="6"/>
      <c r="G5" s="53"/>
      <c r="H5" s="9"/>
    </row>
    <row r="6" spans="1:21" ht="52.5" customHeight="1">
      <c r="A6" s="368">
        <v>3.1</v>
      </c>
      <c r="B6" s="1349" t="str">
        <f>VLOOKUP(A6,PPTO!D4:I131,2,FALSE)</f>
        <v>Suministro, extendido, conformación y compactación de Sub-base granular.</v>
      </c>
      <c r="C6" s="1350"/>
      <c r="D6" s="1350"/>
      <c r="E6" s="1351"/>
      <c r="F6" s="192" t="s">
        <v>118</v>
      </c>
      <c r="G6" s="248" t="str">
        <f>VLOOKUP(A6,PPTO!D4:I131,3,FALSE)</f>
        <v>m3</v>
      </c>
      <c r="H6" s="9"/>
    </row>
    <row r="7" spans="1:21" ht="3.75" customHeight="1">
      <c r="A7" s="54"/>
      <c r="B7" s="4"/>
      <c r="C7" s="6"/>
      <c r="D7" s="4"/>
      <c r="E7" s="4"/>
      <c r="F7" s="4"/>
      <c r="G7" s="55"/>
      <c r="H7" s="9"/>
    </row>
    <row r="8" spans="1:21" ht="22.5" customHeight="1">
      <c r="A8" s="1395" t="s">
        <v>69</v>
      </c>
      <c r="B8" s="1355"/>
      <c r="C8" s="1355"/>
      <c r="D8" s="1355"/>
      <c r="E8" s="1355"/>
      <c r="F8" s="1355"/>
      <c r="G8" s="1396"/>
      <c r="H8" s="9"/>
    </row>
    <row r="9" spans="1:21" ht="4.5" customHeight="1">
      <c r="A9" s="54"/>
      <c r="B9" s="4"/>
      <c r="C9" s="6"/>
      <c r="D9" s="4"/>
      <c r="E9" s="4"/>
      <c r="F9" s="4"/>
      <c r="G9" s="55"/>
      <c r="H9" s="9"/>
      <c r="I9" s="5"/>
      <c r="J9" s="5"/>
      <c r="K9" s="5"/>
      <c r="L9" s="26"/>
      <c r="M9" s="5"/>
      <c r="N9" s="5"/>
      <c r="O9" s="5"/>
      <c r="P9" s="5"/>
    </row>
    <row r="10" spans="1:21">
      <c r="A10" s="1391" t="s">
        <v>17</v>
      </c>
      <c r="B10" s="1374"/>
      <c r="C10" s="1374"/>
      <c r="D10" s="51" t="s">
        <v>18</v>
      </c>
      <c r="E10" s="51" t="s">
        <v>19</v>
      </c>
      <c r="F10" s="51" t="s">
        <v>20</v>
      </c>
      <c r="G10" s="61" t="s">
        <v>21</v>
      </c>
      <c r="H10" s="27"/>
      <c r="I10" s="28"/>
      <c r="J10" s="29"/>
      <c r="K10" s="30"/>
      <c r="L10" s="30"/>
      <c r="M10" s="30"/>
      <c r="N10" s="30"/>
      <c r="O10" s="30"/>
      <c r="P10" s="5"/>
    </row>
    <row r="11" spans="1:21">
      <c r="A11" s="1389" t="s">
        <v>75</v>
      </c>
      <c r="B11" s="1388"/>
      <c r="C11" s="1388"/>
      <c r="D11" s="751"/>
      <c r="E11" s="394"/>
      <c r="F11" s="395"/>
      <c r="G11" s="753">
        <f>+G39*5%</f>
        <v>117</v>
      </c>
      <c r="H11" s="9"/>
      <c r="I11" s="30"/>
      <c r="J11" s="31"/>
      <c r="K11" s="30"/>
      <c r="L11" s="30"/>
      <c r="M11" s="30"/>
      <c r="N11" s="30"/>
      <c r="O11" s="30"/>
      <c r="P11" s="5"/>
    </row>
    <row r="12" spans="1:21">
      <c r="A12" s="1389" t="s">
        <v>80</v>
      </c>
      <c r="B12" s="1388"/>
      <c r="C12" s="1388"/>
      <c r="D12" s="751" t="s">
        <v>42</v>
      </c>
      <c r="E12" s="424">
        <v>190000</v>
      </c>
      <c r="F12" s="754">
        <f>F35</f>
        <v>100</v>
      </c>
      <c r="G12" s="753">
        <f>+E12/F12</f>
        <v>1900</v>
      </c>
      <c r="H12" s="9"/>
      <c r="I12" s="16"/>
      <c r="J12" s="13"/>
      <c r="K12" s="8"/>
      <c r="L12" s="8"/>
      <c r="M12" s="8"/>
      <c r="N12" s="8"/>
      <c r="O12" s="8"/>
      <c r="P12" s="5"/>
    </row>
    <row r="13" spans="1:21">
      <c r="A13" s="1389" t="s">
        <v>81</v>
      </c>
      <c r="B13" s="1388"/>
      <c r="C13" s="1388"/>
      <c r="D13" s="394" t="s">
        <v>42</v>
      </c>
      <c r="E13" s="424">
        <v>110000</v>
      </c>
      <c r="F13" s="754">
        <f>+F12</f>
        <v>100</v>
      </c>
      <c r="G13" s="753">
        <f>+E13/F13</f>
        <v>1100</v>
      </c>
      <c r="H13" s="9"/>
      <c r="I13" s="13"/>
      <c r="J13" s="13"/>
      <c r="K13" s="13"/>
      <c r="L13" s="13"/>
      <c r="M13" s="13"/>
      <c r="N13" s="13"/>
      <c r="O13" s="13"/>
      <c r="P13" s="5"/>
    </row>
    <row r="14" spans="1:21">
      <c r="A14" s="1389" t="s">
        <v>82</v>
      </c>
      <c r="B14" s="1388"/>
      <c r="C14" s="1388"/>
      <c r="D14" s="394" t="s">
        <v>42</v>
      </c>
      <c r="E14" s="424">
        <v>90000</v>
      </c>
      <c r="F14" s="754">
        <f>+F13</f>
        <v>100</v>
      </c>
      <c r="G14" s="753">
        <f>+E14/F14</f>
        <v>900</v>
      </c>
      <c r="H14" s="9"/>
      <c r="I14" s="8"/>
      <c r="J14" s="14"/>
      <c r="K14" s="32"/>
      <c r="L14" s="14"/>
      <c r="M14" s="15"/>
      <c r="N14" s="15"/>
      <c r="O14" s="19"/>
      <c r="P14" s="5"/>
    </row>
    <row r="15" spans="1:21">
      <c r="A15" s="1390"/>
      <c r="B15" s="1372"/>
      <c r="C15" s="1372"/>
      <c r="D15" s="83"/>
      <c r="E15" s="83"/>
      <c r="F15" s="98"/>
      <c r="G15" s="96"/>
      <c r="H15" s="9"/>
      <c r="I15" s="8"/>
      <c r="J15" s="33"/>
      <c r="K15" s="32"/>
      <c r="L15" s="14"/>
      <c r="M15" s="15"/>
      <c r="N15" s="15"/>
      <c r="O15" s="19"/>
      <c r="P15" s="5"/>
      <c r="Q15" s="5"/>
      <c r="R15" s="5"/>
      <c r="S15" s="5"/>
      <c r="T15" s="5"/>
      <c r="U15" s="5"/>
    </row>
    <row r="16" spans="1:21">
      <c r="A16" s="1390"/>
      <c r="B16" s="1372"/>
      <c r="C16" s="1372"/>
      <c r="D16" s="85" t="s">
        <v>37</v>
      </c>
      <c r="E16" s="50"/>
      <c r="F16" s="49"/>
      <c r="G16" s="86">
        <f>SUM(G11:G15)</f>
        <v>4017</v>
      </c>
      <c r="H16" s="9"/>
      <c r="I16" s="34"/>
      <c r="J16" s="34"/>
      <c r="K16" s="35"/>
      <c r="L16" s="36"/>
      <c r="M16" s="7"/>
      <c r="N16" s="7"/>
      <c r="O16" s="19"/>
      <c r="P16" s="5"/>
      <c r="Q16" s="5"/>
      <c r="R16" s="5"/>
      <c r="S16" s="5"/>
      <c r="T16" s="5"/>
      <c r="U16" s="5"/>
    </row>
    <row r="17" spans="1:21" ht="4.5" customHeight="1">
      <c r="A17" s="54"/>
      <c r="B17" s="4"/>
      <c r="C17" s="6"/>
      <c r="D17" s="4"/>
      <c r="E17" s="4"/>
      <c r="F17" s="4"/>
      <c r="G17" s="55"/>
      <c r="H17" s="9"/>
      <c r="I17" s="34"/>
      <c r="J17" s="34"/>
      <c r="K17" s="35"/>
      <c r="L17" s="36"/>
      <c r="M17" s="7"/>
      <c r="N17" s="7"/>
      <c r="O17" s="19"/>
      <c r="P17" s="5"/>
      <c r="Q17" s="5"/>
      <c r="R17" s="5"/>
      <c r="S17" s="5"/>
      <c r="T17" s="5"/>
      <c r="U17" s="5"/>
    </row>
    <row r="18" spans="1:21" ht="22.5" customHeight="1">
      <c r="A18" s="1395" t="s">
        <v>70</v>
      </c>
      <c r="B18" s="1355"/>
      <c r="C18" s="1355"/>
      <c r="D18" s="1355"/>
      <c r="E18" s="1355"/>
      <c r="F18" s="1355"/>
      <c r="G18" s="1396"/>
      <c r="H18" s="9"/>
    </row>
    <row r="19" spans="1:21" ht="4.5" customHeight="1">
      <c r="A19" s="54"/>
      <c r="B19" s="4"/>
      <c r="C19" s="6"/>
      <c r="D19" s="4"/>
      <c r="E19" s="4"/>
      <c r="F19" s="38"/>
      <c r="G19" s="55"/>
      <c r="H19" s="9"/>
      <c r="I19" s="34"/>
      <c r="J19" s="34"/>
      <c r="K19" s="35"/>
      <c r="L19" s="39"/>
      <c r="M19" s="7"/>
      <c r="N19" s="7"/>
      <c r="O19" s="8"/>
      <c r="P19" s="5"/>
      <c r="Q19" s="5"/>
      <c r="R19" s="5"/>
      <c r="S19" s="5"/>
      <c r="T19" s="5"/>
      <c r="U19" s="5"/>
    </row>
    <row r="20" spans="1:21">
      <c r="A20" s="1391" t="s">
        <v>17</v>
      </c>
      <c r="B20" s="1374"/>
      <c r="C20" s="1374"/>
      <c r="D20" s="51" t="s">
        <v>3</v>
      </c>
      <c r="E20" s="51" t="s">
        <v>4</v>
      </c>
      <c r="F20" s="51" t="s">
        <v>25</v>
      </c>
      <c r="G20" s="61" t="s">
        <v>21</v>
      </c>
      <c r="H20" s="27"/>
      <c r="I20" s="34"/>
      <c r="J20" s="34"/>
      <c r="K20" s="35"/>
      <c r="L20" s="39"/>
      <c r="M20" s="7"/>
      <c r="N20" s="7"/>
      <c r="O20" s="8"/>
      <c r="P20" s="5"/>
      <c r="Q20" s="5"/>
      <c r="R20" s="5"/>
      <c r="S20" s="5"/>
      <c r="T20" s="5"/>
      <c r="U20" s="5"/>
    </row>
    <row r="21" spans="1:21" ht="28.5" customHeight="1">
      <c r="A21" s="1402" t="s">
        <v>83</v>
      </c>
      <c r="B21" s="1403"/>
      <c r="C21" s="1404"/>
      <c r="D21" s="116" t="s">
        <v>44</v>
      </c>
      <c r="E21" s="117">
        <v>1.1499999999999999</v>
      </c>
      <c r="F21" s="91">
        <v>35000</v>
      </c>
      <c r="G21" s="67">
        <f>ROUND(F21*E21,0)</f>
        <v>40250</v>
      </c>
      <c r="H21" s="9"/>
      <c r="I21" s="34"/>
      <c r="J21" s="34"/>
      <c r="K21" s="35"/>
      <c r="L21" s="39"/>
      <c r="M21" s="7"/>
      <c r="N21" s="7"/>
      <c r="O21" s="13"/>
      <c r="P21" s="5"/>
      <c r="Q21" s="5"/>
      <c r="R21" s="5"/>
      <c r="S21" s="5"/>
      <c r="T21" s="5"/>
      <c r="U21" s="5"/>
    </row>
    <row r="22" spans="1:21">
      <c r="A22" s="1405" t="s">
        <v>45</v>
      </c>
      <c r="B22" s="1366"/>
      <c r="C22" s="1366"/>
      <c r="D22" s="76" t="s">
        <v>46</v>
      </c>
      <c r="E22" s="90">
        <v>14.17</v>
      </c>
      <c r="F22" s="83">
        <v>90</v>
      </c>
      <c r="G22" s="67">
        <f>ROUND(F22*E22,0)</f>
        <v>1275</v>
      </c>
      <c r="H22" s="9"/>
      <c r="I22" s="10"/>
      <c r="J22" s="10"/>
      <c r="K22" s="12"/>
      <c r="L22" s="39"/>
      <c r="M22" s="7"/>
      <c r="N22" s="7"/>
      <c r="O22" s="15"/>
      <c r="P22" s="5"/>
      <c r="Q22" s="5"/>
      <c r="R22" s="5"/>
      <c r="S22" s="5"/>
      <c r="T22" s="5"/>
      <c r="U22" s="5"/>
    </row>
    <row r="23" spans="1:21" ht="25.5" customHeight="1">
      <c r="A23" s="1399"/>
      <c r="B23" s="1400"/>
      <c r="C23" s="1401"/>
      <c r="D23" s="73"/>
      <c r="E23" s="90"/>
      <c r="F23" s="83"/>
      <c r="G23" s="67"/>
      <c r="H23" s="9"/>
      <c r="I23" s="10"/>
      <c r="J23" s="10"/>
      <c r="K23" s="12"/>
      <c r="L23" s="39"/>
      <c r="M23" s="7"/>
      <c r="N23" s="7"/>
      <c r="O23" s="15"/>
      <c r="P23" s="5"/>
      <c r="Q23" s="5"/>
      <c r="R23" s="5"/>
      <c r="S23" s="5"/>
      <c r="T23" s="5"/>
      <c r="U23" s="5"/>
    </row>
    <row r="24" spans="1:21">
      <c r="A24" s="1399"/>
      <c r="B24" s="1400"/>
      <c r="C24" s="1401"/>
      <c r="D24" s="73"/>
      <c r="E24" s="90"/>
      <c r="F24" s="83"/>
      <c r="G24" s="67"/>
      <c r="H24" s="9"/>
      <c r="I24" s="10"/>
      <c r="J24" s="10"/>
      <c r="K24" s="12"/>
      <c r="L24" s="39"/>
      <c r="M24" s="7"/>
      <c r="N24" s="7"/>
      <c r="O24" s="15"/>
      <c r="P24" s="5"/>
      <c r="Q24" s="5"/>
      <c r="R24" s="5"/>
      <c r="S24" s="5"/>
      <c r="T24" s="5"/>
      <c r="U24" s="5"/>
    </row>
    <row r="25" spans="1:21">
      <c r="A25" s="1386" t="s">
        <v>131</v>
      </c>
      <c r="B25" s="1353"/>
      <c r="C25" s="1353"/>
      <c r="D25" s="79" t="s">
        <v>132</v>
      </c>
      <c r="E25" s="82">
        <v>73</v>
      </c>
      <c r="F25" s="83">
        <v>1200</v>
      </c>
      <c r="G25" s="67">
        <f>+F25*E25</f>
        <v>87600</v>
      </c>
      <c r="H25" s="9"/>
      <c r="I25" s="10"/>
      <c r="J25" s="40"/>
      <c r="K25" s="12"/>
      <c r="L25" s="13"/>
      <c r="M25" s="14"/>
      <c r="N25" s="14"/>
      <c r="O25" s="15"/>
      <c r="P25" s="5"/>
      <c r="Q25" s="5"/>
      <c r="R25" s="5"/>
      <c r="S25" s="5"/>
      <c r="T25" s="5"/>
      <c r="U25" s="5"/>
    </row>
    <row r="26" spans="1:21">
      <c r="A26" s="1386"/>
      <c r="B26" s="1353"/>
      <c r="C26" s="1353"/>
      <c r="D26" s="81"/>
      <c r="E26" s="82"/>
      <c r="F26" s="83"/>
      <c r="G26" s="67"/>
      <c r="H26" s="9"/>
      <c r="I26" s="10"/>
      <c r="J26" s="11"/>
      <c r="K26" s="12"/>
      <c r="L26" s="13"/>
      <c r="M26" s="14"/>
      <c r="N26" s="14"/>
      <c r="O26" s="15"/>
      <c r="P26" s="5"/>
      <c r="Q26" s="5"/>
      <c r="R26" s="5"/>
      <c r="S26" s="5"/>
      <c r="T26" s="5"/>
      <c r="U26" s="5"/>
    </row>
    <row r="27" spans="1:21">
      <c r="A27" s="1386"/>
      <c r="B27" s="1353"/>
      <c r="C27" s="1353"/>
      <c r="D27" s="79"/>
      <c r="E27" s="82"/>
      <c r="F27" s="83"/>
      <c r="G27" s="67"/>
      <c r="H27" s="9"/>
      <c r="I27" s="10"/>
      <c r="J27" s="11"/>
      <c r="K27" s="12"/>
      <c r="L27" s="13"/>
      <c r="M27" s="14"/>
      <c r="N27" s="14"/>
      <c r="O27" s="15"/>
      <c r="P27" s="5"/>
      <c r="Q27" s="5"/>
      <c r="R27" s="5"/>
      <c r="S27" s="5"/>
      <c r="T27" s="5"/>
      <c r="U27" s="5"/>
    </row>
    <row r="28" spans="1:21">
      <c r="A28" s="1386"/>
      <c r="B28" s="1353"/>
      <c r="C28" s="1353"/>
      <c r="D28" s="79"/>
      <c r="E28" s="82"/>
      <c r="F28" s="83"/>
      <c r="G28" s="67"/>
      <c r="H28" s="9"/>
      <c r="I28" s="41"/>
      <c r="J28" s="41"/>
      <c r="K28" s="12"/>
      <c r="L28" s="13"/>
      <c r="M28" s="14"/>
      <c r="N28" s="14"/>
      <c r="O28" s="15"/>
      <c r="P28" s="5"/>
      <c r="Q28" s="5"/>
      <c r="R28" s="5"/>
      <c r="S28" s="5"/>
      <c r="T28" s="5"/>
      <c r="U28" s="5"/>
    </row>
    <row r="29" spans="1:21">
      <c r="A29" s="1386"/>
      <c r="B29" s="1353"/>
      <c r="C29" s="1353"/>
      <c r="D29" s="84"/>
      <c r="E29" s="84"/>
      <c r="F29" s="83"/>
      <c r="G29" s="67"/>
      <c r="H29" s="9"/>
      <c r="I29" s="42"/>
      <c r="J29" s="42"/>
      <c r="K29" s="42"/>
      <c r="L29" s="13"/>
      <c r="M29" s="14"/>
      <c r="N29" s="14"/>
      <c r="O29" s="15"/>
      <c r="P29" s="5"/>
      <c r="Q29" s="5"/>
      <c r="R29" s="5"/>
      <c r="S29" s="5"/>
      <c r="T29" s="5"/>
      <c r="U29" s="5"/>
    </row>
    <row r="30" spans="1:21">
      <c r="A30" s="1386"/>
      <c r="B30" s="1353"/>
      <c r="C30" s="1353"/>
      <c r="D30" s="85" t="s">
        <v>28</v>
      </c>
      <c r="E30" s="50"/>
      <c r="F30" s="49"/>
      <c r="G30" s="86">
        <f>SUM(G21:G29)</f>
        <v>129125</v>
      </c>
      <c r="H30" s="9"/>
      <c r="I30" s="8"/>
      <c r="J30" s="13"/>
      <c r="K30" s="8"/>
      <c r="L30" s="13"/>
      <c r="M30" s="14"/>
      <c r="N30" s="14"/>
      <c r="O30" s="15"/>
      <c r="P30" s="5"/>
    </row>
    <row r="31" spans="1:21" ht="3.75" customHeight="1">
      <c r="A31" s="54"/>
      <c r="B31" s="4"/>
      <c r="C31" s="6"/>
      <c r="D31" s="4"/>
      <c r="E31" s="4"/>
      <c r="F31" s="4"/>
      <c r="G31" s="55"/>
      <c r="H31" s="9"/>
      <c r="I31" s="8"/>
      <c r="J31" s="13"/>
      <c r="K31" s="18"/>
      <c r="L31" s="13"/>
      <c r="M31" s="33"/>
      <c r="N31" s="33"/>
      <c r="O31" s="15"/>
      <c r="P31" s="5"/>
    </row>
    <row r="32" spans="1:21" ht="22.5" customHeight="1">
      <c r="A32" s="1395" t="s">
        <v>71</v>
      </c>
      <c r="B32" s="1355"/>
      <c r="C32" s="1355"/>
      <c r="D32" s="1355"/>
      <c r="E32" s="1355"/>
      <c r="F32" s="1355"/>
      <c r="G32" s="1396"/>
      <c r="H32" s="9"/>
    </row>
    <row r="33" spans="1:16" ht="3.75" customHeight="1">
      <c r="A33" s="54"/>
      <c r="B33" s="4"/>
      <c r="C33" s="6"/>
      <c r="D33" s="4"/>
      <c r="E33" s="4"/>
      <c r="F33" s="4"/>
      <c r="G33" s="55"/>
      <c r="H33" s="9"/>
      <c r="I33" s="8"/>
      <c r="J33" s="13"/>
      <c r="K33" s="8"/>
      <c r="L33" s="8"/>
      <c r="M33" s="8"/>
      <c r="N33" s="8"/>
      <c r="O33" s="15"/>
      <c r="P33" s="5"/>
    </row>
    <row r="34" spans="1:16">
      <c r="A34" s="59" t="s">
        <v>5</v>
      </c>
      <c r="B34" s="60" t="s">
        <v>29</v>
      </c>
      <c r="C34" s="60" t="s">
        <v>30</v>
      </c>
      <c r="D34" s="60" t="s">
        <v>31</v>
      </c>
      <c r="E34" s="60" t="s">
        <v>32</v>
      </c>
      <c r="F34" s="60" t="s">
        <v>20</v>
      </c>
      <c r="G34" s="61" t="s">
        <v>33</v>
      </c>
      <c r="H34" s="27"/>
      <c r="I34" s="8"/>
      <c r="J34" s="13"/>
      <c r="K34" s="8"/>
      <c r="L34" s="8"/>
      <c r="M34" s="8"/>
      <c r="N34" s="8"/>
      <c r="O34" s="15"/>
      <c r="P34" s="5"/>
    </row>
    <row r="35" spans="1:16">
      <c r="A35" s="62" t="s">
        <v>41</v>
      </c>
      <c r="B35" s="63">
        <f>BOF</f>
        <v>51749</v>
      </c>
      <c r="C35" s="68">
        <f>ffpp</f>
        <v>0.64539999999999997</v>
      </c>
      <c r="D35" s="72">
        <v>1</v>
      </c>
      <c r="E35" s="66">
        <f>OF</f>
        <v>88696</v>
      </c>
      <c r="F35" s="65">
        <v>100</v>
      </c>
      <c r="G35" s="231">
        <f>ROUND(+D35*E35/F35,0)</f>
        <v>887</v>
      </c>
      <c r="H35" s="9"/>
      <c r="I35" s="16"/>
      <c r="J35" s="13"/>
      <c r="K35" s="8"/>
      <c r="L35" s="8"/>
      <c r="M35" s="8"/>
      <c r="N35" s="8"/>
      <c r="O35" s="15"/>
      <c r="P35" s="5"/>
    </row>
    <row r="36" spans="1:16">
      <c r="A36" s="62" t="s">
        <v>38</v>
      </c>
      <c r="B36" s="63">
        <f>BOB</f>
        <v>41749</v>
      </c>
      <c r="C36" s="68">
        <f>ffpp</f>
        <v>0.64539999999999997</v>
      </c>
      <c r="D36" s="72">
        <v>2</v>
      </c>
      <c r="E36" s="66">
        <f>OB</f>
        <v>72242</v>
      </c>
      <c r="F36" s="65">
        <f>+F35</f>
        <v>100</v>
      </c>
      <c r="G36" s="231">
        <f>ROUND(+D36*E36/F36,0)</f>
        <v>1445</v>
      </c>
      <c r="H36" s="9"/>
      <c r="I36" s="16"/>
      <c r="J36" s="13"/>
      <c r="K36" s="8"/>
      <c r="L36" s="8"/>
      <c r="M36" s="8"/>
      <c r="N36" s="8"/>
      <c r="O36" s="15"/>
      <c r="P36" s="5"/>
    </row>
    <row r="37" spans="1:16">
      <c r="A37" s="62"/>
      <c r="B37" s="63"/>
      <c r="C37" s="961"/>
      <c r="D37" s="72"/>
      <c r="E37" s="66"/>
      <c r="F37" s="69"/>
      <c r="G37" s="67"/>
      <c r="H37" s="9"/>
      <c r="I37" s="8"/>
      <c r="J37" s="13"/>
      <c r="K37" s="13"/>
      <c r="L37" s="13"/>
      <c r="M37" s="33"/>
      <c r="N37" s="33"/>
      <c r="O37" s="43"/>
      <c r="P37" s="5"/>
    </row>
    <row r="38" spans="1:16">
      <c r="A38" s="62"/>
      <c r="B38" s="65"/>
      <c r="C38" s="68"/>
      <c r="D38" s="65"/>
      <c r="E38" s="69"/>
      <c r="F38" s="69"/>
      <c r="G38" s="70"/>
      <c r="H38" s="9"/>
      <c r="I38" s="8"/>
      <c r="J38" s="13"/>
      <c r="K38" s="13"/>
      <c r="L38" s="13"/>
      <c r="M38" s="33"/>
      <c r="N38" s="33"/>
      <c r="O38" s="43"/>
      <c r="P38" s="5"/>
    </row>
    <row r="39" spans="1:16">
      <c r="A39" s="1386"/>
      <c r="B39" s="1353"/>
      <c r="C39" s="1353"/>
      <c r="D39" s="85" t="s">
        <v>34</v>
      </c>
      <c r="E39" s="50"/>
      <c r="F39" s="49"/>
      <c r="G39" s="86">
        <f>SUM(G35:G38)</f>
        <v>2332</v>
      </c>
      <c r="H39" s="9"/>
      <c r="I39" s="8"/>
      <c r="J39" s="13"/>
      <c r="K39" s="8"/>
      <c r="L39" s="13"/>
      <c r="M39" s="14"/>
      <c r="N39" s="14"/>
      <c r="O39" s="15"/>
      <c r="P39" s="5"/>
    </row>
    <row r="40" spans="1:16">
      <c r="A40" s="110"/>
      <c r="B40" s="111"/>
      <c r="C40" s="111"/>
      <c r="D40" s="112"/>
      <c r="E40" s="5"/>
      <c r="F40" s="113"/>
      <c r="G40" s="114"/>
      <c r="H40" s="9"/>
      <c r="I40" s="8"/>
      <c r="J40" s="13"/>
      <c r="K40" s="8"/>
      <c r="L40" s="13"/>
      <c r="M40" s="14"/>
      <c r="N40" s="14"/>
      <c r="O40" s="15"/>
      <c r="P40" s="5"/>
    </row>
    <row r="41" spans="1:16">
      <c r="A41" s="54"/>
      <c r="B41" s="4"/>
      <c r="C41" s="6"/>
      <c r="D41" s="4"/>
      <c r="E41" s="4"/>
      <c r="F41" s="4"/>
      <c r="G41" s="55"/>
      <c r="H41" s="9"/>
      <c r="I41" s="8"/>
      <c r="J41" s="13"/>
      <c r="K41" s="13"/>
      <c r="L41" s="13"/>
      <c r="M41" s="14"/>
      <c r="N41" s="14"/>
      <c r="O41" s="19"/>
      <c r="P41" s="5"/>
    </row>
    <row r="42" spans="1:16" ht="14.25">
      <c r="A42" s="54"/>
      <c r="B42" s="4"/>
      <c r="C42" s="6"/>
      <c r="D42" s="1357" t="s">
        <v>35</v>
      </c>
      <c r="E42" s="1358"/>
      <c r="F42" s="1359"/>
      <c r="G42" s="56">
        <f>+G39+G30+G16</f>
        <v>135474</v>
      </c>
      <c r="H42" s="9"/>
      <c r="I42" s="46"/>
      <c r="J42" s="47"/>
      <c r="K42" s="8"/>
      <c r="L42" s="8"/>
      <c r="M42" s="8"/>
      <c r="N42" s="8"/>
      <c r="O42" s="8"/>
      <c r="P42" s="5"/>
    </row>
    <row r="43" spans="1:16">
      <c r="A43" s="101"/>
      <c r="B43" s="57"/>
      <c r="C43" s="58"/>
      <c r="D43" s="100"/>
      <c r="E43" s="100"/>
      <c r="F43" s="100"/>
      <c r="G43" s="55"/>
      <c r="H43" s="9"/>
      <c r="I43" s="8"/>
      <c r="J43" s="13"/>
      <c r="K43" s="13"/>
      <c r="L43" s="13"/>
      <c r="M43" s="17"/>
      <c r="N43" s="17"/>
      <c r="O43" s="37"/>
      <c r="P43" s="5"/>
    </row>
    <row r="44" spans="1:16">
      <c r="A44" s="374"/>
      <c r="B44" s="375"/>
      <c r="C44" s="375"/>
      <c r="D44" s="100"/>
      <c r="E44" s="100"/>
      <c r="F44" s="100"/>
      <c r="G44" s="55"/>
      <c r="H44" s="9"/>
      <c r="I44" s="8"/>
      <c r="J44" s="13"/>
      <c r="K44" s="13"/>
      <c r="L44" s="13"/>
      <c r="M44" s="17"/>
      <c r="N44" s="17"/>
      <c r="O44" s="37"/>
      <c r="P44" s="5"/>
    </row>
    <row r="45" spans="1:16">
      <c r="A45" s="373"/>
      <c r="B45" s="376"/>
      <c r="C45" s="376"/>
      <c r="D45" s="100"/>
      <c r="E45" s="100"/>
      <c r="F45" s="100"/>
      <c r="G45" s="55"/>
      <c r="H45" s="9"/>
      <c r="I45" s="8"/>
      <c r="J45" s="13"/>
      <c r="K45" s="13"/>
      <c r="L45" s="13"/>
      <c r="M45" s="17"/>
      <c r="N45" s="17"/>
      <c r="O45" s="37"/>
      <c r="P45" s="5"/>
    </row>
    <row r="46" spans="1:16">
      <c r="A46" s="373"/>
      <c r="B46" s="376"/>
      <c r="C46" s="376"/>
      <c r="H46" s="9"/>
      <c r="I46" s="48"/>
      <c r="J46" s="20"/>
      <c r="K46" s="8"/>
      <c r="L46" s="8"/>
      <c r="M46" s="8"/>
      <c r="N46" s="8"/>
      <c r="O46" s="8"/>
      <c r="P46" s="5"/>
    </row>
    <row r="47" spans="1:16" ht="14.25">
      <c r="A47" s="101"/>
      <c r="B47" s="57"/>
      <c r="C47" s="58"/>
      <c r="D47" s="102"/>
      <c r="E47" s="103"/>
      <c r="F47" s="103"/>
      <c r="G47" s="104"/>
      <c r="H47" s="9"/>
      <c r="I47" s="8"/>
      <c r="J47" s="13"/>
      <c r="K47" s="8"/>
      <c r="L47" s="8"/>
      <c r="M47" s="8"/>
      <c r="N47" s="8"/>
      <c r="O47" s="8"/>
      <c r="P47" s="5"/>
    </row>
    <row r="48" spans="1:16">
      <c r="I48" s="5"/>
      <c r="J48" s="5"/>
      <c r="K48" s="5"/>
      <c r="L48" s="5"/>
      <c r="M48" s="5"/>
      <c r="N48" s="5"/>
      <c r="O48" s="5"/>
      <c r="P48" s="5"/>
    </row>
  </sheetData>
  <mergeCells count="27">
    <mergeCell ref="A23:C23"/>
    <mergeCell ref="A21:C21"/>
    <mergeCell ref="A22:C22"/>
    <mergeCell ref="D42:F42"/>
    <mergeCell ref="A39:C39"/>
    <mergeCell ref="A25:C25"/>
    <mergeCell ref="A26:C26"/>
    <mergeCell ref="A28:C28"/>
    <mergeCell ref="A29:C29"/>
    <mergeCell ref="A27:C27"/>
    <mergeCell ref="A30:C30"/>
    <mergeCell ref="A32:G32"/>
    <mergeCell ref="A24:C24"/>
    <mergeCell ref="A1:G1"/>
    <mergeCell ref="A12:C12"/>
    <mergeCell ref="A15:C15"/>
    <mergeCell ref="A20:C20"/>
    <mergeCell ref="A11:C11"/>
    <mergeCell ref="A3:G4"/>
    <mergeCell ref="A10:C10"/>
    <mergeCell ref="A8:G8"/>
    <mergeCell ref="A13:C13"/>
    <mergeCell ref="A14:C14"/>
    <mergeCell ref="A16:C16"/>
    <mergeCell ref="A2:G2"/>
    <mergeCell ref="A18:G18"/>
    <mergeCell ref="B6:E6"/>
  </mergeCells>
  <printOptions horizontalCentered="1" verticalCentered="1"/>
  <pageMargins left="0.74803149606299213" right="0.74803149606299213" top="0" bottom="0.98425196850393704" header="0" footer="0"/>
  <pageSetup scale="90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2"/>
  <dimension ref="A1:U48"/>
  <sheetViews>
    <sheetView view="pageBreakPreview" topLeftCell="A10" zoomScaleNormal="100" zoomScaleSheetLayoutView="100" workbookViewId="0">
      <selection activeCell="F22" sqref="F22"/>
    </sheetView>
  </sheetViews>
  <sheetFormatPr baseColWidth="10" defaultColWidth="10.7109375" defaultRowHeight="12.75"/>
  <cols>
    <col min="1" max="1" width="18.28515625" style="3" customWidth="1"/>
    <col min="2" max="2" width="14.85546875" style="3" customWidth="1"/>
    <col min="3" max="3" width="13.28515625" style="3" customWidth="1"/>
    <col min="4" max="4" width="11.42578125" style="3"/>
    <col min="5" max="5" width="13.42578125" style="3" customWidth="1"/>
    <col min="6" max="6" width="12.7109375" style="3" customWidth="1"/>
    <col min="7" max="7" width="14" style="3" customWidth="1"/>
    <col min="8" max="8" width="7.42578125" style="3" customWidth="1"/>
    <col min="9" max="256" width="11.42578125" style="3"/>
    <col min="257" max="257" width="15.85546875" style="3" customWidth="1"/>
    <col min="258" max="258" width="14.85546875" style="3" customWidth="1"/>
    <col min="259" max="259" width="13.28515625" style="3" customWidth="1"/>
    <col min="260" max="260" width="11.42578125" style="3"/>
    <col min="261" max="261" width="13.42578125" style="3" customWidth="1"/>
    <col min="262" max="262" width="12.7109375" style="3" customWidth="1"/>
    <col min="263" max="263" width="14" style="3" customWidth="1"/>
    <col min="264" max="264" width="7.42578125" style="3" customWidth="1"/>
    <col min="265" max="512" width="11.42578125" style="3"/>
    <col min="513" max="513" width="15.85546875" style="3" customWidth="1"/>
    <col min="514" max="514" width="14.85546875" style="3" customWidth="1"/>
    <col min="515" max="515" width="13.28515625" style="3" customWidth="1"/>
    <col min="516" max="516" width="11.42578125" style="3"/>
    <col min="517" max="517" width="13.42578125" style="3" customWidth="1"/>
    <col min="518" max="518" width="12.7109375" style="3" customWidth="1"/>
    <col min="519" max="519" width="14" style="3" customWidth="1"/>
    <col min="520" max="520" width="7.42578125" style="3" customWidth="1"/>
    <col min="521" max="768" width="11.42578125" style="3"/>
    <col min="769" max="769" width="15.85546875" style="3" customWidth="1"/>
    <col min="770" max="770" width="14.85546875" style="3" customWidth="1"/>
    <col min="771" max="771" width="13.28515625" style="3" customWidth="1"/>
    <col min="772" max="772" width="11.42578125" style="3"/>
    <col min="773" max="773" width="13.42578125" style="3" customWidth="1"/>
    <col min="774" max="774" width="12.7109375" style="3" customWidth="1"/>
    <col min="775" max="775" width="14" style="3" customWidth="1"/>
    <col min="776" max="776" width="7.42578125" style="3" customWidth="1"/>
    <col min="777" max="1024" width="11.42578125" style="3"/>
    <col min="1025" max="1025" width="15.85546875" style="3" customWidth="1"/>
    <col min="1026" max="1026" width="14.85546875" style="3" customWidth="1"/>
    <col min="1027" max="1027" width="13.28515625" style="3" customWidth="1"/>
    <col min="1028" max="1028" width="11.42578125" style="3"/>
    <col min="1029" max="1029" width="13.42578125" style="3" customWidth="1"/>
    <col min="1030" max="1030" width="12.7109375" style="3" customWidth="1"/>
    <col min="1031" max="1031" width="14" style="3" customWidth="1"/>
    <col min="1032" max="1032" width="7.42578125" style="3" customWidth="1"/>
    <col min="1033" max="1280" width="11.42578125" style="3"/>
    <col min="1281" max="1281" width="15.85546875" style="3" customWidth="1"/>
    <col min="1282" max="1282" width="14.85546875" style="3" customWidth="1"/>
    <col min="1283" max="1283" width="13.28515625" style="3" customWidth="1"/>
    <col min="1284" max="1284" width="11.42578125" style="3"/>
    <col min="1285" max="1285" width="13.42578125" style="3" customWidth="1"/>
    <col min="1286" max="1286" width="12.7109375" style="3" customWidth="1"/>
    <col min="1287" max="1287" width="14" style="3" customWidth="1"/>
    <col min="1288" max="1288" width="7.42578125" style="3" customWidth="1"/>
    <col min="1289" max="1536" width="11.42578125" style="3"/>
    <col min="1537" max="1537" width="15.85546875" style="3" customWidth="1"/>
    <col min="1538" max="1538" width="14.85546875" style="3" customWidth="1"/>
    <col min="1539" max="1539" width="13.28515625" style="3" customWidth="1"/>
    <col min="1540" max="1540" width="11.42578125" style="3"/>
    <col min="1541" max="1541" width="13.42578125" style="3" customWidth="1"/>
    <col min="1542" max="1542" width="12.7109375" style="3" customWidth="1"/>
    <col min="1543" max="1543" width="14" style="3" customWidth="1"/>
    <col min="1544" max="1544" width="7.42578125" style="3" customWidth="1"/>
    <col min="1545" max="1792" width="11.42578125" style="3"/>
    <col min="1793" max="1793" width="15.85546875" style="3" customWidth="1"/>
    <col min="1794" max="1794" width="14.85546875" style="3" customWidth="1"/>
    <col min="1795" max="1795" width="13.28515625" style="3" customWidth="1"/>
    <col min="1796" max="1796" width="11.42578125" style="3"/>
    <col min="1797" max="1797" width="13.42578125" style="3" customWidth="1"/>
    <col min="1798" max="1798" width="12.7109375" style="3" customWidth="1"/>
    <col min="1799" max="1799" width="14" style="3" customWidth="1"/>
    <col min="1800" max="1800" width="7.42578125" style="3" customWidth="1"/>
    <col min="1801" max="2048" width="11.42578125" style="3"/>
    <col min="2049" max="2049" width="15.85546875" style="3" customWidth="1"/>
    <col min="2050" max="2050" width="14.85546875" style="3" customWidth="1"/>
    <col min="2051" max="2051" width="13.28515625" style="3" customWidth="1"/>
    <col min="2052" max="2052" width="11.42578125" style="3"/>
    <col min="2053" max="2053" width="13.42578125" style="3" customWidth="1"/>
    <col min="2054" max="2054" width="12.7109375" style="3" customWidth="1"/>
    <col min="2055" max="2055" width="14" style="3" customWidth="1"/>
    <col min="2056" max="2056" width="7.42578125" style="3" customWidth="1"/>
    <col min="2057" max="2304" width="11.42578125" style="3"/>
    <col min="2305" max="2305" width="15.85546875" style="3" customWidth="1"/>
    <col min="2306" max="2306" width="14.85546875" style="3" customWidth="1"/>
    <col min="2307" max="2307" width="13.28515625" style="3" customWidth="1"/>
    <col min="2308" max="2308" width="11.42578125" style="3"/>
    <col min="2309" max="2309" width="13.42578125" style="3" customWidth="1"/>
    <col min="2310" max="2310" width="12.7109375" style="3" customWidth="1"/>
    <col min="2311" max="2311" width="14" style="3" customWidth="1"/>
    <col min="2312" max="2312" width="7.42578125" style="3" customWidth="1"/>
    <col min="2313" max="2560" width="11.42578125" style="3"/>
    <col min="2561" max="2561" width="15.85546875" style="3" customWidth="1"/>
    <col min="2562" max="2562" width="14.85546875" style="3" customWidth="1"/>
    <col min="2563" max="2563" width="13.28515625" style="3" customWidth="1"/>
    <col min="2564" max="2564" width="11.42578125" style="3"/>
    <col min="2565" max="2565" width="13.42578125" style="3" customWidth="1"/>
    <col min="2566" max="2566" width="12.7109375" style="3" customWidth="1"/>
    <col min="2567" max="2567" width="14" style="3" customWidth="1"/>
    <col min="2568" max="2568" width="7.42578125" style="3" customWidth="1"/>
    <col min="2569" max="2816" width="11.42578125" style="3"/>
    <col min="2817" max="2817" width="15.85546875" style="3" customWidth="1"/>
    <col min="2818" max="2818" width="14.85546875" style="3" customWidth="1"/>
    <col min="2819" max="2819" width="13.28515625" style="3" customWidth="1"/>
    <col min="2820" max="2820" width="11.42578125" style="3"/>
    <col min="2821" max="2821" width="13.42578125" style="3" customWidth="1"/>
    <col min="2822" max="2822" width="12.7109375" style="3" customWidth="1"/>
    <col min="2823" max="2823" width="14" style="3" customWidth="1"/>
    <col min="2824" max="2824" width="7.42578125" style="3" customWidth="1"/>
    <col min="2825" max="3072" width="11.42578125" style="3"/>
    <col min="3073" max="3073" width="15.85546875" style="3" customWidth="1"/>
    <col min="3074" max="3074" width="14.85546875" style="3" customWidth="1"/>
    <col min="3075" max="3075" width="13.28515625" style="3" customWidth="1"/>
    <col min="3076" max="3076" width="11.42578125" style="3"/>
    <col min="3077" max="3077" width="13.42578125" style="3" customWidth="1"/>
    <col min="3078" max="3078" width="12.7109375" style="3" customWidth="1"/>
    <col min="3079" max="3079" width="14" style="3" customWidth="1"/>
    <col min="3080" max="3080" width="7.42578125" style="3" customWidth="1"/>
    <col min="3081" max="3328" width="11.42578125" style="3"/>
    <col min="3329" max="3329" width="15.85546875" style="3" customWidth="1"/>
    <col min="3330" max="3330" width="14.85546875" style="3" customWidth="1"/>
    <col min="3331" max="3331" width="13.28515625" style="3" customWidth="1"/>
    <col min="3332" max="3332" width="11.42578125" style="3"/>
    <col min="3333" max="3333" width="13.42578125" style="3" customWidth="1"/>
    <col min="3334" max="3334" width="12.7109375" style="3" customWidth="1"/>
    <col min="3335" max="3335" width="14" style="3" customWidth="1"/>
    <col min="3336" max="3336" width="7.42578125" style="3" customWidth="1"/>
    <col min="3337" max="3584" width="11.42578125" style="3"/>
    <col min="3585" max="3585" width="15.85546875" style="3" customWidth="1"/>
    <col min="3586" max="3586" width="14.85546875" style="3" customWidth="1"/>
    <col min="3587" max="3587" width="13.28515625" style="3" customWidth="1"/>
    <col min="3588" max="3588" width="11.42578125" style="3"/>
    <col min="3589" max="3589" width="13.42578125" style="3" customWidth="1"/>
    <col min="3590" max="3590" width="12.7109375" style="3" customWidth="1"/>
    <col min="3591" max="3591" width="14" style="3" customWidth="1"/>
    <col min="3592" max="3592" width="7.42578125" style="3" customWidth="1"/>
    <col min="3593" max="3840" width="11.42578125" style="3"/>
    <col min="3841" max="3841" width="15.85546875" style="3" customWidth="1"/>
    <col min="3842" max="3842" width="14.85546875" style="3" customWidth="1"/>
    <col min="3843" max="3843" width="13.28515625" style="3" customWidth="1"/>
    <col min="3844" max="3844" width="11.42578125" style="3"/>
    <col min="3845" max="3845" width="13.42578125" style="3" customWidth="1"/>
    <col min="3846" max="3846" width="12.7109375" style="3" customWidth="1"/>
    <col min="3847" max="3847" width="14" style="3" customWidth="1"/>
    <col min="3848" max="3848" width="7.42578125" style="3" customWidth="1"/>
    <col min="3849" max="4096" width="11.42578125" style="3"/>
    <col min="4097" max="4097" width="15.85546875" style="3" customWidth="1"/>
    <col min="4098" max="4098" width="14.85546875" style="3" customWidth="1"/>
    <col min="4099" max="4099" width="13.28515625" style="3" customWidth="1"/>
    <col min="4100" max="4100" width="11.42578125" style="3"/>
    <col min="4101" max="4101" width="13.42578125" style="3" customWidth="1"/>
    <col min="4102" max="4102" width="12.7109375" style="3" customWidth="1"/>
    <col min="4103" max="4103" width="14" style="3" customWidth="1"/>
    <col min="4104" max="4104" width="7.42578125" style="3" customWidth="1"/>
    <col min="4105" max="4352" width="11.42578125" style="3"/>
    <col min="4353" max="4353" width="15.85546875" style="3" customWidth="1"/>
    <col min="4354" max="4354" width="14.85546875" style="3" customWidth="1"/>
    <col min="4355" max="4355" width="13.28515625" style="3" customWidth="1"/>
    <col min="4356" max="4356" width="11.42578125" style="3"/>
    <col min="4357" max="4357" width="13.42578125" style="3" customWidth="1"/>
    <col min="4358" max="4358" width="12.7109375" style="3" customWidth="1"/>
    <col min="4359" max="4359" width="14" style="3" customWidth="1"/>
    <col min="4360" max="4360" width="7.42578125" style="3" customWidth="1"/>
    <col min="4361" max="4608" width="11.42578125" style="3"/>
    <col min="4609" max="4609" width="15.85546875" style="3" customWidth="1"/>
    <col min="4610" max="4610" width="14.85546875" style="3" customWidth="1"/>
    <col min="4611" max="4611" width="13.28515625" style="3" customWidth="1"/>
    <col min="4612" max="4612" width="11.42578125" style="3"/>
    <col min="4613" max="4613" width="13.42578125" style="3" customWidth="1"/>
    <col min="4614" max="4614" width="12.7109375" style="3" customWidth="1"/>
    <col min="4615" max="4615" width="14" style="3" customWidth="1"/>
    <col min="4616" max="4616" width="7.42578125" style="3" customWidth="1"/>
    <col min="4617" max="4864" width="11.42578125" style="3"/>
    <col min="4865" max="4865" width="15.85546875" style="3" customWidth="1"/>
    <col min="4866" max="4866" width="14.85546875" style="3" customWidth="1"/>
    <col min="4867" max="4867" width="13.28515625" style="3" customWidth="1"/>
    <col min="4868" max="4868" width="11.42578125" style="3"/>
    <col min="4869" max="4869" width="13.42578125" style="3" customWidth="1"/>
    <col min="4870" max="4870" width="12.7109375" style="3" customWidth="1"/>
    <col min="4871" max="4871" width="14" style="3" customWidth="1"/>
    <col min="4872" max="4872" width="7.42578125" style="3" customWidth="1"/>
    <col min="4873" max="5120" width="11.42578125" style="3"/>
    <col min="5121" max="5121" width="15.85546875" style="3" customWidth="1"/>
    <col min="5122" max="5122" width="14.85546875" style="3" customWidth="1"/>
    <col min="5123" max="5123" width="13.28515625" style="3" customWidth="1"/>
    <col min="5124" max="5124" width="11.42578125" style="3"/>
    <col min="5125" max="5125" width="13.42578125" style="3" customWidth="1"/>
    <col min="5126" max="5126" width="12.7109375" style="3" customWidth="1"/>
    <col min="5127" max="5127" width="14" style="3" customWidth="1"/>
    <col min="5128" max="5128" width="7.42578125" style="3" customWidth="1"/>
    <col min="5129" max="5376" width="11.42578125" style="3"/>
    <col min="5377" max="5377" width="15.85546875" style="3" customWidth="1"/>
    <col min="5378" max="5378" width="14.85546875" style="3" customWidth="1"/>
    <col min="5379" max="5379" width="13.28515625" style="3" customWidth="1"/>
    <col min="5380" max="5380" width="11.42578125" style="3"/>
    <col min="5381" max="5381" width="13.42578125" style="3" customWidth="1"/>
    <col min="5382" max="5382" width="12.7109375" style="3" customWidth="1"/>
    <col min="5383" max="5383" width="14" style="3" customWidth="1"/>
    <col min="5384" max="5384" width="7.42578125" style="3" customWidth="1"/>
    <col min="5385" max="5632" width="11.42578125" style="3"/>
    <col min="5633" max="5633" width="15.85546875" style="3" customWidth="1"/>
    <col min="5634" max="5634" width="14.85546875" style="3" customWidth="1"/>
    <col min="5635" max="5635" width="13.28515625" style="3" customWidth="1"/>
    <col min="5636" max="5636" width="11.42578125" style="3"/>
    <col min="5637" max="5637" width="13.42578125" style="3" customWidth="1"/>
    <col min="5638" max="5638" width="12.7109375" style="3" customWidth="1"/>
    <col min="5639" max="5639" width="14" style="3" customWidth="1"/>
    <col min="5640" max="5640" width="7.42578125" style="3" customWidth="1"/>
    <col min="5641" max="5888" width="11.42578125" style="3"/>
    <col min="5889" max="5889" width="15.85546875" style="3" customWidth="1"/>
    <col min="5890" max="5890" width="14.85546875" style="3" customWidth="1"/>
    <col min="5891" max="5891" width="13.28515625" style="3" customWidth="1"/>
    <col min="5892" max="5892" width="11.42578125" style="3"/>
    <col min="5893" max="5893" width="13.42578125" style="3" customWidth="1"/>
    <col min="5894" max="5894" width="12.7109375" style="3" customWidth="1"/>
    <col min="5895" max="5895" width="14" style="3" customWidth="1"/>
    <col min="5896" max="5896" width="7.42578125" style="3" customWidth="1"/>
    <col min="5897" max="6144" width="11.42578125" style="3"/>
    <col min="6145" max="6145" width="15.85546875" style="3" customWidth="1"/>
    <col min="6146" max="6146" width="14.85546875" style="3" customWidth="1"/>
    <col min="6147" max="6147" width="13.28515625" style="3" customWidth="1"/>
    <col min="6148" max="6148" width="11.42578125" style="3"/>
    <col min="6149" max="6149" width="13.42578125" style="3" customWidth="1"/>
    <col min="6150" max="6150" width="12.7109375" style="3" customWidth="1"/>
    <col min="6151" max="6151" width="14" style="3" customWidth="1"/>
    <col min="6152" max="6152" width="7.42578125" style="3" customWidth="1"/>
    <col min="6153" max="6400" width="11.42578125" style="3"/>
    <col min="6401" max="6401" width="15.85546875" style="3" customWidth="1"/>
    <col min="6402" max="6402" width="14.85546875" style="3" customWidth="1"/>
    <col min="6403" max="6403" width="13.28515625" style="3" customWidth="1"/>
    <col min="6404" max="6404" width="11.42578125" style="3"/>
    <col min="6405" max="6405" width="13.42578125" style="3" customWidth="1"/>
    <col min="6406" max="6406" width="12.7109375" style="3" customWidth="1"/>
    <col min="6407" max="6407" width="14" style="3" customWidth="1"/>
    <col min="6408" max="6408" width="7.42578125" style="3" customWidth="1"/>
    <col min="6409" max="6656" width="11.42578125" style="3"/>
    <col min="6657" max="6657" width="15.85546875" style="3" customWidth="1"/>
    <col min="6658" max="6658" width="14.85546875" style="3" customWidth="1"/>
    <col min="6659" max="6659" width="13.28515625" style="3" customWidth="1"/>
    <col min="6660" max="6660" width="11.42578125" style="3"/>
    <col min="6661" max="6661" width="13.42578125" style="3" customWidth="1"/>
    <col min="6662" max="6662" width="12.7109375" style="3" customWidth="1"/>
    <col min="6663" max="6663" width="14" style="3" customWidth="1"/>
    <col min="6664" max="6664" width="7.42578125" style="3" customWidth="1"/>
    <col min="6665" max="6912" width="11.42578125" style="3"/>
    <col min="6913" max="6913" width="15.85546875" style="3" customWidth="1"/>
    <col min="6914" max="6914" width="14.85546875" style="3" customWidth="1"/>
    <col min="6915" max="6915" width="13.28515625" style="3" customWidth="1"/>
    <col min="6916" max="6916" width="11.42578125" style="3"/>
    <col min="6917" max="6917" width="13.42578125" style="3" customWidth="1"/>
    <col min="6918" max="6918" width="12.7109375" style="3" customWidth="1"/>
    <col min="6919" max="6919" width="14" style="3" customWidth="1"/>
    <col min="6920" max="6920" width="7.42578125" style="3" customWidth="1"/>
    <col min="6921" max="7168" width="11.42578125" style="3"/>
    <col min="7169" max="7169" width="15.85546875" style="3" customWidth="1"/>
    <col min="7170" max="7170" width="14.85546875" style="3" customWidth="1"/>
    <col min="7171" max="7171" width="13.28515625" style="3" customWidth="1"/>
    <col min="7172" max="7172" width="11.42578125" style="3"/>
    <col min="7173" max="7173" width="13.42578125" style="3" customWidth="1"/>
    <col min="7174" max="7174" width="12.7109375" style="3" customWidth="1"/>
    <col min="7175" max="7175" width="14" style="3" customWidth="1"/>
    <col min="7176" max="7176" width="7.42578125" style="3" customWidth="1"/>
    <col min="7177" max="7424" width="11.42578125" style="3"/>
    <col min="7425" max="7425" width="15.85546875" style="3" customWidth="1"/>
    <col min="7426" max="7426" width="14.85546875" style="3" customWidth="1"/>
    <col min="7427" max="7427" width="13.28515625" style="3" customWidth="1"/>
    <col min="7428" max="7428" width="11.42578125" style="3"/>
    <col min="7429" max="7429" width="13.42578125" style="3" customWidth="1"/>
    <col min="7430" max="7430" width="12.7109375" style="3" customWidth="1"/>
    <col min="7431" max="7431" width="14" style="3" customWidth="1"/>
    <col min="7432" max="7432" width="7.42578125" style="3" customWidth="1"/>
    <col min="7433" max="7680" width="11.42578125" style="3"/>
    <col min="7681" max="7681" width="15.85546875" style="3" customWidth="1"/>
    <col min="7682" max="7682" width="14.85546875" style="3" customWidth="1"/>
    <col min="7683" max="7683" width="13.28515625" style="3" customWidth="1"/>
    <col min="7684" max="7684" width="11.42578125" style="3"/>
    <col min="7685" max="7685" width="13.42578125" style="3" customWidth="1"/>
    <col min="7686" max="7686" width="12.7109375" style="3" customWidth="1"/>
    <col min="7687" max="7687" width="14" style="3" customWidth="1"/>
    <col min="7688" max="7688" width="7.42578125" style="3" customWidth="1"/>
    <col min="7689" max="7936" width="11.42578125" style="3"/>
    <col min="7937" max="7937" width="15.85546875" style="3" customWidth="1"/>
    <col min="7938" max="7938" width="14.85546875" style="3" customWidth="1"/>
    <col min="7939" max="7939" width="13.28515625" style="3" customWidth="1"/>
    <col min="7940" max="7940" width="11.42578125" style="3"/>
    <col min="7941" max="7941" width="13.42578125" style="3" customWidth="1"/>
    <col min="7942" max="7942" width="12.7109375" style="3" customWidth="1"/>
    <col min="7943" max="7943" width="14" style="3" customWidth="1"/>
    <col min="7944" max="7944" width="7.42578125" style="3" customWidth="1"/>
    <col min="7945" max="8192" width="11.42578125" style="3"/>
    <col min="8193" max="8193" width="15.85546875" style="3" customWidth="1"/>
    <col min="8194" max="8194" width="14.85546875" style="3" customWidth="1"/>
    <col min="8195" max="8195" width="13.28515625" style="3" customWidth="1"/>
    <col min="8196" max="8196" width="11.42578125" style="3"/>
    <col min="8197" max="8197" width="13.42578125" style="3" customWidth="1"/>
    <col min="8198" max="8198" width="12.7109375" style="3" customWidth="1"/>
    <col min="8199" max="8199" width="14" style="3" customWidth="1"/>
    <col min="8200" max="8200" width="7.42578125" style="3" customWidth="1"/>
    <col min="8201" max="8448" width="11.42578125" style="3"/>
    <col min="8449" max="8449" width="15.85546875" style="3" customWidth="1"/>
    <col min="8450" max="8450" width="14.85546875" style="3" customWidth="1"/>
    <col min="8451" max="8451" width="13.28515625" style="3" customWidth="1"/>
    <col min="8452" max="8452" width="11.42578125" style="3"/>
    <col min="8453" max="8453" width="13.42578125" style="3" customWidth="1"/>
    <col min="8454" max="8454" width="12.7109375" style="3" customWidth="1"/>
    <col min="8455" max="8455" width="14" style="3" customWidth="1"/>
    <col min="8456" max="8456" width="7.42578125" style="3" customWidth="1"/>
    <col min="8457" max="8704" width="11.42578125" style="3"/>
    <col min="8705" max="8705" width="15.85546875" style="3" customWidth="1"/>
    <col min="8706" max="8706" width="14.85546875" style="3" customWidth="1"/>
    <col min="8707" max="8707" width="13.28515625" style="3" customWidth="1"/>
    <col min="8708" max="8708" width="11.42578125" style="3"/>
    <col min="8709" max="8709" width="13.42578125" style="3" customWidth="1"/>
    <col min="8710" max="8710" width="12.7109375" style="3" customWidth="1"/>
    <col min="8711" max="8711" width="14" style="3" customWidth="1"/>
    <col min="8712" max="8712" width="7.42578125" style="3" customWidth="1"/>
    <col min="8713" max="8960" width="11.42578125" style="3"/>
    <col min="8961" max="8961" width="15.85546875" style="3" customWidth="1"/>
    <col min="8962" max="8962" width="14.85546875" style="3" customWidth="1"/>
    <col min="8963" max="8963" width="13.28515625" style="3" customWidth="1"/>
    <col min="8964" max="8964" width="11.42578125" style="3"/>
    <col min="8965" max="8965" width="13.42578125" style="3" customWidth="1"/>
    <col min="8966" max="8966" width="12.7109375" style="3" customWidth="1"/>
    <col min="8967" max="8967" width="14" style="3" customWidth="1"/>
    <col min="8968" max="8968" width="7.42578125" style="3" customWidth="1"/>
    <col min="8969" max="9216" width="11.42578125" style="3"/>
    <col min="9217" max="9217" width="15.85546875" style="3" customWidth="1"/>
    <col min="9218" max="9218" width="14.85546875" style="3" customWidth="1"/>
    <col min="9219" max="9219" width="13.28515625" style="3" customWidth="1"/>
    <col min="9220" max="9220" width="11.42578125" style="3"/>
    <col min="9221" max="9221" width="13.42578125" style="3" customWidth="1"/>
    <col min="9222" max="9222" width="12.7109375" style="3" customWidth="1"/>
    <col min="9223" max="9223" width="14" style="3" customWidth="1"/>
    <col min="9224" max="9224" width="7.42578125" style="3" customWidth="1"/>
    <col min="9225" max="9472" width="11.42578125" style="3"/>
    <col min="9473" max="9473" width="15.85546875" style="3" customWidth="1"/>
    <col min="9474" max="9474" width="14.85546875" style="3" customWidth="1"/>
    <col min="9475" max="9475" width="13.28515625" style="3" customWidth="1"/>
    <col min="9476" max="9476" width="11.42578125" style="3"/>
    <col min="9477" max="9477" width="13.42578125" style="3" customWidth="1"/>
    <col min="9478" max="9478" width="12.7109375" style="3" customWidth="1"/>
    <col min="9479" max="9479" width="14" style="3" customWidth="1"/>
    <col min="9480" max="9480" width="7.42578125" style="3" customWidth="1"/>
    <col min="9481" max="9728" width="11.42578125" style="3"/>
    <col min="9729" max="9729" width="15.85546875" style="3" customWidth="1"/>
    <col min="9730" max="9730" width="14.85546875" style="3" customWidth="1"/>
    <col min="9731" max="9731" width="13.28515625" style="3" customWidth="1"/>
    <col min="9732" max="9732" width="11.42578125" style="3"/>
    <col min="9733" max="9733" width="13.42578125" style="3" customWidth="1"/>
    <col min="9734" max="9734" width="12.7109375" style="3" customWidth="1"/>
    <col min="9735" max="9735" width="14" style="3" customWidth="1"/>
    <col min="9736" max="9736" width="7.42578125" style="3" customWidth="1"/>
    <col min="9737" max="9984" width="11.42578125" style="3"/>
    <col min="9985" max="9985" width="15.85546875" style="3" customWidth="1"/>
    <col min="9986" max="9986" width="14.85546875" style="3" customWidth="1"/>
    <col min="9987" max="9987" width="13.28515625" style="3" customWidth="1"/>
    <col min="9988" max="9988" width="11.42578125" style="3"/>
    <col min="9989" max="9989" width="13.42578125" style="3" customWidth="1"/>
    <col min="9990" max="9990" width="12.7109375" style="3" customWidth="1"/>
    <col min="9991" max="9991" width="14" style="3" customWidth="1"/>
    <col min="9992" max="9992" width="7.42578125" style="3" customWidth="1"/>
    <col min="9993" max="10240" width="11.42578125" style="3"/>
    <col min="10241" max="10241" width="15.85546875" style="3" customWidth="1"/>
    <col min="10242" max="10242" width="14.85546875" style="3" customWidth="1"/>
    <col min="10243" max="10243" width="13.28515625" style="3" customWidth="1"/>
    <col min="10244" max="10244" width="11.42578125" style="3"/>
    <col min="10245" max="10245" width="13.42578125" style="3" customWidth="1"/>
    <col min="10246" max="10246" width="12.7109375" style="3" customWidth="1"/>
    <col min="10247" max="10247" width="14" style="3" customWidth="1"/>
    <col min="10248" max="10248" width="7.42578125" style="3" customWidth="1"/>
    <col min="10249" max="10496" width="11.42578125" style="3"/>
    <col min="10497" max="10497" width="15.85546875" style="3" customWidth="1"/>
    <col min="10498" max="10498" width="14.85546875" style="3" customWidth="1"/>
    <col min="10499" max="10499" width="13.28515625" style="3" customWidth="1"/>
    <col min="10500" max="10500" width="11.42578125" style="3"/>
    <col min="10501" max="10501" width="13.42578125" style="3" customWidth="1"/>
    <col min="10502" max="10502" width="12.7109375" style="3" customWidth="1"/>
    <col min="10503" max="10503" width="14" style="3" customWidth="1"/>
    <col min="10504" max="10504" width="7.42578125" style="3" customWidth="1"/>
    <col min="10505" max="10752" width="11.42578125" style="3"/>
    <col min="10753" max="10753" width="15.85546875" style="3" customWidth="1"/>
    <col min="10754" max="10754" width="14.85546875" style="3" customWidth="1"/>
    <col min="10755" max="10755" width="13.28515625" style="3" customWidth="1"/>
    <col min="10756" max="10756" width="11.42578125" style="3"/>
    <col min="10757" max="10757" width="13.42578125" style="3" customWidth="1"/>
    <col min="10758" max="10758" width="12.7109375" style="3" customWidth="1"/>
    <col min="10759" max="10759" width="14" style="3" customWidth="1"/>
    <col min="10760" max="10760" width="7.42578125" style="3" customWidth="1"/>
    <col min="10761" max="11008" width="11.42578125" style="3"/>
    <col min="11009" max="11009" width="15.85546875" style="3" customWidth="1"/>
    <col min="11010" max="11010" width="14.85546875" style="3" customWidth="1"/>
    <col min="11011" max="11011" width="13.28515625" style="3" customWidth="1"/>
    <col min="11012" max="11012" width="11.42578125" style="3"/>
    <col min="11013" max="11013" width="13.42578125" style="3" customWidth="1"/>
    <col min="11014" max="11014" width="12.7109375" style="3" customWidth="1"/>
    <col min="11015" max="11015" width="14" style="3" customWidth="1"/>
    <col min="11016" max="11016" width="7.42578125" style="3" customWidth="1"/>
    <col min="11017" max="11264" width="11.42578125" style="3"/>
    <col min="11265" max="11265" width="15.85546875" style="3" customWidth="1"/>
    <col min="11266" max="11266" width="14.85546875" style="3" customWidth="1"/>
    <col min="11267" max="11267" width="13.28515625" style="3" customWidth="1"/>
    <col min="11268" max="11268" width="11.42578125" style="3"/>
    <col min="11269" max="11269" width="13.42578125" style="3" customWidth="1"/>
    <col min="11270" max="11270" width="12.7109375" style="3" customWidth="1"/>
    <col min="11271" max="11271" width="14" style="3" customWidth="1"/>
    <col min="11272" max="11272" width="7.42578125" style="3" customWidth="1"/>
    <col min="11273" max="11520" width="11.42578125" style="3"/>
    <col min="11521" max="11521" width="15.85546875" style="3" customWidth="1"/>
    <col min="11522" max="11522" width="14.85546875" style="3" customWidth="1"/>
    <col min="11523" max="11523" width="13.28515625" style="3" customWidth="1"/>
    <col min="11524" max="11524" width="11.42578125" style="3"/>
    <col min="11525" max="11525" width="13.42578125" style="3" customWidth="1"/>
    <col min="11526" max="11526" width="12.7109375" style="3" customWidth="1"/>
    <col min="11527" max="11527" width="14" style="3" customWidth="1"/>
    <col min="11528" max="11528" width="7.42578125" style="3" customWidth="1"/>
    <col min="11529" max="11776" width="11.42578125" style="3"/>
    <col min="11777" max="11777" width="15.85546875" style="3" customWidth="1"/>
    <col min="11778" max="11778" width="14.85546875" style="3" customWidth="1"/>
    <col min="11779" max="11779" width="13.28515625" style="3" customWidth="1"/>
    <col min="11780" max="11780" width="11.42578125" style="3"/>
    <col min="11781" max="11781" width="13.42578125" style="3" customWidth="1"/>
    <col min="11782" max="11782" width="12.7109375" style="3" customWidth="1"/>
    <col min="11783" max="11783" width="14" style="3" customWidth="1"/>
    <col min="11784" max="11784" width="7.42578125" style="3" customWidth="1"/>
    <col min="11785" max="12032" width="11.42578125" style="3"/>
    <col min="12033" max="12033" width="15.85546875" style="3" customWidth="1"/>
    <col min="12034" max="12034" width="14.85546875" style="3" customWidth="1"/>
    <col min="12035" max="12035" width="13.28515625" style="3" customWidth="1"/>
    <col min="12036" max="12036" width="11.42578125" style="3"/>
    <col min="12037" max="12037" width="13.42578125" style="3" customWidth="1"/>
    <col min="12038" max="12038" width="12.7109375" style="3" customWidth="1"/>
    <col min="12039" max="12039" width="14" style="3" customWidth="1"/>
    <col min="12040" max="12040" width="7.42578125" style="3" customWidth="1"/>
    <col min="12041" max="12288" width="11.42578125" style="3"/>
    <col min="12289" max="12289" width="15.85546875" style="3" customWidth="1"/>
    <col min="12290" max="12290" width="14.85546875" style="3" customWidth="1"/>
    <col min="12291" max="12291" width="13.28515625" style="3" customWidth="1"/>
    <col min="12292" max="12292" width="11.42578125" style="3"/>
    <col min="12293" max="12293" width="13.42578125" style="3" customWidth="1"/>
    <col min="12294" max="12294" width="12.7109375" style="3" customWidth="1"/>
    <col min="12295" max="12295" width="14" style="3" customWidth="1"/>
    <col min="12296" max="12296" width="7.42578125" style="3" customWidth="1"/>
    <col min="12297" max="12544" width="11.42578125" style="3"/>
    <col min="12545" max="12545" width="15.85546875" style="3" customWidth="1"/>
    <col min="12546" max="12546" width="14.85546875" style="3" customWidth="1"/>
    <col min="12547" max="12547" width="13.28515625" style="3" customWidth="1"/>
    <col min="12548" max="12548" width="11.42578125" style="3"/>
    <col min="12549" max="12549" width="13.42578125" style="3" customWidth="1"/>
    <col min="12550" max="12550" width="12.7109375" style="3" customWidth="1"/>
    <col min="12551" max="12551" width="14" style="3" customWidth="1"/>
    <col min="12552" max="12552" width="7.42578125" style="3" customWidth="1"/>
    <col min="12553" max="12800" width="11.42578125" style="3"/>
    <col min="12801" max="12801" width="15.85546875" style="3" customWidth="1"/>
    <col min="12802" max="12802" width="14.85546875" style="3" customWidth="1"/>
    <col min="12803" max="12803" width="13.28515625" style="3" customWidth="1"/>
    <col min="12804" max="12804" width="11.42578125" style="3"/>
    <col min="12805" max="12805" width="13.42578125" style="3" customWidth="1"/>
    <col min="12806" max="12806" width="12.7109375" style="3" customWidth="1"/>
    <col min="12807" max="12807" width="14" style="3" customWidth="1"/>
    <col min="12808" max="12808" width="7.42578125" style="3" customWidth="1"/>
    <col min="12809" max="13056" width="11.42578125" style="3"/>
    <col min="13057" max="13057" width="15.85546875" style="3" customWidth="1"/>
    <col min="13058" max="13058" width="14.85546875" style="3" customWidth="1"/>
    <col min="13059" max="13059" width="13.28515625" style="3" customWidth="1"/>
    <col min="13060" max="13060" width="11.42578125" style="3"/>
    <col min="13061" max="13061" width="13.42578125" style="3" customWidth="1"/>
    <col min="13062" max="13062" width="12.7109375" style="3" customWidth="1"/>
    <col min="13063" max="13063" width="14" style="3" customWidth="1"/>
    <col min="13064" max="13064" width="7.42578125" style="3" customWidth="1"/>
    <col min="13065" max="13312" width="11.42578125" style="3"/>
    <col min="13313" max="13313" width="15.85546875" style="3" customWidth="1"/>
    <col min="13314" max="13314" width="14.85546875" style="3" customWidth="1"/>
    <col min="13315" max="13315" width="13.28515625" style="3" customWidth="1"/>
    <col min="13316" max="13316" width="11.42578125" style="3"/>
    <col min="13317" max="13317" width="13.42578125" style="3" customWidth="1"/>
    <col min="13318" max="13318" width="12.7109375" style="3" customWidth="1"/>
    <col min="13319" max="13319" width="14" style="3" customWidth="1"/>
    <col min="13320" max="13320" width="7.42578125" style="3" customWidth="1"/>
    <col min="13321" max="13568" width="11.42578125" style="3"/>
    <col min="13569" max="13569" width="15.85546875" style="3" customWidth="1"/>
    <col min="13570" max="13570" width="14.85546875" style="3" customWidth="1"/>
    <col min="13571" max="13571" width="13.28515625" style="3" customWidth="1"/>
    <col min="13572" max="13572" width="11.42578125" style="3"/>
    <col min="13573" max="13573" width="13.42578125" style="3" customWidth="1"/>
    <col min="13574" max="13574" width="12.7109375" style="3" customWidth="1"/>
    <col min="13575" max="13575" width="14" style="3" customWidth="1"/>
    <col min="13576" max="13576" width="7.42578125" style="3" customWidth="1"/>
    <col min="13577" max="13824" width="11.42578125" style="3"/>
    <col min="13825" max="13825" width="15.85546875" style="3" customWidth="1"/>
    <col min="13826" max="13826" width="14.85546875" style="3" customWidth="1"/>
    <col min="13827" max="13827" width="13.28515625" style="3" customWidth="1"/>
    <col min="13828" max="13828" width="11.42578125" style="3"/>
    <col min="13829" max="13829" width="13.42578125" style="3" customWidth="1"/>
    <col min="13830" max="13830" width="12.7109375" style="3" customWidth="1"/>
    <col min="13831" max="13831" width="14" style="3" customWidth="1"/>
    <col min="13832" max="13832" width="7.42578125" style="3" customWidth="1"/>
    <col min="13833" max="14080" width="11.42578125" style="3"/>
    <col min="14081" max="14081" width="15.85546875" style="3" customWidth="1"/>
    <col min="14082" max="14082" width="14.85546875" style="3" customWidth="1"/>
    <col min="14083" max="14083" width="13.28515625" style="3" customWidth="1"/>
    <col min="14084" max="14084" width="11.42578125" style="3"/>
    <col min="14085" max="14085" width="13.42578125" style="3" customWidth="1"/>
    <col min="14086" max="14086" width="12.7109375" style="3" customWidth="1"/>
    <col min="14087" max="14087" width="14" style="3" customWidth="1"/>
    <col min="14088" max="14088" width="7.42578125" style="3" customWidth="1"/>
    <col min="14089" max="14336" width="11.42578125" style="3"/>
    <col min="14337" max="14337" width="15.85546875" style="3" customWidth="1"/>
    <col min="14338" max="14338" width="14.85546875" style="3" customWidth="1"/>
    <col min="14339" max="14339" width="13.28515625" style="3" customWidth="1"/>
    <col min="14340" max="14340" width="11.42578125" style="3"/>
    <col min="14341" max="14341" width="13.42578125" style="3" customWidth="1"/>
    <col min="14342" max="14342" width="12.7109375" style="3" customWidth="1"/>
    <col min="14343" max="14343" width="14" style="3" customWidth="1"/>
    <col min="14344" max="14344" width="7.42578125" style="3" customWidth="1"/>
    <col min="14345" max="14592" width="11.42578125" style="3"/>
    <col min="14593" max="14593" width="15.85546875" style="3" customWidth="1"/>
    <col min="14594" max="14594" width="14.85546875" style="3" customWidth="1"/>
    <col min="14595" max="14595" width="13.28515625" style="3" customWidth="1"/>
    <col min="14596" max="14596" width="11.42578125" style="3"/>
    <col min="14597" max="14597" width="13.42578125" style="3" customWidth="1"/>
    <col min="14598" max="14598" width="12.7109375" style="3" customWidth="1"/>
    <col min="14599" max="14599" width="14" style="3" customWidth="1"/>
    <col min="14600" max="14600" width="7.42578125" style="3" customWidth="1"/>
    <col min="14601" max="14848" width="11.42578125" style="3"/>
    <col min="14849" max="14849" width="15.85546875" style="3" customWidth="1"/>
    <col min="14850" max="14850" width="14.85546875" style="3" customWidth="1"/>
    <col min="14851" max="14851" width="13.28515625" style="3" customWidth="1"/>
    <col min="14852" max="14852" width="11.42578125" style="3"/>
    <col min="14853" max="14853" width="13.42578125" style="3" customWidth="1"/>
    <col min="14854" max="14854" width="12.7109375" style="3" customWidth="1"/>
    <col min="14855" max="14855" width="14" style="3" customWidth="1"/>
    <col min="14856" max="14856" width="7.42578125" style="3" customWidth="1"/>
    <col min="14857" max="15104" width="11.42578125" style="3"/>
    <col min="15105" max="15105" width="15.85546875" style="3" customWidth="1"/>
    <col min="15106" max="15106" width="14.85546875" style="3" customWidth="1"/>
    <col min="15107" max="15107" width="13.28515625" style="3" customWidth="1"/>
    <col min="15108" max="15108" width="11.42578125" style="3"/>
    <col min="15109" max="15109" width="13.42578125" style="3" customWidth="1"/>
    <col min="15110" max="15110" width="12.7109375" style="3" customWidth="1"/>
    <col min="15111" max="15111" width="14" style="3" customWidth="1"/>
    <col min="15112" max="15112" width="7.42578125" style="3" customWidth="1"/>
    <col min="15113" max="15360" width="11.42578125" style="3"/>
    <col min="15361" max="15361" width="15.85546875" style="3" customWidth="1"/>
    <col min="15362" max="15362" width="14.85546875" style="3" customWidth="1"/>
    <col min="15363" max="15363" width="13.28515625" style="3" customWidth="1"/>
    <col min="15364" max="15364" width="11.42578125" style="3"/>
    <col min="15365" max="15365" width="13.42578125" style="3" customWidth="1"/>
    <col min="15366" max="15366" width="12.7109375" style="3" customWidth="1"/>
    <col min="15367" max="15367" width="14" style="3" customWidth="1"/>
    <col min="15368" max="15368" width="7.42578125" style="3" customWidth="1"/>
    <col min="15369" max="15616" width="11.42578125" style="3"/>
    <col min="15617" max="15617" width="15.85546875" style="3" customWidth="1"/>
    <col min="15618" max="15618" width="14.85546875" style="3" customWidth="1"/>
    <col min="15619" max="15619" width="13.28515625" style="3" customWidth="1"/>
    <col min="15620" max="15620" width="11.42578125" style="3"/>
    <col min="15621" max="15621" width="13.42578125" style="3" customWidth="1"/>
    <col min="15622" max="15622" width="12.7109375" style="3" customWidth="1"/>
    <col min="15623" max="15623" width="14" style="3" customWidth="1"/>
    <col min="15624" max="15624" width="7.42578125" style="3" customWidth="1"/>
    <col min="15625" max="15872" width="11.42578125" style="3"/>
    <col min="15873" max="15873" width="15.85546875" style="3" customWidth="1"/>
    <col min="15874" max="15874" width="14.85546875" style="3" customWidth="1"/>
    <col min="15875" max="15875" width="13.28515625" style="3" customWidth="1"/>
    <col min="15876" max="15876" width="11.42578125" style="3"/>
    <col min="15877" max="15877" width="13.42578125" style="3" customWidth="1"/>
    <col min="15878" max="15878" width="12.7109375" style="3" customWidth="1"/>
    <col min="15879" max="15879" width="14" style="3" customWidth="1"/>
    <col min="15880" max="15880" width="7.42578125" style="3" customWidth="1"/>
    <col min="15881" max="16128" width="11.42578125" style="3"/>
    <col min="16129" max="16129" width="15.85546875" style="3" customWidth="1"/>
    <col min="16130" max="16130" width="14.85546875" style="3" customWidth="1"/>
    <col min="16131" max="16131" width="13.28515625" style="3" customWidth="1"/>
    <col min="16132" max="16132" width="11.42578125" style="3"/>
    <col min="16133" max="16133" width="13.42578125" style="3" customWidth="1"/>
    <col min="16134" max="16134" width="12.7109375" style="3" customWidth="1"/>
    <col min="16135" max="16135" width="14" style="3" customWidth="1"/>
    <col min="16136" max="16136" width="7.42578125" style="3" customWidth="1"/>
    <col min="16137" max="16384" width="11.42578125" style="3"/>
  </cols>
  <sheetData>
    <row r="1" spans="1:21" ht="48" customHeight="1">
      <c r="A1" s="1346" t="str">
        <f>PPTO!D3</f>
        <v>PRESUPUESTO
MUNICIPIO EL BAGRE (ANTIOQUIA).</v>
      </c>
      <c r="B1" s="1347"/>
      <c r="C1" s="1347"/>
      <c r="D1" s="1347"/>
      <c r="E1" s="1347"/>
      <c r="F1" s="1347"/>
      <c r="G1" s="1348"/>
      <c r="H1" s="1"/>
      <c r="I1" s="2"/>
    </row>
    <row r="2" spans="1:21" ht="18" customHeight="1">
      <c r="A2" s="1397" t="s">
        <v>16</v>
      </c>
      <c r="B2" s="1363"/>
      <c r="C2" s="1363"/>
      <c r="D2" s="1363"/>
      <c r="E2" s="1363"/>
      <c r="F2" s="1363"/>
      <c r="G2" s="1398"/>
      <c r="H2" s="1"/>
      <c r="I2" s="2"/>
    </row>
    <row r="3" spans="1:21" ht="24" customHeight="1">
      <c r="A3" s="1392" t="str">
        <f>+PPTO!$D$5</f>
        <v>PROYECTO DE MEJORAMIENTO VIAL, ESPACIO PUBLICO Y OBRAS COMPLEMENTARIAS DE LA AVENIDA LA JUVENTUD Y TRAMOS ADYACENTES Y PRIORITARIOS DEL SECTOR URBANO EN EL MUNICIPIO EL BAGRE ANTIOQUIA.</v>
      </c>
      <c r="B3" s="1368"/>
      <c r="C3" s="1368"/>
      <c r="D3" s="1368"/>
      <c r="E3" s="1368"/>
      <c r="F3" s="1368"/>
      <c r="G3" s="1393"/>
      <c r="H3" s="1"/>
      <c r="I3" s="2"/>
    </row>
    <row r="4" spans="1:21" ht="30" customHeight="1">
      <c r="A4" s="1394"/>
      <c r="B4" s="1368"/>
      <c r="C4" s="1368"/>
      <c r="D4" s="1368"/>
      <c r="E4" s="1368"/>
      <c r="F4" s="1368"/>
      <c r="G4" s="1393"/>
      <c r="H4" s="1"/>
      <c r="I4" s="2"/>
    </row>
    <row r="5" spans="1:21" ht="6.75" customHeight="1">
      <c r="A5" s="52"/>
      <c r="B5" s="6"/>
      <c r="C5" s="24"/>
      <c r="D5" s="25"/>
      <c r="E5" s="6"/>
      <c r="F5" s="6"/>
      <c r="G5" s="53"/>
      <c r="H5" s="9"/>
    </row>
    <row r="6" spans="1:21" ht="52.5" customHeight="1">
      <c r="A6" s="368">
        <v>3.2</v>
      </c>
      <c r="B6" s="1349" t="str">
        <f>VLOOKUP(A6,PPTO!D4:I131,2,FALSE)</f>
        <v>Suministro, extendido, conformación y compactación de base granular.</v>
      </c>
      <c r="C6" s="1350"/>
      <c r="D6" s="1350"/>
      <c r="E6" s="1351"/>
      <c r="F6" s="192" t="s">
        <v>118</v>
      </c>
      <c r="G6" s="248" t="str">
        <f>VLOOKUP(A6,PPTO!D4:I131,3,FALSE)</f>
        <v>m3</v>
      </c>
      <c r="H6" s="9"/>
    </row>
    <row r="7" spans="1:21" ht="3.75" customHeight="1">
      <c r="A7" s="54"/>
      <c r="B7" s="4"/>
      <c r="C7" s="6"/>
      <c r="D7" s="4"/>
      <c r="E7" s="4"/>
      <c r="F7" s="4"/>
      <c r="G7" s="55"/>
      <c r="H7" s="9"/>
    </row>
    <row r="8" spans="1:21" ht="22.5" customHeight="1">
      <c r="A8" s="1395" t="s">
        <v>69</v>
      </c>
      <c r="B8" s="1355"/>
      <c r="C8" s="1355"/>
      <c r="D8" s="1355"/>
      <c r="E8" s="1355"/>
      <c r="F8" s="1355"/>
      <c r="G8" s="1396"/>
      <c r="H8" s="9"/>
    </row>
    <row r="9" spans="1:21" ht="4.5" customHeight="1">
      <c r="A9" s="54"/>
      <c r="B9" s="4"/>
      <c r="C9" s="6"/>
      <c r="D9" s="4"/>
      <c r="E9" s="4"/>
      <c r="F9" s="4"/>
      <c r="G9" s="55"/>
      <c r="H9" s="9"/>
      <c r="I9" s="5"/>
      <c r="J9" s="5"/>
      <c r="K9" s="5"/>
      <c r="L9" s="26"/>
      <c r="M9" s="5"/>
      <c r="N9" s="5"/>
      <c r="O9" s="5"/>
      <c r="P9" s="5"/>
    </row>
    <row r="10" spans="1:21">
      <c r="A10" s="1391" t="s">
        <v>17</v>
      </c>
      <c r="B10" s="1374"/>
      <c r="C10" s="1374"/>
      <c r="D10" s="346" t="s">
        <v>18</v>
      </c>
      <c r="E10" s="346" t="s">
        <v>19</v>
      </c>
      <c r="F10" s="346" t="s">
        <v>20</v>
      </c>
      <c r="G10" s="61" t="s">
        <v>21</v>
      </c>
      <c r="H10" s="27"/>
      <c r="I10" s="28"/>
      <c r="J10" s="29"/>
      <c r="K10" s="30"/>
      <c r="L10" s="30"/>
      <c r="M10" s="30"/>
      <c r="N10" s="30"/>
      <c r="O10" s="30"/>
      <c r="P10" s="5"/>
    </row>
    <row r="11" spans="1:21">
      <c r="A11" s="1389" t="s">
        <v>75</v>
      </c>
      <c r="B11" s="1388"/>
      <c r="C11" s="1388"/>
      <c r="D11" s="751"/>
      <c r="E11" s="394"/>
      <c r="F11" s="395"/>
      <c r="G11" s="753">
        <f>+G39*5%</f>
        <v>117</v>
      </c>
      <c r="H11" s="9"/>
      <c r="I11" s="30"/>
      <c r="J11" s="31"/>
      <c r="K11" s="30"/>
      <c r="L11" s="30"/>
      <c r="M11" s="30"/>
      <c r="N11" s="30"/>
      <c r="O11" s="30"/>
      <c r="P11" s="5"/>
    </row>
    <row r="12" spans="1:21">
      <c r="A12" s="1389" t="s">
        <v>80</v>
      </c>
      <c r="B12" s="1388"/>
      <c r="C12" s="1388"/>
      <c r="D12" s="751" t="s">
        <v>42</v>
      </c>
      <c r="E12" s="424">
        <v>190000</v>
      </c>
      <c r="F12" s="754">
        <f>F35</f>
        <v>100</v>
      </c>
      <c r="G12" s="753">
        <f>+E12/F12</f>
        <v>1900</v>
      </c>
      <c r="H12" s="9"/>
      <c r="I12" s="16"/>
      <c r="J12" s="13"/>
      <c r="K12" s="8"/>
      <c r="L12" s="8"/>
      <c r="M12" s="8"/>
      <c r="N12" s="8"/>
      <c r="O12" s="8"/>
      <c r="P12" s="5"/>
    </row>
    <row r="13" spans="1:21">
      <c r="A13" s="1389" t="s">
        <v>81</v>
      </c>
      <c r="B13" s="1388"/>
      <c r="C13" s="1388"/>
      <c r="D13" s="394" t="s">
        <v>42</v>
      </c>
      <c r="E13" s="424">
        <v>110000</v>
      </c>
      <c r="F13" s="754">
        <f>+F12</f>
        <v>100</v>
      </c>
      <c r="G13" s="753">
        <f>+E13/F13</f>
        <v>1100</v>
      </c>
      <c r="H13" s="9"/>
      <c r="I13" s="13"/>
      <c r="J13" s="13"/>
      <c r="K13" s="13"/>
      <c r="L13" s="13"/>
      <c r="M13" s="13"/>
      <c r="N13" s="13"/>
      <c r="O13" s="13"/>
      <c r="P13" s="5"/>
    </row>
    <row r="14" spans="1:21">
      <c r="A14" s="1389" t="s">
        <v>82</v>
      </c>
      <c r="B14" s="1388"/>
      <c r="C14" s="1388"/>
      <c r="D14" s="394" t="s">
        <v>42</v>
      </c>
      <c r="E14" s="424">
        <v>90000</v>
      </c>
      <c r="F14" s="754">
        <f>+F13</f>
        <v>100</v>
      </c>
      <c r="G14" s="753">
        <f>+E14/F14</f>
        <v>900</v>
      </c>
      <c r="H14" s="9"/>
      <c r="I14" s="8"/>
      <c r="J14" s="14"/>
      <c r="K14" s="32"/>
      <c r="L14" s="14"/>
      <c r="M14" s="15"/>
      <c r="N14" s="15"/>
      <c r="O14" s="19"/>
      <c r="P14" s="5"/>
    </row>
    <row r="15" spans="1:21">
      <c r="A15" s="1390"/>
      <c r="B15" s="1372"/>
      <c r="C15" s="1372"/>
      <c r="D15" s="83"/>
      <c r="E15" s="83"/>
      <c r="F15" s="98"/>
      <c r="G15" s="96"/>
      <c r="H15" s="9"/>
      <c r="I15" s="8"/>
      <c r="J15" s="33"/>
      <c r="K15" s="32"/>
      <c r="L15" s="14"/>
      <c r="M15" s="15"/>
      <c r="N15" s="15"/>
      <c r="O15" s="19"/>
      <c r="P15" s="5"/>
      <c r="Q15" s="5"/>
      <c r="R15" s="5"/>
      <c r="S15" s="5"/>
      <c r="T15" s="5"/>
      <c r="U15" s="5"/>
    </row>
    <row r="16" spans="1:21">
      <c r="A16" s="1390"/>
      <c r="B16" s="1372"/>
      <c r="C16" s="1372"/>
      <c r="D16" s="85" t="s">
        <v>37</v>
      </c>
      <c r="E16" s="50"/>
      <c r="F16" s="49"/>
      <c r="G16" s="86">
        <f>SUM(G11:G15)</f>
        <v>4017</v>
      </c>
      <c r="H16" s="9"/>
      <c r="I16" s="34"/>
      <c r="J16" s="34"/>
      <c r="K16" s="35"/>
      <c r="L16" s="36"/>
      <c r="M16" s="7"/>
      <c r="N16" s="7"/>
      <c r="O16" s="19"/>
      <c r="P16" s="5"/>
      <c r="Q16" s="5"/>
      <c r="R16" s="5"/>
      <c r="S16" s="5"/>
      <c r="T16" s="5"/>
      <c r="U16" s="5"/>
    </row>
    <row r="17" spans="1:21" ht="4.5" customHeight="1">
      <c r="A17" s="54"/>
      <c r="B17" s="4"/>
      <c r="C17" s="6"/>
      <c r="D17" s="4"/>
      <c r="E17" s="4"/>
      <c r="F17" s="4"/>
      <c r="G17" s="55"/>
      <c r="H17" s="9"/>
      <c r="I17" s="34"/>
      <c r="J17" s="34"/>
      <c r="K17" s="35"/>
      <c r="L17" s="36"/>
      <c r="M17" s="7"/>
      <c r="N17" s="7"/>
      <c r="O17" s="19"/>
      <c r="P17" s="5"/>
      <c r="Q17" s="5"/>
      <c r="R17" s="5"/>
      <c r="S17" s="5"/>
      <c r="T17" s="5"/>
      <c r="U17" s="5"/>
    </row>
    <row r="18" spans="1:21" ht="22.5" customHeight="1">
      <c r="A18" s="1395" t="s">
        <v>70</v>
      </c>
      <c r="B18" s="1355"/>
      <c r="C18" s="1355"/>
      <c r="D18" s="1355"/>
      <c r="E18" s="1355"/>
      <c r="F18" s="1355"/>
      <c r="G18" s="1396"/>
      <c r="H18" s="9"/>
    </row>
    <row r="19" spans="1:21" ht="4.5" customHeight="1">
      <c r="A19" s="54"/>
      <c r="B19" s="4"/>
      <c r="C19" s="6"/>
      <c r="D19" s="4"/>
      <c r="E19" s="4"/>
      <c r="F19" s="38"/>
      <c r="G19" s="55"/>
      <c r="H19" s="9"/>
      <c r="I19" s="34"/>
      <c r="J19" s="34"/>
      <c r="K19" s="35"/>
      <c r="L19" s="39"/>
      <c r="M19" s="7"/>
      <c r="N19" s="7"/>
      <c r="O19" s="8"/>
      <c r="P19" s="5"/>
      <c r="Q19" s="5"/>
      <c r="R19" s="5"/>
      <c r="S19" s="5"/>
      <c r="T19" s="5"/>
      <c r="U19" s="5"/>
    </row>
    <row r="20" spans="1:21">
      <c r="A20" s="1391" t="s">
        <v>17</v>
      </c>
      <c r="B20" s="1374"/>
      <c r="C20" s="1374"/>
      <c r="D20" s="346" t="s">
        <v>3</v>
      </c>
      <c r="E20" s="346" t="s">
        <v>4</v>
      </c>
      <c r="F20" s="346" t="s">
        <v>25</v>
      </c>
      <c r="G20" s="61" t="s">
        <v>21</v>
      </c>
      <c r="H20" s="27"/>
      <c r="I20" s="34"/>
      <c r="J20" s="34"/>
      <c r="K20" s="35"/>
      <c r="L20" s="39"/>
      <c r="M20" s="7"/>
      <c r="N20" s="7"/>
      <c r="O20" s="8"/>
      <c r="P20" s="5"/>
      <c r="Q20" s="5"/>
      <c r="R20" s="5"/>
      <c r="S20" s="5"/>
      <c r="T20" s="5"/>
      <c r="U20" s="5"/>
    </row>
    <row r="21" spans="1:21" ht="28.5" customHeight="1">
      <c r="A21" s="1402" t="s">
        <v>83</v>
      </c>
      <c r="B21" s="1403"/>
      <c r="C21" s="1404"/>
      <c r="D21" s="116" t="s">
        <v>44</v>
      </c>
      <c r="E21" s="117">
        <v>1.1499999999999999</v>
      </c>
      <c r="F21" s="91">
        <v>35000</v>
      </c>
      <c r="G21" s="67">
        <f>ROUND(F21*E21,0)</f>
        <v>40250</v>
      </c>
      <c r="H21" s="9"/>
      <c r="I21" s="34"/>
      <c r="J21" s="34"/>
      <c r="K21" s="35"/>
      <c r="L21" s="39"/>
      <c r="M21" s="7"/>
      <c r="N21" s="7"/>
      <c r="O21" s="13"/>
      <c r="P21" s="5"/>
      <c r="Q21" s="5"/>
      <c r="R21" s="5"/>
      <c r="S21" s="5"/>
      <c r="T21" s="5"/>
      <c r="U21" s="5"/>
    </row>
    <row r="22" spans="1:21">
      <c r="A22" s="1405" t="s">
        <v>45</v>
      </c>
      <c r="B22" s="1366"/>
      <c r="C22" s="1366"/>
      <c r="D22" s="76" t="s">
        <v>46</v>
      </c>
      <c r="E22" s="90">
        <v>14.17</v>
      </c>
      <c r="F22" s="83">
        <v>90</v>
      </c>
      <c r="G22" s="67">
        <f>ROUND(F22*E22,0)</f>
        <v>1275</v>
      </c>
      <c r="H22" s="9"/>
      <c r="I22" s="10"/>
      <c r="J22" s="10"/>
      <c r="K22" s="12"/>
      <c r="L22" s="39"/>
      <c r="M22" s="7"/>
      <c r="N22" s="7"/>
      <c r="O22" s="15"/>
      <c r="P22" s="5"/>
      <c r="Q22" s="5"/>
      <c r="R22" s="5"/>
      <c r="S22" s="5"/>
      <c r="T22" s="5"/>
      <c r="U22" s="5"/>
    </row>
    <row r="23" spans="1:21" ht="25.5" customHeight="1">
      <c r="A23" s="1399"/>
      <c r="B23" s="1400"/>
      <c r="C23" s="1401"/>
      <c r="D23" s="73"/>
      <c r="E23" s="90"/>
      <c r="F23" s="83"/>
      <c r="G23" s="67"/>
      <c r="H23" s="9"/>
      <c r="I23" s="10"/>
      <c r="J23" s="10"/>
      <c r="K23" s="12"/>
      <c r="L23" s="39"/>
      <c r="M23" s="7"/>
      <c r="N23" s="7"/>
      <c r="O23" s="15"/>
      <c r="P23" s="5"/>
      <c r="Q23" s="5"/>
      <c r="R23" s="5"/>
      <c r="S23" s="5"/>
      <c r="T23" s="5"/>
      <c r="U23" s="5"/>
    </row>
    <row r="24" spans="1:21">
      <c r="A24" s="1399"/>
      <c r="B24" s="1400"/>
      <c r="C24" s="1401"/>
      <c r="D24" s="73"/>
      <c r="E24" s="90"/>
      <c r="F24" s="83"/>
      <c r="G24" s="67"/>
      <c r="H24" s="9"/>
      <c r="I24" s="10"/>
      <c r="J24" s="10"/>
      <c r="K24" s="12"/>
      <c r="L24" s="39"/>
      <c r="M24" s="7"/>
      <c r="N24" s="7"/>
      <c r="O24" s="15"/>
      <c r="P24" s="5"/>
      <c r="Q24" s="5"/>
      <c r="R24" s="5"/>
      <c r="S24" s="5"/>
      <c r="T24" s="5"/>
      <c r="U24" s="5"/>
    </row>
    <row r="25" spans="1:21">
      <c r="A25" s="1386" t="s">
        <v>131</v>
      </c>
      <c r="B25" s="1353"/>
      <c r="C25" s="1353"/>
      <c r="D25" s="79" t="s">
        <v>132</v>
      </c>
      <c r="E25" s="82">
        <v>73</v>
      </c>
      <c r="F25" s="83">
        <v>1200</v>
      </c>
      <c r="G25" s="67">
        <f>+F25*E25</f>
        <v>87600</v>
      </c>
      <c r="H25" s="9"/>
      <c r="I25" s="10"/>
      <c r="J25" s="40"/>
      <c r="K25" s="12"/>
      <c r="L25" s="13"/>
      <c r="M25" s="14"/>
      <c r="N25" s="14"/>
      <c r="O25" s="15"/>
      <c r="P25" s="5"/>
      <c r="Q25" s="5"/>
      <c r="R25" s="5"/>
      <c r="S25" s="5"/>
      <c r="T25" s="5"/>
      <c r="U25" s="5"/>
    </row>
    <row r="26" spans="1:21">
      <c r="A26" s="1386"/>
      <c r="B26" s="1353"/>
      <c r="C26" s="1353"/>
      <c r="D26" s="81"/>
      <c r="E26" s="82"/>
      <c r="F26" s="83"/>
      <c r="G26" s="67"/>
      <c r="H26" s="9"/>
      <c r="I26" s="10"/>
      <c r="J26" s="11"/>
      <c r="K26" s="12"/>
      <c r="L26" s="13"/>
      <c r="M26" s="14"/>
      <c r="N26" s="14"/>
      <c r="O26" s="15"/>
      <c r="P26" s="5"/>
      <c r="Q26" s="5"/>
      <c r="R26" s="5"/>
      <c r="S26" s="5"/>
      <c r="T26" s="5"/>
      <c r="U26" s="5"/>
    </row>
    <row r="27" spans="1:21">
      <c r="A27" s="1386"/>
      <c r="B27" s="1353"/>
      <c r="C27" s="1353"/>
      <c r="D27" s="79"/>
      <c r="E27" s="82"/>
      <c r="F27" s="83"/>
      <c r="G27" s="67"/>
      <c r="H27" s="9"/>
      <c r="I27" s="10"/>
      <c r="J27" s="11"/>
      <c r="K27" s="12"/>
      <c r="L27" s="13"/>
      <c r="M27" s="14"/>
      <c r="N27" s="14"/>
      <c r="O27" s="15"/>
      <c r="P27" s="5"/>
      <c r="Q27" s="5"/>
      <c r="R27" s="5"/>
      <c r="S27" s="5"/>
      <c r="T27" s="5"/>
      <c r="U27" s="5"/>
    </row>
    <row r="28" spans="1:21">
      <c r="A28" s="1386"/>
      <c r="B28" s="1353"/>
      <c r="C28" s="1353"/>
      <c r="D28" s="79"/>
      <c r="E28" s="82"/>
      <c r="F28" s="83"/>
      <c r="G28" s="67"/>
      <c r="H28" s="9"/>
      <c r="I28" s="41"/>
      <c r="J28" s="41"/>
      <c r="K28" s="12"/>
      <c r="L28" s="13"/>
      <c r="M28" s="14"/>
      <c r="N28" s="14"/>
      <c r="O28" s="15"/>
      <c r="P28" s="5"/>
      <c r="Q28" s="5"/>
      <c r="R28" s="5"/>
      <c r="S28" s="5"/>
      <c r="T28" s="5"/>
      <c r="U28" s="5"/>
    </row>
    <row r="29" spans="1:21">
      <c r="A29" s="1386"/>
      <c r="B29" s="1353"/>
      <c r="C29" s="1353"/>
      <c r="D29" s="84"/>
      <c r="E29" s="84"/>
      <c r="F29" s="83"/>
      <c r="G29" s="67"/>
      <c r="H29" s="9"/>
      <c r="I29" s="42"/>
      <c r="J29" s="42"/>
      <c r="K29" s="42"/>
      <c r="L29" s="13"/>
      <c r="M29" s="14"/>
      <c r="N29" s="14"/>
      <c r="O29" s="15"/>
      <c r="P29" s="5"/>
      <c r="Q29" s="5"/>
      <c r="R29" s="5"/>
      <c r="S29" s="5"/>
      <c r="T29" s="5"/>
      <c r="U29" s="5"/>
    </row>
    <row r="30" spans="1:21">
      <c r="A30" s="1386"/>
      <c r="B30" s="1353"/>
      <c r="C30" s="1353"/>
      <c r="D30" s="85" t="s">
        <v>28</v>
      </c>
      <c r="E30" s="50"/>
      <c r="F30" s="49"/>
      <c r="G30" s="86">
        <f>SUM(G21:G29)</f>
        <v>129125</v>
      </c>
      <c r="H30" s="9"/>
      <c r="I30" s="8"/>
      <c r="J30" s="13"/>
      <c r="K30" s="8"/>
      <c r="L30" s="13"/>
      <c r="M30" s="14"/>
      <c r="N30" s="14"/>
      <c r="O30" s="15"/>
      <c r="P30" s="5"/>
    </row>
    <row r="31" spans="1:21" ht="3.75" customHeight="1">
      <c r="A31" s="54"/>
      <c r="B31" s="4"/>
      <c r="C31" s="6"/>
      <c r="D31" s="4"/>
      <c r="E31" s="4"/>
      <c r="F31" s="4"/>
      <c r="G31" s="55"/>
      <c r="H31" s="9"/>
      <c r="I31" s="8"/>
      <c r="J31" s="13"/>
      <c r="K31" s="18"/>
      <c r="L31" s="13"/>
      <c r="M31" s="33"/>
      <c r="N31" s="33"/>
      <c r="O31" s="15"/>
      <c r="P31" s="5"/>
    </row>
    <row r="32" spans="1:21" ht="22.5" customHeight="1">
      <c r="A32" s="1395" t="s">
        <v>71</v>
      </c>
      <c r="B32" s="1355"/>
      <c r="C32" s="1355"/>
      <c r="D32" s="1355"/>
      <c r="E32" s="1355"/>
      <c r="F32" s="1355"/>
      <c r="G32" s="1396"/>
      <c r="H32" s="9"/>
    </row>
    <row r="33" spans="1:16" ht="3.75" customHeight="1">
      <c r="A33" s="54"/>
      <c r="B33" s="4"/>
      <c r="C33" s="6"/>
      <c r="D33" s="4"/>
      <c r="E33" s="4"/>
      <c r="F33" s="4"/>
      <c r="G33" s="55"/>
      <c r="H33" s="9"/>
      <c r="I33" s="8"/>
      <c r="J33" s="13"/>
      <c r="K33" s="8"/>
      <c r="L33" s="8"/>
      <c r="M33" s="8"/>
      <c r="N33" s="8"/>
      <c r="O33" s="15"/>
      <c r="P33" s="5"/>
    </row>
    <row r="34" spans="1:16">
      <c r="A34" s="59" t="s">
        <v>5</v>
      </c>
      <c r="B34" s="60" t="s">
        <v>29</v>
      </c>
      <c r="C34" s="60" t="s">
        <v>30</v>
      </c>
      <c r="D34" s="60" t="s">
        <v>31</v>
      </c>
      <c r="E34" s="60" t="s">
        <v>32</v>
      </c>
      <c r="F34" s="60" t="s">
        <v>20</v>
      </c>
      <c r="G34" s="61" t="s">
        <v>33</v>
      </c>
      <c r="H34" s="27"/>
      <c r="I34" s="8"/>
      <c r="J34" s="13"/>
      <c r="K34" s="8"/>
      <c r="L34" s="8"/>
      <c r="M34" s="8"/>
      <c r="N34" s="8"/>
      <c r="O34" s="15"/>
      <c r="P34" s="5"/>
    </row>
    <row r="35" spans="1:16">
      <c r="A35" s="62" t="s">
        <v>41</v>
      </c>
      <c r="B35" s="63">
        <f>BOF</f>
        <v>51749</v>
      </c>
      <c r="C35" s="68">
        <f>ffpp</f>
        <v>0.64539999999999997</v>
      </c>
      <c r="D35" s="72">
        <v>1</v>
      </c>
      <c r="E35" s="66">
        <f>OF</f>
        <v>88696</v>
      </c>
      <c r="F35" s="65">
        <v>100</v>
      </c>
      <c r="G35" s="231">
        <f>ROUND(+D35*E35/F35,0)</f>
        <v>887</v>
      </c>
      <c r="H35" s="9"/>
      <c r="I35" s="16"/>
      <c r="J35" s="13"/>
      <c r="K35" s="8"/>
      <c r="L35" s="8"/>
      <c r="M35" s="8"/>
      <c r="N35" s="8"/>
      <c r="O35" s="15"/>
      <c r="P35" s="5"/>
    </row>
    <row r="36" spans="1:16">
      <c r="A36" s="62" t="s">
        <v>38</v>
      </c>
      <c r="B36" s="63">
        <f>BOB</f>
        <v>41749</v>
      </c>
      <c r="C36" s="68">
        <f>ffpp</f>
        <v>0.64539999999999997</v>
      </c>
      <c r="D36" s="72">
        <v>2</v>
      </c>
      <c r="E36" s="66">
        <f>OB</f>
        <v>72242</v>
      </c>
      <c r="F36" s="65">
        <f>F35</f>
        <v>100</v>
      </c>
      <c r="G36" s="231">
        <f>ROUND(+D36*E36/F36,0)</f>
        <v>1445</v>
      </c>
      <c r="H36" s="9"/>
      <c r="I36" s="16"/>
      <c r="J36" s="13"/>
      <c r="K36" s="8"/>
      <c r="L36" s="8"/>
      <c r="M36" s="8"/>
      <c r="N36" s="8"/>
      <c r="O36" s="15"/>
      <c r="P36" s="5"/>
    </row>
    <row r="37" spans="1:16">
      <c r="A37" s="62"/>
      <c r="B37" s="63"/>
      <c r="C37" s="961"/>
      <c r="D37" s="72"/>
      <c r="E37" s="66"/>
      <c r="F37" s="69"/>
      <c r="G37" s="67"/>
      <c r="H37" s="9"/>
      <c r="I37" s="8"/>
      <c r="J37" s="13"/>
      <c r="K37" s="13"/>
      <c r="L37" s="13"/>
      <c r="M37" s="33"/>
      <c r="N37" s="33"/>
      <c r="O37" s="43"/>
      <c r="P37" s="5"/>
    </row>
    <row r="38" spans="1:16">
      <c r="A38" s="62"/>
      <c r="B38" s="65"/>
      <c r="C38" s="68"/>
      <c r="D38" s="65"/>
      <c r="E38" s="69"/>
      <c r="F38" s="69"/>
      <c r="G38" s="70"/>
      <c r="H38" s="9"/>
      <c r="I38" s="8"/>
      <c r="J38" s="13"/>
      <c r="K38" s="13"/>
      <c r="L38" s="13"/>
      <c r="M38" s="33"/>
      <c r="N38" s="33"/>
      <c r="O38" s="43"/>
      <c r="P38" s="5"/>
    </row>
    <row r="39" spans="1:16">
      <c r="A39" s="1386"/>
      <c r="B39" s="1353"/>
      <c r="C39" s="1353"/>
      <c r="D39" s="85" t="s">
        <v>34</v>
      </c>
      <c r="E39" s="50"/>
      <c r="F39" s="49"/>
      <c r="G39" s="86">
        <f>SUM(G35:G38)</f>
        <v>2332</v>
      </c>
      <c r="H39" s="9"/>
      <c r="I39" s="8"/>
      <c r="J39" s="13"/>
      <c r="K39" s="8"/>
      <c r="L39" s="13"/>
      <c r="M39" s="14"/>
      <c r="N39" s="14"/>
      <c r="O39" s="15"/>
      <c r="P39" s="5"/>
    </row>
    <row r="40" spans="1:16">
      <c r="A40" s="110"/>
      <c r="B40" s="111"/>
      <c r="C40" s="111"/>
      <c r="D40" s="112"/>
      <c r="E40" s="5"/>
      <c r="F40" s="113"/>
      <c r="G40" s="114"/>
      <c r="H40" s="9"/>
      <c r="I40" s="8"/>
      <c r="J40" s="13"/>
      <c r="K40" s="8"/>
      <c r="L40" s="13"/>
      <c r="M40" s="14"/>
      <c r="N40" s="14"/>
      <c r="O40" s="15"/>
      <c r="P40" s="5"/>
    </row>
    <row r="41" spans="1:16">
      <c r="A41" s="54"/>
      <c r="B41" s="4"/>
      <c r="C41" s="6"/>
      <c r="D41" s="4"/>
      <c r="E41" s="4"/>
      <c r="F41" s="4"/>
      <c r="G41" s="55"/>
      <c r="H41" s="9"/>
      <c r="I41" s="8"/>
      <c r="J41" s="13"/>
      <c r="K41" s="13"/>
      <c r="L41" s="13"/>
      <c r="M41" s="14"/>
      <c r="N41" s="14"/>
      <c r="O41" s="19"/>
      <c r="P41" s="5"/>
    </row>
    <row r="42" spans="1:16" ht="14.25">
      <c r="A42" s="54"/>
      <c r="B42" s="4"/>
      <c r="C42" s="6"/>
      <c r="D42" s="1357" t="s">
        <v>35</v>
      </c>
      <c r="E42" s="1358"/>
      <c r="F42" s="1359"/>
      <c r="G42" s="56">
        <f>+G39+G30+G16</f>
        <v>135474</v>
      </c>
      <c r="H42" s="9"/>
      <c r="I42" s="46"/>
      <c r="J42" s="47"/>
      <c r="K42" s="8"/>
      <c r="L42" s="8"/>
      <c r="M42" s="8"/>
      <c r="N42" s="8"/>
      <c r="O42" s="8"/>
      <c r="P42" s="5"/>
    </row>
    <row r="43" spans="1:16">
      <c r="A43" s="101"/>
      <c r="B43" s="57"/>
      <c r="C43" s="58"/>
      <c r="D43" s="100"/>
      <c r="E43" s="100"/>
      <c r="F43" s="100"/>
      <c r="G43" s="55"/>
      <c r="H43" s="9"/>
      <c r="I43" s="8"/>
      <c r="J43" s="13"/>
      <c r="K43" s="13"/>
      <c r="L43" s="13"/>
      <c r="M43" s="17"/>
      <c r="N43" s="17"/>
      <c r="O43" s="37"/>
      <c r="P43" s="5"/>
    </row>
    <row r="44" spans="1:16">
      <c r="A44" s="374"/>
      <c r="B44" s="375"/>
      <c r="C44" s="375"/>
      <c r="D44" s="100"/>
      <c r="E44" s="100"/>
      <c r="F44" s="100"/>
      <c r="G44" s="55"/>
      <c r="H44" s="9"/>
      <c r="I44" s="8"/>
      <c r="J44" s="13"/>
      <c r="K44" s="13"/>
      <c r="L44" s="13"/>
      <c r="M44" s="17"/>
      <c r="N44" s="17"/>
      <c r="O44" s="37"/>
      <c r="P44" s="5"/>
    </row>
    <row r="45" spans="1:16">
      <c r="A45" s="373"/>
      <c r="B45" s="376"/>
      <c r="C45" s="376"/>
      <c r="D45" s="100"/>
      <c r="E45" s="100"/>
      <c r="F45" s="100"/>
      <c r="G45" s="55"/>
      <c r="H45" s="9"/>
      <c r="I45" s="8"/>
      <c r="J45" s="13"/>
      <c r="K45" s="13"/>
      <c r="L45" s="13"/>
      <c r="M45" s="17"/>
      <c r="N45" s="17"/>
      <c r="O45" s="37"/>
      <c r="P45" s="5"/>
    </row>
    <row r="46" spans="1:16">
      <c r="A46" s="373"/>
      <c r="B46" s="376"/>
      <c r="C46" s="376"/>
      <c r="H46" s="9"/>
      <c r="I46" s="48"/>
      <c r="J46" s="20"/>
      <c r="K46" s="8"/>
      <c r="L46" s="8"/>
      <c r="M46" s="8"/>
      <c r="N46" s="8"/>
      <c r="O46" s="8"/>
      <c r="P46" s="5"/>
    </row>
    <row r="47" spans="1:16" ht="14.25">
      <c r="A47" s="101"/>
      <c r="B47" s="57"/>
      <c r="C47" s="58"/>
      <c r="D47" s="102"/>
      <c r="E47" s="103"/>
      <c r="F47" s="103"/>
      <c r="G47" s="104"/>
      <c r="H47" s="9"/>
      <c r="I47" s="8"/>
      <c r="J47" s="13"/>
      <c r="K47" s="8"/>
      <c r="L47" s="8"/>
      <c r="M47" s="8"/>
      <c r="N47" s="8"/>
      <c r="O47" s="8"/>
      <c r="P47" s="5"/>
    </row>
    <row r="48" spans="1:16">
      <c r="I48" s="5"/>
      <c r="J48" s="5"/>
      <c r="K48" s="5"/>
      <c r="L48" s="5"/>
      <c r="M48" s="5"/>
      <c r="N48" s="5"/>
      <c r="O48" s="5"/>
      <c r="P48" s="5"/>
    </row>
  </sheetData>
  <mergeCells count="27">
    <mergeCell ref="A32:G32"/>
    <mergeCell ref="A39:C39"/>
    <mergeCell ref="D42:F42"/>
    <mergeCell ref="A25:C25"/>
    <mergeCell ref="A26:C26"/>
    <mergeCell ref="A27:C27"/>
    <mergeCell ref="A28:C28"/>
    <mergeCell ref="A29:C29"/>
    <mergeCell ref="A30:C30"/>
    <mergeCell ref="A24:C24"/>
    <mergeCell ref="A11:C11"/>
    <mergeCell ref="A12:C12"/>
    <mergeCell ref="A13:C13"/>
    <mergeCell ref="A14:C14"/>
    <mergeCell ref="A15:C15"/>
    <mergeCell ref="A16:C16"/>
    <mergeCell ref="A18:G18"/>
    <mergeCell ref="A20:C20"/>
    <mergeCell ref="A21:C21"/>
    <mergeCell ref="A22:C22"/>
    <mergeCell ref="A23:C23"/>
    <mergeCell ref="A10:C10"/>
    <mergeCell ref="A1:G1"/>
    <mergeCell ref="A2:G2"/>
    <mergeCell ref="A3:G4"/>
    <mergeCell ref="B6:E6"/>
    <mergeCell ref="A8:G8"/>
  </mergeCells>
  <printOptions horizontalCentered="1" verticalCentered="1"/>
  <pageMargins left="0.74803149606299213" right="0.74803149606299213" top="0" bottom="0.98425196850393704" header="0" footer="0"/>
  <pageSetup scale="90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9"/>
  <dimension ref="A1:U49"/>
  <sheetViews>
    <sheetView view="pageBreakPreview" topLeftCell="A25" zoomScaleNormal="100" zoomScaleSheetLayoutView="100" workbookViewId="0">
      <selection activeCell="F13" sqref="F13"/>
    </sheetView>
  </sheetViews>
  <sheetFormatPr baseColWidth="10" defaultColWidth="10.7109375" defaultRowHeight="12.75"/>
  <cols>
    <col min="1" max="1" width="15.85546875" style="380" customWidth="1"/>
    <col min="2" max="2" width="14.85546875" style="380" customWidth="1"/>
    <col min="3" max="3" width="13.28515625" style="380" customWidth="1"/>
    <col min="4" max="4" width="11.42578125" style="380"/>
    <col min="5" max="5" width="13.42578125" style="380" customWidth="1"/>
    <col min="6" max="6" width="12.7109375" style="380" customWidth="1"/>
    <col min="7" max="7" width="14" style="380" customWidth="1"/>
    <col min="8" max="8" width="7.42578125" style="380" customWidth="1"/>
    <col min="9" max="256" width="11.42578125" style="380"/>
    <col min="257" max="257" width="15.85546875" style="380" customWidth="1"/>
    <col min="258" max="258" width="14.85546875" style="380" customWidth="1"/>
    <col min="259" max="259" width="13.28515625" style="380" customWidth="1"/>
    <col min="260" max="260" width="11.42578125" style="380"/>
    <col min="261" max="261" width="13.42578125" style="380" customWidth="1"/>
    <col min="262" max="262" width="12.7109375" style="380" customWidth="1"/>
    <col min="263" max="263" width="14" style="380" customWidth="1"/>
    <col min="264" max="264" width="7.42578125" style="380" customWidth="1"/>
    <col min="265" max="512" width="11.42578125" style="380"/>
    <col min="513" max="513" width="15.85546875" style="380" customWidth="1"/>
    <col min="514" max="514" width="14.85546875" style="380" customWidth="1"/>
    <col min="515" max="515" width="13.28515625" style="380" customWidth="1"/>
    <col min="516" max="516" width="11.42578125" style="380"/>
    <col min="517" max="517" width="13.42578125" style="380" customWidth="1"/>
    <col min="518" max="518" width="12.7109375" style="380" customWidth="1"/>
    <col min="519" max="519" width="14" style="380" customWidth="1"/>
    <col min="520" max="520" width="7.42578125" style="380" customWidth="1"/>
    <col min="521" max="768" width="11.42578125" style="380"/>
    <col min="769" max="769" width="15.85546875" style="380" customWidth="1"/>
    <col min="770" max="770" width="14.85546875" style="380" customWidth="1"/>
    <col min="771" max="771" width="13.28515625" style="380" customWidth="1"/>
    <col min="772" max="772" width="11.42578125" style="380"/>
    <col min="773" max="773" width="13.42578125" style="380" customWidth="1"/>
    <col min="774" max="774" width="12.7109375" style="380" customWidth="1"/>
    <col min="775" max="775" width="14" style="380" customWidth="1"/>
    <col min="776" max="776" width="7.42578125" style="380" customWidth="1"/>
    <col min="777" max="1024" width="11.42578125" style="380"/>
    <col min="1025" max="1025" width="15.85546875" style="380" customWidth="1"/>
    <col min="1026" max="1026" width="14.85546875" style="380" customWidth="1"/>
    <col min="1027" max="1027" width="13.28515625" style="380" customWidth="1"/>
    <col min="1028" max="1028" width="11.42578125" style="380"/>
    <col min="1029" max="1029" width="13.42578125" style="380" customWidth="1"/>
    <col min="1030" max="1030" width="12.7109375" style="380" customWidth="1"/>
    <col min="1031" max="1031" width="14" style="380" customWidth="1"/>
    <col min="1032" max="1032" width="7.42578125" style="380" customWidth="1"/>
    <col min="1033" max="1280" width="11.42578125" style="380"/>
    <col min="1281" max="1281" width="15.85546875" style="380" customWidth="1"/>
    <col min="1282" max="1282" width="14.85546875" style="380" customWidth="1"/>
    <col min="1283" max="1283" width="13.28515625" style="380" customWidth="1"/>
    <col min="1284" max="1284" width="11.42578125" style="380"/>
    <col min="1285" max="1285" width="13.42578125" style="380" customWidth="1"/>
    <col min="1286" max="1286" width="12.7109375" style="380" customWidth="1"/>
    <col min="1287" max="1287" width="14" style="380" customWidth="1"/>
    <col min="1288" max="1288" width="7.42578125" style="380" customWidth="1"/>
    <col min="1289" max="1536" width="11.42578125" style="380"/>
    <col min="1537" max="1537" width="15.85546875" style="380" customWidth="1"/>
    <col min="1538" max="1538" width="14.85546875" style="380" customWidth="1"/>
    <col min="1539" max="1539" width="13.28515625" style="380" customWidth="1"/>
    <col min="1540" max="1540" width="11.42578125" style="380"/>
    <col min="1541" max="1541" width="13.42578125" style="380" customWidth="1"/>
    <col min="1542" max="1542" width="12.7109375" style="380" customWidth="1"/>
    <col min="1543" max="1543" width="14" style="380" customWidth="1"/>
    <col min="1544" max="1544" width="7.42578125" style="380" customWidth="1"/>
    <col min="1545" max="1792" width="11.42578125" style="380"/>
    <col min="1793" max="1793" width="15.85546875" style="380" customWidth="1"/>
    <col min="1794" max="1794" width="14.85546875" style="380" customWidth="1"/>
    <col min="1795" max="1795" width="13.28515625" style="380" customWidth="1"/>
    <col min="1796" max="1796" width="11.42578125" style="380"/>
    <col min="1797" max="1797" width="13.42578125" style="380" customWidth="1"/>
    <col min="1798" max="1798" width="12.7109375" style="380" customWidth="1"/>
    <col min="1799" max="1799" width="14" style="380" customWidth="1"/>
    <col min="1800" max="1800" width="7.42578125" style="380" customWidth="1"/>
    <col min="1801" max="2048" width="11.42578125" style="380"/>
    <col min="2049" max="2049" width="15.85546875" style="380" customWidth="1"/>
    <col min="2050" max="2050" width="14.85546875" style="380" customWidth="1"/>
    <col min="2051" max="2051" width="13.28515625" style="380" customWidth="1"/>
    <col min="2052" max="2052" width="11.42578125" style="380"/>
    <col min="2053" max="2053" width="13.42578125" style="380" customWidth="1"/>
    <col min="2054" max="2054" width="12.7109375" style="380" customWidth="1"/>
    <col min="2055" max="2055" width="14" style="380" customWidth="1"/>
    <col min="2056" max="2056" width="7.42578125" style="380" customWidth="1"/>
    <col min="2057" max="2304" width="11.42578125" style="380"/>
    <col min="2305" max="2305" width="15.85546875" style="380" customWidth="1"/>
    <col min="2306" max="2306" width="14.85546875" style="380" customWidth="1"/>
    <col min="2307" max="2307" width="13.28515625" style="380" customWidth="1"/>
    <col min="2308" max="2308" width="11.42578125" style="380"/>
    <col min="2309" max="2309" width="13.42578125" style="380" customWidth="1"/>
    <col min="2310" max="2310" width="12.7109375" style="380" customWidth="1"/>
    <col min="2311" max="2311" width="14" style="380" customWidth="1"/>
    <col min="2312" max="2312" width="7.42578125" style="380" customWidth="1"/>
    <col min="2313" max="2560" width="11.42578125" style="380"/>
    <col min="2561" max="2561" width="15.85546875" style="380" customWidth="1"/>
    <col min="2562" max="2562" width="14.85546875" style="380" customWidth="1"/>
    <col min="2563" max="2563" width="13.28515625" style="380" customWidth="1"/>
    <col min="2564" max="2564" width="11.42578125" style="380"/>
    <col min="2565" max="2565" width="13.42578125" style="380" customWidth="1"/>
    <col min="2566" max="2566" width="12.7109375" style="380" customWidth="1"/>
    <col min="2567" max="2567" width="14" style="380" customWidth="1"/>
    <col min="2568" max="2568" width="7.42578125" style="380" customWidth="1"/>
    <col min="2569" max="2816" width="11.42578125" style="380"/>
    <col min="2817" max="2817" width="15.85546875" style="380" customWidth="1"/>
    <col min="2818" max="2818" width="14.85546875" style="380" customWidth="1"/>
    <col min="2819" max="2819" width="13.28515625" style="380" customWidth="1"/>
    <col min="2820" max="2820" width="11.42578125" style="380"/>
    <col min="2821" max="2821" width="13.42578125" style="380" customWidth="1"/>
    <col min="2822" max="2822" width="12.7109375" style="380" customWidth="1"/>
    <col min="2823" max="2823" width="14" style="380" customWidth="1"/>
    <col min="2824" max="2824" width="7.42578125" style="380" customWidth="1"/>
    <col min="2825" max="3072" width="11.42578125" style="380"/>
    <col min="3073" max="3073" width="15.85546875" style="380" customWidth="1"/>
    <col min="3074" max="3074" width="14.85546875" style="380" customWidth="1"/>
    <col min="3075" max="3075" width="13.28515625" style="380" customWidth="1"/>
    <col min="3076" max="3076" width="11.42578125" style="380"/>
    <col min="3077" max="3077" width="13.42578125" style="380" customWidth="1"/>
    <col min="3078" max="3078" width="12.7109375" style="380" customWidth="1"/>
    <col min="3079" max="3079" width="14" style="380" customWidth="1"/>
    <col min="3080" max="3080" width="7.42578125" style="380" customWidth="1"/>
    <col min="3081" max="3328" width="11.42578125" style="380"/>
    <col min="3329" max="3329" width="15.85546875" style="380" customWidth="1"/>
    <col min="3330" max="3330" width="14.85546875" style="380" customWidth="1"/>
    <col min="3331" max="3331" width="13.28515625" style="380" customWidth="1"/>
    <col min="3332" max="3332" width="11.42578125" style="380"/>
    <col min="3333" max="3333" width="13.42578125" style="380" customWidth="1"/>
    <col min="3334" max="3334" width="12.7109375" style="380" customWidth="1"/>
    <col min="3335" max="3335" width="14" style="380" customWidth="1"/>
    <col min="3336" max="3336" width="7.42578125" style="380" customWidth="1"/>
    <col min="3337" max="3584" width="11.42578125" style="380"/>
    <col min="3585" max="3585" width="15.85546875" style="380" customWidth="1"/>
    <col min="3586" max="3586" width="14.85546875" style="380" customWidth="1"/>
    <col min="3587" max="3587" width="13.28515625" style="380" customWidth="1"/>
    <col min="3588" max="3588" width="11.42578125" style="380"/>
    <col min="3589" max="3589" width="13.42578125" style="380" customWidth="1"/>
    <col min="3590" max="3590" width="12.7109375" style="380" customWidth="1"/>
    <col min="3591" max="3591" width="14" style="380" customWidth="1"/>
    <col min="3592" max="3592" width="7.42578125" style="380" customWidth="1"/>
    <col min="3593" max="3840" width="11.42578125" style="380"/>
    <col min="3841" max="3841" width="15.85546875" style="380" customWidth="1"/>
    <col min="3842" max="3842" width="14.85546875" style="380" customWidth="1"/>
    <col min="3843" max="3843" width="13.28515625" style="380" customWidth="1"/>
    <col min="3844" max="3844" width="11.42578125" style="380"/>
    <col min="3845" max="3845" width="13.42578125" style="380" customWidth="1"/>
    <col min="3846" max="3846" width="12.7109375" style="380" customWidth="1"/>
    <col min="3847" max="3847" width="14" style="380" customWidth="1"/>
    <col min="3848" max="3848" width="7.42578125" style="380" customWidth="1"/>
    <col min="3849" max="4096" width="11.42578125" style="380"/>
    <col min="4097" max="4097" width="15.85546875" style="380" customWidth="1"/>
    <col min="4098" max="4098" width="14.85546875" style="380" customWidth="1"/>
    <col min="4099" max="4099" width="13.28515625" style="380" customWidth="1"/>
    <col min="4100" max="4100" width="11.42578125" style="380"/>
    <col min="4101" max="4101" width="13.42578125" style="380" customWidth="1"/>
    <col min="4102" max="4102" width="12.7109375" style="380" customWidth="1"/>
    <col min="4103" max="4103" width="14" style="380" customWidth="1"/>
    <col min="4104" max="4104" width="7.42578125" style="380" customWidth="1"/>
    <col min="4105" max="4352" width="11.42578125" style="380"/>
    <col min="4353" max="4353" width="15.85546875" style="380" customWidth="1"/>
    <col min="4354" max="4354" width="14.85546875" style="380" customWidth="1"/>
    <col min="4355" max="4355" width="13.28515625" style="380" customWidth="1"/>
    <col min="4356" max="4356" width="11.42578125" style="380"/>
    <col min="4357" max="4357" width="13.42578125" style="380" customWidth="1"/>
    <col min="4358" max="4358" width="12.7109375" style="380" customWidth="1"/>
    <col min="4359" max="4359" width="14" style="380" customWidth="1"/>
    <col min="4360" max="4360" width="7.42578125" style="380" customWidth="1"/>
    <col min="4361" max="4608" width="11.42578125" style="380"/>
    <col min="4609" max="4609" width="15.85546875" style="380" customWidth="1"/>
    <col min="4610" max="4610" width="14.85546875" style="380" customWidth="1"/>
    <col min="4611" max="4611" width="13.28515625" style="380" customWidth="1"/>
    <col min="4612" max="4612" width="11.42578125" style="380"/>
    <col min="4613" max="4613" width="13.42578125" style="380" customWidth="1"/>
    <col min="4614" max="4614" width="12.7109375" style="380" customWidth="1"/>
    <col min="4615" max="4615" width="14" style="380" customWidth="1"/>
    <col min="4616" max="4616" width="7.42578125" style="380" customWidth="1"/>
    <col min="4617" max="4864" width="11.42578125" style="380"/>
    <col min="4865" max="4865" width="15.85546875" style="380" customWidth="1"/>
    <col min="4866" max="4866" width="14.85546875" style="380" customWidth="1"/>
    <col min="4867" max="4867" width="13.28515625" style="380" customWidth="1"/>
    <col min="4868" max="4868" width="11.42578125" style="380"/>
    <col min="4869" max="4869" width="13.42578125" style="380" customWidth="1"/>
    <col min="4870" max="4870" width="12.7109375" style="380" customWidth="1"/>
    <col min="4871" max="4871" width="14" style="380" customWidth="1"/>
    <col min="4872" max="4872" width="7.42578125" style="380" customWidth="1"/>
    <col min="4873" max="5120" width="11.42578125" style="380"/>
    <col min="5121" max="5121" width="15.85546875" style="380" customWidth="1"/>
    <col min="5122" max="5122" width="14.85546875" style="380" customWidth="1"/>
    <col min="5123" max="5123" width="13.28515625" style="380" customWidth="1"/>
    <col min="5124" max="5124" width="11.42578125" style="380"/>
    <col min="5125" max="5125" width="13.42578125" style="380" customWidth="1"/>
    <col min="5126" max="5126" width="12.7109375" style="380" customWidth="1"/>
    <col min="5127" max="5127" width="14" style="380" customWidth="1"/>
    <col min="5128" max="5128" width="7.42578125" style="380" customWidth="1"/>
    <col min="5129" max="5376" width="11.42578125" style="380"/>
    <col min="5377" max="5377" width="15.85546875" style="380" customWidth="1"/>
    <col min="5378" max="5378" width="14.85546875" style="380" customWidth="1"/>
    <col min="5379" max="5379" width="13.28515625" style="380" customWidth="1"/>
    <col min="5380" max="5380" width="11.42578125" style="380"/>
    <col min="5381" max="5381" width="13.42578125" style="380" customWidth="1"/>
    <col min="5382" max="5382" width="12.7109375" style="380" customWidth="1"/>
    <col min="5383" max="5383" width="14" style="380" customWidth="1"/>
    <col min="5384" max="5384" width="7.42578125" style="380" customWidth="1"/>
    <col min="5385" max="5632" width="11.42578125" style="380"/>
    <col min="5633" max="5633" width="15.85546875" style="380" customWidth="1"/>
    <col min="5634" max="5634" width="14.85546875" style="380" customWidth="1"/>
    <col min="5635" max="5635" width="13.28515625" style="380" customWidth="1"/>
    <col min="5636" max="5636" width="11.42578125" style="380"/>
    <col min="5637" max="5637" width="13.42578125" style="380" customWidth="1"/>
    <col min="5638" max="5638" width="12.7109375" style="380" customWidth="1"/>
    <col min="5639" max="5639" width="14" style="380" customWidth="1"/>
    <col min="5640" max="5640" width="7.42578125" style="380" customWidth="1"/>
    <col min="5641" max="5888" width="11.42578125" style="380"/>
    <col min="5889" max="5889" width="15.85546875" style="380" customWidth="1"/>
    <col min="5890" max="5890" width="14.85546875" style="380" customWidth="1"/>
    <col min="5891" max="5891" width="13.28515625" style="380" customWidth="1"/>
    <col min="5892" max="5892" width="11.42578125" style="380"/>
    <col min="5893" max="5893" width="13.42578125" style="380" customWidth="1"/>
    <col min="5894" max="5894" width="12.7109375" style="380" customWidth="1"/>
    <col min="5895" max="5895" width="14" style="380" customWidth="1"/>
    <col min="5896" max="5896" width="7.42578125" style="380" customWidth="1"/>
    <col min="5897" max="6144" width="11.42578125" style="380"/>
    <col min="6145" max="6145" width="15.85546875" style="380" customWidth="1"/>
    <col min="6146" max="6146" width="14.85546875" style="380" customWidth="1"/>
    <col min="6147" max="6147" width="13.28515625" style="380" customWidth="1"/>
    <col min="6148" max="6148" width="11.42578125" style="380"/>
    <col min="6149" max="6149" width="13.42578125" style="380" customWidth="1"/>
    <col min="6150" max="6150" width="12.7109375" style="380" customWidth="1"/>
    <col min="6151" max="6151" width="14" style="380" customWidth="1"/>
    <col min="6152" max="6152" width="7.42578125" style="380" customWidth="1"/>
    <col min="6153" max="6400" width="11.42578125" style="380"/>
    <col min="6401" max="6401" width="15.85546875" style="380" customWidth="1"/>
    <col min="6402" max="6402" width="14.85546875" style="380" customWidth="1"/>
    <col min="6403" max="6403" width="13.28515625" style="380" customWidth="1"/>
    <col min="6404" max="6404" width="11.42578125" style="380"/>
    <col min="6405" max="6405" width="13.42578125" style="380" customWidth="1"/>
    <col min="6406" max="6406" width="12.7109375" style="380" customWidth="1"/>
    <col min="6407" max="6407" width="14" style="380" customWidth="1"/>
    <col min="6408" max="6408" width="7.42578125" style="380" customWidth="1"/>
    <col min="6409" max="6656" width="11.42578125" style="380"/>
    <col min="6657" max="6657" width="15.85546875" style="380" customWidth="1"/>
    <col min="6658" max="6658" width="14.85546875" style="380" customWidth="1"/>
    <col min="6659" max="6659" width="13.28515625" style="380" customWidth="1"/>
    <col min="6660" max="6660" width="11.42578125" style="380"/>
    <col min="6661" max="6661" width="13.42578125" style="380" customWidth="1"/>
    <col min="6662" max="6662" width="12.7109375" style="380" customWidth="1"/>
    <col min="6663" max="6663" width="14" style="380" customWidth="1"/>
    <col min="6664" max="6664" width="7.42578125" style="380" customWidth="1"/>
    <col min="6665" max="6912" width="11.42578125" style="380"/>
    <col min="6913" max="6913" width="15.85546875" style="380" customWidth="1"/>
    <col min="6914" max="6914" width="14.85546875" style="380" customWidth="1"/>
    <col min="6915" max="6915" width="13.28515625" style="380" customWidth="1"/>
    <col min="6916" max="6916" width="11.42578125" style="380"/>
    <col min="6917" max="6917" width="13.42578125" style="380" customWidth="1"/>
    <col min="6918" max="6918" width="12.7109375" style="380" customWidth="1"/>
    <col min="6919" max="6919" width="14" style="380" customWidth="1"/>
    <col min="6920" max="6920" width="7.42578125" style="380" customWidth="1"/>
    <col min="6921" max="7168" width="11.42578125" style="380"/>
    <col min="7169" max="7169" width="15.85546875" style="380" customWidth="1"/>
    <col min="7170" max="7170" width="14.85546875" style="380" customWidth="1"/>
    <col min="7171" max="7171" width="13.28515625" style="380" customWidth="1"/>
    <col min="7172" max="7172" width="11.42578125" style="380"/>
    <col min="7173" max="7173" width="13.42578125" style="380" customWidth="1"/>
    <col min="7174" max="7174" width="12.7109375" style="380" customWidth="1"/>
    <col min="7175" max="7175" width="14" style="380" customWidth="1"/>
    <col min="7176" max="7176" width="7.42578125" style="380" customWidth="1"/>
    <col min="7177" max="7424" width="11.42578125" style="380"/>
    <col min="7425" max="7425" width="15.85546875" style="380" customWidth="1"/>
    <col min="7426" max="7426" width="14.85546875" style="380" customWidth="1"/>
    <col min="7427" max="7427" width="13.28515625" style="380" customWidth="1"/>
    <col min="7428" max="7428" width="11.42578125" style="380"/>
    <col min="7429" max="7429" width="13.42578125" style="380" customWidth="1"/>
    <col min="7430" max="7430" width="12.7109375" style="380" customWidth="1"/>
    <col min="7431" max="7431" width="14" style="380" customWidth="1"/>
    <col min="7432" max="7432" width="7.42578125" style="380" customWidth="1"/>
    <col min="7433" max="7680" width="11.42578125" style="380"/>
    <col min="7681" max="7681" width="15.85546875" style="380" customWidth="1"/>
    <col min="7682" max="7682" width="14.85546875" style="380" customWidth="1"/>
    <col min="7683" max="7683" width="13.28515625" style="380" customWidth="1"/>
    <col min="7684" max="7684" width="11.42578125" style="380"/>
    <col min="7685" max="7685" width="13.42578125" style="380" customWidth="1"/>
    <col min="7686" max="7686" width="12.7109375" style="380" customWidth="1"/>
    <col min="7687" max="7687" width="14" style="380" customWidth="1"/>
    <col min="7688" max="7688" width="7.42578125" style="380" customWidth="1"/>
    <col min="7689" max="7936" width="11.42578125" style="380"/>
    <col min="7937" max="7937" width="15.85546875" style="380" customWidth="1"/>
    <col min="7938" max="7938" width="14.85546875" style="380" customWidth="1"/>
    <col min="7939" max="7939" width="13.28515625" style="380" customWidth="1"/>
    <col min="7940" max="7940" width="11.42578125" style="380"/>
    <col min="7941" max="7941" width="13.42578125" style="380" customWidth="1"/>
    <col min="7942" max="7942" width="12.7109375" style="380" customWidth="1"/>
    <col min="7943" max="7943" width="14" style="380" customWidth="1"/>
    <col min="7944" max="7944" width="7.42578125" style="380" customWidth="1"/>
    <col min="7945" max="8192" width="11.42578125" style="380"/>
    <col min="8193" max="8193" width="15.85546875" style="380" customWidth="1"/>
    <col min="8194" max="8194" width="14.85546875" style="380" customWidth="1"/>
    <col min="8195" max="8195" width="13.28515625" style="380" customWidth="1"/>
    <col min="8196" max="8196" width="11.42578125" style="380"/>
    <col min="8197" max="8197" width="13.42578125" style="380" customWidth="1"/>
    <col min="8198" max="8198" width="12.7109375" style="380" customWidth="1"/>
    <col min="8199" max="8199" width="14" style="380" customWidth="1"/>
    <col min="8200" max="8200" width="7.42578125" style="380" customWidth="1"/>
    <col min="8201" max="8448" width="11.42578125" style="380"/>
    <col min="8449" max="8449" width="15.85546875" style="380" customWidth="1"/>
    <col min="8450" max="8450" width="14.85546875" style="380" customWidth="1"/>
    <col min="8451" max="8451" width="13.28515625" style="380" customWidth="1"/>
    <col min="8452" max="8452" width="11.42578125" style="380"/>
    <col min="8453" max="8453" width="13.42578125" style="380" customWidth="1"/>
    <col min="8454" max="8454" width="12.7109375" style="380" customWidth="1"/>
    <col min="8455" max="8455" width="14" style="380" customWidth="1"/>
    <col min="8456" max="8456" width="7.42578125" style="380" customWidth="1"/>
    <col min="8457" max="8704" width="11.42578125" style="380"/>
    <col min="8705" max="8705" width="15.85546875" style="380" customWidth="1"/>
    <col min="8706" max="8706" width="14.85546875" style="380" customWidth="1"/>
    <col min="8707" max="8707" width="13.28515625" style="380" customWidth="1"/>
    <col min="8708" max="8708" width="11.42578125" style="380"/>
    <col min="8709" max="8709" width="13.42578125" style="380" customWidth="1"/>
    <col min="8710" max="8710" width="12.7109375" style="380" customWidth="1"/>
    <col min="8711" max="8711" width="14" style="380" customWidth="1"/>
    <col min="8712" max="8712" width="7.42578125" style="380" customWidth="1"/>
    <col min="8713" max="8960" width="11.42578125" style="380"/>
    <col min="8961" max="8961" width="15.85546875" style="380" customWidth="1"/>
    <col min="8962" max="8962" width="14.85546875" style="380" customWidth="1"/>
    <col min="8963" max="8963" width="13.28515625" style="380" customWidth="1"/>
    <col min="8964" max="8964" width="11.42578125" style="380"/>
    <col min="8965" max="8965" width="13.42578125" style="380" customWidth="1"/>
    <col min="8966" max="8966" width="12.7109375" style="380" customWidth="1"/>
    <col min="8967" max="8967" width="14" style="380" customWidth="1"/>
    <col min="8968" max="8968" width="7.42578125" style="380" customWidth="1"/>
    <col min="8969" max="9216" width="11.42578125" style="380"/>
    <col min="9217" max="9217" width="15.85546875" style="380" customWidth="1"/>
    <col min="9218" max="9218" width="14.85546875" style="380" customWidth="1"/>
    <col min="9219" max="9219" width="13.28515625" style="380" customWidth="1"/>
    <col min="9220" max="9220" width="11.42578125" style="380"/>
    <col min="9221" max="9221" width="13.42578125" style="380" customWidth="1"/>
    <col min="9222" max="9222" width="12.7109375" style="380" customWidth="1"/>
    <col min="9223" max="9223" width="14" style="380" customWidth="1"/>
    <col min="9224" max="9224" width="7.42578125" style="380" customWidth="1"/>
    <col min="9225" max="9472" width="11.42578125" style="380"/>
    <col min="9473" max="9473" width="15.85546875" style="380" customWidth="1"/>
    <col min="9474" max="9474" width="14.85546875" style="380" customWidth="1"/>
    <col min="9475" max="9475" width="13.28515625" style="380" customWidth="1"/>
    <col min="9476" max="9476" width="11.42578125" style="380"/>
    <col min="9477" max="9477" width="13.42578125" style="380" customWidth="1"/>
    <col min="9478" max="9478" width="12.7109375" style="380" customWidth="1"/>
    <col min="9479" max="9479" width="14" style="380" customWidth="1"/>
    <col min="9480" max="9480" width="7.42578125" style="380" customWidth="1"/>
    <col min="9481" max="9728" width="11.42578125" style="380"/>
    <col min="9729" max="9729" width="15.85546875" style="380" customWidth="1"/>
    <col min="9730" max="9730" width="14.85546875" style="380" customWidth="1"/>
    <col min="9731" max="9731" width="13.28515625" style="380" customWidth="1"/>
    <col min="9732" max="9732" width="11.42578125" style="380"/>
    <col min="9733" max="9733" width="13.42578125" style="380" customWidth="1"/>
    <col min="9734" max="9734" width="12.7109375" style="380" customWidth="1"/>
    <col min="9735" max="9735" width="14" style="380" customWidth="1"/>
    <col min="9736" max="9736" width="7.42578125" style="380" customWidth="1"/>
    <col min="9737" max="9984" width="11.42578125" style="380"/>
    <col min="9985" max="9985" width="15.85546875" style="380" customWidth="1"/>
    <col min="9986" max="9986" width="14.85546875" style="380" customWidth="1"/>
    <col min="9987" max="9987" width="13.28515625" style="380" customWidth="1"/>
    <col min="9988" max="9988" width="11.42578125" style="380"/>
    <col min="9989" max="9989" width="13.42578125" style="380" customWidth="1"/>
    <col min="9990" max="9990" width="12.7109375" style="380" customWidth="1"/>
    <col min="9991" max="9991" width="14" style="380" customWidth="1"/>
    <col min="9992" max="9992" width="7.42578125" style="380" customWidth="1"/>
    <col min="9993" max="10240" width="11.42578125" style="380"/>
    <col min="10241" max="10241" width="15.85546875" style="380" customWidth="1"/>
    <col min="10242" max="10242" width="14.85546875" style="380" customWidth="1"/>
    <col min="10243" max="10243" width="13.28515625" style="380" customWidth="1"/>
    <col min="10244" max="10244" width="11.42578125" style="380"/>
    <col min="10245" max="10245" width="13.42578125" style="380" customWidth="1"/>
    <col min="10246" max="10246" width="12.7109375" style="380" customWidth="1"/>
    <col min="10247" max="10247" width="14" style="380" customWidth="1"/>
    <col min="10248" max="10248" width="7.42578125" style="380" customWidth="1"/>
    <col min="10249" max="10496" width="11.42578125" style="380"/>
    <col min="10497" max="10497" width="15.85546875" style="380" customWidth="1"/>
    <col min="10498" max="10498" width="14.85546875" style="380" customWidth="1"/>
    <col min="10499" max="10499" width="13.28515625" style="380" customWidth="1"/>
    <col min="10500" max="10500" width="11.42578125" style="380"/>
    <col min="10501" max="10501" width="13.42578125" style="380" customWidth="1"/>
    <col min="10502" max="10502" width="12.7109375" style="380" customWidth="1"/>
    <col min="10503" max="10503" width="14" style="380" customWidth="1"/>
    <col min="10504" max="10504" width="7.42578125" style="380" customWidth="1"/>
    <col min="10505" max="10752" width="11.42578125" style="380"/>
    <col min="10753" max="10753" width="15.85546875" style="380" customWidth="1"/>
    <col min="10754" max="10754" width="14.85546875" style="380" customWidth="1"/>
    <col min="10755" max="10755" width="13.28515625" style="380" customWidth="1"/>
    <col min="10756" max="10756" width="11.42578125" style="380"/>
    <col min="10757" max="10757" width="13.42578125" style="380" customWidth="1"/>
    <col min="10758" max="10758" width="12.7109375" style="380" customWidth="1"/>
    <col min="10759" max="10759" width="14" style="380" customWidth="1"/>
    <col min="10760" max="10760" width="7.42578125" style="380" customWidth="1"/>
    <col min="10761" max="11008" width="11.42578125" style="380"/>
    <col min="11009" max="11009" width="15.85546875" style="380" customWidth="1"/>
    <col min="11010" max="11010" width="14.85546875" style="380" customWidth="1"/>
    <col min="11011" max="11011" width="13.28515625" style="380" customWidth="1"/>
    <col min="11012" max="11012" width="11.42578125" style="380"/>
    <col min="11013" max="11013" width="13.42578125" style="380" customWidth="1"/>
    <col min="11014" max="11014" width="12.7109375" style="380" customWidth="1"/>
    <col min="11015" max="11015" width="14" style="380" customWidth="1"/>
    <col min="11016" max="11016" width="7.42578125" style="380" customWidth="1"/>
    <col min="11017" max="11264" width="11.42578125" style="380"/>
    <col min="11265" max="11265" width="15.85546875" style="380" customWidth="1"/>
    <col min="11266" max="11266" width="14.85546875" style="380" customWidth="1"/>
    <col min="11267" max="11267" width="13.28515625" style="380" customWidth="1"/>
    <col min="11268" max="11268" width="11.42578125" style="380"/>
    <col min="11269" max="11269" width="13.42578125" style="380" customWidth="1"/>
    <col min="11270" max="11270" width="12.7109375" style="380" customWidth="1"/>
    <col min="11271" max="11271" width="14" style="380" customWidth="1"/>
    <col min="11272" max="11272" width="7.42578125" style="380" customWidth="1"/>
    <col min="11273" max="11520" width="11.42578125" style="380"/>
    <col min="11521" max="11521" width="15.85546875" style="380" customWidth="1"/>
    <col min="11522" max="11522" width="14.85546875" style="380" customWidth="1"/>
    <col min="11523" max="11523" width="13.28515625" style="380" customWidth="1"/>
    <col min="11524" max="11524" width="11.42578125" style="380"/>
    <col min="11525" max="11525" width="13.42578125" style="380" customWidth="1"/>
    <col min="11526" max="11526" width="12.7109375" style="380" customWidth="1"/>
    <col min="11527" max="11527" width="14" style="380" customWidth="1"/>
    <col min="11528" max="11528" width="7.42578125" style="380" customWidth="1"/>
    <col min="11529" max="11776" width="11.42578125" style="380"/>
    <col min="11777" max="11777" width="15.85546875" style="380" customWidth="1"/>
    <col min="11778" max="11778" width="14.85546875" style="380" customWidth="1"/>
    <col min="11779" max="11779" width="13.28515625" style="380" customWidth="1"/>
    <col min="11780" max="11780" width="11.42578125" style="380"/>
    <col min="11781" max="11781" width="13.42578125" style="380" customWidth="1"/>
    <col min="11782" max="11782" width="12.7109375" style="380" customWidth="1"/>
    <col min="11783" max="11783" width="14" style="380" customWidth="1"/>
    <col min="11784" max="11784" width="7.42578125" style="380" customWidth="1"/>
    <col min="11785" max="12032" width="11.42578125" style="380"/>
    <col min="12033" max="12033" width="15.85546875" style="380" customWidth="1"/>
    <col min="12034" max="12034" width="14.85546875" style="380" customWidth="1"/>
    <col min="12035" max="12035" width="13.28515625" style="380" customWidth="1"/>
    <col min="12036" max="12036" width="11.42578125" style="380"/>
    <col min="12037" max="12037" width="13.42578125" style="380" customWidth="1"/>
    <col min="12038" max="12038" width="12.7109375" style="380" customWidth="1"/>
    <col min="12039" max="12039" width="14" style="380" customWidth="1"/>
    <col min="12040" max="12040" width="7.42578125" style="380" customWidth="1"/>
    <col min="12041" max="12288" width="11.42578125" style="380"/>
    <col min="12289" max="12289" width="15.85546875" style="380" customWidth="1"/>
    <col min="12290" max="12290" width="14.85546875" style="380" customWidth="1"/>
    <col min="12291" max="12291" width="13.28515625" style="380" customWidth="1"/>
    <col min="12292" max="12292" width="11.42578125" style="380"/>
    <col min="12293" max="12293" width="13.42578125" style="380" customWidth="1"/>
    <col min="12294" max="12294" width="12.7109375" style="380" customWidth="1"/>
    <col min="12295" max="12295" width="14" style="380" customWidth="1"/>
    <col min="12296" max="12296" width="7.42578125" style="380" customWidth="1"/>
    <col min="12297" max="12544" width="11.42578125" style="380"/>
    <col min="12545" max="12545" width="15.85546875" style="380" customWidth="1"/>
    <col min="12546" max="12546" width="14.85546875" style="380" customWidth="1"/>
    <col min="12547" max="12547" width="13.28515625" style="380" customWidth="1"/>
    <col min="12548" max="12548" width="11.42578125" style="380"/>
    <col min="12549" max="12549" width="13.42578125" style="380" customWidth="1"/>
    <col min="12550" max="12550" width="12.7109375" style="380" customWidth="1"/>
    <col min="12551" max="12551" width="14" style="380" customWidth="1"/>
    <col min="12552" max="12552" width="7.42578125" style="380" customWidth="1"/>
    <col min="12553" max="12800" width="11.42578125" style="380"/>
    <col min="12801" max="12801" width="15.85546875" style="380" customWidth="1"/>
    <col min="12802" max="12802" width="14.85546875" style="380" customWidth="1"/>
    <col min="12803" max="12803" width="13.28515625" style="380" customWidth="1"/>
    <col min="12804" max="12804" width="11.42578125" style="380"/>
    <col min="12805" max="12805" width="13.42578125" style="380" customWidth="1"/>
    <col min="12806" max="12806" width="12.7109375" style="380" customWidth="1"/>
    <col min="12807" max="12807" width="14" style="380" customWidth="1"/>
    <col min="12808" max="12808" width="7.42578125" style="380" customWidth="1"/>
    <col min="12809" max="13056" width="11.42578125" style="380"/>
    <col min="13057" max="13057" width="15.85546875" style="380" customWidth="1"/>
    <col min="13058" max="13058" width="14.85546875" style="380" customWidth="1"/>
    <col min="13059" max="13059" width="13.28515625" style="380" customWidth="1"/>
    <col min="13060" max="13060" width="11.42578125" style="380"/>
    <col min="13061" max="13061" width="13.42578125" style="380" customWidth="1"/>
    <col min="13062" max="13062" width="12.7109375" style="380" customWidth="1"/>
    <col min="13063" max="13063" width="14" style="380" customWidth="1"/>
    <col min="13064" max="13064" width="7.42578125" style="380" customWidth="1"/>
    <col min="13065" max="13312" width="11.42578125" style="380"/>
    <col min="13313" max="13313" width="15.85546875" style="380" customWidth="1"/>
    <col min="13314" max="13314" width="14.85546875" style="380" customWidth="1"/>
    <col min="13315" max="13315" width="13.28515625" style="380" customWidth="1"/>
    <col min="13316" max="13316" width="11.42578125" style="380"/>
    <col min="13317" max="13317" width="13.42578125" style="380" customWidth="1"/>
    <col min="13318" max="13318" width="12.7109375" style="380" customWidth="1"/>
    <col min="13319" max="13319" width="14" style="380" customWidth="1"/>
    <col min="13320" max="13320" width="7.42578125" style="380" customWidth="1"/>
    <col min="13321" max="13568" width="11.42578125" style="380"/>
    <col min="13569" max="13569" width="15.85546875" style="380" customWidth="1"/>
    <col min="13570" max="13570" width="14.85546875" style="380" customWidth="1"/>
    <col min="13571" max="13571" width="13.28515625" style="380" customWidth="1"/>
    <col min="13572" max="13572" width="11.42578125" style="380"/>
    <col min="13573" max="13573" width="13.42578125" style="380" customWidth="1"/>
    <col min="13574" max="13574" width="12.7109375" style="380" customWidth="1"/>
    <col min="13575" max="13575" width="14" style="380" customWidth="1"/>
    <col min="13576" max="13576" width="7.42578125" style="380" customWidth="1"/>
    <col min="13577" max="13824" width="11.42578125" style="380"/>
    <col min="13825" max="13825" width="15.85546875" style="380" customWidth="1"/>
    <col min="13826" max="13826" width="14.85546875" style="380" customWidth="1"/>
    <col min="13827" max="13827" width="13.28515625" style="380" customWidth="1"/>
    <col min="13828" max="13828" width="11.42578125" style="380"/>
    <col min="13829" max="13829" width="13.42578125" style="380" customWidth="1"/>
    <col min="13830" max="13830" width="12.7109375" style="380" customWidth="1"/>
    <col min="13831" max="13831" width="14" style="380" customWidth="1"/>
    <col min="13832" max="13832" width="7.42578125" style="380" customWidth="1"/>
    <col min="13833" max="14080" width="11.42578125" style="380"/>
    <col min="14081" max="14081" width="15.85546875" style="380" customWidth="1"/>
    <col min="14082" max="14082" width="14.85546875" style="380" customWidth="1"/>
    <col min="14083" max="14083" width="13.28515625" style="380" customWidth="1"/>
    <col min="14084" max="14084" width="11.42578125" style="380"/>
    <col min="14085" max="14085" width="13.42578125" style="380" customWidth="1"/>
    <col min="14086" max="14086" width="12.7109375" style="380" customWidth="1"/>
    <col min="14087" max="14087" width="14" style="380" customWidth="1"/>
    <col min="14088" max="14088" width="7.42578125" style="380" customWidth="1"/>
    <col min="14089" max="14336" width="11.42578125" style="380"/>
    <col min="14337" max="14337" width="15.85546875" style="380" customWidth="1"/>
    <col min="14338" max="14338" width="14.85546875" style="380" customWidth="1"/>
    <col min="14339" max="14339" width="13.28515625" style="380" customWidth="1"/>
    <col min="14340" max="14340" width="11.42578125" style="380"/>
    <col min="14341" max="14341" width="13.42578125" style="380" customWidth="1"/>
    <col min="14342" max="14342" width="12.7109375" style="380" customWidth="1"/>
    <col min="14343" max="14343" width="14" style="380" customWidth="1"/>
    <col min="14344" max="14344" width="7.42578125" style="380" customWidth="1"/>
    <col min="14345" max="14592" width="11.42578125" style="380"/>
    <col min="14593" max="14593" width="15.85546875" style="380" customWidth="1"/>
    <col min="14594" max="14594" width="14.85546875" style="380" customWidth="1"/>
    <col min="14595" max="14595" width="13.28515625" style="380" customWidth="1"/>
    <col min="14596" max="14596" width="11.42578125" style="380"/>
    <col min="14597" max="14597" width="13.42578125" style="380" customWidth="1"/>
    <col min="14598" max="14598" width="12.7109375" style="380" customWidth="1"/>
    <col min="14599" max="14599" width="14" style="380" customWidth="1"/>
    <col min="14600" max="14600" width="7.42578125" style="380" customWidth="1"/>
    <col min="14601" max="14848" width="11.42578125" style="380"/>
    <col min="14849" max="14849" width="15.85546875" style="380" customWidth="1"/>
    <col min="14850" max="14850" width="14.85546875" style="380" customWidth="1"/>
    <col min="14851" max="14851" width="13.28515625" style="380" customWidth="1"/>
    <col min="14852" max="14852" width="11.42578125" style="380"/>
    <col min="14853" max="14853" width="13.42578125" style="380" customWidth="1"/>
    <col min="14854" max="14854" width="12.7109375" style="380" customWidth="1"/>
    <col min="14855" max="14855" width="14" style="380" customWidth="1"/>
    <col min="14856" max="14856" width="7.42578125" style="380" customWidth="1"/>
    <col min="14857" max="15104" width="11.42578125" style="380"/>
    <col min="15105" max="15105" width="15.85546875" style="380" customWidth="1"/>
    <col min="15106" max="15106" width="14.85546875" style="380" customWidth="1"/>
    <col min="15107" max="15107" width="13.28515625" style="380" customWidth="1"/>
    <col min="15108" max="15108" width="11.42578125" style="380"/>
    <col min="15109" max="15109" width="13.42578125" style="380" customWidth="1"/>
    <col min="15110" max="15110" width="12.7109375" style="380" customWidth="1"/>
    <col min="15111" max="15111" width="14" style="380" customWidth="1"/>
    <col min="15112" max="15112" width="7.42578125" style="380" customWidth="1"/>
    <col min="15113" max="15360" width="11.42578125" style="380"/>
    <col min="15361" max="15361" width="15.85546875" style="380" customWidth="1"/>
    <col min="15362" max="15362" width="14.85546875" style="380" customWidth="1"/>
    <col min="15363" max="15363" width="13.28515625" style="380" customWidth="1"/>
    <col min="15364" max="15364" width="11.42578125" style="380"/>
    <col min="15365" max="15365" width="13.42578125" style="380" customWidth="1"/>
    <col min="15366" max="15366" width="12.7109375" style="380" customWidth="1"/>
    <col min="15367" max="15367" width="14" style="380" customWidth="1"/>
    <col min="15368" max="15368" width="7.42578125" style="380" customWidth="1"/>
    <col min="15369" max="15616" width="11.42578125" style="380"/>
    <col min="15617" max="15617" width="15.85546875" style="380" customWidth="1"/>
    <col min="15618" max="15618" width="14.85546875" style="380" customWidth="1"/>
    <col min="15619" max="15619" width="13.28515625" style="380" customWidth="1"/>
    <col min="15620" max="15620" width="11.42578125" style="380"/>
    <col min="15621" max="15621" width="13.42578125" style="380" customWidth="1"/>
    <col min="15622" max="15622" width="12.7109375" style="380" customWidth="1"/>
    <col min="15623" max="15623" width="14" style="380" customWidth="1"/>
    <col min="15624" max="15624" width="7.42578125" style="380" customWidth="1"/>
    <col min="15625" max="15872" width="11.42578125" style="380"/>
    <col min="15873" max="15873" width="15.85546875" style="380" customWidth="1"/>
    <col min="15874" max="15874" width="14.85546875" style="380" customWidth="1"/>
    <col min="15875" max="15875" width="13.28515625" style="380" customWidth="1"/>
    <col min="15876" max="15876" width="11.42578125" style="380"/>
    <col min="15877" max="15877" width="13.42578125" style="380" customWidth="1"/>
    <col min="15878" max="15878" width="12.7109375" style="380" customWidth="1"/>
    <col min="15879" max="15879" width="14" style="380" customWidth="1"/>
    <col min="15880" max="15880" width="7.42578125" style="380" customWidth="1"/>
    <col min="15881" max="16128" width="11.42578125" style="380"/>
    <col min="16129" max="16129" width="15.85546875" style="380" customWidth="1"/>
    <col min="16130" max="16130" width="14.85546875" style="380" customWidth="1"/>
    <col min="16131" max="16131" width="13.28515625" style="380" customWidth="1"/>
    <col min="16132" max="16132" width="11.42578125" style="380"/>
    <col min="16133" max="16133" width="13.42578125" style="380" customWidth="1"/>
    <col min="16134" max="16134" width="12.7109375" style="380" customWidth="1"/>
    <col min="16135" max="16135" width="14" style="380" customWidth="1"/>
    <col min="16136" max="16136" width="7.42578125" style="380" customWidth="1"/>
    <col min="16137" max="16384" width="11.42578125" style="380"/>
  </cols>
  <sheetData>
    <row r="1" spans="1:21" s="3" customFormat="1" ht="20.25">
      <c r="A1" s="1346" t="str">
        <f>PPTO!D3</f>
        <v>PRESUPUESTO
MUNICIPIO EL BAGRE (ANTIOQUIA).</v>
      </c>
      <c r="B1" s="1347"/>
      <c r="C1" s="1347"/>
      <c r="D1" s="1347"/>
      <c r="E1" s="1347"/>
      <c r="F1" s="1347"/>
      <c r="G1" s="1348"/>
      <c r="H1" s="1"/>
      <c r="I1" s="2"/>
    </row>
    <row r="2" spans="1:21" s="3" customFormat="1" ht="18">
      <c r="A2" s="1362" t="s">
        <v>16</v>
      </c>
      <c r="B2" s="1363"/>
      <c r="C2" s="1363"/>
      <c r="D2" s="1363"/>
      <c r="E2" s="1363"/>
      <c r="F2" s="1363"/>
      <c r="G2" s="1364"/>
      <c r="H2" s="1"/>
      <c r="I2" s="2"/>
    </row>
    <row r="3" spans="1:21" s="3" customFormat="1" ht="22.5" customHeight="1">
      <c r="A3" s="1367" t="str">
        <f>+PPTO!$D$5</f>
        <v>PROYECTO DE MEJORAMIENTO VIAL, ESPACIO PUBLICO Y OBRAS COMPLEMENTARIAS DE LA AVENIDA LA JUVENTUD Y TRAMOS ADYACENTES Y PRIORITARIOS DEL SECTOR URBANO EN EL MUNICIPIO EL BAGRE ANTIOQUIA.</v>
      </c>
      <c r="B3" s="1368"/>
      <c r="C3" s="1368"/>
      <c r="D3" s="1368"/>
      <c r="E3" s="1368"/>
      <c r="F3" s="1368"/>
      <c r="G3" s="1369"/>
      <c r="H3" s="1"/>
      <c r="I3" s="2"/>
    </row>
    <row r="4" spans="1:21" s="3" customFormat="1" ht="19.5" customHeight="1">
      <c r="A4" s="1370"/>
      <c r="B4" s="1368"/>
      <c r="C4" s="1368"/>
      <c r="D4" s="1368"/>
      <c r="E4" s="1368"/>
      <c r="F4" s="1368"/>
      <c r="G4" s="1369"/>
      <c r="H4" s="1"/>
      <c r="I4" s="2"/>
    </row>
    <row r="5" spans="1:21" s="3" customFormat="1" ht="6.75" customHeight="1">
      <c r="A5" s="222"/>
      <c r="B5" s="6"/>
      <c r="C5" s="24"/>
      <c r="D5" s="25"/>
      <c r="E5" s="6"/>
      <c r="F5" s="6"/>
      <c r="G5" s="223"/>
      <c r="H5" s="9"/>
    </row>
    <row r="6" spans="1:21" ht="36.75" customHeight="1">
      <c r="A6" s="368">
        <v>3.3</v>
      </c>
      <c r="B6" s="1349" t="str">
        <f>VLOOKUP(A6,PPTO!D4:I131,2,FALSE)</f>
        <v>Suministro e Instalacion de Concreto de 4000PSI para Placas de Pavimento Rigido e=22cm.</v>
      </c>
      <c r="C6" s="1350"/>
      <c r="D6" s="1350"/>
      <c r="E6" s="1351"/>
      <c r="F6" s="192" t="s">
        <v>118</v>
      </c>
      <c r="G6" s="248" t="str">
        <f>VLOOKUP(A6,PPTO!D4:I131,3,FALSE)</f>
        <v>m2</v>
      </c>
      <c r="H6" s="382"/>
      <c r="I6" s="790"/>
    </row>
    <row r="7" spans="1:21" ht="3.75" customHeight="1">
      <c r="A7" s="383"/>
      <c r="B7" s="384"/>
      <c r="C7" s="381"/>
      <c r="D7" s="384"/>
      <c r="E7" s="384"/>
      <c r="F7" s="384"/>
      <c r="G7" s="385"/>
      <c r="H7" s="382"/>
    </row>
    <row r="8" spans="1:21">
      <c r="A8" s="1408" t="s">
        <v>69</v>
      </c>
      <c r="B8" s="1409"/>
      <c r="C8" s="1409"/>
      <c r="D8" s="1409"/>
      <c r="E8" s="1409"/>
      <c r="F8" s="1409"/>
      <c r="G8" s="1410"/>
      <c r="H8" s="382"/>
    </row>
    <row r="9" spans="1:21" ht="4.5" customHeight="1">
      <c r="A9" s="383"/>
      <c r="B9" s="384"/>
      <c r="C9" s="381"/>
      <c r="D9" s="384"/>
      <c r="E9" s="384"/>
      <c r="F9" s="384"/>
      <c r="G9" s="385"/>
      <c r="H9" s="382"/>
      <c r="I9" s="386"/>
      <c r="J9" s="386"/>
      <c r="K9" s="386"/>
      <c r="L9" s="387"/>
      <c r="M9" s="386"/>
      <c r="N9" s="386"/>
      <c r="O9" s="386"/>
      <c r="P9" s="386"/>
    </row>
    <row r="10" spans="1:21">
      <c r="A10" s="1406" t="s">
        <v>17</v>
      </c>
      <c r="B10" s="1407"/>
      <c r="C10" s="1407"/>
      <c r="D10" s="388" t="s">
        <v>18</v>
      </c>
      <c r="E10" s="388" t="s">
        <v>19</v>
      </c>
      <c r="F10" s="388" t="s">
        <v>20</v>
      </c>
      <c r="G10" s="389" t="s">
        <v>21</v>
      </c>
      <c r="H10" s="390"/>
      <c r="I10" s="391"/>
      <c r="J10" s="392"/>
      <c r="K10" s="393"/>
      <c r="L10" s="393"/>
      <c r="M10" s="393"/>
      <c r="N10" s="393"/>
      <c r="O10" s="393"/>
      <c r="P10" s="386"/>
    </row>
    <row r="11" spans="1:21">
      <c r="A11" s="1387" t="s">
        <v>75</v>
      </c>
      <c r="B11" s="1388"/>
      <c r="C11" s="1388"/>
      <c r="D11" s="388"/>
      <c r="E11" s="394"/>
      <c r="F11" s="395"/>
      <c r="G11" s="396">
        <f>+G40*5%</f>
        <v>1105</v>
      </c>
      <c r="H11" s="382"/>
      <c r="I11" s="393"/>
      <c r="J11" s="397"/>
      <c r="K11" s="393"/>
      <c r="L11" s="393"/>
      <c r="M11" s="393"/>
      <c r="N11" s="393"/>
      <c r="O11" s="393"/>
      <c r="P11" s="386"/>
    </row>
    <row r="12" spans="1:21">
      <c r="A12" s="1411" t="s">
        <v>836</v>
      </c>
      <c r="B12" s="1412"/>
      <c r="C12" s="1412"/>
      <c r="D12" s="394" t="s">
        <v>253</v>
      </c>
      <c r="E12" s="394">
        <f>4*70000</f>
        <v>280000</v>
      </c>
      <c r="F12" s="398">
        <v>140</v>
      </c>
      <c r="G12" s="396">
        <f>+E12/F12</f>
        <v>2000</v>
      </c>
      <c r="H12" s="382"/>
      <c r="I12" s="791">
        <f t="shared" ref="I12:I14" si="0">$I$6*G12</f>
        <v>0</v>
      </c>
      <c r="J12" s="400"/>
      <c r="K12" s="401"/>
      <c r="L12" s="401"/>
      <c r="M12" s="401"/>
      <c r="N12" s="401"/>
      <c r="O12" s="401"/>
      <c r="P12" s="386"/>
    </row>
    <row r="13" spans="1:21">
      <c r="A13" s="1411" t="s">
        <v>838</v>
      </c>
      <c r="B13" s="1412"/>
      <c r="C13" s="1412"/>
      <c r="D13" s="388" t="s">
        <v>253</v>
      </c>
      <c r="E13" s="394">
        <f>2*60000</f>
        <v>120000</v>
      </c>
      <c r="F13" s="398">
        <f>F12</f>
        <v>140</v>
      </c>
      <c r="G13" s="396">
        <f>+E13/F13</f>
        <v>857</v>
      </c>
      <c r="H13" s="382"/>
      <c r="I13" s="791">
        <f t="shared" si="0"/>
        <v>0</v>
      </c>
      <c r="J13" s="400"/>
      <c r="K13" s="400"/>
      <c r="L13" s="400"/>
      <c r="M13" s="400"/>
      <c r="N13" s="400"/>
      <c r="O13" s="400"/>
      <c r="P13" s="386"/>
    </row>
    <row r="14" spans="1:21">
      <c r="A14" s="1387" t="s">
        <v>837</v>
      </c>
      <c r="B14" s="1388"/>
      <c r="C14" s="1388"/>
      <c r="D14" s="394" t="s">
        <v>253</v>
      </c>
      <c r="E14" s="394">
        <f>2*70000</f>
        <v>140000</v>
      </c>
      <c r="F14" s="398">
        <f>F12</f>
        <v>140</v>
      </c>
      <c r="G14" s="396">
        <f>+E14/F14</f>
        <v>1000</v>
      </c>
      <c r="H14" s="382"/>
      <c r="I14" s="791">
        <f t="shared" si="0"/>
        <v>0</v>
      </c>
      <c r="J14" s="402"/>
      <c r="K14" s="403"/>
      <c r="L14" s="402"/>
      <c r="M14" s="404"/>
      <c r="N14" s="404"/>
      <c r="O14" s="405"/>
      <c r="P14" s="386"/>
    </row>
    <row r="15" spans="1:21">
      <c r="A15" s="1411" t="s">
        <v>839</v>
      </c>
      <c r="B15" s="1412"/>
      <c r="C15" s="1412"/>
      <c r="D15" s="394" t="s">
        <v>119</v>
      </c>
      <c r="E15" s="394">
        <f>250000</f>
        <v>250000</v>
      </c>
      <c r="F15" s="398">
        <f>F12</f>
        <v>140</v>
      </c>
      <c r="G15" s="396">
        <f>+E15/F15</f>
        <v>1786</v>
      </c>
      <c r="H15" s="787"/>
      <c r="I15" s="791">
        <f>$I$6*G15</f>
        <v>0</v>
      </c>
      <c r="J15" s="407"/>
      <c r="K15" s="403"/>
      <c r="L15" s="402"/>
      <c r="M15" s="404"/>
      <c r="N15" s="404"/>
      <c r="O15" s="405"/>
      <c r="P15" s="386"/>
      <c r="Q15" s="386"/>
      <c r="R15" s="386"/>
      <c r="S15" s="386"/>
      <c r="T15" s="386"/>
      <c r="U15" s="386"/>
    </row>
    <row r="16" spans="1:21">
      <c r="A16" s="1411"/>
      <c r="B16" s="1412"/>
      <c r="C16" s="1412"/>
      <c r="D16" s="408" t="s">
        <v>37</v>
      </c>
      <c r="E16" s="409"/>
      <c r="F16" s="410"/>
      <c r="G16" s="411">
        <f>SUM(G11:G15)</f>
        <v>6748</v>
      </c>
      <c r="H16" s="382"/>
      <c r="I16" s="412"/>
      <c r="J16" s="412"/>
      <c r="K16" s="413"/>
      <c r="L16" s="414"/>
      <c r="M16" s="415"/>
      <c r="N16" s="415"/>
      <c r="O16" s="405"/>
      <c r="P16" s="386"/>
      <c r="Q16" s="386"/>
      <c r="R16" s="386"/>
      <c r="S16" s="386"/>
      <c r="T16" s="386"/>
      <c r="U16" s="386"/>
    </row>
    <row r="17" spans="1:21" ht="4.5" customHeight="1">
      <c r="A17" s="383"/>
      <c r="B17" s="384"/>
      <c r="C17" s="381"/>
      <c r="D17" s="384"/>
      <c r="E17" s="384"/>
      <c r="F17" s="384"/>
      <c r="G17" s="385"/>
      <c r="H17" s="382"/>
      <c r="I17" s="412"/>
      <c r="J17" s="412"/>
      <c r="K17" s="413"/>
      <c r="L17" s="414"/>
      <c r="M17" s="415"/>
      <c r="N17" s="415"/>
      <c r="O17" s="405"/>
      <c r="P17" s="386"/>
      <c r="Q17" s="386"/>
      <c r="R17" s="386"/>
      <c r="S17" s="386"/>
      <c r="T17" s="386"/>
      <c r="U17" s="386"/>
    </row>
    <row r="18" spans="1:21">
      <c r="A18" s="1408" t="s">
        <v>70</v>
      </c>
      <c r="B18" s="1409"/>
      <c r="C18" s="1409"/>
      <c r="D18" s="1409"/>
      <c r="E18" s="1409"/>
      <c r="F18" s="1409"/>
      <c r="G18" s="1410"/>
      <c r="H18" s="382"/>
    </row>
    <row r="19" spans="1:21" ht="4.5" customHeight="1">
      <c r="A19" s="383"/>
      <c r="B19" s="384"/>
      <c r="C19" s="381"/>
      <c r="D19" s="384"/>
      <c r="E19" s="384"/>
      <c r="F19" s="416"/>
      <c r="G19" s="385"/>
      <c r="H19" s="382"/>
      <c r="I19" s="412"/>
      <c r="J19" s="412"/>
      <c r="K19" s="413"/>
      <c r="L19" s="417"/>
      <c r="M19" s="415"/>
      <c r="N19" s="415"/>
      <c r="O19" s="401"/>
      <c r="P19" s="386"/>
      <c r="Q19" s="386"/>
      <c r="R19" s="386"/>
      <c r="S19" s="386"/>
      <c r="T19" s="386"/>
      <c r="U19" s="386"/>
    </row>
    <row r="20" spans="1:21">
      <c r="A20" s="1406" t="s">
        <v>17</v>
      </c>
      <c r="B20" s="1407"/>
      <c r="C20" s="1407"/>
      <c r="D20" s="388" t="s">
        <v>3</v>
      </c>
      <c r="E20" s="388" t="s">
        <v>4</v>
      </c>
      <c r="F20" s="388" t="s">
        <v>25</v>
      </c>
      <c r="G20" s="389" t="s">
        <v>21</v>
      </c>
      <c r="H20" s="390"/>
      <c r="I20" s="412"/>
      <c r="J20" s="412"/>
      <c r="K20" s="413"/>
      <c r="L20" s="417"/>
      <c r="M20" s="415"/>
      <c r="N20" s="415"/>
      <c r="O20" s="401"/>
      <c r="P20" s="386"/>
      <c r="Q20" s="386"/>
      <c r="R20" s="386"/>
      <c r="S20" s="386"/>
      <c r="T20" s="386"/>
      <c r="U20" s="386"/>
    </row>
    <row r="21" spans="1:21">
      <c r="A21" s="1413" t="s">
        <v>833</v>
      </c>
      <c r="B21" s="1414"/>
      <c r="C21" s="1414"/>
      <c r="D21" s="418" t="s">
        <v>44</v>
      </c>
      <c r="E21" s="90">
        <f>0.22</f>
        <v>0.22</v>
      </c>
      <c r="F21" s="437">
        <f>'CONC 4000 PSI '!G43</f>
        <v>461971</v>
      </c>
      <c r="G21" s="421">
        <f>ROUND(F21*E21,0)</f>
        <v>101634</v>
      </c>
      <c r="H21" s="382"/>
      <c r="I21" s="412"/>
      <c r="J21" s="412"/>
      <c r="K21" s="413"/>
      <c r="L21" s="417"/>
      <c r="M21" s="415"/>
      <c r="N21" s="415"/>
      <c r="O21" s="400"/>
      <c r="P21" s="386"/>
      <c r="Q21" s="386"/>
      <c r="R21" s="386"/>
      <c r="S21" s="386"/>
      <c r="T21" s="386"/>
      <c r="U21" s="386"/>
    </row>
    <row r="22" spans="1:21">
      <c r="A22" s="1413"/>
      <c r="B22" s="1414"/>
      <c r="C22" s="1414"/>
      <c r="D22" s="422"/>
      <c r="E22" s="90"/>
      <c r="F22" s="394"/>
      <c r="G22" s="421"/>
      <c r="H22" s="382"/>
      <c r="I22" s="425"/>
      <c r="J22" s="425"/>
      <c r="K22" s="426"/>
      <c r="L22" s="417"/>
      <c r="M22" s="415"/>
      <c r="N22" s="415"/>
      <c r="O22" s="404"/>
      <c r="P22" s="386"/>
      <c r="Q22" s="386"/>
      <c r="R22" s="386"/>
      <c r="S22" s="386"/>
      <c r="T22" s="386"/>
      <c r="U22" s="386"/>
    </row>
    <row r="23" spans="1:21">
      <c r="A23" s="1387"/>
      <c r="B23" s="1388"/>
      <c r="C23" s="1388"/>
      <c r="D23" s="418"/>
      <c r="E23" s="90"/>
      <c r="F23" s="394"/>
      <c r="G23" s="421"/>
      <c r="H23" s="382"/>
      <c r="I23" s="425"/>
      <c r="J23" s="425"/>
      <c r="K23" s="426"/>
      <c r="L23" s="417"/>
      <c r="M23" s="415"/>
      <c r="N23" s="415"/>
      <c r="O23" s="404"/>
      <c r="P23" s="386"/>
      <c r="Q23" s="386"/>
      <c r="R23" s="386"/>
      <c r="S23" s="386"/>
      <c r="T23" s="386"/>
      <c r="U23" s="386"/>
    </row>
    <row r="24" spans="1:21">
      <c r="A24" s="1387"/>
      <c r="B24" s="1388"/>
      <c r="C24" s="1388"/>
      <c r="D24" s="418"/>
      <c r="E24" s="427"/>
      <c r="F24" s="394"/>
      <c r="G24" s="421"/>
      <c r="H24" s="382"/>
      <c r="I24" s="425"/>
      <c r="J24" s="428"/>
      <c r="K24" s="426"/>
      <c r="L24" s="400"/>
      <c r="M24" s="402"/>
      <c r="N24" s="402"/>
      <c r="O24" s="404"/>
      <c r="P24" s="386"/>
      <c r="Q24" s="386"/>
      <c r="R24" s="386"/>
      <c r="S24" s="386"/>
      <c r="T24" s="386"/>
      <c r="U24" s="386"/>
    </row>
    <row r="25" spans="1:21">
      <c r="A25" s="1387"/>
      <c r="B25" s="1388"/>
      <c r="C25" s="1388"/>
      <c r="D25" s="422"/>
      <c r="E25" s="427"/>
      <c r="F25" s="394" t="s">
        <v>130</v>
      </c>
      <c r="G25" s="421">
        <f>G21*5%</f>
        <v>5082</v>
      </c>
      <c r="H25" s="382"/>
      <c r="I25" s="425"/>
      <c r="J25" s="429"/>
      <c r="K25" s="426"/>
      <c r="L25" s="400"/>
      <c r="M25" s="402"/>
      <c r="N25" s="402"/>
      <c r="O25" s="404"/>
      <c r="P25" s="386"/>
      <c r="Q25" s="386"/>
      <c r="R25" s="386"/>
      <c r="S25" s="386"/>
      <c r="T25" s="386"/>
      <c r="U25" s="386"/>
    </row>
    <row r="26" spans="1:21">
      <c r="A26" s="1387"/>
      <c r="B26" s="1388"/>
      <c r="C26" s="1388"/>
      <c r="D26" s="418"/>
      <c r="E26" s="427"/>
      <c r="F26" s="394"/>
      <c r="G26" s="421"/>
      <c r="H26" s="382"/>
      <c r="I26" s="425"/>
      <c r="J26" s="429"/>
      <c r="K26" s="426"/>
      <c r="L26" s="400"/>
      <c r="M26" s="402"/>
      <c r="N26" s="402"/>
      <c r="O26" s="404"/>
      <c r="P26" s="386"/>
      <c r="Q26" s="386"/>
      <c r="R26" s="386"/>
      <c r="S26" s="386"/>
      <c r="T26" s="386"/>
      <c r="U26" s="386"/>
    </row>
    <row r="27" spans="1:21">
      <c r="A27" s="1387"/>
      <c r="B27" s="1388"/>
      <c r="C27" s="1388"/>
      <c r="D27" s="418"/>
      <c r="E27" s="427"/>
      <c r="F27" s="394"/>
      <c r="G27" s="421"/>
      <c r="H27" s="382"/>
      <c r="I27" s="425"/>
      <c r="J27" s="429"/>
      <c r="K27" s="426"/>
      <c r="L27" s="400"/>
      <c r="M27" s="402"/>
      <c r="N27" s="402"/>
      <c r="O27" s="404"/>
      <c r="P27" s="386"/>
      <c r="Q27" s="386"/>
      <c r="R27" s="386"/>
      <c r="S27" s="386"/>
      <c r="T27" s="386"/>
      <c r="U27" s="386"/>
    </row>
    <row r="28" spans="1:21">
      <c r="A28" s="1387"/>
      <c r="B28" s="1388"/>
      <c r="C28" s="1388"/>
      <c r="D28" s="418"/>
      <c r="E28" s="427"/>
      <c r="F28" s="394"/>
      <c r="G28" s="421"/>
      <c r="H28" s="382"/>
      <c r="I28" s="430"/>
      <c r="J28" s="430"/>
      <c r="K28" s="426"/>
      <c r="L28" s="400"/>
      <c r="M28" s="402"/>
      <c r="N28" s="402"/>
      <c r="O28" s="404"/>
      <c r="P28" s="386"/>
      <c r="Q28" s="386"/>
      <c r="R28" s="386"/>
      <c r="S28" s="386"/>
      <c r="T28" s="386"/>
      <c r="U28" s="386"/>
    </row>
    <row r="29" spans="1:21">
      <c r="A29" s="1387"/>
      <c r="B29" s="1388"/>
      <c r="C29" s="1388"/>
      <c r="D29" s="431"/>
      <c r="E29" s="431"/>
      <c r="F29" s="394"/>
      <c r="G29" s="421"/>
      <c r="H29" s="382"/>
      <c r="I29" s="432"/>
      <c r="J29" s="432"/>
      <c r="K29" s="432"/>
      <c r="L29" s="400"/>
      <c r="M29" s="402"/>
      <c r="N29" s="402"/>
      <c r="O29" s="404"/>
      <c r="P29" s="386"/>
      <c r="Q29" s="386"/>
      <c r="R29" s="386"/>
      <c r="S29" s="386"/>
      <c r="T29" s="386"/>
      <c r="U29" s="386"/>
    </row>
    <row r="30" spans="1:21">
      <c r="A30" s="1387"/>
      <c r="B30" s="1388"/>
      <c r="C30" s="1388"/>
      <c r="D30" s="408" t="s">
        <v>28</v>
      </c>
      <c r="E30" s="409"/>
      <c r="F30" s="410"/>
      <c r="G30" s="411">
        <f>SUM(G21:G29)</f>
        <v>106716</v>
      </c>
      <c r="H30" s="382"/>
      <c r="I30" s="401"/>
      <c r="J30" s="400"/>
      <c r="K30" s="401"/>
      <c r="L30" s="400"/>
      <c r="M30" s="402"/>
      <c r="N30" s="402"/>
      <c r="O30" s="404"/>
      <c r="P30" s="386"/>
    </row>
    <row r="31" spans="1:21" ht="3.75" customHeight="1">
      <c r="A31" s="383"/>
      <c r="B31" s="384"/>
      <c r="C31" s="381"/>
      <c r="D31" s="384"/>
      <c r="E31" s="384"/>
      <c r="F31" s="384"/>
      <c r="G31" s="385"/>
      <c r="H31" s="382"/>
      <c r="I31" s="401"/>
      <c r="J31" s="400"/>
      <c r="K31" s="433"/>
      <c r="L31" s="400"/>
      <c r="M31" s="407"/>
      <c r="N31" s="407"/>
      <c r="O31" s="404"/>
      <c r="P31" s="386"/>
    </row>
    <row r="32" spans="1:21">
      <c r="A32" s="1408" t="s">
        <v>71</v>
      </c>
      <c r="B32" s="1409"/>
      <c r="C32" s="1409"/>
      <c r="D32" s="1409"/>
      <c r="E32" s="1409"/>
      <c r="F32" s="1409"/>
      <c r="G32" s="1410"/>
      <c r="H32" s="382"/>
    </row>
    <row r="33" spans="1:16" ht="3.75" customHeight="1">
      <c r="A33" s="383"/>
      <c r="B33" s="384"/>
      <c r="C33" s="381"/>
      <c r="D33" s="384"/>
      <c r="E33" s="384"/>
      <c r="F33" s="384"/>
      <c r="G33" s="385"/>
      <c r="H33" s="382"/>
      <c r="I33" s="401"/>
      <c r="J33" s="400"/>
      <c r="K33" s="401"/>
      <c r="L33" s="401"/>
      <c r="M33" s="401"/>
      <c r="N33" s="401"/>
      <c r="O33" s="404"/>
      <c r="P33" s="386"/>
    </row>
    <row r="34" spans="1:16">
      <c r="A34" s="434" t="s">
        <v>5</v>
      </c>
      <c r="B34" s="435" t="s">
        <v>29</v>
      </c>
      <c r="C34" s="435" t="s">
        <v>30</v>
      </c>
      <c r="D34" s="435" t="s">
        <v>31</v>
      </c>
      <c r="E34" s="435" t="s">
        <v>32</v>
      </c>
      <c r="F34" s="435" t="s">
        <v>20</v>
      </c>
      <c r="G34" s="389" t="s">
        <v>33</v>
      </c>
      <c r="H34" s="390"/>
      <c r="I34" s="401"/>
      <c r="J34" s="400"/>
      <c r="K34" s="401"/>
      <c r="L34" s="401"/>
      <c r="M34" s="401"/>
      <c r="N34" s="401"/>
      <c r="O34" s="404"/>
      <c r="P34" s="386"/>
    </row>
    <row r="35" spans="1:16">
      <c r="A35" s="436" t="s">
        <v>38</v>
      </c>
      <c r="B35" s="437">
        <f>BOF</f>
        <v>51749</v>
      </c>
      <c r="C35" s="438">
        <f>ffpp</f>
        <v>0.64539999999999997</v>
      </c>
      <c r="D35" s="439">
        <v>30</v>
      </c>
      <c r="E35" s="440">
        <f>OF</f>
        <v>88696</v>
      </c>
      <c r="F35" s="445">
        <f>F15</f>
        <v>140</v>
      </c>
      <c r="G35" s="231">
        <f>ROUND(+D35*E35/F35,0)</f>
        <v>19006</v>
      </c>
      <c r="H35" s="382"/>
      <c r="I35" s="399"/>
      <c r="J35" s="400"/>
      <c r="K35" s="401"/>
      <c r="L35" s="401"/>
      <c r="M35" s="401"/>
      <c r="N35" s="401"/>
      <c r="O35" s="404"/>
      <c r="P35" s="386"/>
    </row>
    <row r="36" spans="1:16">
      <c r="A36" s="436" t="s">
        <v>41</v>
      </c>
      <c r="B36" s="437">
        <f>BOB</f>
        <v>41749</v>
      </c>
      <c r="C36" s="438">
        <f>ffpp</f>
        <v>0.64539999999999997</v>
      </c>
      <c r="D36" s="439">
        <v>6</v>
      </c>
      <c r="E36" s="440">
        <f>OB</f>
        <v>72242</v>
      </c>
      <c r="F36" s="445">
        <f>F35</f>
        <v>140</v>
      </c>
      <c r="G36" s="231">
        <f>ROUND(+D36*E36/F36,0)</f>
        <v>3096</v>
      </c>
      <c r="H36" s="382"/>
      <c r="I36" s="399"/>
      <c r="J36" s="400"/>
      <c r="K36" s="401"/>
      <c r="L36" s="401"/>
      <c r="M36" s="401"/>
      <c r="N36" s="401"/>
      <c r="O36" s="404"/>
      <c r="P36" s="386"/>
    </row>
    <row r="37" spans="1:16">
      <c r="A37" s="436"/>
      <c r="B37" s="437"/>
      <c r="C37" s="961"/>
      <c r="D37" s="439"/>
      <c r="E37" s="440"/>
      <c r="F37" s="445"/>
      <c r="G37" s="421"/>
      <c r="H37" s="382"/>
      <c r="I37" s="401"/>
      <c r="J37" s="401"/>
      <c r="K37" s="400"/>
      <c r="L37" s="400"/>
      <c r="M37" s="400"/>
      <c r="N37" s="400"/>
      <c r="O37" s="400"/>
      <c r="P37" s="386"/>
    </row>
    <row r="38" spans="1:16">
      <c r="A38" s="442"/>
      <c r="B38" s="409"/>
      <c r="C38" s="409"/>
      <c r="D38" s="409"/>
      <c r="E38" s="409"/>
      <c r="F38" s="409"/>
      <c r="G38" s="443"/>
      <c r="H38" s="382"/>
      <c r="I38" s="401"/>
      <c r="J38" s="400"/>
      <c r="K38" s="400"/>
      <c r="L38" s="400"/>
      <c r="M38" s="407"/>
      <c r="N38" s="407"/>
      <c r="O38" s="444"/>
      <c r="P38" s="386"/>
    </row>
    <row r="39" spans="1:16">
      <c r="A39" s="436"/>
      <c r="B39" s="441"/>
      <c r="C39" s="438"/>
      <c r="D39" s="441"/>
      <c r="E39" s="445"/>
      <c r="F39" s="445"/>
      <c r="G39" s="446"/>
      <c r="H39" s="382"/>
      <c r="I39" s="401"/>
      <c r="J39" s="400"/>
      <c r="K39" s="400"/>
      <c r="L39" s="400"/>
      <c r="M39" s="407"/>
      <c r="N39" s="407"/>
      <c r="O39" s="444"/>
      <c r="P39" s="386"/>
    </row>
    <row r="40" spans="1:16">
      <c r="A40" s="1387"/>
      <c r="B40" s="1388"/>
      <c r="C40" s="1388"/>
      <c r="D40" s="408" t="s">
        <v>34</v>
      </c>
      <c r="E40" s="409"/>
      <c r="F40" s="410"/>
      <c r="G40" s="411">
        <f>SUM(G35:G39)</f>
        <v>22102</v>
      </c>
      <c r="H40" s="382"/>
      <c r="I40" s="401"/>
      <c r="J40" s="400"/>
      <c r="K40" s="401"/>
      <c r="L40" s="400"/>
      <c r="M40" s="402"/>
      <c r="N40" s="402"/>
      <c r="O40" s="404"/>
      <c r="P40" s="386"/>
    </row>
    <row r="41" spans="1:16">
      <c r="A41" s="468"/>
      <c r="B41" s="469"/>
      <c r="C41" s="469"/>
      <c r="D41" s="470"/>
      <c r="E41" s="386"/>
      <c r="F41" s="471"/>
      <c r="G41" s="472"/>
      <c r="H41" s="382"/>
      <c r="I41" s="401"/>
      <c r="J41" s="400"/>
      <c r="K41" s="401"/>
      <c r="L41" s="400"/>
      <c r="M41" s="402"/>
      <c r="N41" s="402"/>
      <c r="O41" s="404"/>
      <c r="P41" s="386"/>
    </row>
    <row r="42" spans="1:16">
      <c r="A42" s="383"/>
      <c r="B42" s="384"/>
      <c r="C42" s="381"/>
      <c r="D42" s="384"/>
      <c r="E42" s="384"/>
      <c r="F42" s="384"/>
      <c r="G42" s="385"/>
      <c r="H42" s="382"/>
      <c r="I42" s="401"/>
      <c r="J42" s="400"/>
      <c r="K42" s="400"/>
      <c r="L42" s="400"/>
      <c r="M42" s="402"/>
      <c r="N42" s="402"/>
      <c r="O42" s="405"/>
      <c r="P42" s="386"/>
    </row>
    <row r="43" spans="1:16" ht="14.25">
      <c r="A43" s="383"/>
      <c r="B43" s="384"/>
      <c r="C43" s="381"/>
      <c r="D43" s="1415" t="s">
        <v>35</v>
      </c>
      <c r="E43" s="1416"/>
      <c r="F43" s="1417"/>
      <c r="G43" s="452">
        <f>+G40+G30+G16</f>
        <v>135566</v>
      </c>
      <c r="H43" s="382"/>
      <c r="I43" s="473"/>
      <c r="J43" s="474"/>
      <c r="K43" s="401"/>
      <c r="L43" s="401"/>
      <c r="M43" s="401"/>
      <c r="N43" s="401"/>
      <c r="O43" s="401"/>
      <c r="P43" s="386"/>
    </row>
    <row r="44" spans="1:16">
      <c r="A44" s="453"/>
      <c r="B44" s="454"/>
      <c r="C44" s="455"/>
      <c r="D44" s="475"/>
      <c r="E44" s="475"/>
      <c r="F44" s="475"/>
      <c r="G44" s="385"/>
      <c r="H44" s="382"/>
      <c r="I44" s="401"/>
      <c r="J44" s="400"/>
      <c r="K44" s="400"/>
      <c r="L44" s="400"/>
      <c r="M44" s="450"/>
      <c r="N44" s="450"/>
      <c r="O44" s="451"/>
      <c r="P44" s="386"/>
    </row>
    <row r="45" spans="1:16">
      <c r="A45" s="374"/>
      <c r="B45" s="375"/>
      <c r="C45" s="375"/>
      <c r="D45" s="475"/>
      <c r="E45" s="475"/>
      <c r="F45" s="475"/>
      <c r="G45" s="385"/>
      <c r="H45" s="382"/>
      <c r="I45" s="401"/>
      <c r="J45" s="400"/>
      <c r="K45" s="400"/>
      <c r="L45" s="400"/>
      <c r="M45" s="450"/>
      <c r="N45" s="450"/>
      <c r="O45" s="451"/>
      <c r="P45" s="386"/>
    </row>
    <row r="46" spans="1:16">
      <c r="A46" s="373"/>
      <c r="B46" s="376"/>
      <c r="C46" s="376"/>
      <c r="D46" s="475"/>
      <c r="E46" s="475"/>
      <c r="F46" s="475"/>
      <c r="G46" s="385"/>
      <c r="H46" s="382"/>
      <c r="I46" s="401"/>
      <c r="J46" s="400"/>
      <c r="K46" s="400"/>
      <c r="L46" s="400"/>
      <c r="M46" s="450"/>
      <c r="N46" s="450"/>
      <c r="O46" s="451"/>
      <c r="P46" s="386"/>
    </row>
    <row r="47" spans="1:16">
      <c r="A47" s="373"/>
      <c r="B47" s="376"/>
      <c r="C47" s="376"/>
      <c r="D47" s="386"/>
      <c r="E47" s="386"/>
      <c r="F47" s="386"/>
      <c r="G47" s="476"/>
      <c r="H47" s="382"/>
      <c r="I47" s="477"/>
      <c r="J47" s="478"/>
      <c r="K47" s="477"/>
      <c r="L47" s="401"/>
      <c r="M47" s="401"/>
      <c r="N47" s="401"/>
      <c r="O47" s="401"/>
      <c r="P47" s="386"/>
    </row>
    <row r="48" spans="1:16" ht="15" thickBot="1">
      <c r="A48" s="460"/>
      <c r="B48" s="461"/>
      <c r="C48" s="462"/>
      <c r="D48" s="463"/>
      <c r="E48" s="464"/>
      <c r="F48" s="464"/>
      <c r="G48" s="465"/>
      <c r="H48" s="382"/>
      <c r="I48" s="401"/>
      <c r="J48" s="400"/>
      <c r="K48" s="401"/>
      <c r="L48" s="401"/>
      <c r="M48" s="401"/>
      <c r="N48" s="401"/>
      <c r="O48" s="401"/>
      <c r="P48" s="386"/>
    </row>
    <row r="49" spans="9:16">
      <c r="I49" s="386"/>
      <c r="J49" s="386"/>
      <c r="K49" s="386"/>
      <c r="L49" s="386"/>
      <c r="M49" s="386"/>
      <c r="N49" s="386"/>
      <c r="O49" s="386"/>
      <c r="P49" s="386"/>
    </row>
  </sheetData>
  <mergeCells count="27">
    <mergeCell ref="A32:G32"/>
    <mergeCell ref="A40:C40"/>
    <mergeCell ref="D43:F43"/>
    <mergeCell ref="A25:C25"/>
    <mergeCell ref="A26:C26"/>
    <mergeCell ref="A27:C27"/>
    <mergeCell ref="A28:C28"/>
    <mergeCell ref="A29:C29"/>
    <mergeCell ref="A30:C30"/>
    <mergeCell ref="A24:C24"/>
    <mergeCell ref="A11:C11"/>
    <mergeCell ref="A12:C12"/>
    <mergeCell ref="A13:C13"/>
    <mergeCell ref="A14:C14"/>
    <mergeCell ref="A15:C15"/>
    <mergeCell ref="A16:C16"/>
    <mergeCell ref="A18:G18"/>
    <mergeCell ref="A20:C20"/>
    <mergeCell ref="A21:C21"/>
    <mergeCell ref="A22:C22"/>
    <mergeCell ref="A23:C23"/>
    <mergeCell ref="A10:C10"/>
    <mergeCell ref="A1:G1"/>
    <mergeCell ref="A2:G2"/>
    <mergeCell ref="A3:G4"/>
    <mergeCell ref="B6:E6"/>
    <mergeCell ref="A8:G8"/>
  </mergeCells>
  <printOptions horizontalCentered="1" verticalCentered="1"/>
  <pageMargins left="0.74803149606299213" right="0.74803149606299213" top="0" bottom="0.98425196850393704" header="0" footer="0"/>
  <pageSetup scale="90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1"/>
  <dimension ref="A1:U50"/>
  <sheetViews>
    <sheetView view="pageBreakPreview" topLeftCell="A7" zoomScaleNormal="100" zoomScaleSheetLayoutView="100" workbookViewId="0">
      <selection activeCell="I7" sqref="I7"/>
    </sheetView>
  </sheetViews>
  <sheetFormatPr baseColWidth="10" defaultColWidth="10.7109375" defaultRowHeight="15.75"/>
  <cols>
    <col min="1" max="1" width="15.85546875" style="793" customWidth="1"/>
    <col min="2" max="2" width="14.85546875" style="793" customWidth="1"/>
    <col min="3" max="3" width="13.28515625" style="793" customWidth="1"/>
    <col min="4" max="4" width="11.42578125" style="793"/>
    <col min="5" max="5" width="13.42578125" style="793" customWidth="1"/>
    <col min="6" max="6" width="12.7109375" style="793" customWidth="1"/>
    <col min="7" max="7" width="17.42578125" style="793" customWidth="1"/>
    <col min="8" max="8" width="7.42578125" style="793" customWidth="1"/>
    <col min="9" max="256" width="11.42578125" style="793"/>
    <col min="257" max="257" width="15.85546875" style="793" customWidth="1"/>
    <col min="258" max="258" width="14.85546875" style="793" customWidth="1"/>
    <col min="259" max="259" width="13.28515625" style="793" customWidth="1"/>
    <col min="260" max="260" width="11.42578125" style="793"/>
    <col min="261" max="261" width="13.42578125" style="793" customWidth="1"/>
    <col min="262" max="262" width="12.7109375" style="793" customWidth="1"/>
    <col min="263" max="263" width="14" style="793" customWidth="1"/>
    <col min="264" max="264" width="7.42578125" style="793" customWidth="1"/>
    <col min="265" max="512" width="11.42578125" style="793"/>
    <col min="513" max="513" width="15.85546875" style="793" customWidth="1"/>
    <col min="514" max="514" width="14.85546875" style="793" customWidth="1"/>
    <col min="515" max="515" width="13.28515625" style="793" customWidth="1"/>
    <col min="516" max="516" width="11.42578125" style="793"/>
    <col min="517" max="517" width="13.42578125" style="793" customWidth="1"/>
    <col min="518" max="518" width="12.7109375" style="793" customWidth="1"/>
    <col min="519" max="519" width="14" style="793" customWidth="1"/>
    <col min="520" max="520" width="7.42578125" style="793" customWidth="1"/>
    <col min="521" max="768" width="11.42578125" style="793"/>
    <col min="769" max="769" width="15.85546875" style="793" customWidth="1"/>
    <col min="770" max="770" width="14.85546875" style="793" customWidth="1"/>
    <col min="771" max="771" width="13.28515625" style="793" customWidth="1"/>
    <col min="772" max="772" width="11.42578125" style="793"/>
    <col min="773" max="773" width="13.42578125" style="793" customWidth="1"/>
    <col min="774" max="774" width="12.7109375" style="793" customWidth="1"/>
    <col min="775" max="775" width="14" style="793" customWidth="1"/>
    <col min="776" max="776" width="7.42578125" style="793" customWidth="1"/>
    <col min="777" max="1024" width="11.42578125" style="793"/>
    <col min="1025" max="1025" width="15.85546875" style="793" customWidth="1"/>
    <col min="1026" max="1026" width="14.85546875" style="793" customWidth="1"/>
    <col min="1027" max="1027" width="13.28515625" style="793" customWidth="1"/>
    <col min="1028" max="1028" width="11.42578125" style="793"/>
    <col min="1029" max="1029" width="13.42578125" style="793" customWidth="1"/>
    <col min="1030" max="1030" width="12.7109375" style="793" customWidth="1"/>
    <col min="1031" max="1031" width="14" style="793" customWidth="1"/>
    <col min="1032" max="1032" width="7.42578125" style="793" customWidth="1"/>
    <col min="1033" max="1280" width="11.42578125" style="793"/>
    <col min="1281" max="1281" width="15.85546875" style="793" customWidth="1"/>
    <col min="1282" max="1282" width="14.85546875" style="793" customWidth="1"/>
    <col min="1283" max="1283" width="13.28515625" style="793" customWidth="1"/>
    <col min="1284" max="1284" width="11.42578125" style="793"/>
    <col min="1285" max="1285" width="13.42578125" style="793" customWidth="1"/>
    <col min="1286" max="1286" width="12.7109375" style="793" customWidth="1"/>
    <col min="1287" max="1287" width="14" style="793" customWidth="1"/>
    <col min="1288" max="1288" width="7.42578125" style="793" customWidth="1"/>
    <col min="1289" max="1536" width="11.42578125" style="793"/>
    <col min="1537" max="1537" width="15.85546875" style="793" customWidth="1"/>
    <col min="1538" max="1538" width="14.85546875" style="793" customWidth="1"/>
    <col min="1539" max="1539" width="13.28515625" style="793" customWidth="1"/>
    <col min="1540" max="1540" width="11.42578125" style="793"/>
    <col min="1541" max="1541" width="13.42578125" style="793" customWidth="1"/>
    <col min="1542" max="1542" width="12.7109375" style="793" customWidth="1"/>
    <col min="1543" max="1543" width="14" style="793" customWidth="1"/>
    <col min="1544" max="1544" width="7.42578125" style="793" customWidth="1"/>
    <col min="1545" max="1792" width="11.42578125" style="793"/>
    <col min="1793" max="1793" width="15.85546875" style="793" customWidth="1"/>
    <col min="1794" max="1794" width="14.85546875" style="793" customWidth="1"/>
    <col min="1795" max="1795" width="13.28515625" style="793" customWidth="1"/>
    <col min="1796" max="1796" width="11.42578125" style="793"/>
    <col min="1797" max="1797" width="13.42578125" style="793" customWidth="1"/>
    <col min="1798" max="1798" width="12.7109375" style="793" customWidth="1"/>
    <col min="1799" max="1799" width="14" style="793" customWidth="1"/>
    <col min="1800" max="1800" width="7.42578125" style="793" customWidth="1"/>
    <col min="1801" max="2048" width="11.42578125" style="793"/>
    <col min="2049" max="2049" width="15.85546875" style="793" customWidth="1"/>
    <col min="2050" max="2050" width="14.85546875" style="793" customWidth="1"/>
    <col min="2051" max="2051" width="13.28515625" style="793" customWidth="1"/>
    <col min="2052" max="2052" width="11.42578125" style="793"/>
    <col min="2053" max="2053" width="13.42578125" style="793" customWidth="1"/>
    <col min="2054" max="2054" width="12.7109375" style="793" customWidth="1"/>
    <col min="2055" max="2055" width="14" style="793" customWidth="1"/>
    <col min="2056" max="2056" width="7.42578125" style="793" customWidth="1"/>
    <col min="2057" max="2304" width="11.42578125" style="793"/>
    <col min="2305" max="2305" width="15.85546875" style="793" customWidth="1"/>
    <col min="2306" max="2306" width="14.85546875" style="793" customWidth="1"/>
    <col min="2307" max="2307" width="13.28515625" style="793" customWidth="1"/>
    <col min="2308" max="2308" width="11.42578125" style="793"/>
    <col min="2309" max="2309" width="13.42578125" style="793" customWidth="1"/>
    <col min="2310" max="2310" width="12.7109375" style="793" customWidth="1"/>
    <col min="2311" max="2311" width="14" style="793" customWidth="1"/>
    <col min="2312" max="2312" width="7.42578125" style="793" customWidth="1"/>
    <col min="2313" max="2560" width="11.42578125" style="793"/>
    <col min="2561" max="2561" width="15.85546875" style="793" customWidth="1"/>
    <col min="2562" max="2562" width="14.85546875" style="793" customWidth="1"/>
    <col min="2563" max="2563" width="13.28515625" style="793" customWidth="1"/>
    <col min="2564" max="2564" width="11.42578125" style="793"/>
    <col min="2565" max="2565" width="13.42578125" style="793" customWidth="1"/>
    <col min="2566" max="2566" width="12.7109375" style="793" customWidth="1"/>
    <col min="2567" max="2567" width="14" style="793" customWidth="1"/>
    <col min="2568" max="2568" width="7.42578125" style="793" customWidth="1"/>
    <col min="2569" max="2816" width="11.42578125" style="793"/>
    <col min="2817" max="2817" width="15.85546875" style="793" customWidth="1"/>
    <col min="2818" max="2818" width="14.85546875" style="793" customWidth="1"/>
    <col min="2819" max="2819" width="13.28515625" style="793" customWidth="1"/>
    <col min="2820" max="2820" width="11.42578125" style="793"/>
    <col min="2821" max="2821" width="13.42578125" style="793" customWidth="1"/>
    <col min="2822" max="2822" width="12.7109375" style="793" customWidth="1"/>
    <col min="2823" max="2823" width="14" style="793" customWidth="1"/>
    <col min="2824" max="2824" width="7.42578125" style="793" customWidth="1"/>
    <col min="2825" max="3072" width="11.42578125" style="793"/>
    <col min="3073" max="3073" width="15.85546875" style="793" customWidth="1"/>
    <col min="3074" max="3074" width="14.85546875" style="793" customWidth="1"/>
    <col min="3075" max="3075" width="13.28515625" style="793" customWidth="1"/>
    <col min="3076" max="3076" width="11.42578125" style="793"/>
    <col min="3077" max="3077" width="13.42578125" style="793" customWidth="1"/>
    <col min="3078" max="3078" width="12.7109375" style="793" customWidth="1"/>
    <col min="3079" max="3079" width="14" style="793" customWidth="1"/>
    <col min="3080" max="3080" width="7.42578125" style="793" customWidth="1"/>
    <col min="3081" max="3328" width="11.42578125" style="793"/>
    <col min="3329" max="3329" width="15.85546875" style="793" customWidth="1"/>
    <col min="3330" max="3330" width="14.85546875" style="793" customWidth="1"/>
    <col min="3331" max="3331" width="13.28515625" style="793" customWidth="1"/>
    <col min="3332" max="3332" width="11.42578125" style="793"/>
    <col min="3333" max="3333" width="13.42578125" style="793" customWidth="1"/>
    <col min="3334" max="3334" width="12.7109375" style="793" customWidth="1"/>
    <col min="3335" max="3335" width="14" style="793" customWidth="1"/>
    <col min="3336" max="3336" width="7.42578125" style="793" customWidth="1"/>
    <col min="3337" max="3584" width="11.42578125" style="793"/>
    <col min="3585" max="3585" width="15.85546875" style="793" customWidth="1"/>
    <col min="3586" max="3586" width="14.85546875" style="793" customWidth="1"/>
    <col min="3587" max="3587" width="13.28515625" style="793" customWidth="1"/>
    <col min="3588" max="3588" width="11.42578125" style="793"/>
    <col min="3589" max="3589" width="13.42578125" style="793" customWidth="1"/>
    <col min="3590" max="3590" width="12.7109375" style="793" customWidth="1"/>
    <col min="3591" max="3591" width="14" style="793" customWidth="1"/>
    <col min="3592" max="3592" width="7.42578125" style="793" customWidth="1"/>
    <col min="3593" max="3840" width="11.42578125" style="793"/>
    <col min="3841" max="3841" width="15.85546875" style="793" customWidth="1"/>
    <col min="3842" max="3842" width="14.85546875" style="793" customWidth="1"/>
    <col min="3843" max="3843" width="13.28515625" style="793" customWidth="1"/>
    <col min="3844" max="3844" width="11.42578125" style="793"/>
    <col min="3845" max="3845" width="13.42578125" style="793" customWidth="1"/>
    <col min="3846" max="3846" width="12.7109375" style="793" customWidth="1"/>
    <col min="3847" max="3847" width="14" style="793" customWidth="1"/>
    <col min="3848" max="3848" width="7.42578125" style="793" customWidth="1"/>
    <col min="3849" max="4096" width="11.42578125" style="793"/>
    <col min="4097" max="4097" width="15.85546875" style="793" customWidth="1"/>
    <col min="4098" max="4098" width="14.85546875" style="793" customWidth="1"/>
    <col min="4099" max="4099" width="13.28515625" style="793" customWidth="1"/>
    <col min="4100" max="4100" width="11.42578125" style="793"/>
    <col min="4101" max="4101" width="13.42578125" style="793" customWidth="1"/>
    <col min="4102" max="4102" width="12.7109375" style="793" customWidth="1"/>
    <col min="4103" max="4103" width="14" style="793" customWidth="1"/>
    <col min="4104" max="4104" width="7.42578125" style="793" customWidth="1"/>
    <col min="4105" max="4352" width="11.42578125" style="793"/>
    <col min="4353" max="4353" width="15.85546875" style="793" customWidth="1"/>
    <col min="4354" max="4354" width="14.85546875" style="793" customWidth="1"/>
    <col min="4355" max="4355" width="13.28515625" style="793" customWidth="1"/>
    <col min="4356" max="4356" width="11.42578125" style="793"/>
    <col min="4357" max="4357" width="13.42578125" style="793" customWidth="1"/>
    <col min="4358" max="4358" width="12.7109375" style="793" customWidth="1"/>
    <col min="4359" max="4359" width="14" style="793" customWidth="1"/>
    <col min="4360" max="4360" width="7.42578125" style="793" customWidth="1"/>
    <col min="4361" max="4608" width="11.42578125" style="793"/>
    <col min="4609" max="4609" width="15.85546875" style="793" customWidth="1"/>
    <col min="4610" max="4610" width="14.85546875" style="793" customWidth="1"/>
    <col min="4611" max="4611" width="13.28515625" style="793" customWidth="1"/>
    <col min="4612" max="4612" width="11.42578125" style="793"/>
    <col min="4613" max="4613" width="13.42578125" style="793" customWidth="1"/>
    <col min="4614" max="4614" width="12.7109375" style="793" customWidth="1"/>
    <col min="4615" max="4615" width="14" style="793" customWidth="1"/>
    <col min="4616" max="4616" width="7.42578125" style="793" customWidth="1"/>
    <col min="4617" max="4864" width="11.42578125" style="793"/>
    <col min="4865" max="4865" width="15.85546875" style="793" customWidth="1"/>
    <col min="4866" max="4866" width="14.85546875" style="793" customWidth="1"/>
    <col min="4867" max="4867" width="13.28515625" style="793" customWidth="1"/>
    <col min="4868" max="4868" width="11.42578125" style="793"/>
    <col min="4869" max="4869" width="13.42578125" style="793" customWidth="1"/>
    <col min="4870" max="4870" width="12.7109375" style="793" customWidth="1"/>
    <col min="4871" max="4871" width="14" style="793" customWidth="1"/>
    <col min="4872" max="4872" width="7.42578125" style="793" customWidth="1"/>
    <col min="4873" max="5120" width="11.42578125" style="793"/>
    <col min="5121" max="5121" width="15.85546875" style="793" customWidth="1"/>
    <col min="5122" max="5122" width="14.85546875" style="793" customWidth="1"/>
    <col min="5123" max="5123" width="13.28515625" style="793" customWidth="1"/>
    <col min="5124" max="5124" width="11.42578125" style="793"/>
    <col min="5125" max="5125" width="13.42578125" style="793" customWidth="1"/>
    <col min="5126" max="5126" width="12.7109375" style="793" customWidth="1"/>
    <col min="5127" max="5127" width="14" style="793" customWidth="1"/>
    <col min="5128" max="5128" width="7.42578125" style="793" customWidth="1"/>
    <col min="5129" max="5376" width="11.42578125" style="793"/>
    <col min="5377" max="5377" width="15.85546875" style="793" customWidth="1"/>
    <col min="5378" max="5378" width="14.85546875" style="793" customWidth="1"/>
    <col min="5379" max="5379" width="13.28515625" style="793" customWidth="1"/>
    <col min="5380" max="5380" width="11.42578125" style="793"/>
    <col min="5381" max="5381" width="13.42578125" style="793" customWidth="1"/>
    <col min="5382" max="5382" width="12.7109375" style="793" customWidth="1"/>
    <col min="5383" max="5383" width="14" style="793" customWidth="1"/>
    <col min="5384" max="5384" width="7.42578125" style="793" customWidth="1"/>
    <col min="5385" max="5632" width="11.42578125" style="793"/>
    <col min="5633" max="5633" width="15.85546875" style="793" customWidth="1"/>
    <col min="5634" max="5634" width="14.85546875" style="793" customWidth="1"/>
    <col min="5635" max="5635" width="13.28515625" style="793" customWidth="1"/>
    <col min="5636" max="5636" width="11.42578125" style="793"/>
    <col min="5637" max="5637" width="13.42578125" style="793" customWidth="1"/>
    <col min="5638" max="5638" width="12.7109375" style="793" customWidth="1"/>
    <col min="5639" max="5639" width="14" style="793" customWidth="1"/>
    <col min="5640" max="5640" width="7.42578125" style="793" customWidth="1"/>
    <col min="5641" max="5888" width="11.42578125" style="793"/>
    <col min="5889" max="5889" width="15.85546875" style="793" customWidth="1"/>
    <col min="5890" max="5890" width="14.85546875" style="793" customWidth="1"/>
    <col min="5891" max="5891" width="13.28515625" style="793" customWidth="1"/>
    <col min="5892" max="5892" width="11.42578125" style="793"/>
    <col min="5893" max="5893" width="13.42578125" style="793" customWidth="1"/>
    <col min="5894" max="5894" width="12.7109375" style="793" customWidth="1"/>
    <col min="5895" max="5895" width="14" style="793" customWidth="1"/>
    <col min="5896" max="5896" width="7.42578125" style="793" customWidth="1"/>
    <col min="5897" max="6144" width="11.42578125" style="793"/>
    <col min="6145" max="6145" width="15.85546875" style="793" customWidth="1"/>
    <col min="6146" max="6146" width="14.85546875" style="793" customWidth="1"/>
    <col min="6147" max="6147" width="13.28515625" style="793" customWidth="1"/>
    <col min="6148" max="6148" width="11.42578125" style="793"/>
    <col min="6149" max="6149" width="13.42578125" style="793" customWidth="1"/>
    <col min="6150" max="6150" width="12.7109375" style="793" customWidth="1"/>
    <col min="6151" max="6151" width="14" style="793" customWidth="1"/>
    <col min="6152" max="6152" width="7.42578125" style="793" customWidth="1"/>
    <col min="6153" max="6400" width="11.42578125" style="793"/>
    <col min="6401" max="6401" width="15.85546875" style="793" customWidth="1"/>
    <col min="6402" max="6402" width="14.85546875" style="793" customWidth="1"/>
    <col min="6403" max="6403" width="13.28515625" style="793" customWidth="1"/>
    <col min="6404" max="6404" width="11.42578125" style="793"/>
    <col min="6405" max="6405" width="13.42578125" style="793" customWidth="1"/>
    <col min="6406" max="6406" width="12.7109375" style="793" customWidth="1"/>
    <col min="6407" max="6407" width="14" style="793" customWidth="1"/>
    <col min="6408" max="6408" width="7.42578125" style="793" customWidth="1"/>
    <col min="6409" max="6656" width="11.42578125" style="793"/>
    <col min="6657" max="6657" width="15.85546875" style="793" customWidth="1"/>
    <col min="6658" max="6658" width="14.85546875" style="793" customWidth="1"/>
    <col min="6659" max="6659" width="13.28515625" style="793" customWidth="1"/>
    <col min="6660" max="6660" width="11.42578125" style="793"/>
    <col min="6661" max="6661" width="13.42578125" style="793" customWidth="1"/>
    <col min="6662" max="6662" width="12.7109375" style="793" customWidth="1"/>
    <col min="6663" max="6663" width="14" style="793" customWidth="1"/>
    <col min="6664" max="6664" width="7.42578125" style="793" customWidth="1"/>
    <col min="6665" max="6912" width="11.42578125" style="793"/>
    <col min="6913" max="6913" width="15.85546875" style="793" customWidth="1"/>
    <col min="6914" max="6914" width="14.85546875" style="793" customWidth="1"/>
    <col min="6915" max="6915" width="13.28515625" style="793" customWidth="1"/>
    <col min="6916" max="6916" width="11.42578125" style="793"/>
    <col min="6917" max="6917" width="13.42578125" style="793" customWidth="1"/>
    <col min="6918" max="6918" width="12.7109375" style="793" customWidth="1"/>
    <col min="6919" max="6919" width="14" style="793" customWidth="1"/>
    <col min="6920" max="6920" width="7.42578125" style="793" customWidth="1"/>
    <col min="6921" max="7168" width="11.42578125" style="793"/>
    <col min="7169" max="7169" width="15.85546875" style="793" customWidth="1"/>
    <col min="7170" max="7170" width="14.85546875" style="793" customWidth="1"/>
    <col min="7171" max="7171" width="13.28515625" style="793" customWidth="1"/>
    <col min="7172" max="7172" width="11.42578125" style="793"/>
    <col min="7173" max="7173" width="13.42578125" style="793" customWidth="1"/>
    <col min="7174" max="7174" width="12.7109375" style="793" customWidth="1"/>
    <col min="7175" max="7175" width="14" style="793" customWidth="1"/>
    <col min="7176" max="7176" width="7.42578125" style="793" customWidth="1"/>
    <col min="7177" max="7424" width="11.42578125" style="793"/>
    <col min="7425" max="7425" width="15.85546875" style="793" customWidth="1"/>
    <col min="7426" max="7426" width="14.85546875" style="793" customWidth="1"/>
    <col min="7427" max="7427" width="13.28515625" style="793" customWidth="1"/>
    <col min="7428" max="7428" width="11.42578125" style="793"/>
    <col min="7429" max="7429" width="13.42578125" style="793" customWidth="1"/>
    <col min="7430" max="7430" width="12.7109375" style="793" customWidth="1"/>
    <col min="7431" max="7431" width="14" style="793" customWidth="1"/>
    <col min="7432" max="7432" width="7.42578125" style="793" customWidth="1"/>
    <col min="7433" max="7680" width="11.42578125" style="793"/>
    <col min="7681" max="7681" width="15.85546875" style="793" customWidth="1"/>
    <col min="7682" max="7682" width="14.85546875" style="793" customWidth="1"/>
    <col min="7683" max="7683" width="13.28515625" style="793" customWidth="1"/>
    <col min="7684" max="7684" width="11.42578125" style="793"/>
    <col min="7685" max="7685" width="13.42578125" style="793" customWidth="1"/>
    <col min="7686" max="7686" width="12.7109375" style="793" customWidth="1"/>
    <col min="7687" max="7687" width="14" style="793" customWidth="1"/>
    <col min="7688" max="7688" width="7.42578125" style="793" customWidth="1"/>
    <col min="7689" max="7936" width="11.42578125" style="793"/>
    <col min="7937" max="7937" width="15.85546875" style="793" customWidth="1"/>
    <col min="7938" max="7938" width="14.85546875" style="793" customWidth="1"/>
    <col min="7939" max="7939" width="13.28515625" style="793" customWidth="1"/>
    <col min="7940" max="7940" width="11.42578125" style="793"/>
    <col min="7941" max="7941" width="13.42578125" style="793" customWidth="1"/>
    <col min="7942" max="7942" width="12.7109375" style="793" customWidth="1"/>
    <col min="7943" max="7943" width="14" style="793" customWidth="1"/>
    <col min="7944" max="7944" width="7.42578125" style="793" customWidth="1"/>
    <col min="7945" max="8192" width="11.42578125" style="793"/>
    <col min="8193" max="8193" width="15.85546875" style="793" customWidth="1"/>
    <col min="8194" max="8194" width="14.85546875" style="793" customWidth="1"/>
    <col min="8195" max="8195" width="13.28515625" style="793" customWidth="1"/>
    <col min="8196" max="8196" width="11.42578125" style="793"/>
    <col min="8197" max="8197" width="13.42578125" style="793" customWidth="1"/>
    <col min="8198" max="8198" width="12.7109375" style="793" customWidth="1"/>
    <col min="8199" max="8199" width="14" style="793" customWidth="1"/>
    <col min="8200" max="8200" width="7.42578125" style="793" customWidth="1"/>
    <col min="8201" max="8448" width="11.42578125" style="793"/>
    <col min="8449" max="8449" width="15.85546875" style="793" customWidth="1"/>
    <col min="8450" max="8450" width="14.85546875" style="793" customWidth="1"/>
    <col min="8451" max="8451" width="13.28515625" style="793" customWidth="1"/>
    <col min="8452" max="8452" width="11.42578125" style="793"/>
    <col min="8453" max="8453" width="13.42578125" style="793" customWidth="1"/>
    <col min="8454" max="8454" width="12.7109375" style="793" customWidth="1"/>
    <col min="8455" max="8455" width="14" style="793" customWidth="1"/>
    <col min="8456" max="8456" width="7.42578125" style="793" customWidth="1"/>
    <col min="8457" max="8704" width="11.42578125" style="793"/>
    <col min="8705" max="8705" width="15.85546875" style="793" customWidth="1"/>
    <col min="8706" max="8706" width="14.85546875" style="793" customWidth="1"/>
    <col min="8707" max="8707" width="13.28515625" style="793" customWidth="1"/>
    <col min="8708" max="8708" width="11.42578125" style="793"/>
    <col min="8709" max="8709" width="13.42578125" style="793" customWidth="1"/>
    <col min="8710" max="8710" width="12.7109375" style="793" customWidth="1"/>
    <col min="8711" max="8711" width="14" style="793" customWidth="1"/>
    <col min="8712" max="8712" width="7.42578125" style="793" customWidth="1"/>
    <col min="8713" max="8960" width="11.42578125" style="793"/>
    <col min="8961" max="8961" width="15.85546875" style="793" customWidth="1"/>
    <col min="8962" max="8962" width="14.85546875" style="793" customWidth="1"/>
    <col min="8963" max="8963" width="13.28515625" style="793" customWidth="1"/>
    <col min="8964" max="8964" width="11.42578125" style="793"/>
    <col min="8965" max="8965" width="13.42578125" style="793" customWidth="1"/>
    <col min="8966" max="8966" width="12.7109375" style="793" customWidth="1"/>
    <col min="8967" max="8967" width="14" style="793" customWidth="1"/>
    <col min="8968" max="8968" width="7.42578125" style="793" customWidth="1"/>
    <col min="8969" max="9216" width="11.42578125" style="793"/>
    <col min="9217" max="9217" width="15.85546875" style="793" customWidth="1"/>
    <col min="9218" max="9218" width="14.85546875" style="793" customWidth="1"/>
    <col min="9219" max="9219" width="13.28515625" style="793" customWidth="1"/>
    <col min="9220" max="9220" width="11.42578125" style="793"/>
    <col min="9221" max="9221" width="13.42578125" style="793" customWidth="1"/>
    <col min="9222" max="9222" width="12.7109375" style="793" customWidth="1"/>
    <col min="9223" max="9223" width="14" style="793" customWidth="1"/>
    <col min="9224" max="9224" width="7.42578125" style="793" customWidth="1"/>
    <col min="9225" max="9472" width="11.42578125" style="793"/>
    <col min="9473" max="9473" width="15.85546875" style="793" customWidth="1"/>
    <col min="9474" max="9474" width="14.85546875" style="793" customWidth="1"/>
    <col min="9475" max="9475" width="13.28515625" style="793" customWidth="1"/>
    <col min="9476" max="9476" width="11.42578125" style="793"/>
    <col min="9477" max="9477" width="13.42578125" style="793" customWidth="1"/>
    <col min="9478" max="9478" width="12.7109375" style="793" customWidth="1"/>
    <col min="9479" max="9479" width="14" style="793" customWidth="1"/>
    <col min="9480" max="9480" width="7.42578125" style="793" customWidth="1"/>
    <col min="9481" max="9728" width="11.42578125" style="793"/>
    <col min="9729" max="9729" width="15.85546875" style="793" customWidth="1"/>
    <col min="9730" max="9730" width="14.85546875" style="793" customWidth="1"/>
    <col min="9731" max="9731" width="13.28515625" style="793" customWidth="1"/>
    <col min="9732" max="9732" width="11.42578125" style="793"/>
    <col min="9733" max="9733" width="13.42578125" style="793" customWidth="1"/>
    <col min="9734" max="9734" width="12.7109375" style="793" customWidth="1"/>
    <col min="9735" max="9735" width="14" style="793" customWidth="1"/>
    <col min="9736" max="9736" width="7.42578125" style="793" customWidth="1"/>
    <col min="9737" max="9984" width="11.42578125" style="793"/>
    <col min="9985" max="9985" width="15.85546875" style="793" customWidth="1"/>
    <col min="9986" max="9986" width="14.85546875" style="793" customWidth="1"/>
    <col min="9987" max="9987" width="13.28515625" style="793" customWidth="1"/>
    <col min="9988" max="9988" width="11.42578125" style="793"/>
    <col min="9989" max="9989" width="13.42578125" style="793" customWidth="1"/>
    <col min="9990" max="9990" width="12.7109375" style="793" customWidth="1"/>
    <col min="9991" max="9991" width="14" style="793" customWidth="1"/>
    <col min="9992" max="9992" width="7.42578125" style="793" customWidth="1"/>
    <col min="9993" max="10240" width="11.42578125" style="793"/>
    <col min="10241" max="10241" width="15.85546875" style="793" customWidth="1"/>
    <col min="10242" max="10242" width="14.85546875" style="793" customWidth="1"/>
    <col min="10243" max="10243" width="13.28515625" style="793" customWidth="1"/>
    <col min="10244" max="10244" width="11.42578125" style="793"/>
    <col min="10245" max="10245" width="13.42578125" style="793" customWidth="1"/>
    <col min="10246" max="10246" width="12.7109375" style="793" customWidth="1"/>
    <col min="10247" max="10247" width="14" style="793" customWidth="1"/>
    <col min="10248" max="10248" width="7.42578125" style="793" customWidth="1"/>
    <col min="10249" max="10496" width="11.42578125" style="793"/>
    <col min="10497" max="10497" width="15.85546875" style="793" customWidth="1"/>
    <col min="10498" max="10498" width="14.85546875" style="793" customWidth="1"/>
    <col min="10499" max="10499" width="13.28515625" style="793" customWidth="1"/>
    <col min="10500" max="10500" width="11.42578125" style="793"/>
    <col min="10501" max="10501" width="13.42578125" style="793" customWidth="1"/>
    <col min="10502" max="10502" width="12.7109375" style="793" customWidth="1"/>
    <col min="10503" max="10503" width="14" style="793" customWidth="1"/>
    <col min="10504" max="10504" width="7.42578125" style="793" customWidth="1"/>
    <col min="10505" max="10752" width="11.42578125" style="793"/>
    <col min="10753" max="10753" width="15.85546875" style="793" customWidth="1"/>
    <col min="10754" max="10754" width="14.85546875" style="793" customWidth="1"/>
    <col min="10755" max="10755" width="13.28515625" style="793" customWidth="1"/>
    <col min="10756" max="10756" width="11.42578125" style="793"/>
    <col min="10757" max="10757" width="13.42578125" style="793" customWidth="1"/>
    <col min="10758" max="10758" width="12.7109375" style="793" customWidth="1"/>
    <col min="10759" max="10759" width="14" style="793" customWidth="1"/>
    <col min="10760" max="10760" width="7.42578125" style="793" customWidth="1"/>
    <col min="10761" max="11008" width="11.42578125" style="793"/>
    <col min="11009" max="11009" width="15.85546875" style="793" customWidth="1"/>
    <col min="11010" max="11010" width="14.85546875" style="793" customWidth="1"/>
    <col min="11011" max="11011" width="13.28515625" style="793" customWidth="1"/>
    <col min="11012" max="11012" width="11.42578125" style="793"/>
    <col min="11013" max="11013" width="13.42578125" style="793" customWidth="1"/>
    <col min="11014" max="11014" width="12.7109375" style="793" customWidth="1"/>
    <col min="11015" max="11015" width="14" style="793" customWidth="1"/>
    <col min="11016" max="11016" width="7.42578125" style="793" customWidth="1"/>
    <col min="11017" max="11264" width="11.42578125" style="793"/>
    <col min="11265" max="11265" width="15.85546875" style="793" customWidth="1"/>
    <col min="11266" max="11266" width="14.85546875" style="793" customWidth="1"/>
    <col min="11267" max="11267" width="13.28515625" style="793" customWidth="1"/>
    <col min="11268" max="11268" width="11.42578125" style="793"/>
    <col min="11269" max="11269" width="13.42578125" style="793" customWidth="1"/>
    <col min="11270" max="11270" width="12.7109375" style="793" customWidth="1"/>
    <col min="11271" max="11271" width="14" style="793" customWidth="1"/>
    <col min="11272" max="11272" width="7.42578125" style="793" customWidth="1"/>
    <col min="11273" max="11520" width="11.42578125" style="793"/>
    <col min="11521" max="11521" width="15.85546875" style="793" customWidth="1"/>
    <col min="11522" max="11522" width="14.85546875" style="793" customWidth="1"/>
    <col min="11523" max="11523" width="13.28515625" style="793" customWidth="1"/>
    <col min="11524" max="11524" width="11.42578125" style="793"/>
    <col min="11525" max="11525" width="13.42578125" style="793" customWidth="1"/>
    <col min="11526" max="11526" width="12.7109375" style="793" customWidth="1"/>
    <col min="11527" max="11527" width="14" style="793" customWidth="1"/>
    <col min="11528" max="11528" width="7.42578125" style="793" customWidth="1"/>
    <col min="11529" max="11776" width="11.42578125" style="793"/>
    <col min="11777" max="11777" width="15.85546875" style="793" customWidth="1"/>
    <col min="11778" max="11778" width="14.85546875" style="793" customWidth="1"/>
    <col min="11779" max="11779" width="13.28515625" style="793" customWidth="1"/>
    <col min="11780" max="11780" width="11.42578125" style="793"/>
    <col min="11781" max="11781" width="13.42578125" style="793" customWidth="1"/>
    <col min="11782" max="11782" width="12.7109375" style="793" customWidth="1"/>
    <col min="11783" max="11783" width="14" style="793" customWidth="1"/>
    <col min="11784" max="11784" width="7.42578125" style="793" customWidth="1"/>
    <col min="11785" max="12032" width="11.42578125" style="793"/>
    <col min="12033" max="12033" width="15.85546875" style="793" customWidth="1"/>
    <col min="12034" max="12034" width="14.85546875" style="793" customWidth="1"/>
    <col min="12035" max="12035" width="13.28515625" style="793" customWidth="1"/>
    <col min="12036" max="12036" width="11.42578125" style="793"/>
    <col min="12037" max="12037" width="13.42578125" style="793" customWidth="1"/>
    <col min="12038" max="12038" width="12.7109375" style="793" customWidth="1"/>
    <col min="12039" max="12039" width="14" style="793" customWidth="1"/>
    <col min="12040" max="12040" width="7.42578125" style="793" customWidth="1"/>
    <col min="12041" max="12288" width="11.42578125" style="793"/>
    <col min="12289" max="12289" width="15.85546875" style="793" customWidth="1"/>
    <col min="12290" max="12290" width="14.85546875" style="793" customWidth="1"/>
    <col min="12291" max="12291" width="13.28515625" style="793" customWidth="1"/>
    <col min="12292" max="12292" width="11.42578125" style="793"/>
    <col min="12293" max="12293" width="13.42578125" style="793" customWidth="1"/>
    <col min="12294" max="12294" width="12.7109375" style="793" customWidth="1"/>
    <col min="12295" max="12295" width="14" style="793" customWidth="1"/>
    <col min="12296" max="12296" width="7.42578125" style="793" customWidth="1"/>
    <col min="12297" max="12544" width="11.42578125" style="793"/>
    <col min="12545" max="12545" width="15.85546875" style="793" customWidth="1"/>
    <col min="12546" max="12546" width="14.85546875" style="793" customWidth="1"/>
    <col min="12547" max="12547" width="13.28515625" style="793" customWidth="1"/>
    <col min="12548" max="12548" width="11.42578125" style="793"/>
    <col min="12549" max="12549" width="13.42578125" style="793" customWidth="1"/>
    <col min="12550" max="12550" width="12.7109375" style="793" customWidth="1"/>
    <col min="12551" max="12551" width="14" style="793" customWidth="1"/>
    <col min="12552" max="12552" width="7.42578125" style="793" customWidth="1"/>
    <col min="12553" max="12800" width="11.42578125" style="793"/>
    <col min="12801" max="12801" width="15.85546875" style="793" customWidth="1"/>
    <col min="12802" max="12802" width="14.85546875" style="793" customWidth="1"/>
    <col min="12803" max="12803" width="13.28515625" style="793" customWidth="1"/>
    <col min="12804" max="12804" width="11.42578125" style="793"/>
    <col min="12805" max="12805" width="13.42578125" style="793" customWidth="1"/>
    <col min="12806" max="12806" width="12.7109375" style="793" customWidth="1"/>
    <col min="12807" max="12807" width="14" style="793" customWidth="1"/>
    <col min="12808" max="12808" width="7.42578125" style="793" customWidth="1"/>
    <col min="12809" max="13056" width="11.42578125" style="793"/>
    <col min="13057" max="13057" width="15.85546875" style="793" customWidth="1"/>
    <col min="13058" max="13058" width="14.85546875" style="793" customWidth="1"/>
    <col min="13059" max="13059" width="13.28515625" style="793" customWidth="1"/>
    <col min="13060" max="13060" width="11.42578125" style="793"/>
    <col min="13061" max="13061" width="13.42578125" style="793" customWidth="1"/>
    <col min="13062" max="13062" width="12.7109375" style="793" customWidth="1"/>
    <col min="13063" max="13063" width="14" style="793" customWidth="1"/>
    <col min="13064" max="13064" width="7.42578125" style="793" customWidth="1"/>
    <col min="13065" max="13312" width="11.42578125" style="793"/>
    <col min="13313" max="13313" width="15.85546875" style="793" customWidth="1"/>
    <col min="13314" max="13314" width="14.85546875" style="793" customWidth="1"/>
    <col min="13315" max="13315" width="13.28515625" style="793" customWidth="1"/>
    <col min="13316" max="13316" width="11.42578125" style="793"/>
    <col min="13317" max="13317" width="13.42578125" style="793" customWidth="1"/>
    <col min="13318" max="13318" width="12.7109375" style="793" customWidth="1"/>
    <col min="13319" max="13319" width="14" style="793" customWidth="1"/>
    <col min="13320" max="13320" width="7.42578125" style="793" customWidth="1"/>
    <col min="13321" max="13568" width="11.42578125" style="793"/>
    <col min="13569" max="13569" width="15.85546875" style="793" customWidth="1"/>
    <col min="13570" max="13570" width="14.85546875" style="793" customWidth="1"/>
    <col min="13571" max="13571" width="13.28515625" style="793" customWidth="1"/>
    <col min="13572" max="13572" width="11.42578125" style="793"/>
    <col min="13573" max="13573" width="13.42578125" style="793" customWidth="1"/>
    <col min="13574" max="13574" width="12.7109375" style="793" customWidth="1"/>
    <col min="13575" max="13575" width="14" style="793" customWidth="1"/>
    <col min="13576" max="13576" width="7.42578125" style="793" customWidth="1"/>
    <col min="13577" max="13824" width="11.42578125" style="793"/>
    <col min="13825" max="13825" width="15.85546875" style="793" customWidth="1"/>
    <col min="13826" max="13826" width="14.85546875" style="793" customWidth="1"/>
    <col min="13827" max="13827" width="13.28515625" style="793" customWidth="1"/>
    <col min="13828" max="13828" width="11.42578125" style="793"/>
    <col min="13829" max="13829" width="13.42578125" style="793" customWidth="1"/>
    <col min="13830" max="13830" width="12.7109375" style="793" customWidth="1"/>
    <col min="13831" max="13831" width="14" style="793" customWidth="1"/>
    <col min="13832" max="13832" width="7.42578125" style="793" customWidth="1"/>
    <col min="13833" max="14080" width="11.42578125" style="793"/>
    <col min="14081" max="14081" width="15.85546875" style="793" customWidth="1"/>
    <col min="14082" max="14082" width="14.85546875" style="793" customWidth="1"/>
    <col min="14083" max="14083" width="13.28515625" style="793" customWidth="1"/>
    <col min="14084" max="14084" width="11.42578125" style="793"/>
    <col min="14085" max="14085" width="13.42578125" style="793" customWidth="1"/>
    <col min="14086" max="14086" width="12.7109375" style="793" customWidth="1"/>
    <col min="14087" max="14087" width="14" style="793" customWidth="1"/>
    <col min="14088" max="14088" width="7.42578125" style="793" customWidth="1"/>
    <col min="14089" max="14336" width="11.42578125" style="793"/>
    <col min="14337" max="14337" width="15.85546875" style="793" customWidth="1"/>
    <col min="14338" max="14338" width="14.85546875" style="793" customWidth="1"/>
    <col min="14339" max="14339" width="13.28515625" style="793" customWidth="1"/>
    <col min="14340" max="14340" width="11.42578125" style="793"/>
    <col min="14341" max="14341" width="13.42578125" style="793" customWidth="1"/>
    <col min="14342" max="14342" width="12.7109375" style="793" customWidth="1"/>
    <col min="14343" max="14343" width="14" style="793" customWidth="1"/>
    <col min="14344" max="14344" width="7.42578125" style="793" customWidth="1"/>
    <col min="14345" max="14592" width="11.42578125" style="793"/>
    <col min="14593" max="14593" width="15.85546875" style="793" customWidth="1"/>
    <col min="14594" max="14594" width="14.85546875" style="793" customWidth="1"/>
    <col min="14595" max="14595" width="13.28515625" style="793" customWidth="1"/>
    <col min="14596" max="14596" width="11.42578125" style="793"/>
    <col min="14597" max="14597" width="13.42578125" style="793" customWidth="1"/>
    <col min="14598" max="14598" width="12.7109375" style="793" customWidth="1"/>
    <col min="14599" max="14599" width="14" style="793" customWidth="1"/>
    <col min="14600" max="14600" width="7.42578125" style="793" customWidth="1"/>
    <col min="14601" max="14848" width="11.42578125" style="793"/>
    <col min="14849" max="14849" width="15.85546875" style="793" customWidth="1"/>
    <col min="14850" max="14850" width="14.85546875" style="793" customWidth="1"/>
    <col min="14851" max="14851" width="13.28515625" style="793" customWidth="1"/>
    <col min="14852" max="14852" width="11.42578125" style="793"/>
    <col min="14853" max="14853" width="13.42578125" style="793" customWidth="1"/>
    <col min="14854" max="14854" width="12.7109375" style="793" customWidth="1"/>
    <col min="14855" max="14855" width="14" style="793" customWidth="1"/>
    <col min="14856" max="14856" width="7.42578125" style="793" customWidth="1"/>
    <col min="14857" max="15104" width="11.42578125" style="793"/>
    <col min="15105" max="15105" width="15.85546875" style="793" customWidth="1"/>
    <col min="15106" max="15106" width="14.85546875" style="793" customWidth="1"/>
    <col min="15107" max="15107" width="13.28515625" style="793" customWidth="1"/>
    <col min="15108" max="15108" width="11.42578125" style="793"/>
    <col min="15109" max="15109" width="13.42578125" style="793" customWidth="1"/>
    <col min="15110" max="15110" width="12.7109375" style="793" customWidth="1"/>
    <col min="15111" max="15111" width="14" style="793" customWidth="1"/>
    <col min="15112" max="15112" width="7.42578125" style="793" customWidth="1"/>
    <col min="15113" max="15360" width="11.42578125" style="793"/>
    <col min="15361" max="15361" width="15.85546875" style="793" customWidth="1"/>
    <col min="15362" max="15362" width="14.85546875" style="793" customWidth="1"/>
    <col min="15363" max="15363" width="13.28515625" style="793" customWidth="1"/>
    <col min="15364" max="15364" width="11.42578125" style="793"/>
    <col min="15365" max="15365" width="13.42578125" style="793" customWidth="1"/>
    <col min="15366" max="15366" width="12.7109375" style="793" customWidth="1"/>
    <col min="15367" max="15367" width="14" style="793" customWidth="1"/>
    <col min="15368" max="15368" width="7.42578125" style="793" customWidth="1"/>
    <col min="15369" max="15616" width="11.42578125" style="793"/>
    <col min="15617" max="15617" width="15.85546875" style="793" customWidth="1"/>
    <col min="15618" max="15618" width="14.85546875" style="793" customWidth="1"/>
    <col min="15619" max="15619" width="13.28515625" style="793" customWidth="1"/>
    <col min="15620" max="15620" width="11.42578125" style="793"/>
    <col min="15621" max="15621" width="13.42578125" style="793" customWidth="1"/>
    <col min="15622" max="15622" width="12.7109375" style="793" customWidth="1"/>
    <col min="15623" max="15623" width="14" style="793" customWidth="1"/>
    <col min="15624" max="15624" width="7.42578125" style="793" customWidth="1"/>
    <col min="15625" max="15872" width="11.42578125" style="793"/>
    <col min="15873" max="15873" width="15.85546875" style="793" customWidth="1"/>
    <col min="15874" max="15874" width="14.85546875" style="793" customWidth="1"/>
    <col min="15875" max="15875" width="13.28515625" style="793" customWidth="1"/>
    <col min="15876" max="15876" width="11.42578125" style="793"/>
    <col min="15877" max="15877" width="13.42578125" style="793" customWidth="1"/>
    <col min="15878" max="15878" width="12.7109375" style="793" customWidth="1"/>
    <col min="15879" max="15879" width="14" style="793" customWidth="1"/>
    <col min="15880" max="15880" width="7.42578125" style="793" customWidth="1"/>
    <col min="15881" max="16128" width="11.42578125" style="793"/>
    <col min="16129" max="16129" width="15.85546875" style="793" customWidth="1"/>
    <col min="16130" max="16130" width="14.85546875" style="793" customWidth="1"/>
    <col min="16131" max="16131" width="13.28515625" style="793" customWidth="1"/>
    <col min="16132" max="16132" width="11.42578125" style="793"/>
    <col min="16133" max="16133" width="13.42578125" style="793" customWidth="1"/>
    <col min="16134" max="16134" width="12.7109375" style="793" customWidth="1"/>
    <col min="16135" max="16135" width="14" style="793" customWidth="1"/>
    <col min="16136" max="16136" width="7.42578125" style="793" customWidth="1"/>
    <col min="16137" max="16384" width="11.42578125" style="793"/>
  </cols>
  <sheetData>
    <row r="1" spans="1:21" s="3" customFormat="1" ht="20.25">
      <c r="A1" s="1346" t="str">
        <f>PPTO!D3</f>
        <v>PRESUPUESTO
MUNICIPIO EL BAGRE (ANTIOQUIA).</v>
      </c>
      <c r="B1" s="1347"/>
      <c r="C1" s="1347"/>
      <c r="D1" s="1347"/>
      <c r="E1" s="1347"/>
      <c r="F1" s="1347"/>
      <c r="G1" s="1348"/>
      <c r="H1" s="1"/>
      <c r="I1" s="2"/>
    </row>
    <row r="2" spans="1:21" s="3" customFormat="1" ht="18">
      <c r="A2" s="1362" t="s">
        <v>16</v>
      </c>
      <c r="B2" s="1363"/>
      <c r="C2" s="1363"/>
      <c r="D2" s="1363"/>
      <c r="E2" s="1363"/>
      <c r="F2" s="1363"/>
      <c r="G2" s="1364"/>
      <c r="H2" s="1"/>
      <c r="I2" s="2"/>
    </row>
    <row r="3" spans="1:21" s="3" customFormat="1" ht="22.5" customHeight="1">
      <c r="A3" s="1367" t="str">
        <f>+PPTO!$D$5</f>
        <v>PROYECTO DE MEJORAMIENTO VIAL, ESPACIO PUBLICO Y OBRAS COMPLEMENTARIAS DE LA AVENIDA LA JUVENTUD Y TRAMOS ADYACENTES Y PRIORITARIOS DEL SECTOR URBANO EN EL MUNICIPIO EL BAGRE ANTIOQUIA.</v>
      </c>
      <c r="B3" s="1368"/>
      <c r="C3" s="1368"/>
      <c r="D3" s="1368"/>
      <c r="E3" s="1368"/>
      <c r="F3" s="1368"/>
      <c r="G3" s="1369"/>
      <c r="H3" s="1"/>
      <c r="I3" s="2"/>
    </row>
    <row r="4" spans="1:21" s="3" customFormat="1" ht="19.5" customHeight="1">
      <c r="A4" s="1370"/>
      <c r="B4" s="1368"/>
      <c r="C4" s="1368"/>
      <c r="D4" s="1368"/>
      <c r="E4" s="1368"/>
      <c r="F4" s="1368"/>
      <c r="G4" s="1369"/>
      <c r="H4" s="1"/>
      <c r="I4" s="2"/>
    </row>
    <row r="5" spans="1:21" s="3" customFormat="1" ht="6.75" customHeight="1">
      <c r="A5" s="222"/>
      <c r="B5" s="6"/>
      <c r="C5" s="24"/>
      <c r="D5" s="25"/>
      <c r="E5" s="6"/>
      <c r="F5" s="6"/>
      <c r="G5" s="223"/>
      <c r="H5" s="9"/>
    </row>
    <row r="6" spans="1:21" s="380" customFormat="1" ht="36.75" customHeight="1">
      <c r="A6" s="368">
        <v>3.4</v>
      </c>
      <c r="B6" s="1349" t="str">
        <f>VLOOKUP(A6,PPTO!D4:I132,2,FALSE)</f>
        <v>Corte y sello para juntas inducidas de pavimento rígido, incluye sikaflex, sikarod o similar</v>
      </c>
      <c r="C6" s="1350"/>
      <c r="D6" s="1350"/>
      <c r="E6" s="1351"/>
      <c r="F6" s="192" t="s">
        <v>118</v>
      </c>
      <c r="G6" s="248" t="str">
        <f>VLOOKUP(A6,PPTO!D4:I131,3,FALSE)</f>
        <v>m</v>
      </c>
      <c r="H6" s="382"/>
      <c r="I6" s="790"/>
    </row>
    <row r="7" spans="1:21" ht="7.5" customHeight="1">
      <c r="A7" s="794"/>
      <c r="B7" s="795"/>
      <c r="C7" s="796"/>
      <c r="D7" s="795"/>
      <c r="E7" s="795"/>
      <c r="F7" s="795"/>
      <c r="G7" s="797"/>
    </row>
    <row r="8" spans="1:21">
      <c r="A8" s="1408" t="s">
        <v>843</v>
      </c>
      <c r="B8" s="1409"/>
      <c r="C8" s="1409"/>
      <c r="D8" s="1409"/>
      <c r="E8" s="1409"/>
      <c r="F8" s="1409"/>
      <c r="G8" s="1410"/>
    </row>
    <row r="9" spans="1:21" ht="4.5" customHeight="1">
      <c r="A9" s="794"/>
      <c r="B9" s="795"/>
      <c r="C9" s="796"/>
      <c r="D9" s="795"/>
      <c r="E9" s="795"/>
      <c r="F9" s="795"/>
      <c r="G9" s="797"/>
      <c r="I9" s="795"/>
      <c r="J9" s="795"/>
      <c r="K9" s="795"/>
      <c r="L9" s="798"/>
      <c r="M9" s="795"/>
      <c r="N9" s="795"/>
      <c r="O9" s="795"/>
      <c r="P9" s="795"/>
    </row>
    <row r="10" spans="1:21">
      <c r="A10" s="1406" t="s">
        <v>17</v>
      </c>
      <c r="B10" s="1407"/>
      <c r="C10" s="1407" t="s">
        <v>844</v>
      </c>
      <c r="D10" s="772" t="s">
        <v>18</v>
      </c>
      <c r="E10" s="772" t="s">
        <v>19</v>
      </c>
      <c r="F10" s="772" t="s">
        <v>20</v>
      </c>
      <c r="G10" s="389" t="s">
        <v>21</v>
      </c>
      <c r="H10" s="799"/>
      <c r="I10" s="800"/>
      <c r="J10" s="801"/>
      <c r="K10" s="802"/>
      <c r="L10" s="802"/>
      <c r="M10" s="802"/>
      <c r="N10" s="802"/>
      <c r="O10" s="802"/>
      <c r="P10" s="795"/>
    </row>
    <row r="11" spans="1:21">
      <c r="A11" s="1423" t="s">
        <v>75</v>
      </c>
      <c r="B11" s="1424"/>
      <c r="C11" s="803"/>
      <c r="D11" s="804"/>
      <c r="E11" s="805"/>
      <c r="F11" s="806"/>
      <c r="G11" s="807">
        <f>+G40*5%</f>
        <v>134</v>
      </c>
      <c r="I11" s="802"/>
      <c r="J11" s="808"/>
      <c r="K11" s="802"/>
      <c r="L11" s="802"/>
      <c r="M11" s="802"/>
      <c r="N11" s="802"/>
      <c r="O11" s="802"/>
      <c r="P11" s="795"/>
    </row>
    <row r="12" spans="1:21">
      <c r="A12" s="1425" t="s">
        <v>845</v>
      </c>
      <c r="B12" s="1426"/>
      <c r="C12" s="809"/>
      <c r="D12" s="805" t="s">
        <v>27</v>
      </c>
      <c r="E12" s="805">
        <v>80000</v>
      </c>
      <c r="F12" s="810">
        <f>+F35</f>
        <v>60</v>
      </c>
      <c r="G12" s="807">
        <f>+E12/F12</f>
        <v>1333</v>
      </c>
      <c r="I12" s="811"/>
      <c r="J12" s="808"/>
      <c r="K12" s="802"/>
      <c r="L12" s="802"/>
      <c r="M12" s="802"/>
      <c r="N12" s="802"/>
      <c r="O12" s="802"/>
      <c r="P12" s="795"/>
    </row>
    <row r="13" spans="1:21">
      <c r="A13" s="1425"/>
      <c r="B13" s="1426"/>
      <c r="C13" s="809"/>
      <c r="D13" s="805"/>
      <c r="E13" s="805"/>
      <c r="F13" s="810"/>
      <c r="G13" s="807"/>
      <c r="I13" s="808"/>
      <c r="J13" s="808"/>
      <c r="K13" s="808"/>
      <c r="L13" s="808"/>
      <c r="M13" s="808"/>
      <c r="N13" s="808"/>
      <c r="O13" s="808"/>
      <c r="P13" s="795"/>
    </row>
    <row r="14" spans="1:21">
      <c r="A14" s="1425"/>
      <c r="B14" s="1426"/>
      <c r="C14" s="809"/>
      <c r="D14" s="805"/>
      <c r="E14" s="805"/>
      <c r="F14" s="806"/>
      <c r="G14" s="807"/>
      <c r="I14" s="802"/>
      <c r="J14" s="812"/>
      <c r="K14" s="813"/>
      <c r="L14" s="812"/>
      <c r="M14" s="814"/>
      <c r="N14" s="814"/>
      <c r="O14" s="815"/>
      <c r="P14" s="795"/>
    </row>
    <row r="15" spans="1:21">
      <c r="A15" s="1425"/>
      <c r="B15" s="1426"/>
      <c r="C15" s="809"/>
      <c r="D15" s="805"/>
      <c r="E15" s="805"/>
      <c r="F15" s="816"/>
      <c r="G15" s="807"/>
      <c r="I15" s="802"/>
      <c r="J15" s="817"/>
      <c r="K15" s="813"/>
      <c r="L15" s="812"/>
      <c r="M15" s="814"/>
      <c r="N15" s="814"/>
      <c r="O15" s="815"/>
      <c r="P15" s="795"/>
      <c r="Q15" s="795"/>
      <c r="R15" s="795"/>
      <c r="S15" s="795"/>
      <c r="T15" s="795"/>
      <c r="U15" s="795"/>
    </row>
    <row r="16" spans="1:21">
      <c r="A16" s="1427"/>
      <c r="B16" s="1428"/>
      <c r="C16" s="1428"/>
      <c r="D16" s="818" t="s">
        <v>37</v>
      </c>
      <c r="E16" s="819"/>
      <c r="F16" s="820"/>
      <c r="G16" s="821">
        <f>SUM(G11:G15)</f>
        <v>1467</v>
      </c>
      <c r="I16" s="822"/>
      <c r="J16" s="822"/>
      <c r="K16" s="823"/>
      <c r="L16" s="824"/>
      <c r="M16" s="825"/>
      <c r="N16" s="825"/>
      <c r="O16" s="815"/>
      <c r="P16" s="795"/>
      <c r="Q16" s="795"/>
      <c r="R16" s="795"/>
      <c r="S16" s="795"/>
      <c r="T16" s="795"/>
      <c r="U16" s="795"/>
    </row>
    <row r="17" spans="1:21" ht="4.5" customHeight="1">
      <c r="A17" s="794"/>
      <c r="B17" s="795"/>
      <c r="C17" s="796"/>
      <c r="D17" s="795"/>
      <c r="E17" s="795"/>
      <c r="F17" s="795"/>
      <c r="G17" s="797"/>
      <c r="I17" s="822"/>
      <c r="J17" s="822"/>
      <c r="K17" s="823"/>
      <c r="L17" s="824"/>
      <c r="M17" s="825"/>
      <c r="N17" s="825"/>
      <c r="O17" s="815"/>
      <c r="P17" s="795"/>
      <c r="Q17" s="795"/>
      <c r="R17" s="795"/>
      <c r="S17" s="795"/>
      <c r="T17" s="795"/>
      <c r="U17" s="795"/>
    </row>
    <row r="18" spans="1:21">
      <c r="A18" s="1408" t="s">
        <v>846</v>
      </c>
      <c r="B18" s="1409"/>
      <c r="C18" s="1409"/>
      <c r="D18" s="1409"/>
      <c r="E18" s="1409"/>
      <c r="F18" s="1409"/>
      <c r="G18" s="1410"/>
    </row>
    <row r="19" spans="1:21" ht="4.5" customHeight="1">
      <c r="A19" s="794"/>
      <c r="B19" s="795"/>
      <c r="C19" s="796"/>
      <c r="D19" s="795"/>
      <c r="E19" s="795"/>
      <c r="F19" s="826"/>
      <c r="G19" s="797"/>
      <c r="I19" s="822"/>
      <c r="J19" s="822"/>
      <c r="K19" s="823"/>
      <c r="L19" s="827"/>
      <c r="M19" s="825"/>
      <c r="N19" s="825"/>
      <c r="O19" s="802"/>
      <c r="P19" s="795"/>
      <c r="Q19" s="795"/>
      <c r="R19" s="795"/>
      <c r="S19" s="795"/>
      <c r="T19" s="795"/>
      <c r="U19" s="795"/>
    </row>
    <row r="20" spans="1:21">
      <c r="A20" s="1406" t="s">
        <v>17</v>
      </c>
      <c r="B20" s="1407"/>
      <c r="C20" s="1407"/>
      <c r="D20" s="772" t="s">
        <v>3</v>
      </c>
      <c r="E20" s="772" t="s">
        <v>4</v>
      </c>
      <c r="F20" s="772" t="s">
        <v>25</v>
      </c>
      <c r="G20" s="389" t="s">
        <v>21</v>
      </c>
      <c r="H20" s="799"/>
      <c r="I20" s="822"/>
      <c r="J20" s="822"/>
      <c r="K20" s="823"/>
      <c r="L20" s="827"/>
      <c r="M20" s="825"/>
      <c r="N20" s="825"/>
      <c r="O20" s="802"/>
      <c r="P20" s="795"/>
      <c r="Q20" s="795"/>
      <c r="R20" s="795"/>
      <c r="S20" s="795"/>
      <c r="T20" s="795"/>
      <c r="U20" s="795"/>
    </row>
    <row r="21" spans="1:21">
      <c r="A21" s="1429" t="s">
        <v>847</v>
      </c>
      <c r="B21" s="1430"/>
      <c r="C21" s="1430"/>
      <c r="D21" s="828" t="s">
        <v>848</v>
      </c>
      <c r="E21" s="829">
        <v>0.15</v>
      </c>
      <c r="F21" s="830">
        <v>23000</v>
      </c>
      <c r="G21" s="831">
        <f>+E21*F21</f>
        <v>3450</v>
      </c>
      <c r="I21" s="822"/>
      <c r="J21" s="822"/>
      <c r="K21" s="823"/>
      <c r="L21" s="827"/>
      <c r="M21" s="825"/>
      <c r="N21" s="825"/>
      <c r="O21" s="808"/>
      <c r="P21" s="795"/>
      <c r="Q21" s="795"/>
      <c r="R21" s="795"/>
      <c r="S21" s="795"/>
      <c r="T21" s="795"/>
      <c r="U21" s="795"/>
    </row>
    <row r="22" spans="1:21">
      <c r="A22" s="1429" t="s">
        <v>849</v>
      </c>
      <c r="B22" s="1430"/>
      <c r="C22" s="1430"/>
      <c r="D22" s="832" t="s">
        <v>850</v>
      </c>
      <c r="E22" s="829">
        <v>0.04</v>
      </c>
      <c r="F22" s="833">
        <v>18000</v>
      </c>
      <c r="G22" s="831">
        <f>+E22*F22</f>
        <v>720</v>
      </c>
      <c r="I22" s="834">
        <f>1/E22</f>
        <v>25</v>
      </c>
      <c r="J22" s="834"/>
      <c r="K22" s="835"/>
      <c r="L22" s="827"/>
      <c r="M22" s="825"/>
      <c r="N22" s="825"/>
      <c r="O22" s="814"/>
      <c r="P22" s="795"/>
      <c r="Q22" s="795"/>
      <c r="R22" s="795"/>
      <c r="S22" s="795"/>
      <c r="T22" s="795"/>
      <c r="U22" s="795"/>
    </row>
    <row r="23" spans="1:21">
      <c r="A23" s="1421"/>
      <c r="B23" s="1422"/>
      <c r="C23" s="1422"/>
      <c r="D23" s="828"/>
      <c r="E23" s="836"/>
      <c r="F23" s="833"/>
      <c r="G23" s="831"/>
      <c r="I23" s="834"/>
      <c r="J23" s="834"/>
      <c r="K23" s="835"/>
      <c r="L23" s="827"/>
      <c r="M23" s="825"/>
      <c r="N23" s="825"/>
      <c r="O23" s="814"/>
      <c r="P23" s="795"/>
      <c r="Q23" s="795"/>
      <c r="R23" s="795"/>
      <c r="S23" s="795"/>
      <c r="T23" s="795"/>
      <c r="U23" s="795"/>
    </row>
    <row r="24" spans="1:21">
      <c r="A24" s="1421"/>
      <c r="B24" s="1422"/>
      <c r="C24" s="1422"/>
      <c r="D24" s="832"/>
      <c r="E24" s="837"/>
      <c r="F24" s="833"/>
      <c r="G24" s="831"/>
      <c r="I24" s="834"/>
      <c r="J24" s="838"/>
      <c r="K24" s="835"/>
      <c r="L24" s="808"/>
      <c r="M24" s="812"/>
      <c r="N24" s="812"/>
      <c r="O24" s="814"/>
      <c r="P24" s="795"/>
      <c r="Q24" s="795"/>
      <c r="R24" s="795"/>
      <c r="S24" s="795"/>
      <c r="T24" s="795"/>
      <c r="U24" s="795"/>
    </row>
    <row r="25" spans="1:21">
      <c r="A25" s="1421"/>
      <c r="B25" s="1422"/>
      <c r="C25" s="1422"/>
      <c r="D25" s="832"/>
      <c r="E25" s="836"/>
      <c r="F25" s="805"/>
      <c r="G25" s="831"/>
      <c r="I25" s="834"/>
      <c r="J25" s="839"/>
      <c r="K25" s="835"/>
      <c r="L25" s="808"/>
      <c r="M25" s="812"/>
      <c r="N25" s="812"/>
      <c r="O25" s="814"/>
      <c r="P25" s="795"/>
      <c r="Q25" s="795"/>
      <c r="R25" s="795"/>
      <c r="S25" s="795"/>
      <c r="T25" s="795"/>
      <c r="U25" s="795"/>
    </row>
    <row r="26" spans="1:21">
      <c r="A26" s="1421"/>
      <c r="B26" s="1422"/>
      <c r="C26" s="1422"/>
      <c r="D26" s="828"/>
      <c r="E26" s="836"/>
      <c r="F26" s="805"/>
      <c r="G26" s="831"/>
      <c r="I26" s="834"/>
      <c r="J26" s="839"/>
      <c r="K26" s="835"/>
      <c r="L26" s="808"/>
      <c r="M26" s="812"/>
      <c r="N26" s="812"/>
      <c r="O26" s="814"/>
      <c r="P26" s="795"/>
      <c r="Q26" s="795"/>
      <c r="R26" s="795"/>
      <c r="S26" s="795"/>
      <c r="T26" s="795"/>
      <c r="U26" s="795"/>
    </row>
    <row r="27" spans="1:21">
      <c r="A27" s="1421"/>
      <c r="B27" s="1422"/>
      <c r="C27" s="1422" t="s">
        <v>50</v>
      </c>
      <c r="D27" s="828"/>
      <c r="E27" s="836"/>
      <c r="F27" s="805"/>
      <c r="G27" s="831">
        <f>+(G21+G22)*5%</f>
        <v>209</v>
      </c>
      <c r="I27" s="834"/>
      <c r="J27" s="839"/>
      <c r="K27" s="835"/>
      <c r="L27" s="808"/>
      <c r="M27" s="812"/>
      <c r="N27" s="812"/>
      <c r="O27" s="814"/>
      <c r="P27" s="795"/>
      <c r="Q27" s="795"/>
      <c r="R27" s="795"/>
      <c r="S27" s="795"/>
      <c r="T27" s="795"/>
      <c r="U27" s="795"/>
    </row>
    <row r="28" spans="1:21">
      <c r="A28" s="1421"/>
      <c r="B28" s="1422"/>
      <c r="C28" s="1422"/>
      <c r="D28" s="828"/>
      <c r="E28" s="836"/>
      <c r="F28" s="805"/>
      <c r="G28" s="831"/>
      <c r="I28" s="834"/>
      <c r="J28" s="834"/>
      <c r="K28" s="835"/>
      <c r="L28" s="808"/>
      <c r="M28" s="812"/>
      <c r="N28" s="812"/>
      <c r="O28" s="814"/>
      <c r="P28" s="795"/>
      <c r="Q28" s="795"/>
      <c r="R28" s="795"/>
      <c r="S28" s="795"/>
      <c r="T28" s="795"/>
      <c r="U28" s="795"/>
    </row>
    <row r="29" spans="1:21">
      <c r="A29" s="1421"/>
      <c r="B29" s="1422"/>
      <c r="C29" s="1422"/>
      <c r="D29" s="840"/>
      <c r="E29" s="840"/>
      <c r="F29" s="805"/>
      <c r="G29" s="831"/>
      <c r="I29" s="841"/>
      <c r="J29" s="841"/>
      <c r="K29" s="841"/>
      <c r="L29" s="808"/>
      <c r="M29" s="812"/>
      <c r="N29" s="812"/>
      <c r="O29" s="814"/>
      <c r="P29" s="795"/>
      <c r="Q29" s="795"/>
      <c r="R29" s="795"/>
      <c r="S29" s="795"/>
      <c r="T29" s="795"/>
      <c r="U29" s="795"/>
    </row>
    <row r="30" spans="1:21">
      <c r="A30" s="1421"/>
      <c r="B30" s="1422"/>
      <c r="C30" s="1422"/>
      <c r="D30" s="818" t="s">
        <v>28</v>
      </c>
      <c r="E30" s="819"/>
      <c r="F30" s="820"/>
      <c r="G30" s="821">
        <f>SUM(G21:G29)</f>
        <v>4379</v>
      </c>
      <c r="I30" s="802"/>
      <c r="J30" s="808"/>
      <c r="K30" s="802"/>
      <c r="L30" s="808"/>
      <c r="M30" s="812"/>
      <c r="N30" s="812"/>
      <c r="O30" s="814"/>
      <c r="P30" s="795"/>
    </row>
    <row r="31" spans="1:21" ht="3.75" customHeight="1">
      <c r="A31" s="794"/>
      <c r="B31" s="795"/>
      <c r="C31" s="796"/>
      <c r="D31" s="795"/>
      <c r="E31" s="795"/>
      <c r="F31" s="795"/>
      <c r="G31" s="797"/>
      <c r="I31" s="802"/>
      <c r="J31" s="808"/>
      <c r="K31" s="842"/>
      <c r="L31" s="808"/>
      <c r="M31" s="817"/>
      <c r="N31" s="817"/>
      <c r="O31" s="814"/>
      <c r="P31" s="795"/>
    </row>
    <row r="32" spans="1:21">
      <c r="A32" s="1408" t="s">
        <v>71</v>
      </c>
      <c r="B32" s="1409"/>
      <c r="C32" s="1409"/>
      <c r="D32" s="1409"/>
      <c r="E32" s="1409"/>
      <c r="F32" s="1409"/>
      <c r="G32" s="1410"/>
    </row>
    <row r="33" spans="1:16" ht="3.75" customHeight="1">
      <c r="A33" s="794"/>
      <c r="B33" s="795"/>
      <c r="C33" s="796"/>
      <c r="D33" s="795"/>
      <c r="E33" s="795"/>
      <c r="F33" s="795"/>
      <c r="G33" s="797"/>
      <c r="I33" s="802"/>
      <c r="J33" s="808"/>
      <c r="K33" s="802"/>
      <c r="L33" s="802"/>
      <c r="M33" s="802"/>
      <c r="N33" s="802"/>
      <c r="O33" s="814"/>
      <c r="P33" s="795"/>
    </row>
    <row r="34" spans="1:16">
      <c r="A34" s="1406" t="s">
        <v>5</v>
      </c>
      <c r="B34" s="1407" t="s">
        <v>29</v>
      </c>
      <c r="C34" s="1407" t="s">
        <v>30</v>
      </c>
      <c r="D34" s="772" t="s">
        <v>31</v>
      </c>
      <c r="E34" s="772" t="s">
        <v>32</v>
      </c>
      <c r="F34" s="772" t="s">
        <v>20</v>
      </c>
      <c r="G34" s="389" t="s">
        <v>33</v>
      </c>
      <c r="H34" s="799"/>
      <c r="I34" s="802"/>
      <c r="J34" s="808"/>
      <c r="K34" s="802"/>
      <c r="L34" s="802"/>
      <c r="M34" s="802"/>
      <c r="N34" s="802"/>
      <c r="O34" s="814"/>
      <c r="P34" s="795"/>
    </row>
    <row r="35" spans="1:16">
      <c r="A35" s="843" t="s">
        <v>41</v>
      </c>
      <c r="B35" s="844">
        <f>BOF</f>
        <v>51749</v>
      </c>
      <c r="C35" s="845">
        <f>ffpp</f>
        <v>0.64539999999999997</v>
      </c>
      <c r="D35" s="846">
        <v>1</v>
      </c>
      <c r="E35" s="847">
        <f>OF</f>
        <v>88696</v>
      </c>
      <c r="F35" s="848">
        <v>60</v>
      </c>
      <c r="G35" s="231">
        <f>ROUND(+D35*E35/F35,0)</f>
        <v>1478</v>
      </c>
      <c r="I35" s="811"/>
      <c r="J35" s="808"/>
      <c r="K35" s="802"/>
      <c r="L35" s="802"/>
      <c r="M35" s="802"/>
      <c r="N35" s="802"/>
      <c r="O35" s="814"/>
      <c r="P35" s="795"/>
    </row>
    <row r="36" spans="1:16">
      <c r="A36" s="843" t="s">
        <v>38</v>
      </c>
      <c r="B36" s="844">
        <f>BOB</f>
        <v>41749</v>
      </c>
      <c r="C36" s="845">
        <f>ffpp</f>
        <v>0.64539999999999997</v>
      </c>
      <c r="D36" s="846">
        <v>1</v>
      </c>
      <c r="E36" s="847">
        <f>OB</f>
        <v>72242</v>
      </c>
      <c r="F36" s="848">
        <f>+F35</f>
        <v>60</v>
      </c>
      <c r="G36" s="231">
        <f>ROUND(+D36*E36/F36,0)</f>
        <v>1204</v>
      </c>
      <c r="I36" s="802"/>
      <c r="J36" s="802"/>
      <c r="K36" s="808"/>
      <c r="L36" s="808"/>
      <c r="M36" s="808"/>
      <c r="N36" s="808"/>
      <c r="O36" s="808"/>
      <c r="P36" s="795"/>
    </row>
    <row r="37" spans="1:16">
      <c r="A37" s="849"/>
      <c r="B37" s="819"/>
      <c r="C37" s="962"/>
      <c r="D37" s="819"/>
      <c r="E37" s="819"/>
      <c r="F37" s="819"/>
      <c r="G37" s="850"/>
      <c r="I37" s="802"/>
      <c r="J37" s="808"/>
      <c r="K37" s="808"/>
      <c r="L37" s="808"/>
      <c r="M37" s="817"/>
      <c r="N37" s="817"/>
      <c r="O37" s="851"/>
      <c r="P37" s="795"/>
    </row>
    <row r="38" spans="1:16">
      <c r="A38" s="849"/>
      <c r="B38" s="819"/>
      <c r="C38" s="819"/>
      <c r="D38" s="819"/>
      <c r="E38" s="819"/>
      <c r="F38" s="819"/>
      <c r="G38" s="850"/>
      <c r="I38" s="802"/>
      <c r="J38" s="808"/>
      <c r="K38" s="808"/>
      <c r="L38" s="808"/>
      <c r="M38" s="817"/>
      <c r="N38" s="817"/>
      <c r="O38" s="851"/>
      <c r="P38" s="795"/>
    </row>
    <row r="39" spans="1:16">
      <c r="A39" s="843"/>
      <c r="B39" s="848"/>
      <c r="C39" s="845"/>
      <c r="D39" s="848"/>
      <c r="E39" s="852"/>
      <c r="F39" s="852"/>
      <c r="G39" s="853"/>
      <c r="I39" s="802"/>
      <c r="J39" s="808"/>
      <c r="K39" s="808"/>
      <c r="L39" s="808"/>
      <c r="M39" s="817"/>
      <c r="N39" s="817"/>
      <c r="O39" s="851"/>
      <c r="P39" s="795"/>
    </row>
    <row r="40" spans="1:16">
      <c r="A40" s="854"/>
      <c r="B40" s="855"/>
      <c r="C40" s="855"/>
      <c r="D40" s="855" t="s">
        <v>34</v>
      </c>
      <c r="E40" s="855"/>
      <c r="F40" s="855"/>
      <c r="G40" s="856">
        <f>SUM(G35:G39)</f>
        <v>2682</v>
      </c>
      <c r="I40" s="802"/>
      <c r="J40" s="808"/>
      <c r="K40" s="808"/>
      <c r="L40" s="808"/>
      <c r="M40" s="812"/>
      <c r="N40" s="812"/>
      <c r="O40" s="814"/>
      <c r="P40" s="795"/>
    </row>
    <row r="41" spans="1:16">
      <c r="A41" s="794"/>
      <c r="B41" s="795"/>
      <c r="C41" s="796"/>
      <c r="D41" s="795"/>
      <c r="E41" s="795"/>
      <c r="F41" s="795"/>
      <c r="G41" s="797"/>
      <c r="I41" s="802"/>
      <c r="J41" s="808"/>
      <c r="K41" s="808"/>
      <c r="L41" s="808"/>
      <c r="M41" s="812"/>
      <c r="N41" s="812"/>
      <c r="O41" s="815"/>
      <c r="P41" s="795"/>
    </row>
    <row r="42" spans="1:16">
      <c r="A42" s="794"/>
      <c r="B42" s="795"/>
      <c r="C42" s="796"/>
      <c r="D42" s="795"/>
      <c r="E42" s="795"/>
      <c r="F42" s="795"/>
      <c r="G42" s="797"/>
      <c r="I42" s="802"/>
      <c r="J42" s="808"/>
      <c r="K42" s="808"/>
      <c r="L42" s="808"/>
      <c r="M42" s="857"/>
      <c r="N42" s="857"/>
      <c r="O42" s="858"/>
      <c r="P42" s="795"/>
    </row>
    <row r="43" spans="1:16">
      <c r="A43" s="873" t="str">
        <f>[42]FLUJO!C75</f>
        <v>.</v>
      </c>
      <c r="B43" s="872"/>
      <c r="C43" s="872"/>
      <c r="D43" s="1418" t="s">
        <v>35</v>
      </c>
      <c r="E43" s="1419"/>
      <c r="F43" s="1420"/>
      <c r="G43" s="859">
        <f>+G40+G30+G16</f>
        <v>8528</v>
      </c>
      <c r="I43" s="860"/>
      <c r="J43" s="861"/>
      <c r="K43" s="802"/>
      <c r="L43" s="802"/>
      <c r="M43" s="802"/>
      <c r="N43" s="802"/>
      <c r="O43" s="802"/>
      <c r="P43" s="795"/>
    </row>
    <row r="44" spans="1:16" ht="7.5" customHeight="1">
      <c r="A44" s="873"/>
      <c r="B44" s="872"/>
      <c r="C44" s="872"/>
      <c r="D44" s="862"/>
      <c r="E44" s="862"/>
      <c r="F44" s="862"/>
      <c r="G44" s="863"/>
      <c r="I44" s="860"/>
      <c r="J44" s="861"/>
      <c r="K44" s="802"/>
      <c r="L44" s="802"/>
      <c r="M44" s="802"/>
      <c r="N44" s="802"/>
      <c r="O44" s="802"/>
      <c r="P44" s="795"/>
    </row>
    <row r="45" spans="1:16">
      <c r="A45" s="873"/>
      <c r="B45" s="872"/>
      <c r="C45" s="872"/>
      <c r="D45" s="862"/>
      <c r="E45" s="862"/>
      <c r="F45" s="862"/>
      <c r="G45" s="863"/>
      <c r="I45" s="860"/>
      <c r="J45" s="861"/>
      <c r="K45" s="802"/>
      <c r="L45" s="802"/>
      <c r="M45" s="802"/>
      <c r="N45" s="802"/>
      <c r="O45" s="802"/>
      <c r="P45" s="795"/>
    </row>
    <row r="46" spans="1:16">
      <c r="A46" s="873"/>
      <c r="B46" s="872"/>
      <c r="C46" s="872"/>
      <c r="D46" s="862"/>
      <c r="E46" s="862"/>
      <c r="F46" s="862"/>
      <c r="G46" s="863"/>
      <c r="I46" s="860"/>
      <c r="J46" s="861"/>
      <c r="K46" s="802"/>
      <c r="L46" s="802"/>
      <c r="M46" s="802"/>
      <c r="N46" s="802"/>
      <c r="O46" s="802"/>
      <c r="P46" s="795"/>
    </row>
    <row r="47" spans="1:16">
      <c r="A47" s="873"/>
      <c r="B47" s="872"/>
      <c r="C47" s="872"/>
      <c r="D47" s="864"/>
      <c r="E47" s="865"/>
      <c r="F47" s="865"/>
      <c r="G47" s="863"/>
      <c r="I47" s="802"/>
      <c r="J47" s="808"/>
      <c r="K47" s="802"/>
      <c r="L47" s="802"/>
      <c r="M47" s="802"/>
      <c r="N47" s="802"/>
      <c r="O47" s="802"/>
      <c r="P47" s="795"/>
    </row>
    <row r="48" spans="1:16" ht="5.25" customHeight="1" thickBot="1">
      <c r="A48" s="866"/>
      <c r="B48" s="867"/>
      <c r="C48" s="868"/>
      <c r="D48" s="869"/>
      <c r="E48" s="870"/>
      <c r="F48" s="870"/>
      <c r="G48" s="871"/>
      <c r="I48" s="802"/>
      <c r="J48" s="808"/>
      <c r="K48" s="802"/>
      <c r="L48" s="802"/>
      <c r="M48" s="802"/>
      <c r="N48" s="802"/>
      <c r="O48" s="802"/>
      <c r="P48" s="795"/>
    </row>
    <row r="49" spans="9:16">
      <c r="I49" s="795"/>
      <c r="J49" s="795"/>
      <c r="K49" s="795"/>
      <c r="L49" s="795"/>
      <c r="M49" s="795"/>
      <c r="N49" s="795"/>
      <c r="O49" s="795"/>
      <c r="P49" s="795"/>
    </row>
    <row r="50" spans="9:16">
      <c r="I50" s="795"/>
      <c r="J50" s="795"/>
      <c r="K50" s="795"/>
      <c r="L50" s="795"/>
      <c r="M50" s="795"/>
      <c r="N50" s="795"/>
      <c r="O50" s="795"/>
      <c r="P50" s="795"/>
    </row>
  </sheetData>
  <mergeCells count="27">
    <mergeCell ref="A11:B11"/>
    <mergeCell ref="A12:B12"/>
    <mergeCell ref="A13:B13"/>
    <mergeCell ref="A27:C27"/>
    <mergeCell ref="A14:B14"/>
    <mergeCell ref="A15:B15"/>
    <mergeCell ref="A16:C16"/>
    <mergeCell ref="A18:G18"/>
    <mergeCell ref="A20:C20"/>
    <mergeCell ref="A21:C21"/>
    <mergeCell ref="A22:C22"/>
    <mergeCell ref="A23:C23"/>
    <mergeCell ref="A24:C24"/>
    <mergeCell ref="A25:C25"/>
    <mergeCell ref="A26:C26"/>
    <mergeCell ref="A32:G32"/>
    <mergeCell ref="D43:F43"/>
    <mergeCell ref="A34:C34"/>
    <mergeCell ref="A28:C28"/>
    <mergeCell ref="A29:C29"/>
    <mergeCell ref="A30:C30"/>
    <mergeCell ref="A1:G1"/>
    <mergeCell ref="A2:G2"/>
    <mergeCell ref="A3:G4"/>
    <mergeCell ref="B6:E6"/>
    <mergeCell ref="A10:C10"/>
    <mergeCell ref="A8:G8"/>
  </mergeCells>
  <printOptions horizontalCentered="1" verticalCentered="1"/>
  <pageMargins left="0.74803149606299213" right="0.74803149606299213" top="0" bottom="0.98425196850393704" header="0" footer="0"/>
  <pageSetup scale="90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4"/>
  <dimension ref="A1:U52"/>
  <sheetViews>
    <sheetView view="pageBreakPreview" topLeftCell="A10" zoomScaleNormal="100" zoomScaleSheetLayoutView="100" workbookViewId="0">
      <selection activeCell="I7" sqref="I7"/>
    </sheetView>
  </sheetViews>
  <sheetFormatPr baseColWidth="10" defaultColWidth="10.7109375" defaultRowHeight="15.75"/>
  <cols>
    <col min="1" max="1" width="15.85546875" style="793" customWidth="1"/>
    <col min="2" max="2" width="14.85546875" style="793" customWidth="1"/>
    <col min="3" max="3" width="13.28515625" style="793" customWidth="1"/>
    <col min="4" max="4" width="11.42578125" style="793"/>
    <col min="5" max="5" width="13.42578125" style="793" customWidth="1"/>
    <col min="6" max="6" width="12.7109375" style="793" customWidth="1"/>
    <col min="7" max="7" width="17.42578125" style="793" customWidth="1"/>
    <col min="8" max="8" width="7.42578125" style="793" customWidth="1"/>
    <col min="9" max="256" width="11.42578125" style="793"/>
    <col min="257" max="257" width="15.85546875" style="793" customWidth="1"/>
    <col min="258" max="258" width="14.85546875" style="793" customWidth="1"/>
    <col min="259" max="259" width="13.28515625" style="793" customWidth="1"/>
    <col min="260" max="260" width="11.42578125" style="793"/>
    <col min="261" max="261" width="13.42578125" style="793" customWidth="1"/>
    <col min="262" max="262" width="12.7109375" style="793" customWidth="1"/>
    <col min="263" max="263" width="14" style="793" customWidth="1"/>
    <col min="264" max="264" width="7.42578125" style="793" customWidth="1"/>
    <col min="265" max="512" width="11.42578125" style="793"/>
    <col min="513" max="513" width="15.85546875" style="793" customWidth="1"/>
    <col min="514" max="514" width="14.85546875" style="793" customWidth="1"/>
    <col min="515" max="515" width="13.28515625" style="793" customWidth="1"/>
    <col min="516" max="516" width="11.42578125" style="793"/>
    <col min="517" max="517" width="13.42578125" style="793" customWidth="1"/>
    <col min="518" max="518" width="12.7109375" style="793" customWidth="1"/>
    <col min="519" max="519" width="14" style="793" customWidth="1"/>
    <col min="520" max="520" width="7.42578125" style="793" customWidth="1"/>
    <col min="521" max="768" width="11.42578125" style="793"/>
    <col min="769" max="769" width="15.85546875" style="793" customWidth="1"/>
    <col min="770" max="770" width="14.85546875" style="793" customWidth="1"/>
    <col min="771" max="771" width="13.28515625" style="793" customWidth="1"/>
    <col min="772" max="772" width="11.42578125" style="793"/>
    <col min="773" max="773" width="13.42578125" style="793" customWidth="1"/>
    <col min="774" max="774" width="12.7109375" style="793" customWidth="1"/>
    <col min="775" max="775" width="14" style="793" customWidth="1"/>
    <col min="776" max="776" width="7.42578125" style="793" customWidth="1"/>
    <col min="777" max="1024" width="11.42578125" style="793"/>
    <col min="1025" max="1025" width="15.85546875" style="793" customWidth="1"/>
    <col min="1026" max="1026" width="14.85546875" style="793" customWidth="1"/>
    <col min="1027" max="1027" width="13.28515625" style="793" customWidth="1"/>
    <col min="1028" max="1028" width="11.42578125" style="793"/>
    <col min="1029" max="1029" width="13.42578125" style="793" customWidth="1"/>
    <col min="1030" max="1030" width="12.7109375" style="793" customWidth="1"/>
    <col min="1031" max="1031" width="14" style="793" customWidth="1"/>
    <col min="1032" max="1032" width="7.42578125" style="793" customWidth="1"/>
    <col min="1033" max="1280" width="11.42578125" style="793"/>
    <col min="1281" max="1281" width="15.85546875" style="793" customWidth="1"/>
    <col min="1282" max="1282" width="14.85546875" style="793" customWidth="1"/>
    <col min="1283" max="1283" width="13.28515625" style="793" customWidth="1"/>
    <col min="1284" max="1284" width="11.42578125" style="793"/>
    <col min="1285" max="1285" width="13.42578125" style="793" customWidth="1"/>
    <col min="1286" max="1286" width="12.7109375" style="793" customWidth="1"/>
    <col min="1287" max="1287" width="14" style="793" customWidth="1"/>
    <col min="1288" max="1288" width="7.42578125" style="793" customWidth="1"/>
    <col min="1289" max="1536" width="11.42578125" style="793"/>
    <col min="1537" max="1537" width="15.85546875" style="793" customWidth="1"/>
    <col min="1538" max="1538" width="14.85546875" style="793" customWidth="1"/>
    <col min="1539" max="1539" width="13.28515625" style="793" customWidth="1"/>
    <col min="1540" max="1540" width="11.42578125" style="793"/>
    <col min="1541" max="1541" width="13.42578125" style="793" customWidth="1"/>
    <col min="1542" max="1542" width="12.7109375" style="793" customWidth="1"/>
    <col min="1543" max="1543" width="14" style="793" customWidth="1"/>
    <col min="1544" max="1544" width="7.42578125" style="793" customWidth="1"/>
    <col min="1545" max="1792" width="11.42578125" style="793"/>
    <col min="1793" max="1793" width="15.85546875" style="793" customWidth="1"/>
    <col min="1794" max="1794" width="14.85546875" style="793" customWidth="1"/>
    <col min="1795" max="1795" width="13.28515625" style="793" customWidth="1"/>
    <col min="1796" max="1796" width="11.42578125" style="793"/>
    <col min="1797" max="1797" width="13.42578125" style="793" customWidth="1"/>
    <col min="1798" max="1798" width="12.7109375" style="793" customWidth="1"/>
    <col min="1799" max="1799" width="14" style="793" customWidth="1"/>
    <col min="1800" max="1800" width="7.42578125" style="793" customWidth="1"/>
    <col min="1801" max="2048" width="11.42578125" style="793"/>
    <col min="2049" max="2049" width="15.85546875" style="793" customWidth="1"/>
    <col min="2050" max="2050" width="14.85546875" style="793" customWidth="1"/>
    <col min="2051" max="2051" width="13.28515625" style="793" customWidth="1"/>
    <col min="2052" max="2052" width="11.42578125" style="793"/>
    <col min="2053" max="2053" width="13.42578125" style="793" customWidth="1"/>
    <col min="2054" max="2054" width="12.7109375" style="793" customWidth="1"/>
    <col min="2055" max="2055" width="14" style="793" customWidth="1"/>
    <col min="2056" max="2056" width="7.42578125" style="793" customWidth="1"/>
    <col min="2057" max="2304" width="11.42578125" style="793"/>
    <col min="2305" max="2305" width="15.85546875" style="793" customWidth="1"/>
    <col min="2306" max="2306" width="14.85546875" style="793" customWidth="1"/>
    <col min="2307" max="2307" width="13.28515625" style="793" customWidth="1"/>
    <col min="2308" max="2308" width="11.42578125" style="793"/>
    <col min="2309" max="2309" width="13.42578125" style="793" customWidth="1"/>
    <col min="2310" max="2310" width="12.7109375" style="793" customWidth="1"/>
    <col min="2311" max="2311" width="14" style="793" customWidth="1"/>
    <col min="2312" max="2312" width="7.42578125" style="793" customWidth="1"/>
    <col min="2313" max="2560" width="11.42578125" style="793"/>
    <col min="2561" max="2561" width="15.85546875" style="793" customWidth="1"/>
    <col min="2562" max="2562" width="14.85546875" style="793" customWidth="1"/>
    <col min="2563" max="2563" width="13.28515625" style="793" customWidth="1"/>
    <col min="2564" max="2564" width="11.42578125" style="793"/>
    <col min="2565" max="2565" width="13.42578125" style="793" customWidth="1"/>
    <col min="2566" max="2566" width="12.7109375" style="793" customWidth="1"/>
    <col min="2567" max="2567" width="14" style="793" customWidth="1"/>
    <col min="2568" max="2568" width="7.42578125" style="793" customWidth="1"/>
    <col min="2569" max="2816" width="11.42578125" style="793"/>
    <col min="2817" max="2817" width="15.85546875" style="793" customWidth="1"/>
    <col min="2818" max="2818" width="14.85546875" style="793" customWidth="1"/>
    <col min="2819" max="2819" width="13.28515625" style="793" customWidth="1"/>
    <col min="2820" max="2820" width="11.42578125" style="793"/>
    <col min="2821" max="2821" width="13.42578125" style="793" customWidth="1"/>
    <col min="2822" max="2822" width="12.7109375" style="793" customWidth="1"/>
    <col min="2823" max="2823" width="14" style="793" customWidth="1"/>
    <col min="2824" max="2824" width="7.42578125" style="793" customWidth="1"/>
    <col min="2825" max="3072" width="11.42578125" style="793"/>
    <col min="3073" max="3073" width="15.85546875" style="793" customWidth="1"/>
    <col min="3074" max="3074" width="14.85546875" style="793" customWidth="1"/>
    <col min="3075" max="3075" width="13.28515625" style="793" customWidth="1"/>
    <col min="3076" max="3076" width="11.42578125" style="793"/>
    <col min="3077" max="3077" width="13.42578125" style="793" customWidth="1"/>
    <col min="3078" max="3078" width="12.7109375" style="793" customWidth="1"/>
    <col min="3079" max="3079" width="14" style="793" customWidth="1"/>
    <col min="3080" max="3080" width="7.42578125" style="793" customWidth="1"/>
    <col min="3081" max="3328" width="11.42578125" style="793"/>
    <col min="3329" max="3329" width="15.85546875" style="793" customWidth="1"/>
    <col min="3330" max="3330" width="14.85546875" style="793" customWidth="1"/>
    <col min="3331" max="3331" width="13.28515625" style="793" customWidth="1"/>
    <col min="3332" max="3332" width="11.42578125" style="793"/>
    <col min="3333" max="3333" width="13.42578125" style="793" customWidth="1"/>
    <col min="3334" max="3334" width="12.7109375" style="793" customWidth="1"/>
    <col min="3335" max="3335" width="14" style="793" customWidth="1"/>
    <col min="3336" max="3336" width="7.42578125" style="793" customWidth="1"/>
    <col min="3337" max="3584" width="11.42578125" style="793"/>
    <col min="3585" max="3585" width="15.85546875" style="793" customWidth="1"/>
    <col min="3586" max="3586" width="14.85546875" style="793" customWidth="1"/>
    <col min="3587" max="3587" width="13.28515625" style="793" customWidth="1"/>
    <col min="3588" max="3588" width="11.42578125" style="793"/>
    <col min="3589" max="3589" width="13.42578125" style="793" customWidth="1"/>
    <col min="3590" max="3590" width="12.7109375" style="793" customWidth="1"/>
    <col min="3591" max="3591" width="14" style="793" customWidth="1"/>
    <col min="3592" max="3592" width="7.42578125" style="793" customWidth="1"/>
    <col min="3593" max="3840" width="11.42578125" style="793"/>
    <col min="3841" max="3841" width="15.85546875" style="793" customWidth="1"/>
    <col min="3842" max="3842" width="14.85546875" style="793" customWidth="1"/>
    <col min="3843" max="3843" width="13.28515625" style="793" customWidth="1"/>
    <col min="3844" max="3844" width="11.42578125" style="793"/>
    <col min="3845" max="3845" width="13.42578125" style="793" customWidth="1"/>
    <col min="3846" max="3846" width="12.7109375" style="793" customWidth="1"/>
    <col min="3847" max="3847" width="14" style="793" customWidth="1"/>
    <col min="3848" max="3848" width="7.42578125" style="793" customWidth="1"/>
    <col min="3849" max="4096" width="11.42578125" style="793"/>
    <col min="4097" max="4097" width="15.85546875" style="793" customWidth="1"/>
    <col min="4098" max="4098" width="14.85546875" style="793" customWidth="1"/>
    <col min="4099" max="4099" width="13.28515625" style="793" customWidth="1"/>
    <col min="4100" max="4100" width="11.42578125" style="793"/>
    <col min="4101" max="4101" width="13.42578125" style="793" customWidth="1"/>
    <col min="4102" max="4102" width="12.7109375" style="793" customWidth="1"/>
    <col min="4103" max="4103" width="14" style="793" customWidth="1"/>
    <col min="4104" max="4104" width="7.42578125" style="793" customWidth="1"/>
    <col min="4105" max="4352" width="11.42578125" style="793"/>
    <col min="4353" max="4353" width="15.85546875" style="793" customWidth="1"/>
    <col min="4354" max="4354" width="14.85546875" style="793" customWidth="1"/>
    <col min="4355" max="4355" width="13.28515625" style="793" customWidth="1"/>
    <col min="4356" max="4356" width="11.42578125" style="793"/>
    <col min="4357" max="4357" width="13.42578125" style="793" customWidth="1"/>
    <col min="4358" max="4358" width="12.7109375" style="793" customWidth="1"/>
    <col min="4359" max="4359" width="14" style="793" customWidth="1"/>
    <col min="4360" max="4360" width="7.42578125" style="793" customWidth="1"/>
    <col min="4361" max="4608" width="11.42578125" style="793"/>
    <col min="4609" max="4609" width="15.85546875" style="793" customWidth="1"/>
    <col min="4610" max="4610" width="14.85546875" style="793" customWidth="1"/>
    <col min="4611" max="4611" width="13.28515625" style="793" customWidth="1"/>
    <col min="4612" max="4612" width="11.42578125" style="793"/>
    <col min="4613" max="4613" width="13.42578125" style="793" customWidth="1"/>
    <col min="4614" max="4614" width="12.7109375" style="793" customWidth="1"/>
    <col min="4615" max="4615" width="14" style="793" customWidth="1"/>
    <col min="4616" max="4616" width="7.42578125" style="793" customWidth="1"/>
    <col min="4617" max="4864" width="11.42578125" style="793"/>
    <col min="4865" max="4865" width="15.85546875" style="793" customWidth="1"/>
    <col min="4866" max="4866" width="14.85546875" style="793" customWidth="1"/>
    <col min="4867" max="4867" width="13.28515625" style="793" customWidth="1"/>
    <col min="4868" max="4868" width="11.42578125" style="793"/>
    <col min="4869" max="4869" width="13.42578125" style="793" customWidth="1"/>
    <col min="4870" max="4870" width="12.7109375" style="793" customWidth="1"/>
    <col min="4871" max="4871" width="14" style="793" customWidth="1"/>
    <col min="4872" max="4872" width="7.42578125" style="793" customWidth="1"/>
    <col min="4873" max="5120" width="11.42578125" style="793"/>
    <col min="5121" max="5121" width="15.85546875" style="793" customWidth="1"/>
    <col min="5122" max="5122" width="14.85546875" style="793" customWidth="1"/>
    <col min="5123" max="5123" width="13.28515625" style="793" customWidth="1"/>
    <col min="5124" max="5124" width="11.42578125" style="793"/>
    <col min="5125" max="5125" width="13.42578125" style="793" customWidth="1"/>
    <col min="5126" max="5126" width="12.7109375" style="793" customWidth="1"/>
    <col min="5127" max="5127" width="14" style="793" customWidth="1"/>
    <col min="5128" max="5128" width="7.42578125" style="793" customWidth="1"/>
    <col min="5129" max="5376" width="11.42578125" style="793"/>
    <col min="5377" max="5377" width="15.85546875" style="793" customWidth="1"/>
    <col min="5378" max="5378" width="14.85546875" style="793" customWidth="1"/>
    <col min="5379" max="5379" width="13.28515625" style="793" customWidth="1"/>
    <col min="5380" max="5380" width="11.42578125" style="793"/>
    <col min="5381" max="5381" width="13.42578125" style="793" customWidth="1"/>
    <col min="5382" max="5382" width="12.7109375" style="793" customWidth="1"/>
    <col min="5383" max="5383" width="14" style="793" customWidth="1"/>
    <col min="5384" max="5384" width="7.42578125" style="793" customWidth="1"/>
    <col min="5385" max="5632" width="11.42578125" style="793"/>
    <col min="5633" max="5633" width="15.85546875" style="793" customWidth="1"/>
    <col min="5634" max="5634" width="14.85546875" style="793" customWidth="1"/>
    <col min="5635" max="5635" width="13.28515625" style="793" customWidth="1"/>
    <col min="5636" max="5636" width="11.42578125" style="793"/>
    <col min="5637" max="5637" width="13.42578125" style="793" customWidth="1"/>
    <col min="5638" max="5638" width="12.7109375" style="793" customWidth="1"/>
    <col min="5639" max="5639" width="14" style="793" customWidth="1"/>
    <col min="5640" max="5640" width="7.42578125" style="793" customWidth="1"/>
    <col min="5641" max="5888" width="11.42578125" style="793"/>
    <col min="5889" max="5889" width="15.85546875" style="793" customWidth="1"/>
    <col min="5890" max="5890" width="14.85546875" style="793" customWidth="1"/>
    <col min="5891" max="5891" width="13.28515625" style="793" customWidth="1"/>
    <col min="5892" max="5892" width="11.42578125" style="793"/>
    <col min="5893" max="5893" width="13.42578125" style="793" customWidth="1"/>
    <col min="5894" max="5894" width="12.7109375" style="793" customWidth="1"/>
    <col min="5895" max="5895" width="14" style="793" customWidth="1"/>
    <col min="5896" max="5896" width="7.42578125" style="793" customWidth="1"/>
    <col min="5897" max="6144" width="11.42578125" style="793"/>
    <col min="6145" max="6145" width="15.85546875" style="793" customWidth="1"/>
    <col min="6146" max="6146" width="14.85546875" style="793" customWidth="1"/>
    <col min="6147" max="6147" width="13.28515625" style="793" customWidth="1"/>
    <col min="6148" max="6148" width="11.42578125" style="793"/>
    <col min="6149" max="6149" width="13.42578125" style="793" customWidth="1"/>
    <col min="6150" max="6150" width="12.7109375" style="793" customWidth="1"/>
    <col min="6151" max="6151" width="14" style="793" customWidth="1"/>
    <col min="6152" max="6152" width="7.42578125" style="793" customWidth="1"/>
    <col min="6153" max="6400" width="11.42578125" style="793"/>
    <col min="6401" max="6401" width="15.85546875" style="793" customWidth="1"/>
    <col min="6402" max="6402" width="14.85546875" style="793" customWidth="1"/>
    <col min="6403" max="6403" width="13.28515625" style="793" customWidth="1"/>
    <col min="6404" max="6404" width="11.42578125" style="793"/>
    <col min="6405" max="6405" width="13.42578125" style="793" customWidth="1"/>
    <col min="6406" max="6406" width="12.7109375" style="793" customWidth="1"/>
    <col min="6407" max="6407" width="14" style="793" customWidth="1"/>
    <col min="6408" max="6408" width="7.42578125" style="793" customWidth="1"/>
    <col min="6409" max="6656" width="11.42578125" style="793"/>
    <col min="6657" max="6657" width="15.85546875" style="793" customWidth="1"/>
    <col min="6658" max="6658" width="14.85546875" style="793" customWidth="1"/>
    <col min="6659" max="6659" width="13.28515625" style="793" customWidth="1"/>
    <col min="6660" max="6660" width="11.42578125" style="793"/>
    <col min="6661" max="6661" width="13.42578125" style="793" customWidth="1"/>
    <col min="6662" max="6662" width="12.7109375" style="793" customWidth="1"/>
    <col min="6663" max="6663" width="14" style="793" customWidth="1"/>
    <col min="6664" max="6664" width="7.42578125" style="793" customWidth="1"/>
    <col min="6665" max="6912" width="11.42578125" style="793"/>
    <col min="6913" max="6913" width="15.85546875" style="793" customWidth="1"/>
    <col min="6914" max="6914" width="14.85546875" style="793" customWidth="1"/>
    <col min="6915" max="6915" width="13.28515625" style="793" customWidth="1"/>
    <col min="6916" max="6916" width="11.42578125" style="793"/>
    <col min="6917" max="6917" width="13.42578125" style="793" customWidth="1"/>
    <col min="6918" max="6918" width="12.7109375" style="793" customWidth="1"/>
    <col min="6919" max="6919" width="14" style="793" customWidth="1"/>
    <col min="6920" max="6920" width="7.42578125" style="793" customWidth="1"/>
    <col min="6921" max="7168" width="11.42578125" style="793"/>
    <col min="7169" max="7169" width="15.85546875" style="793" customWidth="1"/>
    <col min="7170" max="7170" width="14.85546875" style="793" customWidth="1"/>
    <col min="7171" max="7171" width="13.28515625" style="793" customWidth="1"/>
    <col min="7172" max="7172" width="11.42578125" style="793"/>
    <col min="7173" max="7173" width="13.42578125" style="793" customWidth="1"/>
    <col min="7174" max="7174" width="12.7109375" style="793" customWidth="1"/>
    <col min="7175" max="7175" width="14" style="793" customWidth="1"/>
    <col min="7176" max="7176" width="7.42578125" style="793" customWidth="1"/>
    <col min="7177" max="7424" width="11.42578125" style="793"/>
    <col min="7425" max="7425" width="15.85546875" style="793" customWidth="1"/>
    <col min="7426" max="7426" width="14.85546875" style="793" customWidth="1"/>
    <col min="7427" max="7427" width="13.28515625" style="793" customWidth="1"/>
    <col min="7428" max="7428" width="11.42578125" style="793"/>
    <col min="7429" max="7429" width="13.42578125" style="793" customWidth="1"/>
    <col min="7430" max="7430" width="12.7109375" style="793" customWidth="1"/>
    <col min="7431" max="7431" width="14" style="793" customWidth="1"/>
    <col min="7432" max="7432" width="7.42578125" style="793" customWidth="1"/>
    <col min="7433" max="7680" width="11.42578125" style="793"/>
    <col min="7681" max="7681" width="15.85546875" style="793" customWidth="1"/>
    <col min="7682" max="7682" width="14.85546875" style="793" customWidth="1"/>
    <col min="7683" max="7683" width="13.28515625" style="793" customWidth="1"/>
    <col min="7684" max="7684" width="11.42578125" style="793"/>
    <col min="7685" max="7685" width="13.42578125" style="793" customWidth="1"/>
    <col min="7686" max="7686" width="12.7109375" style="793" customWidth="1"/>
    <col min="7687" max="7687" width="14" style="793" customWidth="1"/>
    <col min="7688" max="7688" width="7.42578125" style="793" customWidth="1"/>
    <col min="7689" max="7936" width="11.42578125" style="793"/>
    <col min="7937" max="7937" width="15.85546875" style="793" customWidth="1"/>
    <col min="7938" max="7938" width="14.85546875" style="793" customWidth="1"/>
    <col min="7939" max="7939" width="13.28515625" style="793" customWidth="1"/>
    <col min="7940" max="7940" width="11.42578125" style="793"/>
    <col min="7941" max="7941" width="13.42578125" style="793" customWidth="1"/>
    <col min="7942" max="7942" width="12.7109375" style="793" customWidth="1"/>
    <col min="7943" max="7943" width="14" style="793" customWidth="1"/>
    <col min="7944" max="7944" width="7.42578125" style="793" customWidth="1"/>
    <col min="7945" max="8192" width="11.42578125" style="793"/>
    <col min="8193" max="8193" width="15.85546875" style="793" customWidth="1"/>
    <col min="8194" max="8194" width="14.85546875" style="793" customWidth="1"/>
    <col min="8195" max="8195" width="13.28515625" style="793" customWidth="1"/>
    <col min="8196" max="8196" width="11.42578125" style="793"/>
    <col min="8197" max="8197" width="13.42578125" style="793" customWidth="1"/>
    <col min="8198" max="8198" width="12.7109375" style="793" customWidth="1"/>
    <col min="8199" max="8199" width="14" style="793" customWidth="1"/>
    <col min="8200" max="8200" width="7.42578125" style="793" customWidth="1"/>
    <col min="8201" max="8448" width="11.42578125" style="793"/>
    <col min="8449" max="8449" width="15.85546875" style="793" customWidth="1"/>
    <col min="8450" max="8450" width="14.85546875" style="793" customWidth="1"/>
    <col min="8451" max="8451" width="13.28515625" style="793" customWidth="1"/>
    <col min="8452" max="8452" width="11.42578125" style="793"/>
    <col min="8453" max="8453" width="13.42578125" style="793" customWidth="1"/>
    <col min="8454" max="8454" width="12.7109375" style="793" customWidth="1"/>
    <col min="8455" max="8455" width="14" style="793" customWidth="1"/>
    <col min="8456" max="8456" width="7.42578125" style="793" customWidth="1"/>
    <col min="8457" max="8704" width="11.42578125" style="793"/>
    <col min="8705" max="8705" width="15.85546875" style="793" customWidth="1"/>
    <col min="8706" max="8706" width="14.85546875" style="793" customWidth="1"/>
    <col min="8707" max="8707" width="13.28515625" style="793" customWidth="1"/>
    <col min="8708" max="8708" width="11.42578125" style="793"/>
    <col min="8709" max="8709" width="13.42578125" style="793" customWidth="1"/>
    <col min="8710" max="8710" width="12.7109375" style="793" customWidth="1"/>
    <col min="8711" max="8711" width="14" style="793" customWidth="1"/>
    <col min="8712" max="8712" width="7.42578125" style="793" customWidth="1"/>
    <col min="8713" max="8960" width="11.42578125" style="793"/>
    <col min="8961" max="8961" width="15.85546875" style="793" customWidth="1"/>
    <col min="8962" max="8962" width="14.85546875" style="793" customWidth="1"/>
    <col min="8963" max="8963" width="13.28515625" style="793" customWidth="1"/>
    <col min="8964" max="8964" width="11.42578125" style="793"/>
    <col min="8965" max="8965" width="13.42578125" style="793" customWidth="1"/>
    <col min="8966" max="8966" width="12.7109375" style="793" customWidth="1"/>
    <col min="8967" max="8967" width="14" style="793" customWidth="1"/>
    <col min="8968" max="8968" width="7.42578125" style="793" customWidth="1"/>
    <col min="8969" max="9216" width="11.42578125" style="793"/>
    <col min="9217" max="9217" width="15.85546875" style="793" customWidth="1"/>
    <col min="9218" max="9218" width="14.85546875" style="793" customWidth="1"/>
    <col min="9219" max="9219" width="13.28515625" style="793" customWidth="1"/>
    <col min="9220" max="9220" width="11.42578125" style="793"/>
    <col min="9221" max="9221" width="13.42578125" style="793" customWidth="1"/>
    <col min="9222" max="9222" width="12.7109375" style="793" customWidth="1"/>
    <col min="9223" max="9223" width="14" style="793" customWidth="1"/>
    <col min="9224" max="9224" width="7.42578125" style="793" customWidth="1"/>
    <col min="9225" max="9472" width="11.42578125" style="793"/>
    <col min="9473" max="9473" width="15.85546875" style="793" customWidth="1"/>
    <col min="9474" max="9474" width="14.85546875" style="793" customWidth="1"/>
    <col min="9475" max="9475" width="13.28515625" style="793" customWidth="1"/>
    <col min="9476" max="9476" width="11.42578125" style="793"/>
    <col min="9477" max="9477" width="13.42578125" style="793" customWidth="1"/>
    <col min="9478" max="9478" width="12.7109375" style="793" customWidth="1"/>
    <col min="9479" max="9479" width="14" style="793" customWidth="1"/>
    <col min="9480" max="9480" width="7.42578125" style="793" customWidth="1"/>
    <col min="9481" max="9728" width="11.42578125" style="793"/>
    <col min="9729" max="9729" width="15.85546875" style="793" customWidth="1"/>
    <col min="9730" max="9730" width="14.85546875" style="793" customWidth="1"/>
    <col min="9731" max="9731" width="13.28515625" style="793" customWidth="1"/>
    <col min="9732" max="9732" width="11.42578125" style="793"/>
    <col min="9733" max="9733" width="13.42578125" style="793" customWidth="1"/>
    <col min="9734" max="9734" width="12.7109375" style="793" customWidth="1"/>
    <col min="9735" max="9735" width="14" style="793" customWidth="1"/>
    <col min="9736" max="9736" width="7.42578125" style="793" customWidth="1"/>
    <col min="9737" max="9984" width="11.42578125" style="793"/>
    <col min="9985" max="9985" width="15.85546875" style="793" customWidth="1"/>
    <col min="9986" max="9986" width="14.85546875" style="793" customWidth="1"/>
    <col min="9987" max="9987" width="13.28515625" style="793" customWidth="1"/>
    <col min="9988" max="9988" width="11.42578125" style="793"/>
    <col min="9989" max="9989" width="13.42578125" style="793" customWidth="1"/>
    <col min="9990" max="9990" width="12.7109375" style="793" customWidth="1"/>
    <col min="9991" max="9991" width="14" style="793" customWidth="1"/>
    <col min="9992" max="9992" width="7.42578125" style="793" customWidth="1"/>
    <col min="9993" max="10240" width="11.42578125" style="793"/>
    <col min="10241" max="10241" width="15.85546875" style="793" customWidth="1"/>
    <col min="10242" max="10242" width="14.85546875" style="793" customWidth="1"/>
    <col min="10243" max="10243" width="13.28515625" style="793" customWidth="1"/>
    <col min="10244" max="10244" width="11.42578125" style="793"/>
    <col min="10245" max="10245" width="13.42578125" style="793" customWidth="1"/>
    <col min="10246" max="10246" width="12.7109375" style="793" customWidth="1"/>
    <col min="10247" max="10247" width="14" style="793" customWidth="1"/>
    <col min="10248" max="10248" width="7.42578125" style="793" customWidth="1"/>
    <col min="10249" max="10496" width="11.42578125" style="793"/>
    <col min="10497" max="10497" width="15.85546875" style="793" customWidth="1"/>
    <col min="10498" max="10498" width="14.85546875" style="793" customWidth="1"/>
    <col min="10499" max="10499" width="13.28515625" style="793" customWidth="1"/>
    <col min="10500" max="10500" width="11.42578125" style="793"/>
    <col min="10501" max="10501" width="13.42578125" style="793" customWidth="1"/>
    <col min="10502" max="10502" width="12.7109375" style="793" customWidth="1"/>
    <col min="10503" max="10503" width="14" style="793" customWidth="1"/>
    <col min="10504" max="10504" width="7.42578125" style="793" customWidth="1"/>
    <col min="10505" max="10752" width="11.42578125" style="793"/>
    <col min="10753" max="10753" width="15.85546875" style="793" customWidth="1"/>
    <col min="10754" max="10754" width="14.85546875" style="793" customWidth="1"/>
    <col min="10755" max="10755" width="13.28515625" style="793" customWidth="1"/>
    <col min="10756" max="10756" width="11.42578125" style="793"/>
    <col min="10757" max="10757" width="13.42578125" style="793" customWidth="1"/>
    <col min="10758" max="10758" width="12.7109375" style="793" customWidth="1"/>
    <col min="10759" max="10759" width="14" style="793" customWidth="1"/>
    <col min="10760" max="10760" width="7.42578125" style="793" customWidth="1"/>
    <col min="10761" max="11008" width="11.42578125" style="793"/>
    <col min="11009" max="11009" width="15.85546875" style="793" customWidth="1"/>
    <col min="11010" max="11010" width="14.85546875" style="793" customWidth="1"/>
    <col min="11011" max="11011" width="13.28515625" style="793" customWidth="1"/>
    <col min="11012" max="11012" width="11.42578125" style="793"/>
    <col min="11013" max="11013" width="13.42578125" style="793" customWidth="1"/>
    <col min="11014" max="11014" width="12.7109375" style="793" customWidth="1"/>
    <col min="11015" max="11015" width="14" style="793" customWidth="1"/>
    <col min="11016" max="11016" width="7.42578125" style="793" customWidth="1"/>
    <col min="11017" max="11264" width="11.42578125" style="793"/>
    <col min="11265" max="11265" width="15.85546875" style="793" customWidth="1"/>
    <col min="11266" max="11266" width="14.85546875" style="793" customWidth="1"/>
    <col min="11267" max="11267" width="13.28515625" style="793" customWidth="1"/>
    <col min="11268" max="11268" width="11.42578125" style="793"/>
    <col min="11269" max="11269" width="13.42578125" style="793" customWidth="1"/>
    <col min="11270" max="11270" width="12.7109375" style="793" customWidth="1"/>
    <col min="11271" max="11271" width="14" style="793" customWidth="1"/>
    <col min="11272" max="11272" width="7.42578125" style="793" customWidth="1"/>
    <col min="11273" max="11520" width="11.42578125" style="793"/>
    <col min="11521" max="11521" width="15.85546875" style="793" customWidth="1"/>
    <col min="11522" max="11522" width="14.85546875" style="793" customWidth="1"/>
    <col min="11523" max="11523" width="13.28515625" style="793" customWidth="1"/>
    <col min="11524" max="11524" width="11.42578125" style="793"/>
    <col min="11525" max="11525" width="13.42578125" style="793" customWidth="1"/>
    <col min="11526" max="11526" width="12.7109375" style="793" customWidth="1"/>
    <col min="11527" max="11527" width="14" style="793" customWidth="1"/>
    <col min="11528" max="11528" width="7.42578125" style="793" customWidth="1"/>
    <col min="11529" max="11776" width="11.42578125" style="793"/>
    <col min="11777" max="11777" width="15.85546875" style="793" customWidth="1"/>
    <col min="11778" max="11778" width="14.85546875" style="793" customWidth="1"/>
    <col min="11779" max="11779" width="13.28515625" style="793" customWidth="1"/>
    <col min="11780" max="11780" width="11.42578125" style="793"/>
    <col min="11781" max="11781" width="13.42578125" style="793" customWidth="1"/>
    <col min="11782" max="11782" width="12.7109375" style="793" customWidth="1"/>
    <col min="11783" max="11783" width="14" style="793" customWidth="1"/>
    <col min="11784" max="11784" width="7.42578125" style="793" customWidth="1"/>
    <col min="11785" max="12032" width="11.42578125" style="793"/>
    <col min="12033" max="12033" width="15.85546875" style="793" customWidth="1"/>
    <col min="12034" max="12034" width="14.85546875" style="793" customWidth="1"/>
    <col min="12035" max="12035" width="13.28515625" style="793" customWidth="1"/>
    <col min="12036" max="12036" width="11.42578125" style="793"/>
    <col min="12037" max="12037" width="13.42578125" style="793" customWidth="1"/>
    <col min="12038" max="12038" width="12.7109375" style="793" customWidth="1"/>
    <col min="12039" max="12039" width="14" style="793" customWidth="1"/>
    <col min="12040" max="12040" width="7.42578125" style="793" customWidth="1"/>
    <col min="12041" max="12288" width="11.42578125" style="793"/>
    <col min="12289" max="12289" width="15.85546875" style="793" customWidth="1"/>
    <col min="12290" max="12290" width="14.85546875" style="793" customWidth="1"/>
    <col min="12291" max="12291" width="13.28515625" style="793" customWidth="1"/>
    <col min="12292" max="12292" width="11.42578125" style="793"/>
    <col min="12293" max="12293" width="13.42578125" style="793" customWidth="1"/>
    <col min="12294" max="12294" width="12.7109375" style="793" customWidth="1"/>
    <col min="12295" max="12295" width="14" style="793" customWidth="1"/>
    <col min="12296" max="12296" width="7.42578125" style="793" customWidth="1"/>
    <col min="12297" max="12544" width="11.42578125" style="793"/>
    <col min="12545" max="12545" width="15.85546875" style="793" customWidth="1"/>
    <col min="12546" max="12546" width="14.85546875" style="793" customWidth="1"/>
    <col min="12547" max="12547" width="13.28515625" style="793" customWidth="1"/>
    <col min="12548" max="12548" width="11.42578125" style="793"/>
    <col min="12549" max="12549" width="13.42578125" style="793" customWidth="1"/>
    <col min="12550" max="12550" width="12.7109375" style="793" customWidth="1"/>
    <col min="12551" max="12551" width="14" style="793" customWidth="1"/>
    <col min="12552" max="12552" width="7.42578125" style="793" customWidth="1"/>
    <col min="12553" max="12800" width="11.42578125" style="793"/>
    <col min="12801" max="12801" width="15.85546875" style="793" customWidth="1"/>
    <col min="12802" max="12802" width="14.85546875" style="793" customWidth="1"/>
    <col min="12803" max="12803" width="13.28515625" style="793" customWidth="1"/>
    <col min="12804" max="12804" width="11.42578125" style="793"/>
    <col min="12805" max="12805" width="13.42578125" style="793" customWidth="1"/>
    <col min="12806" max="12806" width="12.7109375" style="793" customWidth="1"/>
    <col min="12807" max="12807" width="14" style="793" customWidth="1"/>
    <col min="12808" max="12808" width="7.42578125" style="793" customWidth="1"/>
    <col min="12809" max="13056" width="11.42578125" style="793"/>
    <col min="13057" max="13057" width="15.85546875" style="793" customWidth="1"/>
    <col min="13058" max="13058" width="14.85546875" style="793" customWidth="1"/>
    <col min="13059" max="13059" width="13.28515625" style="793" customWidth="1"/>
    <col min="13060" max="13060" width="11.42578125" style="793"/>
    <col min="13061" max="13061" width="13.42578125" style="793" customWidth="1"/>
    <col min="13062" max="13062" width="12.7109375" style="793" customWidth="1"/>
    <col min="13063" max="13063" width="14" style="793" customWidth="1"/>
    <col min="13064" max="13064" width="7.42578125" style="793" customWidth="1"/>
    <col min="13065" max="13312" width="11.42578125" style="793"/>
    <col min="13313" max="13313" width="15.85546875" style="793" customWidth="1"/>
    <col min="13314" max="13314" width="14.85546875" style="793" customWidth="1"/>
    <col min="13315" max="13315" width="13.28515625" style="793" customWidth="1"/>
    <col min="13316" max="13316" width="11.42578125" style="793"/>
    <col min="13317" max="13317" width="13.42578125" style="793" customWidth="1"/>
    <col min="13318" max="13318" width="12.7109375" style="793" customWidth="1"/>
    <col min="13319" max="13319" width="14" style="793" customWidth="1"/>
    <col min="13320" max="13320" width="7.42578125" style="793" customWidth="1"/>
    <col min="13321" max="13568" width="11.42578125" style="793"/>
    <col min="13569" max="13569" width="15.85546875" style="793" customWidth="1"/>
    <col min="13570" max="13570" width="14.85546875" style="793" customWidth="1"/>
    <col min="13571" max="13571" width="13.28515625" style="793" customWidth="1"/>
    <col min="13572" max="13572" width="11.42578125" style="793"/>
    <col min="13573" max="13573" width="13.42578125" style="793" customWidth="1"/>
    <col min="13574" max="13574" width="12.7109375" style="793" customWidth="1"/>
    <col min="13575" max="13575" width="14" style="793" customWidth="1"/>
    <col min="13576" max="13576" width="7.42578125" style="793" customWidth="1"/>
    <col min="13577" max="13824" width="11.42578125" style="793"/>
    <col min="13825" max="13825" width="15.85546875" style="793" customWidth="1"/>
    <col min="13826" max="13826" width="14.85546875" style="793" customWidth="1"/>
    <col min="13827" max="13827" width="13.28515625" style="793" customWidth="1"/>
    <col min="13828" max="13828" width="11.42578125" style="793"/>
    <col min="13829" max="13829" width="13.42578125" style="793" customWidth="1"/>
    <col min="13830" max="13830" width="12.7109375" style="793" customWidth="1"/>
    <col min="13831" max="13831" width="14" style="793" customWidth="1"/>
    <col min="13832" max="13832" width="7.42578125" style="793" customWidth="1"/>
    <col min="13833" max="14080" width="11.42578125" style="793"/>
    <col min="14081" max="14081" width="15.85546875" style="793" customWidth="1"/>
    <col min="14082" max="14082" width="14.85546875" style="793" customWidth="1"/>
    <col min="14083" max="14083" width="13.28515625" style="793" customWidth="1"/>
    <col min="14084" max="14084" width="11.42578125" style="793"/>
    <col min="14085" max="14085" width="13.42578125" style="793" customWidth="1"/>
    <col min="14086" max="14086" width="12.7109375" style="793" customWidth="1"/>
    <col min="14087" max="14087" width="14" style="793" customWidth="1"/>
    <col min="14088" max="14088" width="7.42578125" style="793" customWidth="1"/>
    <col min="14089" max="14336" width="11.42578125" style="793"/>
    <col min="14337" max="14337" width="15.85546875" style="793" customWidth="1"/>
    <col min="14338" max="14338" width="14.85546875" style="793" customWidth="1"/>
    <col min="14339" max="14339" width="13.28515625" style="793" customWidth="1"/>
    <col min="14340" max="14340" width="11.42578125" style="793"/>
    <col min="14341" max="14341" width="13.42578125" style="793" customWidth="1"/>
    <col min="14342" max="14342" width="12.7109375" style="793" customWidth="1"/>
    <col min="14343" max="14343" width="14" style="793" customWidth="1"/>
    <col min="14344" max="14344" width="7.42578125" style="793" customWidth="1"/>
    <col min="14345" max="14592" width="11.42578125" style="793"/>
    <col min="14593" max="14593" width="15.85546875" style="793" customWidth="1"/>
    <col min="14594" max="14594" width="14.85546875" style="793" customWidth="1"/>
    <col min="14595" max="14595" width="13.28515625" style="793" customWidth="1"/>
    <col min="14596" max="14596" width="11.42578125" style="793"/>
    <col min="14597" max="14597" width="13.42578125" style="793" customWidth="1"/>
    <col min="14598" max="14598" width="12.7109375" style="793" customWidth="1"/>
    <col min="14599" max="14599" width="14" style="793" customWidth="1"/>
    <col min="14600" max="14600" width="7.42578125" style="793" customWidth="1"/>
    <col min="14601" max="14848" width="11.42578125" style="793"/>
    <col min="14849" max="14849" width="15.85546875" style="793" customWidth="1"/>
    <col min="14850" max="14850" width="14.85546875" style="793" customWidth="1"/>
    <col min="14851" max="14851" width="13.28515625" style="793" customWidth="1"/>
    <col min="14852" max="14852" width="11.42578125" style="793"/>
    <col min="14853" max="14853" width="13.42578125" style="793" customWidth="1"/>
    <col min="14854" max="14854" width="12.7109375" style="793" customWidth="1"/>
    <col min="14855" max="14855" width="14" style="793" customWidth="1"/>
    <col min="14856" max="14856" width="7.42578125" style="793" customWidth="1"/>
    <col min="14857" max="15104" width="11.42578125" style="793"/>
    <col min="15105" max="15105" width="15.85546875" style="793" customWidth="1"/>
    <col min="15106" max="15106" width="14.85546875" style="793" customWidth="1"/>
    <col min="15107" max="15107" width="13.28515625" style="793" customWidth="1"/>
    <col min="15108" max="15108" width="11.42578125" style="793"/>
    <col min="15109" max="15109" width="13.42578125" style="793" customWidth="1"/>
    <col min="15110" max="15110" width="12.7109375" style="793" customWidth="1"/>
    <col min="15111" max="15111" width="14" style="793" customWidth="1"/>
    <col min="15112" max="15112" width="7.42578125" style="793" customWidth="1"/>
    <col min="15113" max="15360" width="11.42578125" style="793"/>
    <col min="15361" max="15361" width="15.85546875" style="793" customWidth="1"/>
    <col min="15362" max="15362" width="14.85546875" style="793" customWidth="1"/>
    <col min="15363" max="15363" width="13.28515625" style="793" customWidth="1"/>
    <col min="15364" max="15364" width="11.42578125" style="793"/>
    <col min="15365" max="15365" width="13.42578125" style="793" customWidth="1"/>
    <col min="15366" max="15366" width="12.7109375" style="793" customWidth="1"/>
    <col min="15367" max="15367" width="14" style="793" customWidth="1"/>
    <col min="15368" max="15368" width="7.42578125" style="793" customWidth="1"/>
    <col min="15369" max="15616" width="11.42578125" style="793"/>
    <col min="15617" max="15617" width="15.85546875" style="793" customWidth="1"/>
    <col min="15618" max="15618" width="14.85546875" style="793" customWidth="1"/>
    <col min="15619" max="15619" width="13.28515625" style="793" customWidth="1"/>
    <col min="15620" max="15620" width="11.42578125" style="793"/>
    <col min="15621" max="15621" width="13.42578125" style="793" customWidth="1"/>
    <col min="15622" max="15622" width="12.7109375" style="793" customWidth="1"/>
    <col min="15623" max="15623" width="14" style="793" customWidth="1"/>
    <col min="15624" max="15624" width="7.42578125" style="793" customWidth="1"/>
    <col min="15625" max="15872" width="11.42578125" style="793"/>
    <col min="15873" max="15873" width="15.85546875" style="793" customWidth="1"/>
    <col min="15874" max="15874" width="14.85546875" style="793" customWidth="1"/>
    <col min="15875" max="15875" width="13.28515625" style="793" customWidth="1"/>
    <col min="15876" max="15876" width="11.42578125" style="793"/>
    <col min="15877" max="15877" width="13.42578125" style="793" customWidth="1"/>
    <col min="15878" max="15878" width="12.7109375" style="793" customWidth="1"/>
    <col min="15879" max="15879" width="14" style="793" customWidth="1"/>
    <col min="15880" max="15880" width="7.42578125" style="793" customWidth="1"/>
    <col min="15881" max="16128" width="11.42578125" style="793"/>
    <col min="16129" max="16129" width="15.85546875" style="793" customWidth="1"/>
    <col min="16130" max="16130" width="14.85546875" style="793" customWidth="1"/>
    <col min="16131" max="16131" width="13.28515625" style="793" customWidth="1"/>
    <col min="16132" max="16132" width="11.42578125" style="793"/>
    <col min="16133" max="16133" width="13.42578125" style="793" customWidth="1"/>
    <col min="16134" max="16134" width="12.7109375" style="793" customWidth="1"/>
    <col min="16135" max="16135" width="14" style="793" customWidth="1"/>
    <col min="16136" max="16136" width="7.42578125" style="793" customWidth="1"/>
    <col min="16137" max="16384" width="11.42578125" style="793"/>
  </cols>
  <sheetData>
    <row r="1" spans="1:21" s="3" customFormat="1" ht="20.25">
      <c r="A1" s="1346" t="str">
        <f>PPTO!D3</f>
        <v>PRESUPUESTO
MUNICIPIO EL BAGRE (ANTIOQUIA).</v>
      </c>
      <c r="B1" s="1347"/>
      <c r="C1" s="1347"/>
      <c r="D1" s="1347"/>
      <c r="E1" s="1347"/>
      <c r="F1" s="1347"/>
      <c r="G1" s="1348"/>
      <c r="H1" s="1"/>
      <c r="I1" s="2"/>
    </row>
    <row r="2" spans="1:21" s="3" customFormat="1" ht="18">
      <c r="A2" s="1362" t="s">
        <v>16</v>
      </c>
      <c r="B2" s="1363"/>
      <c r="C2" s="1363"/>
      <c r="D2" s="1363"/>
      <c r="E2" s="1363"/>
      <c r="F2" s="1363"/>
      <c r="G2" s="1364"/>
      <c r="H2" s="1"/>
      <c r="I2" s="2"/>
    </row>
    <row r="3" spans="1:21" s="3" customFormat="1" ht="22.5" customHeight="1">
      <c r="A3" s="1367" t="str">
        <f>+PPTO!$D$5</f>
        <v>PROYECTO DE MEJORAMIENTO VIAL, ESPACIO PUBLICO Y OBRAS COMPLEMENTARIAS DE LA AVENIDA LA JUVENTUD Y TRAMOS ADYACENTES Y PRIORITARIOS DEL SECTOR URBANO EN EL MUNICIPIO EL BAGRE ANTIOQUIA.</v>
      </c>
      <c r="B3" s="1368"/>
      <c r="C3" s="1368"/>
      <c r="D3" s="1368"/>
      <c r="E3" s="1368"/>
      <c r="F3" s="1368"/>
      <c r="G3" s="1369"/>
      <c r="H3" s="1"/>
      <c r="I3" s="2"/>
    </row>
    <row r="4" spans="1:21" s="3" customFormat="1" ht="19.5" customHeight="1">
      <c r="A4" s="1370"/>
      <c r="B4" s="1368"/>
      <c r="C4" s="1368"/>
      <c r="D4" s="1368"/>
      <c r="E4" s="1368"/>
      <c r="F4" s="1368"/>
      <c r="G4" s="1369"/>
      <c r="H4" s="1"/>
      <c r="I4" s="2"/>
    </row>
    <row r="5" spans="1:21" s="3" customFormat="1" ht="6.75" customHeight="1">
      <c r="A5" s="222"/>
      <c r="B5" s="6"/>
      <c r="C5" s="24"/>
      <c r="D5" s="25"/>
      <c r="E5" s="6"/>
      <c r="F5" s="6"/>
      <c r="G5" s="223"/>
      <c r="H5" s="9"/>
    </row>
    <row r="6" spans="1:21" s="380" customFormat="1" ht="19.5" customHeight="1">
      <c r="A6" s="368">
        <v>3.5</v>
      </c>
      <c r="B6" s="1349" t="str">
        <f>VLOOKUP(A6,PPTO!D4:I132,2,FALSE)</f>
        <v xml:space="preserve">Acero de transferencia para placas de concreto de 60000 psi </v>
      </c>
      <c r="C6" s="1350"/>
      <c r="D6" s="1350"/>
      <c r="E6" s="1351"/>
      <c r="F6" s="192" t="s">
        <v>118</v>
      </c>
      <c r="G6" s="248" t="str">
        <f>VLOOKUP(A6,PPTO!D4:I131,3,FALSE)</f>
        <v>Kg</v>
      </c>
      <c r="H6" s="382"/>
      <c r="I6" s="790"/>
    </row>
    <row r="7" spans="1:21" ht="7.5" customHeight="1">
      <c r="A7" s="794"/>
      <c r="B7" s="795"/>
      <c r="C7" s="796"/>
      <c r="D7" s="795"/>
      <c r="E7" s="795"/>
      <c r="F7" s="795"/>
      <c r="G7" s="797"/>
    </row>
    <row r="8" spans="1:21">
      <c r="A8" s="1408" t="s">
        <v>843</v>
      </c>
      <c r="B8" s="1409"/>
      <c r="C8" s="1409"/>
      <c r="D8" s="1409"/>
      <c r="E8" s="1409"/>
      <c r="F8" s="1409"/>
      <c r="G8" s="1410"/>
    </row>
    <row r="9" spans="1:21" ht="4.5" customHeight="1">
      <c r="A9" s="794"/>
      <c r="B9" s="795"/>
      <c r="C9" s="796"/>
      <c r="D9" s="795"/>
      <c r="E9" s="795"/>
      <c r="F9" s="795"/>
      <c r="G9" s="797"/>
      <c r="I9" s="795"/>
      <c r="J9" s="795"/>
      <c r="K9" s="795"/>
      <c r="L9" s="798"/>
      <c r="M9" s="795"/>
      <c r="N9" s="795"/>
      <c r="O9" s="795"/>
      <c r="P9" s="795"/>
    </row>
    <row r="10" spans="1:21">
      <c r="A10" s="1406" t="s">
        <v>17</v>
      </c>
      <c r="B10" s="1407"/>
      <c r="C10" s="1407" t="s">
        <v>844</v>
      </c>
      <c r="D10" s="772" t="s">
        <v>18</v>
      </c>
      <c r="E10" s="772" t="s">
        <v>19</v>
      </c>
      <c r="F10" s="772" t="s">
        <v>20</v>
      </c>
      <c r="G10" s="389" t="s">
        <v>21</v>
      </c>
      <c r="H10" s="799"/>
      <c r="I10" s="800"/>
      <c r="J10" s="801"/>
      <c r="K10" s="802"/>
      <c r="L10" s="802"/>
      <c r="M10" s="802"/>
      <c r="N10" s="802"/>
      <c r="O10" s="802"/>
      <c r="P10" s="795"/>
    </row>
    <row r="11" spans="1:21">
      <c r="A11" s="1423" t="s">
        <v>75</v>
      </c>
      <c r="B11" s="1424"/>
      <c r="C11" s="803"/>
      <c r="D11" s="804"/>
      <c r="E11" s="805"/>
      <c r="F11" s="806"/>
      <c r="G11" s="807">
        <f>+G42*5%</f>
        <v>27</v>
      </c>
      <c r="I11" s="802"/>
      <c r="J11" s="808"/>
      <c r="K11" s="802"/>
      <c r="L11" s="802"/>
      <c r="M11" s="802"/>
      <c r="N11" s="802"/>
      <c r="O11" s="802"/>
      <c r="P11" s="795"/>
    </row>
    <row r="12" spans="1:21">
      <c r="A12" s="1425"/>
      <c r="B12" s="1426"/>
      <c r="C12" s="809"/>
      <c r="D12" s="805"/>
      <c r="E12" s="805"/>
      <c r="F12" s="810"/>
      <c r="G12" s="807"/>
      <c r="I12" s="811"/>
      <c r="J12" s="808"/>
      <c r="K12" s="802"/>
      <c r="L12" s="802"/>
      <c r="M12" s="802"/>
      <c r="N12" s="802"/>
      <c r="O12" s="802"/>
      <c r="P12" s="795"/>
    </row>
    <row r="13" spans="1:21">
      <c r="A13" s="1425"/>
      <c r="B13" s="1426"/>
      <c r="C13" s="809"/>
      <c r="D13" s="805"/>
      <c r="E13" s="805"/>
      <c r="F13" s="810"/>
      <c r="G13" s="807"/>
      <c r="I13" s="808"/>
      <c r="J13" s="808"/>
      <c r="K13" s="808"/>
      <c r="L13" s="808"/>
      <c r="M13" s="808"/>
      <c r="N13" s="808"/>
      <c r="O13" s="808"/>
      <c r="P13" s="795"/>
    </row>
    <row r="14" spans="1:21">
      <c r="A14" s="1425"/>
      <c r="B14" s="1426"/>
      <c r="C14" s="809"/>
      <c r="D14" s="805"/>
      <c r="E14" s="805"/>
      <c r="F14" s="806"/>
      <c r="G14" s="807"/>
      <c r="I14" s="802"/>
      <c r="J14" s="812"/>
      <c r="K14" s="813"/>
      <c r="L14" s="812"/>
      <c r="M14" s="814"/>
      <c r="N14" s="814"/>
      <c r="O14" s="815"/>
      <c r="P14" s="795"/>
    </row>
    <row r="15" spans="1:21">
      <c r="A15" s="1425"/>
      <c r="B15" s="1426"/>
      <c r="C15" s="809"/>
      <c r="D15" s="805"/>
      <c r="E15" s="805"/>
      <c r="F15" s="816"/>
      <c r="G15" s="807"/>
      <c r="I15" s="802"/>
      <c r="J15" s="817"/>
      <c r="K15" s="813"/>
      <c r="L15" s="812"/>
      <c r="M15" s="814"/>
      <c r="N15" s="814"/>
      <c r="O15" s="815"/>
      <c r="P15" s="795"/>
      <c r="Q15" s="795"/>
      <c r="R15" s="795"/>
      <c r="S15" s="795"/>
      <c r="T15" s="795"/>
      <c r="U15" s="795"/>
    </row>
    <row r="16" spans="1:21">
      <c r="A16" s="1427"/>
      <c r="B16" s="1428"/>
      <c r="C16" s="1428"/>
      <c r="D16" s="818" t="s">
        <v>37</v>
      </c>
      <c r="E16" s="819"/>
      <c r="F16" s="820"/>
      <c r="G16" s="821">
        <f>SUM(G11:G15)</f>
        <v>27</v>
      </c>
      <c r="I16" s="822"/>
      <c r="J16" s="822"/>
      <c r="K16" s="823"/>
      <c r="L16" s="824"/>
      <c r="M16" s="825"/>
      <c r="N16" s="825"/>
      <c r="O16" s="815"/>
      <c r="P16" s="795"/>
      <c r="Q16" s="795"/>
      <c r="R16" s="795"/>
      <c r="S16" s="795"/>
      <c r="T16" s="795"/>
      <c r="U16" s="795"/>
    </row>
    <row r="17" spans="1:21" ht="4.5" customHeight="1">
      <c r="A17" s="794"/>
      <c r="B17" s="795"/>
      <c r="C17" s="796"/>
      <c r="D17" s="795"/>
      <c r="E17" s="795"/>
      <c r="F17" s="795"/>
      <c r="G17" s="797"/>
      <c r="I17" s="822"/>
      <c r="J17" s="822"/>
      <c r="K17" s="823"/>
      <c r="L17" s="824"/>
      <c r="M17" s="825"/>
      <c r="N17" s="825"/>
      <c r="O17" s="815"/>
      <c r="P17" s="795"/>
      <c r="Q17" s="795"/>
      <c r="R17" s="795"/>
      <c r="S17" s="795"/>
      <c r="T17" s="795"/>
      <c r="U17" s="795"/>
    </row>
    <row r="18" spans="1:21">
      <c r="A18" s="1408" t="s">
        <v>846</v>
      </c>
      <c r="B18" s="1409"/>
      <c r="C18" s="1409"/>
      <c r="D18" s="1409"/>
      <c r="E18" s="1409"/>
      <c r="F18" s="1409"/>
      <c r="G18" s="1410"/>
    </row>
    <row r="19" spans="1:21" ht="4.5" customHeight="1">
      <c r="A19" s="794"/>
      <c r="B19" s="795"/>
      <c r="C19" s="796"/>
      <c r="D19" s="795"/>
      <c r="E19" s="795"/>
      <c r="F19" s="826"/>
      <c r="G19" s="797"/>
      <c r="I19" s="822"/>
      <c r="J19" s="822"/>
      <c r="K19" s="823"/>
      <c r="L19" s="827"/>
      <c r="M19" s="825"/>
      <c r="N19" s="825"/>
      <c r="O19" s="802"/>
      <c r="P19" s="795"/>
      <c r="Q19" s="795"/>
      <c r="R19" s="795"/>
      <c r="S19" s="795"/>
      <c r="T19" s="795"/>
      <c r="U19" s="795"/>
    </row>
    <row r="20" spans="1:21">
      <c r="A20" s="1406" t="s">
        <v>17</v>
      </c>
      <c r="B20" s="1407"/>
      <c r="C20" s="1407"/>
      <c r="D20" s="772" t="s">
        <v>3</v>
      </c>
      <c r="E20" s="772" t="s">
        <v>4</v>
      </c>
      <c r="F20" s="772" t="s">
        <v>25</v>
      </c>
      <c r="G20" s="389" t="s">
        <v>21</v>
      </c>
      <c r="H20" s="799"/>
      <c r="I20" s="822"/>
      <c r="J20" s="822"/>
      <c r="K20" s="823"/>
      <c r="L20" s="827"/>
      <c r="M20" s="825"/>
      <c r="N20" s="825"/>
      <c r="O20" s="802"/>
      <c r="P20" s="795"/>
      <c r="Q20" s="795"/>
      <c r="R20" s="795"/>
      <c r="S20" s="795"/>
      <c r="T20" s="795"/>
      <c r="U20" s="795"/>
    </row>
    <row r="21" spans="1:21">
      <c r="A21" s="1429" t="s">
        <v>52</v>
      </c>
      <c r="B21" s="1430"/>
      <c r="C21" s="1430"/>
      <c r="D21" s="828" t="s">
        <v>53</v>
      </c>
      <c r="E21" s="829">
        <v>1</v>
      </c>
      <c r="F21" s="830">
        <f>PPTO!I144</f>
        <v>6000</v>
      </c>
      <c r="G21" s="831">
        <f>ROUND(F21*E21,0)</f>
        <v>6000</v>
      </c>
      <c r="I21" s="822"/>
      <c r="J21" s="822"/>
      <c r="K21" s="823"/>
      <c r="L21" s="827"/>
      <c r="M21" s="825"/>
      <c r="N21" s="825"/>
      <c r="O21" s="808"/>
      <c r="P21" s="795"/>
      <c r="Q21" s="795"/>
      <c r="R21" s="795"/>
      <c r="S21" s="795"/>
      <c r="T21" s="795"/>
      <c r="U21" s="795"/>
    </row>
    <row r="22" spans="1:21">
      <c r="A22" s="1429"/>
      <c r="B22" s="1430"/>
      <c r="C22" s="1430"/>
      <c r="D22" s="832"/>
      <c r="E22" s="829"/>
      <c r="F22" s="833"/>
      <c r="G22" s="831"/>
      <c r="I22" s="834"/>
      <c r="J22" s="834"/>
      <c r="K22" s="835"/>
      <c r="L22" s="827"/>
      <c r="M22" s="825"/>
      <c r="N22" s="825"/>
      <c r="O22" s="814"/>
      <c r="P22" s="795"/>
      <c r="Q22" s="795"/>
      <c r="R22" s="795"/>
      <c r="S22" s="795"/>
      <c r="T22" s="795"/>
      <c r="U22" s="795"/>
    </row>
    <row r="23" spans="1:21">
      <c r="A23" s="1421"/>
      <c r="B23" s="1422"/>
      <c r="C23" s="1422"/>
      <c r="D23" s="828"/>
      <c r="E23" s="836"/>
      <c r="F23" s="833"/>
      <c r="G23" s="831"/>
      <c r="I23" s="834"/>
      <c r="J23" s="834"/>
      <c r="K23" s="835"/>
      <c r="L23" s="827"/>
      <c r="M23" s="825"/>
      <c r="N23" s="825"/>
      <c r="O23" s="814"/>
      <c r="P23" s="795"/>
      <c r="Q23" s="795"/>
      <c r="R23" s="795"/>
      <c r="S23" s="795"/>
      <c r="T23" s="795"/>
      <c r="U23" s="795"/>
    </row>
    <row r="24" spans="1:21">
      <c r="A24" s="1421"/>
      <c r="B24" s="1422"/>
      <c r="C24" s="1422"/>
      <c r="D24" s="832"/>
      <c r="E24" s="837"/>
      <c r="F24" s="833"/>
      <c r="G24" s="831"/>
      <c r="I24" s="834"/>
      <c r="J24" s="838"/>
      <c r="K24" s="835"/>
      <c r="L24" s="808"/>
      <c r="M24" s="812"/>
      <c r="N24" s="812"/>
      <c r="O24" s="814"/>
      <c r="P24" s="795"/>
      <c r="Q24" s="795"/>
      <c r="R24" s="795"/>
      <c r="S24" s="795"/>
      <c r="T24" s="795"/>
      <c r="U24" s="795"/>
    </row>
    <row r="25" spans="1:21">
      <c r="A25" s="1421"/>
      <c r="B25" s="1422"/>
      <c r="C25" s="1422"/>
      <c r="D25" s="832"/>
      <c r="E25" s="836"/>
      <c r="F25" s="805"/>
      <c r="G25" s="831"/>
      <c r="I25" s="834"/>
      <c r="J25" s="839"/>
      <c r="K25" s="835"/>
      <c r="L25" s="808"/>
      <c r="M25" s="812"/>
      <c r="N25" s="812"/>
      <c r="O25" s="814"/>
      <c r="P25" s="795"/>
      <c r="Q25" s="795"/>
      <c r="R25" s="795"/>
      <c r="S25" s="795"/>
      <c r="T25" s="795"/>
      <c r="U25" s="795"/>
    </row>
    <row r="26" spans="1:21">
      <c r="A26" s="1421"/>
      <c r="B26" s="1422"/>
      <c r="C26" s="1422"/>
      <c r="D26" s="828"/>
      <c r="E26" s="836"/>
      <c r="F26" s="805"/>
      <c r="G26" s="831"/>
      <c r="I26" s="834"/>
      <c r="J26" s="839"/>
      <c r="K26" s="835"/>
      <c r="L26" s="808"/>
      <c r="M26" s="812"/>
      <c r="N26" s="812"/>
      <c r="O26" s="814"/>
      <c r="P26" s="795"/>
      <c r="Q26" s="795"/>
      <c r="R26" s="795"/>
      <c r="S26" s="795"/>
      <c r="T26" s="795"/>
      <c r="U26" s="795"/>
    </row>
    <row r="27" spans="1:21">
      <c r="A27" s="1421"/>
      <c r="B27" s="1422"/>
      <c r="C27" s="1422" t="s">
        <v>50</v>
      </c>
      <c r="D27" s="828"/>
      <c r="E27" s="836"/>
      <c r="F27" s="805"/>
      <c r="G27" s="831">
        <f>+G21*0.05</f>
        <v>300</v>
      </c>
      <c r="I27" s="834"/>
      <c r="J27" s="839"/>
      <c r="K27" s="835"/>
      <c r="L27" s="808"/>
      <c r="M27" s="812"/>
      <c r="N27" s="812"/>
      <c r="O27" s="814"/>
      <c r="P27" s="795"/>
      <c r="Q27" s="795"/>
      <c r="R27" s="795"/>
      <c r="S27" s="795"/>
      <c r="T27" s="795"/>
      <c r="U27" s="795"/>
    </row>
    <row r="28" spans="1:21">
      <c r="A28" s="1421"/>
      <c r="B28" s="1422"/>
      <c r="C28" s="1422"/>
      <c r="D28" s="828"/>
      <c r="E28" s="836"/>
      <c r="F28" s="805"/>
      <c r="G28" s="831"/>
      <c r="I28" s="834"/>
      <c r="J28" s="834"/>
      <c r="K28" s="835"/>
      <c r="L28" s="808"/>
      <c r="M28" s="812"/>
      <c r="N28" s="812"/>
      <c r="O28" s="814"/>
      <c r="P28" s="795"/>
      <c r="Q28" s="795"/>
      <c r="R28" s="795"/>
      <c r="S28" s="795"/>
      <c r="T28" s="795"/>
      <c r="U28" s="795"/>
    </row>
    <row r="29" spans="1:21">
      <c r="A29" s="1421"/>
      <c r="B29" s="1422"/>
      <c r="C29" s="1422"/>
      <c r="D29" s="840"/>
      <c r="E29" s="840"/>
      <c r="F29" s="805"/>
      <c r="G29" s="831"/>
      <c r="I29" s="841"/>
      <c r="J29" s="841"/>
      <c r="K29" s="841"/>
      <c r="L29" s="808"/>
      <c r="M29" s="812"/>
      <c r="N29" s="812"/>
      <c r="O29" s="814"/>
      <c r="P29" s="795"/>
      <c r="Q29" s="795"/>
      <c r="R29" s="795"/>
      <c r="S29" s="795"/>
      <c r="T29" s="795"/>
      <c r="U29" s="795"/>
    </row>
    <row r="30" spans="1:21">
      <c r="A30" s="1421"/>
      <c r="B30" s="1422"/>
      <c r="C30" s="1422"/>
      <c r="D30" s="818" t="s">
        <v>28</v>
      </c>
      <c r="E30" s="819"/>
      <c r="F30" s="820"/>
      <c r="G30" s="821">
        <f>SUM(G21:G29)</f>
        <v>6300</v>
      </c>
      <c r="I30" s="802"/>
      <c r="J30" s="808"/>
      <c r="K30" s="802"/>
      <c r="L30" s="808"/>
      <c r="M30" s="812"/>
      <c r="N30" s="812"/>
      <c r="O30" s="814"/>
      <c r="P30" s="795"/>
    </row>
    <row r="31" spans="1:21" ht="3.75" customHeight="1">
      <c r="A31" s="794"/>
      <c r="B31" s="795"/>
      <c r="C31" s="796"/>
      <c r="D31" s="795"/>
      <c r="E31" s="795"/>
      <c r="F31" s="795"/>
      <c r="G31" s="797"/>
      <c r="I31" s="802"/>
      <c r="J31" s="808"/>
      <c r="K31" s="802"/>
      <c r="L31" s="802"/>
      <c r="M31" s="802"/>
      <c r="N31" s="802"/>
      <c r="O31" s="814"/>
      <c r="P31" s="795"/>
    </row>
    <row r="32" spans="1:21">
      <c r="A32" s="1408" t="s">
        <v>71</v>
      </c>
      <c r="B32" s="1409"/>
      <c r="C32" s="1409"/>
      <c r="D32" s="1409"/>
      <c r="E32" s="1409"/>
      <c r="F32" s="1409"/>
      <c r="G32" s="1410"/>
    </row>
    <row r="33" spans="1:16" ht="3.75" customHeight="1">
      <c r="A33" s="794"/>
      <c r="B33" s="795"/>
      <c r="C33" s="796"/>
      <c r="D33" s="795"/>
      <c r="E33" s="795"/>
      <c r="F33" s="795"/>
      <c r="G33" s="797"/>
      <c r="I33" s="802"/>
      <c r="J33" s="808"/>
      <c r="K33" s="802"/>
      <c r="L33" s="802"/>
      <c r="M33" s="802"/>
      <c r="N33" s="802"/>
      <c r="O33" s="814"/>
      <c r="P33" s="795"/>
    </row>
    <row r="34" spans="1:16">
      <c r="A34" s="1406" t="s">
        <v>5</v>
      </c>
      <c r="B34" s="1407" t="s">
        <v>29</v>
      </c>
      <c r="C34" s="1407" t="s">
        <v>30</v>
      </c>
      <c r="D34" s="772" t="s">
        <v>31</v>
      </c>
      <c r="E34" s="772" t="s">
        <v>32</v>
      </c>
      <c r="F34" s="772" t="s">
        <v>20</v>
      </c>
      <c r="G34" s="389" t="s">
        <v>33</v>
      </c>
      <c r="H34" s="799"/>
      <c r="I34" s="802"/>
      <c r="J34" s="808"/>
      <c r="K34" s="802"/>
      <c r="L34" s="802"/>
      <c r="M34" s="802"/>
      <c r="N34" s="802"/>
      <c r="O34" s="814"/>
      <c r="P34" s="795"/>
    </row>
    <row r="35" spans="1:16">
      <c r="A35" s="843" t="s">
        <v>41</v>
      </c>
      <c r="B35" s="844">
        <f>BOF</f>
        <v>51749</v>
      </c>
      <c r="C35" s="845">
        <f>ffpp</f>
        <v>0.64539999999999997</v>
      </c>
      <c r="D35" s="846">
        <v>1</v>
      </c>
      <c r="E35" s="847">
        <f>OF</f>
        <v>88696</v>
      </c>
      <c r="F35" s="848">
        <v>300</v>
      </c>
      <c r="G35" s="831">
        <f>ROUND(+D35*E35/F35,0)</f>
        <v>296</v>
      </c>
      <c r="I35" s="811"/>
      <c r="J35" s="808"/>
      <c r="K35" s="802"/>
      <c r="L35" s="802"/>
      <c r="M35" s="802"/>
      <c r="N35" s="802"/>
      <c r="O35" s="814"/>
      <c r="P35" s="795"/>
    </row>
    <row r="36" spans="1:16">
      <c r="A36" s="843" t="s">
        <v>38</v>
      </c>
      <c r="B36" s="844">
        <f>BOB</f>
        <v>41749</v>
      </c>
      <c r="C36" s="845">
        <f>ffpp</f>
        <v>0.64539999999999997</v>
      </c>
      <c r="D36" s="846">
        <v>1</v>
      </c>
      <c r="E36" s="847">
        <f>OB</f>
        <v>72242</v>
      </c>
      <c r="F36" s="848">
        <f>+F35</f>
        <v>300</v>
      </c>
      <c r="G36" s="831">
        <f>ROUND(+D36*E36/F36,0)</f>
        <v>241</v>
      </c>
      <c r="I36" s="802"/>
      <c r="J36" s="802"/>
      <c r="K36" s="808"/>
      <c r="L36" s="808"/>
      <c r="M36" s="808"/>
      <c r="N36" s="808"/>
      <c r="O36" s="808"/>
      <c r="P36" s="795"/>
    </row>
    <row r="37" spans="1:16">
      <c r="A37" s="843"/>
      <c r="B37" s="844"/>
      <c r="C37" s="962"/>
      <c r="D37" s="846"/>
      <c r="E37" s="847"/>
      <c r="F37" s="848"/>
      <c r="G37" s="831"/>
      <c r="I37" s="802"/>
      <c r="J37" s="808"/>
      <c r="K37" s="808"/>
      <c r="L37" s="808"/>
      <c r="M37" s="817"/>
      <c r="N37" s="817"/>
      <c r="O37" s="851"/>
      <c r="P37" s="795"/>
    </row>
    <row r="38" spans="1:16">
      <c r="A38" s="843"/>
      <c r="B38" s="844"/>
      <c r="C38" s="845"/>
      <c r="D38" s="846"/>
      <c r="E38" s="847"/>
      <c r="F38" s="848"/>
      <c r="G38" s="831"/>
      <c r="I38" s="802"/>
      <c r="J38" s="808"/>
      <c r="K38" s="808"/>
      <c r="L38" s="808"/>
      <c r="M38" s="817"/>
      <c r="N38" s="817"/>
      <c r="O38" s="851"/>
      <c r="P38" s="795"/>
    </row>
    <row r="39" spans="1:16">
      <c r="A39" s="849"/>
      <c r="B39" s="819"/>
      <c r="C39" s="819"/>
      <c r="D39" s="819"/>
      <c r="E39" s="819"/>
      <c r="F39" s="819"/>
      <c r="G39" s="850"/>
      <c r="I39" s="802"/>
      <c r="J39" s="808"/>
      <c r="K39" s="808"/>
      <c r="L39" s="808"/>
      <c r="M39" s="817"/>
      <c r="N39" s="817"/>
      <c r="O39" s="851"/>
      <c r="P39" s="795"/>
    </row>
    <row r="40" spans="1:16">
      <c r="A40" s="849"/>
      <c r="B40" s="819"/>
      <c r="C40" s="819"/>
      <c r="D40" s="819"/>
      <c r="E40" s="819"/>
      <c r="F40" s="819"/>
      <c r="G40" s="850"/>
      <c r="I40" s="802"/>
      <c r="J40" s="808"/>
      <c r="K40" s="808"/>
      <c r="L40" s="808"/>
      <c r="M40" s="817"/>
      <c r="N40" s="817"/>
      <c r="O40" s="851"/>
      <c r="P40" s="795"/>
    </row>
    <row r="41" spans="1:16">
      <c r="A41" s="843"/>
      <c r="B41" s="848"/>
      <c r="C41" s="845"/>
      <c r="D41" s="848"/>
      <c r="E41" s="852"/>
      <c r="F41" s="852"/>
      <c r="G41" s="853"/>
      <c r="I41" s="802"/>
      <c r="J41" s="808"/>
      <c r="K41" s="808"/>
      <c r="L41" s="808"/>
      <c r="M41" s="817"/>
      <c r="N41" s="817"/>
      <c r="O41" s="851"/>
      <c r="P41" s="795"/>
    </row>
    <row r="42" spans="1:16">
      <c r="A42" s="854"/>
      <c r="B42" s="855"/>
      <c r="C42" s="855"/>
      <c r="D42" s="855" t="s">
        <v>34</v>
      </c>
      <c r="E42" s="855"/>
      <c r="F42" s="855"/>
      <c r="G42" s="856">
        <f>SUM(G35:G41)</f>
        <v>537</v>
      </c>
      <c r="I42" s="802"/>
      <c r="J42" s="808"/>
      <c r="K42" s="808"/>
      <c r="L42" s="808"/>
      <c r="M42" s="812"/>
      <c r="N42" s="812"/>
      <c r="O42" s="814"/>
      <c r="P42" s="795"/>
    </row>
    <row r="43" spans="1:16">
      <c r="A43" s="794"/>
      <c r="B43" s="795"/>
      <c r="C43" s="796"/>
      <c r="D43" s="795"/>
      <c r="E43" s="795"/>
      <c r="F43" s="795"/>
      <c r="G43" s="797"/>
      <c r="I43" s="802"/>
      <c r="J43" s="808"/>
      <c r="K43" s="808"/>
      <c r="L43" s="808"/>
      <c r="M43" s="812"/>
      <c r="N43" s="812"/>
      <c r="O43" s="815"/>
      <c r="P43" s="795"/>
    </row>
    <row r="44" spans="1:16">
      <c r="A44" s="794"/>
      <c r="B44" s="795"/>
      <c r="C44" s="796"/>
      <c r="D44" s="795"/>
      <c r="E44" s="795"/>
      <c r="F44" s="795"/>
      <c r="G44" s="797"/>
      <c r="I44" s="802"/>
      <c r="J44" s="808"/>
      <c r="K44" s="808"/>
      <c r="L44" s="808"/>
      <c r="M44" s="857"/>
      <c r="N44" s="857"/>
      <c r="O44" s="858"/>
      <c r="P44" s="795"/>
    </row>
    <row r="45" spans="1:16">
      <c r="A45" s="873"/>
      <c r="B45" s="872"/>
      <c r="C45" s="872"/>
      <c r="D45" s="1418" t="s">
        <v>35</v>
      </c>
      <c r="E45" s="1419"/>
      <c r="F45" s="1420"/>
      <c r="G45" s="859">
        <f>+G42+G30+G16</f>
        <v>6864</v>
      </c>
      <c r="I45" s="802"/>
      <c r="J45" s="808"/>
      <c r="K45" s="802"/>
      <c r="L45" s="802"/>
      <c r="M45" s="802"/>
      <c r="N45" s="802"/>
      <c r="O45" s="802"/>
      <c r="P45" s="795"/>
    </row>
    <row r="46" spans="1:16" ht="7.5" customHeight="1">
      <c r="A46" s="873"/>
      <c r="B46" s="872"/>
      <c r="C46" s="872"/>
      <c r="D46" s="862"/>
      <c r="E46" s="862"/>
      <c r="F46" s="862"/>
      <c r="G46" s="863"/>
      <c r="I46" s="802"/>
      <c r="J46" s="808"/>
      <c r="K46" s="802"/>
      <c r="L46" s="802"/>
      <c r="M46" s="802"/>
      <c r="N46" s="802"/>
      <c r="O46" s="802"/>
      <c r="P46" s="795"/>
    </row>
    <row r="47" spans="1:16">
      <c r="A47" s="873"/>
      <c r="B47" s="872"/>
      <c r="C47" s="872"/>
      <c r="D47" s="862"/>
      <c r="E47" s="862"/>
      <c r="F47" s="862"/>
      <c r="G47" s="863"/>
      <c r="I47" s="802"/>
      <c r="J47" s="808"/>
      <c r="K47" s="802"/>
      <c r="L47" s="802"/>
      <c r="M47" s="802"/>
      <c r="N47" s="802"/>
      <c r="O47" s="802"/>
      <c r="P47" s="795"/>
    </row>
    <row r="48" spans="1:16">
      <c r="A48" s="873"/>
      <c r="B48" s="872"/>
      <c r="C48" s="872"/>
      <c r="D48" s="862"/>
      <c r="E48" s="862"/>
      <c r="F48" s="862"/>
      <c r="G48" s="863"/>
      <c r="I48" s="802"/>
      <c r="J48" s="808"/>
      <c r="K48" s="802"/>
      <c r="L48" s="802"/>
      <c r="M48" s="802"/>
      <c r="N48" s="802"/>
      <c r="O48" s="802"/>
      <c r="P48" s="795"/>
    </row>
    <row r="49" spans="1:16">
      <c r="A49" s="873"/>
      <c r="B49" s="872"/>
      <c r="C49" s="872"/>
      <c r="D49" s="864"/>
      <c r="E49" s="865"/>
      <c r="F49" s="865"/>
      <c r="G49" s="863"/>
      <c r="I49" s="802"/>
      <c r="J49" s="808"/>
      <c r="K49" s="802"/>
      <c r="L49" s="802"/>
      <c r="M49" s="802"/>
      <c r="N49" s="802"/>
      <c r="O49" s="802"/>
      <c r="P49" s="795"/>
    </row>
    <row r="50" spans="1:16" ht="5.25" customHeight="1" thickBot="1">
      <c r="A50" s="866"/>
      <c r="B50" s="867"/>
      <c r="C50" s="868"/>
      <c r="D50" s="869"/>
      <c r="E50" s="870"/>
      <c r="F50" s="870"/>
      <c r="G50" s="871"/>
      <c r="I50" s="802"/>
      <c r="J50" s="808"/>
      <c r="K50" s="802"/>
      <c r="L50" s="802"/>
      <c r="M50" s="802"/>
      <c r="N50" s="802"/>
      <c r="O50" s="802"/>
      <c r="P50" s="795"/>
    </row>
    <row r="51" spans="1:16">
      <c r="I51" s="795"/>
      <c r="J51" s="795"/>
      <c r="K51" s="795"/>
      <c r="L51" s="795"/>
      <c r="M51" s="795"/>
      <c r="N51" s="795"/>
      <c r="O51" s="795"/>
      <c r="P51" s="795"/>
    </row>
    <row r="52" spans="1:16">
      <c r="I52" s="795"/>
      <c r="J52" s="795"/>
      <c r="K52" s="795"/>
      <c r="L52" s="795"/>
      <c r="M52" s="795"/>
      <c r="N52" s="795"/>
      <c r="O52" s="795"/>
      <c r="P52" s="795"/>
    </row>
  </sheetData>
  <mergeCells count="27">
    <mergeCell ref="D45:F45"/>
    <mergeCell ref="A28:C28"/>
    <mergeCell ref="A29:C29"/>
    <mergeCell ref="A30:C30"/>
    <mergeCell ref="A22:C22"/>
    <mergeCell ref="A23:C23"/>
    <mergeCell ref="A24:C24"/>
    <mergeCell ref="A25:C25"/>
    <mergeCell ref="A26:C26"/>
    <mergeCell ref="A27:C27"/>
    <mergeCell ref="A34:C34"/>
    <mergeCell ref="A32:G32"/>
    <mergeCell ref="A1:G1"/>
    <mergeCell ref="A2:G2"/>
    <mergeCell ref="A3:G4"/>
    <mergeCell ref="B6:E6"/>
    <mergeCell ref="A10:C10"/>
    <mergeCell ref="A18:G18"/>
    <mergeCell ref="A20:C20"/>
    <mergeCell ref="A21:C21"/>
    <mergeCell ref="A8:G8"/>
    <mergeCell ref="A11:B11"/>
    <mergeCell ref="A12:B12"/>
    <mergeCell ref="A13:B13"/>
    <mergeCell ref="A14:B14"/>
    <mergeCell ref="A15:B15"/>
    <mergeCell ref="A16:C16"/>
  </mergeCells>
  <printOptions horizontalCentered="1" verticalCentered="1"/>
  <pageMargins left="0.74803149606299213" right="0.74803149606299213" top="0" bottom="0.98425196850393704" header="0" footer="0"/>
  <pageSetup scale="90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1"/>
  <dimension ref="A1:U49"/>
  <sheetViews>
    <sheetView view="pageBreakPreview" topLeftCell="A19" zoomScaleNormal="100" zoomScaleSheetLayoutView="100" workbookViewId="0">
      <selection activeCell="F36" sqref="F36"/>
    </sheetView>
  </sheetViews>
  <sheetFormatPr baseColWidth="10" defaultColWidth="10.7109375" defaultRowHeight="12.75"/>
  <cols>
    <col min="1" max="1" width="15.85546875" style="3" customWidth="1"/>
    <col min="2" max="2" width="14.85546875" style="3" customWidth="1"/>
    <col min="3" max="3" width="13.28515625" style="3" customWidth="1"/>
    <col min="4" max="4" width="11.42578125" style="3"/>
    <col min="5" max="5" width="13.42578125" style="3" customWidth="1"/>
    <col min="6" max="6" width="12.7109375" style="3" customWidth="1"/>
    <col min="7" max="7" width="14" style="3" customWidth="1"/>
    <col min="8" max="8" width="7.42578125" style="3" customWidth="1"/>
    <col min="9" max="256" width="11.42578125" style="3"/>
    <col min="257" max="257" width="15.85546875" style="3" customWidth="1"/>
    <col min="258" max="258" width="14.85546875" style="3" customWidth="1"/>
    <col min="259" max="259" width="13.28515625" style="3" customWidth="1"/>
    <col min="260" max="260" width="11.42578125" style="3"/>
    <col min="261" max="261" width="13.42578125" style="3" customWidth="1"/>
    <col min="262" max="262" width="12.7109375" style="3" customWidth="1"/>
    <col min="263" max="263" width="14" style="3" customWidth="1"/>
    <col min="264" max="264" width="7.42578125" style="3" customWidth="1"/>
    <col min="265" max="512" width="11.42578125" style="3"/>
    <col min="513" max="513" width="15.85546875" style="3" customWidth="1"/>
    <col min="514" max="514" width="14.85546875" style="3" customWidth="1"/>
    <col min="515" max="515" width="13.28515625" style="3" customWidth="1"/>
    <col min="516" max="516" width="11.42578125" style="3"/>
    <col min="517" max="517" width="13.42578125" style="3" customWidth="1"/>
    <col min="518" max="518" width="12.7109375" style="3" customWidth="1"/>
    <col min="519" max="519" width="14" style="3" customWidth="1"/>
    <col min="520" max="520" width="7.42578125" style="3" customWidth="1"/>
    <col min="521" max="768" width="11.42578125" style="3"/>
    <col min="769" max="769" width="15.85546875" style="3" customWidth="1"/>
    <col min="770" max="770" width="14.85546875" style="3" customWidth="1"/>
    <col min="771" max="771" width="13.28515625" style="3" customWidth="1"/>
    <col min="772" max="772" width="11.42578125" style="3"/>
    <col min="773" max="773" width="13.42578125" style="3" customWidth="1"/>
    <col min="774" max="774" width="12.7109375" style="3" customWidth="1"/>
    <col min="775" max="775" width="14" style="3" customWidth="1"/>
    <col min="776" max="776" width="7.42578125" style="3" customWidth="1"/>
    <col min="777" max="1024" width="11.42578125" style="3"/>
    <col min="1025" max="1025" width="15.85546875" style="3" customWidth="1"/>
    <col min="1026" max="1026" width="14.85546875" style="3" customWidth="1"/>
    <col min="1027" max="1027" width="13.28515625" style="3" customWidth="1"/>
    <col min="1028" max="1028" width="11.42578125" style="3"/>
    <col min="1029" max="1029" width="13.42578125" style="3" customWidth="1"/>
    <col min="1030" max="1030" width="12.7109375" style="3" customWidth="1"/>
    <col min="1031" max="1031" width="14" style="3" customWidth="1"/>
    <col min="1032" max="1032" width="7.42578125" style="3" customWidth="1"/>
    <col min="1033" max="1280" width="11.42578125" style="3"/>
    <col min="1281" max="1281" width="15.85546875" style="3" customWidth="1"/>
    <col min="1282" max="1282" width="14.85546875" style="3" customWidth="1"/>
    <col min="1283" max="1283" width="13.28515625" style="3" customWidth="1"/>
    <col min="1284" max="1284" width="11.42578125" style="3"/>
    <col min="1285" max="1285" width="13.42578125" style="3" customWidth="1"/>
    <col min="1286" max="1286" width="12.7109375" style="3" customWidth="1"/>
    <col min="1287" max="1287" width="14" style="3" customWidth="1"/>
    <col min="1288" max="1288" width="7.42578125" style="3" customWidth="1"/>
    <col min="1289" max="1536" width="11.42578125" style="3"/>
    <col min="1537" max="1537" width="15.85546875" style="3" customWidth="1"/>
    <col min="1538" max="1538" width="14.85546875" style="3" customWidth="1"/>
    <col min="1539" max="1539" width="13.28515625" style="3" customWidth="1"/>
    <col min="1540" max="1540" width="11.42578125" style="3"/>
    <col min="1541" max="1541" width="13.42578125" style="3" customWidth="1"/>
    <col min="1542" max="1542" width="12.7109375" style="3" customWidth="1"/>
    <col min="1543" max="1543" width="14" style="3" customWidth="1"/>
    <col min="1544" max="1544" width="7.42578125" style="3" customWidth="1"/>
    <col min="1545" max="1792" width="11.42578125" style="3"/>
    <col min="1793" max="1793" width="15.85546875" style="3" customWidth="1"/>
    <col min="1794" max="1794" width="14.85546875" style="3" customWidth="1"/>
    <col min="1795" max="1795" width="13.28515625" style="3" customWidth="1"/>
    <col min="1796" max="1796" width="11.42578125" style="3"/>
    <col min="1797" max="1797" width="13.42578125" style="3" customWidth="1"/>
    <col min="1798" max="1798" width="12.7109375" style="3" customWidth="1"/>
    <col min="1799" max="1799" width="14" style="3" customWidth="1"/>
    <col min="1800" max="1800" width="7.42578125" style="3" customWidth="1"/>
    <col min="1801" max="2048" width="11.42578125" style="3"/>
    <col min="2049" max="2049" width="15.85546875" style="3" customWidth="1"/>
    <col min="2050" max="2050" width="14.85546875" style="3" customWidth="1"/>
    <col min="2051" max="2051" width="13.28515625" style="3" customWidth="1"/>
    <col min="2052" max="2052" width="11.42578125" style="3"/>
    <col min="2053" max="2053" width="13.42578125" style="3" customWidth="1"/>
    <col min="2054" max="2054" width="12.7109375" style="3" customWidth="1"/>
    <col min="2055" max="2055" width="14" style="3" customWidth="1"/>
    <col min="2056" max="2056" width="7.42578125" style="3" customWidth="1"/>
    <col min="2057" max="2304" width="11.42578125" style="3"/>
    <col min="2305" max="2305" width="15.85546875" style="3" customWidth="1"/>
    <col min="2306" max="2306" width="14.85546875" style="3" customWidth="1"/>
    <col min="2307" max="2307" width="13.28515625" style="3" customWidth="1"/>
    <col min="2308" max="2308" width="11.42578125" style="3"/>
    <col min="2309" max="2309" width="13.42578125" style="3" customWidth="1"/>
    <col min="2310" max="2310" width="12.7109375" style="3" customWidth="1"/>
    <col min="2311" max="2311" width="14" style="3" customWidth="1"/>
    <col min="2312" max="2312" width="7.42578125" style="3" customWidth="1"/>
    <col min="2313" max="2560" width="11.42578125" style="3"/>
    <col min="2561" max="2561" width="15.85546875" style="3" customWidth="1"/>
    <col min="2562" max="2562" width="14.85546875" style="3" customWidth="1"/>
    <col min="2563" max="2563" width="13.28515625" style="3" customWidth="1"/>
    <col min="2564" max="2564" width="11.42578125" style="3"/>
    <col min="2565" max="2565" width="13.42578125" style="3" customWidth="1"/>
    <col min="2566" max="2566" width="12.7109375" style="3" customWidth="1"/>
    <col min="2567" max="2567" width="14" style="3" customWidth="1"/>
    <col min="2568" max="2568" width="7.42578125" style="3" customWidth="1"/>
    <col min="2569" max="2816" width="11.42578125" style="3"/>
    <col min="2817" max="2817" width="15.85546875" style="3" customWidth="1"/>
    <col min="2818" max="2818" width="14.85546875" style="3" customWidth="1"/>
    <col min="2819" max="2819" width="13.28515625" style="3" customWidth="1"/>
    <col min="2820" max="2820" width="11.42578125" style="3"/>
    <col min="2821" max="2821" width="13.42578125" style="3" customWidth="1"/>
    <col min="2822" max="2822" width="12.7109375" style="3" customWidth="1"/>
    <col min="2823" max="2823" width="14" style="3" customWidth="1"/>
    <col min="2824" max="2824" width="7.42578125" style="3" customWidth="1"/>
    <col min="2825" max="3072" width="11.42578125" style="3"/>
    <col min="3073" max="3073" width="15.85546875" style="3" customWidth="1"/>
    <col min="3074" max="3074" width="14.85546875" style="3" customWidth="1"/>
    <col min="3075" max="3075" width="13.28515625" style="3" customWidth="1"/>
    <col min="3076" max="3076" width="11.42578125" style="3"/>
    <col min="3077" max="3077" width="13.42578125" style="3" customWidth="1"/>
    <col min="3078" max="3078" width="12.7109375" style="3" customWidth="1"/>
    <col min="3079" max="3079" width="14" style="3" customWidth="1"/>
    <col min="3080" max="3080" width="7.42578125" style="3" customWidth="1"/>
    <col min="3081" max="3328" width="11.42578125" style="3"/>
    <col min="3329" max="3329" width="15.85546875" style="3" customWidth="1"/>
    <col min="3330" max="3330" width="14.85546875" style="3" customWidth="1"/>
    <col min="3331" max="3331" width="13.28515625" style="3" customWidth="1"/>
    <col min="3332" max="3332" width="11.42578125" style="3"/>
    <col min="3333" max="3333" width="13.42578125" style="3" customWidth="1"/>
    <col min="3334" max="3334" width="12.7109375" style="3" customWidth="1"/>
    <col min="3335" max="3335" width="14" style="3" customWidth="1"/>
    <col min="3336" max="3336" width="7.42578125" style="3" customWidth="1"/>
    <col min="3337" max="3584" width="11.42578125" style="3"/>
    <col min="3585" max="3585" width="15.85546875" style="3" customWidth="1"/>
    <col min="3586" max="3586" width="14.85546875" style="3" customWidth="1"/>
    <col min="3587" max="3587" width="13.28515625" style="3" customWidth="1"/>
    <col min="3588" max="3588" width="11.42578125" style="3"/>
    <col min="3589" max="3589" width="13.42578125" style="3" customWidth="1"/>
    <col min="3590" max="3590" width="12.7109375" style="3" customWidth="1"/>
    <col min="3591" max="3591" width="14" style="3" customWidth="1"/>
    <col min="3592" max="3592" width="7.42578125" style="3" customWidth="1"/>
    <col min="3593" max="3840" width="11.42578125" style="3"/>
    <col min="3841" max="3841" width="15.85546875" style="3" customWidth="1"/>
    <col min="3842" max="3842" width="14.85546875" style="3" customWidth="1"/>
    <col min="3843" max="3843" width="13.28515625" style="3" customWidth="1"/>
    <col min="3844" max="3844" width="11.42578125" style="3"/>
    <col min="3845" max="3845" width="13.42578125" style="3" customWidth="1"/>
    <col min="3846" max="3846" width="12.7109375" style="3" customWidth="1"/>
    <col min="3847" max="3847" width="14" style="3" customWidth="1"/>
    <col min="3848" max="3848" width="7.42578125" style="3" customWidth="1"/>
    <col min="3849" max="4096" width="11.42578125" style="3"/>
    <col min="4097" max="4097" width="15.85546875" style="3" customWidth="1"/>
    <col min="4098" max="4098" width="14.85546875" style="3" customWidth="1"/>
    <col min="4099" max="4099" width="13.28515625" style="3" customWidth="1"/>
    <col min="4100" max="4100" width="11.42578125" style="3"/>
    <col min="4101" max="4101" width="13.42578125" style="3" customWidth="1"/>
    <col min="4102" max="4102" width="12.7109375" style="3" customWidth="1"/>
    <col min="4103" max="4103" width="14" style="3" customWidth="1"/>
    <col min="4104" max="4104" width="7.42578125" style="3" customWidth="1"/>
    <col min="4105" max="4352" width="11.42578125" style="3"/>
    <col min="4353" max="4353" width="15.85546875" style="3" customWidth="1"/>
    <col min="4354" max="4354" width="14.85546875" style="3" customWidth="1"/>
    <col min="4355" max="4355" width="13.28515625" style="3" customWidth="1"/>
    <col min="4356" max="4356" width="11.42578125" style="3"/>
    <col min="4357" max="4357" width="13.42578125" style="3" customWidth="1"/>
    <col min="4358" max="4358" width="12.7109375" style="3" customWidth="1"/>
    <col min="4359" max="4359" width="14" style="3" customWidth="1"/>
    <col min="4360" max="4360" width="7.42578125" style="3" customWidth="1"/>
    <col min="4361" max="4608" width="11.42578125" style="3"/>
    <col min="4609" max="4609" width="15.85546875" style="3" customWidth="1"/>
    <col min="4610" max="4610" width="14.85546875" style="3" customWidth="1"/>
    <col min="4611" max="4611" width="13.28515625" style="3" customWidth="1"/>
    <col min="4612" max="4612" width="11.42578125" style="3"/>
    <col min="4613" max="4613" width="13.42578125" style="3" customWidth="1"/>
    <col min="4614" max="4614" width="12.7109375" style="3" customWidth="1"/>
    <col min="4615" max="4615" width="14" style="3" customWidth="1"/>
    <col min="4616" max="4616" width="7.42578125" style="3" customWidth="1"/>
    <col min="4617" max="4864" width="11.42578125" style="3"/>
    <col min="4865" max="4865" width="15.85546875" style="3" customWidth="1"/>
    <col min="4866" max="4866" width="14.85546875" style="3" customWidth="1"/>
    <col min="4867" max="4867" width="13.28515625" style="3" customWidth="1"/>
    <col min="4868" max="4868" width="11.42578125" style="3"/>
    <col min="4869" max="4869" width="13.42578125" style="3" customWidth="1"/>
    <col min="4870" max="4870" width="12.7109375" style="3" customWidth="1"/>
    <col min="4871" max="4871" width="14" style="3" customWidth="1"/>
    <col min="4872" max="4872" width="7.42578125" style="3" customWidth="1"/>
    <col min="4873" max="5120" width="11.42578125" style="3"/>
    <col min="5121" max="5121" width="15.85546875" style="3" customWidth="1"/>
    <col min="5122" max="5122" width="14.85546875" style="3" customWidth="1"/>
    <col min="5123" max="5123" width="13.28515625" style="3" customWidth="1"/>
    <col min="5124" max="5124" width="11.42578125" style="3"/>
    <col min="5125" max="5125" width="13.42578125" style="3" customWidth="1"/>
    <col min="5126" max="5126" width="12.7109375" style="3" customWidth="1"/>
    <col min="5127" max="5127" width="14" style="3" customWidth="1"/>
    <col min="5128" max="5128" width="7.42578125" style="3" customWidth="1"/>
    <col min="5129" max="5376" width="11.42578125" style="3"/>
    <col min="5377" max="5377" width="15.85546875" style="3" customWidth="1"/>
    <col min="5378" max="5378" width="14.85546875" style="3" customWidth="1"/>
    <col min="5379" max="5379" width="13.28515625" style="3" customWidth="1"/>
    <col min="5380" max="5380" width="11.42578125" style="3"/>
    <col min="5381" max="5381" width="13.42578125" style="3" customWidth="1"/>
    <col min="5382" max="5382" width="12.7109375" style="3" customWidth="1"/>
    <col min="5383" max="5383" width="14" style="3" customWidth="1"/>
    <col min="5384" max="5384" width="7.42578125" style="3" customWidth="1"/>
    <col min="5385" max="5632" width="11.42578125" style="3"/>
    <col min="5633" max="5633" width="15.85546875" style="3" customWidth="1"/>
    <col min="5634" max="5634" width="14.85546875" style="3" customWidth="1"/>
    <col min="5635" max="5635" width="13.28515625" style="3" customWidth="1"/>
    <col min="5636" max="5636" width="11.42578125" style="3"/>
    <col min="5637" max="5637" width="13.42578125" style="3" customWidth="1"/>
    <col min="5638" max="5638" width="12.7109375" style="3" customWidth="1"/>
    <col min="5639" max="5639" width="14" style="3" customWidth="1"/>
    <col min="5640" max="5640" width="7.42578125" style="3" customWidth="1"/>
    <col min="5641" max="5888" width="11.42578125" style="3"/>
    <col min="5889" max="5889" width="15.85546875" style="3" customWidth="1"/>
    <col min="5890" max="5890" width="14.85546875" style="3" customWidth="1"/>
    <col min="5891" max="5891" width="13.28515625" style="3" customWidth="1"/>
    <col min="5892" max="5892" width="11.42578125" style="3"/>
    <col min="5893" max="5893" width="13.42578125" style="3" customWidth="1"/>
    <col min="5894" max="5894" width="12.7109375" style="3" customWidth="1"/>
    <col min="5895" max="5895" width="14" style="3" customWidth="1"/>
    <col min="5896" max="5896" width="7.42578125" style="3" customWidth="1"/>
    <col min="5897" max="6144" width="11.42578125" style="3"/>
    <col min="6145" max="6145" width="15.85546875" style="3" customWidth="1"/>
    <col min="6146" max="6146" width="14.85546875" style="3" customWidth="1"/>
    <col min="6147" max="6147" width="13.28515625" style="3" customWidth="1"/>
    <col min="6148" max="6148" width="11.42578125" style="3"/>
    <col min="6149" max="6149" width="13.42578125" style="3" customWidth="1"/>
    <col min="6150" max="6150" width="12.7109375" style="3" customWidth="1"/>
    <col min="6151" max="6151" width="14" style="3" customWidth="1"/>
    <col min="6152" max="6152" width="7.42578125" style="3" customWidth="1"/>
    <col min="6153" max="6400" width="11.42578125" style="3"/>
    <col min="6401" max="6401" width="15.85546875" style="3" customWidth="1"/>
    <col min="6402" max="6402" width="14.85546875" style="3" customWidth="1"/>
    <col min="6403" max="6403" width="13.28515625" style="3" customWidth="1"/>
    <col min="6404" max="6404" width="11.42578125" style="3"/>
    <col min="6405" max="6405" width="13.42578125" style="3" customWidth="1"/>
    <col min="6406" max="6406" width="12.7109375" style="3" customWidth="1"/>
    <col min="6407" max="6407" width="14" style="3" customWidth="1"/>
    <col min="6408" max="6408" width="7.42578125" style="3" customWidth="1"/>
    <col min="6409" max="6656" width="11.42578125" style="3"/>
    <col min="6657" max="6657" width="15.85546875" style="3" customWidth="1"/>
    <col min="6658" max="6658" width="14.85546875" style="3" customWidth="1"/>
    <col min="6659" max="6659" width="13.28515625" style="3" customWidth="1"/>
    <col min="6660" max="6660" width="11.42578125" style="3"/>
    <col min="6661" max="6661" width="13.42578125" style="3" customWidth="1"/>
    <col min="6662" max="6662" width="12.7109375" style="3" customWidth="1"/>
    <col min="6663" max="6663" width="14" style="3" customWidth="1"/>
    <col min="6664" max="6664" width="7.42578125" style="3" customWidth="1"/>
    <col min="6665" max="6912" width="11.42578125" style="3"/>
    <col min="6913" max="6913" width="15.85546875" style="3" customWidth="1"/>
    <col min="6914" max="6914" width="14.85546875" style="3" customWidth="1"/>
    <col min="6915" max="6915" width="13.28515625" style="3" customWidth="1"/>
    <col min="6916" max="6916" width="11.42578125" style="3"/>
    <col min="6917" max="6917" width="13.42578125" style="3" customWidth="1"/>
    <col min="6918" max="6918" width="12.7109375" style="3" customWidth="1"/>
    <col min="6919" max="6919" width="14" style="3" customWidth="1"/>
    <col min="6920" max="6920" width="7.42578125" style="3" customWidth="1"/>
    <col min="6921" max="7168" width="11.42578125" style="3"/>
    <col min="7169" max="7169" width="15.85546875" style="3" customWidth="1"/>
    <col min="7170" max="7170" width="14.85546875" style="3" customWidth="1"/>
    <col min="7171" max="7171" width="13.28515625" style="3" customWidth="1"/>
    <col min="7172" max="7172" width="11.42578125" style="3"/>
    <col min="7173" max="7173" width="13.42578125" style="3" customWidth="1"/>
    <col min="7174" max="7174" width="12.7109375" style="3" customWidth="1"/>
    <col min="7175" max="7175" width="14" style="3" customWidth="1"/>
    <col min="7176" max="7176" width="7.42578125" style="3" customWidth="1"/>
    <col min="7177" max="7424" width="11.42578125" style="3"/>
    <col min="7425" max="7425" width="15.85546875" style="3" customWidth="1"/>
    <col min="7426" max="7426" width="14.85546875" style="3" customWidth="1"/>
    <col min="7427" max="7427" width="13.28515625" style="3" customWidth="1"/>
    <col min="7428" max="7428" width="11.42578125" style="3"/>
    <col min="7429" max="7429" width="13.42578125" style="3" customWidth="1"/>
    <col min="7430" max="7430" width="12.7109375" style="3" customWidth="1"/>
    <col min="7431" max="7431" width="14" style="3" customWidth="1"/>
    <col min="7432" max="7432" width="7.42578125" style="3" customWidth="1"/>
    <col min="7433" max="7680" width="11.42578125" style="3"/>
    <col min="7681" max="7681" width="15.85546875" style="3" customWidth="1"/>
    <col min="7682" max="7682" width="14.85546875" style="3" customWidth="1"/>
    <col min="7683" max="7683" width="13.28515625" style="3" customWidth="1"/>
    <col min="7684" max="7684" width="11.42578125" style="3"/>
    <col min="7685" max="7685" width="13.42578125" style="3" customWidth="1"/>
    <col min="7686" max="7686" width="12.7109375" style="3" customWidth="1"/>
    <col min="7687" max="7687" width="14" style="3" customWidth="1"/>
    <col min="7688" max="7688" width="7.42578125" style="3" customWidth="1"/>
    <col min="7689" max="7936" width="11.42578125" style="3"/>
    <col min="7937" max="7937" width="15.85546875" style="3" customWidth="1"/>
    <col min="7938" max="7938" width="14.85546875" style="3" customWidth="1"/>
    <col min="7939" max="7939" width="13.28515625" style="3" customWidth="1"/>
    <col min="7940" max="7940" width="11.42578125" style="3"/>
    <col min="7941" max="7941" width="13.42578125" style="3" customWidth="1"/>
    <col min="7942" max="7942" width="12.7109375" style="3" customWidth="1"/>
    <col min="7943" max="7943" width="14" style="3" customWidth="1"/>
    <col min="7944" max="7944" width="7.42578125" style="3" customWidth="1"/>
    <col min="7945" max="8192" width="11.42578125" style="3"/>
    <col min="8193" max="8193" width="15.85546875" style="3" customWidth="1"/>
    <col min="8194" max="8194" width="14.85546875" style="3" customWidth="1"/>
    <col min="8195" max="8195" width="13.28515625" style="3" customWidth="1"/>
    <col min="8196" max="8196" width="11.42578125" style="3"/>
    <col min="8197" max="8197" width="13.42578125" style="3" customWidth="1"/>
    <col min="8198" max="8198" width="12.7109375" style="3" customWidth="1"/>
    <col min="8199" max="8199" width="14" style="3" customWidth="1"/>
    <col min="8200" max="8200" width="7.42578125" style="3" customWidth="1"/>
    <col min="8201" max="8448" width="11.42578125" style="3"/>
    <col min="8449" max="8449" width="15.85546875" style="3" customWidth="1"/>
    <col min="8450" max="8450" width="14.85546875" style="3" customWidth="1"/>
    <col min="8451" max="8451" width="13.28515625" style="3" customWidth="1"/>
    <col min="8452" max="8452" width="11.42578125" style="3"/>
    <col min="8453" max="8453" width="13.42578125" style="3" customWidth="1"/>
    <col min="8454" max="8454" width="12.7109375" style="3" customWidth="1"/>
    <col min="8455" max="8455" width="14" style="3" customWidth="1"/>
    <col min="8456" max="8456" width="7.42578125" style="3" customWidth="1"/>
    <col min="8457" max="8704" width="11.42578125" style="3"/>
    <col min="8705" max="8705" width="15.85546875" style="3" customWidth="1"/>
    <col min="8706" max="8706" width="14.85546875" style="3" customWidth="1"/>
    <col min="8707" max="8707" width="13.28515625" style="3" customWidth="1"/>
    <col min="8708" max="8708" width="11.42578125" style="3"/>
    <col min="8709" max="8709" width="13.42578125" style="3" customWidth="1"/>
    <col min="8710" max="8710" width="12.7109375" style="3" customWidth="1"/>
    <col min="8711" max="8711" width="14" style="3" customWidth="1"/>
    <col min="8712" max="8712" width="7.42578125" style="3" customWidth="1"/>
    <col min="8713" max="8960" width="11.42578125" style="3"/>
    <col min="8961" max="8961" width="15.85546875" style="3" customWidth="1"/>
    <col min="8962" max="8962" width="14.85546875" style="3" customWidth="1"/>
    <col min="8963" max="8963" width="13.28515625" style="3" customWidth="1"/>
    <col min="8964" max="8964" width="11.42578125" style="3"/>
    <col min="8965" max="8965" width="13.42578125" style="3" customWidth="1"/>
    <col min="8966" max="8966" width="12.7109375" style="3" customWidth="1"/>
    <col min="8967" max="8967" width="14" style="3" customWidth="1"/>
    <col min="8968" max="8968" width="7.42578125" style="3" customWidth="1"/>
    <col min="8969" max="9216" width="11.42578125" style="3"/>
    <col min="9217" max="9217" width="15.85546875" style="3" customWidth="1"/>
    <col min="9218" max="9218" width="14.85546875" style="3" customWidth="1"/>
    <col min="9219" max="9219" width="13.28515625" style="3" customWidth="1"/>
    <col min="9220" max="9220" width="11.42578125" style="3"/>
    <col min="9221" max="9221" width="13.42578125" style="3" customWidth="1"/>
    <col min="9222" max="9222" width="12.7109375" style="3" customWidth="1"/>
    <col min="9223" max="9223" width="14" style="3" customWidth="1"/>
    <col min="9224" max="9224" width="7.42578125" style="3" customWidth="1"/>
    <col min="9225" max="9472" width="11.42578125" style="3"/>
    <col min="9473" max="9473" width="15.85546875" style="3" customWidth="1"/>
    <col min="9474" max="9474" width="14.85546875" style="3" customWidth="1"/>
    <col min="9475" max="9475" width="13.28515625" style="3" customWidth="1"/>
    <col min="9476" max="9476" width="11.42578125" style="3"/>
    <col min="9477" max="9477" width="13.42578125" style="3" customWidth="1"/>
    <col min="9478" max="9478" width="12.7109375" style="3" customWidth="1"/>
    <col min="9479" max="9479" width="14" style="3" customWidth="1"/>
    <col min="9480" max="9480" width="7.42578125" style="3" customWidth="1"/>
    <col min="9481" max="9728" width="11.42578125" style="3"/>
    <col min="9729" max="9729" width="15.85546875" style="3" customWidth="1"/>
    <col min="9730" max="9730" width="14.85546875" style="3" customWidth="1"/>
    <col min="9731" max="9731" width="13.28515625" style="3" customWidth="1"/>
    <col min="9732" max="9732" width="11.42578125" style="3"/>
    <col min="9733" max="9733" width="13.42578125" style="3" customWidth="1"/>
    <col min="9734" max="9734" width="12.7109375" style="3" customWidth="1"/>
    <col min="9735" max="9735" width="14" style="3" customWidth="1"/>
    <col min="9736" max="9736" width="7.42578125" style="3" customWidth="1"/>
    <col min="9737" max="9984" width="11.42578125" style="3"/>
    <col min="9985" max="9985" width="15.85546875" style="3" customWidth="1"/>
    <col min="9986" max="9986" width="14.85546875" style="3" customWidth="1"/>
    <col min="9987" max="9987" width="13.28515625" style="3" customWidth="1"/>
    <col min="9988" max="9988" width="11.42578125" style="3"/>
    <col min="9989" max="9989" width="13.42578125" style="3" customWidth="1"/>
    <col min="9990" max="9990" width="12.7109375" style="3" customWidth="1"/>
    <col min="9991" max="9991" width="14" style="3" customWidth="1"/>
    <col min="9992" max="9992" width="7.42578125" style="3" customWidth="1"/>
    <col min="9993" max="10240" width="11.42578125" style="3"/>
    <col min="10241" max="10241" width="15.85546875" style="3" customWidth="1"/>
    <col min="10242" max="10242" width="14.85546875" style="3" customWidth="1"/>
    <col min="10243" max="10243" width="13.28515625" style="3" customWidth="1"/>
    <col min="10244" max="10244" width="11.42578125" style="3"/>
    <col min="10245" max="10245" width="13.42578125" style="3" customWidth="1"/>
    <col min="10246" max="10246" width="12.7109375" style="3" customWidth="1"/>
    <col min="10247" max="10247" width="14" style="3" customWidth="1"/>
    <col min="10248" max="10248" width="7.42578125" style="3" customWidth="1"/>
    <col min="10249" max="10496" width="11.42578125" style="3"/>
    <col min="10497" max="10497" width="15.85546875" style="3" customWidth="1"/>
    <col min="10498" max="10498" width="14.85546875" style="3" customWidth="1"/>
    <col min="10499" max="10499" width="13.28515625" style="3" customWidth="1"/>
    <col min="10500" max="10500" width="11.42578125" style="3"/>
    <col min="10501" max="10501" width="13.42578125" style="3" customWidth="1"/>
    <col min="10502" max="10502" width="12.7109375" style="3" customWidth="1"/>
    <col min="10503" max="10503" width="14" style="3" customWidth="1"/>
    <col min="10504" max="10504" width="7.42578125" style="3" customWidth="1"/>
    <col min="10505" max="10752" width="11.42578125" style="3"/>
    <col min="10753" max="10753" width="15.85546875" style="3" customWidth="1"/>
    <col min="10754" max="10754" width="14.85546875" style="3" customWidth="1"/>
    <col min="10755" max="10755" width="13.28515625" style="3" customWidth="1"/>
    <col min="10756" max="10756" width="11.42578125" style="3"/>
    <col min="10757" max="10757" width="13.42578125" style="3" customWidth="1"/>
    <col min="10758" max="10758" width="12.7109375" style="3" customWidth="1"/>
    <col min="10759" max="10759" width="14" style="3" customWidth="1"/>
    <col min="10760" max="10760" width="7.42578125" style="3" customWidth="1"/>
    <col min="10761" max="11008" width="11.42578125" style="3"/>
    <col min="11009" max="11009" width="15.85546875" style="3" customWidth="1"/>
    <col min="11010" max="11010" width="14.85546875" style="3" customWidth="1"/>
    <col min="11011" max="11011" width="13.28515625" style="3" customWidth="1"/>
    <col min="11012" max="11012" width="11.42578125" style="3"/>
    <col min="11013" max="11013" width="13.42578125" style="3" customWidth="1"/>
    <col min="11014" max="11014" width="12.7109375" style="3" customWidth="1"/>
    <col min="11015" max="11015" width="14" style="3" customWidth="1"/>
    <col min="11016" max="11016" width="7.42578125" style="3" customWidth="1"/>
    <col min="11017" max="11264" width="11.42578125" style="3"/>
    <col min="11265" max="11265" width="15.85546875" style="3" customWidth="1"/>
    <col min="11266" max="11266" width="14.85546875" style="3" customWidth="1"/>
    <col min="11267" max="11267" width="13.28515625" style="3" customWidth="1"/>
    <col min="11268" max="11268" width="11.42578125" style="3"/>
    <col min="11269" max="11269" width="13.42578125" style="3" customWidth="1"/>
    <col min="11270" max="11270" width="12.7109375" style="3" customWidth="1"/>
    <col min="11271" max="11271" width="14" style="3" customWidth="1"/>
    <col min="11272" max="11272" width="7.42578125" style="3" customWidth="1"/>
    <col min="11273" max="11520" width="11.42578125" style="3"/>
    <col min="11521" max="11521" width="15.85546875" style="3" customWidth="1"/>
    <col min="11522" max="11522" width="14.85546875" style="3" customWidth="1"/>
    <col min="11523" max="11523" width="13.28515625" style="3" customWidth="1"/>
    <col min="11524" max="11524" width="11.42578125" style="3"/>
    <col min="11525" max="11525" width="13.42578125" style="3" customWidth="1"/>
    <col min="11526" max="11526" width="12.7109375" style="3" customWidth="1"/>
    <col min="11527" max="11527" width="14" style="3" customWidth="1"/>
    <col min="11528" max="11528" width="7.42578125" style="3" customWidth="1"/>
    <col min="11529" max="11776" width="11.42578125" style="3"/>
    <col min="11777" max="11777" width="15.85546875" style="3" customWidth="1"/>
    <col min="11778" max="11778" width="14.85546875" style="3" customWidth="1"/>
    <col min="11779" max="11779" width="13.28515625" style="3" customWidth="1"/>
    <col min="11780" max="11780" width="11.42578125" style="3"/>
    <col min="11781" max="11781" width="13.42578125" style="3" customWidth="1"/>
    <col min="11782" max="11782" width="12.7109375" style="3" customWidth="1"/>
    <col min="11783" max="11783" width="14" style="3" customWidth="1"/>
    <col min="11784" max="11784" width="7.42578125" style="3" customWidth="1"/>
    <col min="11785" max="12032" width="11.42578125" style="3"/>
    <col min="12033" max="12033" width="15.85546875" style="3" customWidth="1"/>
    <col min="12034" max="12034" width="14.85546875" style="3" customWidth="1"/>
    <col min="12035" max="12035" width="13.28515625" style="3" customWidth="1"/>
    <col min="12036" max="12036" width="11.42578125" style="3"/>
    <col min="12037" max="12037" width="13.42578125" style="3" customWidth="1"/>
    <col min="12038" max="12038" width="12.7109375" style="3" customWidth="1"/>
    <col min="12039" max="12039" width="14" style="3" customWidth="1"/>
    <col min="12040" max="12040" width="7.42578125" style="3" customWidth="1"/>
    <col min="12041" max="12288" width="11.42578125" style="3"/>
    <col min="12289" max="12289" width="15.85546875" style="3" customWidth="1"/>
    <col min="12290" max="12290" width="14.85546875" style="3" customWidth="1"/>
    <col min="12291" max="12291" width="13.28515625" style="3" customWidth="1"/>
    <col min="12292" max="12292" width="11.42578125" style="3"/>
    <col min="12293" max="12293" width="13.42578125" style="3" customWidth="1"/>
    <col min="12294" max="12294" width="12.7109375" style="3" customWidth="1"/>
    <col min="12295" max="12295" width="14" style="3" customWidth="1"/>
    <col min="12296" max="12296" width="7.42578125" style="3" customWidth="1"/>
    <col min="12297" max="12544" width="11.42578125" style="3"/>
    <col min="12545" max="12545" width="15.85546875" style="3" customWidth="1"/>
    <col min="12546" max="12546" width="14.85546875" style="3" customWidth="1"/>
    <col min="12547" max="12547" width="13.28515625" style="3" customWidth="1"/>
    <col min="12548" max="12548" width="11.42578125" style="3"/>
    <col min="12549" max="12549" width="13.42578125" style="3" customWidth="1"/>
    <col min="12550" max="12550" width="12.7109375" style="3" customWidth="1"/>
    <col min="12551" max="12551" width="14" style="3" customWidth="1"/>
    <col min="12552" max="12552" width="7.42578125" style="3" customWidth="1"/>
    <col min="12553" max="12800" width="11.42578125" style="3"/>
    <col min="12801" max="12801" width="15.85546875" style="3" customWidth="1"/>
    <col min="12802" max="12802" width="14.85546875" style="3" customWidth="1"/>
    <col min="12803" max="12803" width="13.28515625" style="3" customWidth="1"/>
    <col min="12804" max="12804" width="11.42578125" style="3"/>
    <col min="12805" max="12805" width="13.42578125" style="3" customWidth="1"/>
    <col min="12806" max="12806" width="12.7109375" style="3" customWidth="1"/>
    <col min="12807" max="12807" width="14" style="3" customWidth="1"/>
    <col min="12808" max="12808" width="7.42578125" style="3" customWidth="1"/>
    <col min="12809" max="13056" width="11.42578125" style="3"/>
    <col min="13057" max="13057" width="15.85546875" style="3" customWidth="1"/>
    <col min="13058" max="13058" width="14.85546875" style="3" customWidth="1"/>
    <col min="13059" max="13059" width="13.28515625" style="3" customWidth="1"/>
    <col min="13060" max="13060" width="11.42578125" style="3"/>
    <col min="13061" max="13061" width="13.42578125" style="3" customWidth="1"/>
    <col min="13062" max="13062" width="12.7109375" style="3" customWidth="1"/>
    <col min="13063" max="13063" width="14" style="3" customWidth="1"/>
    <col min="13064" max="13064" width="7.42578125" style="3" customWidth="1"/>
    <col min="13065" max="13312" width="11.42578125" style="3"/>
    <col min="13313" max="13313" width="15.85546875" style="3" customWidth="1"/>
    <col min="13314" max="13314" width="14.85546875" style="3" customWidth="1"/>
    <col min="13315" max="13315" width="13.28515625" style="3" customWidth="1"/>
    <col min="13316" max="13316" width="11.42578125" style="3"/>
    <col min="13317" max="13317" width="13.42578125" style="3" customWidth="1"/>
    <col min="13318" max="13318" width="12.7109375" style="3" customWidth="1"/>
    <col min="13319" max="13319" width="14" style="3" customWidth="1"/>
    <col min="13320" max="13320" width="7.42578125" style="3" customWidth="1"/>
    <col min="13321" max="13568" width="11.42578125" style="3"/>
    <col min="13569" max="13569" width="15.85546875" style="3" customWidth="1"/>
    <col min="13570" max="13570" width="14.85546875" style="3" customWidth="1"/>
    <col min="13571" max="13571" width="13.28515625" style="3" customWidth="1"/>
    <col min="13572" max="13572" width="11.42578125" style="3"/>
    <col min="13573" max="13573" width="13.42578125" style="3" customWidth="1"/>
    <col min="13574" max="13574" width="12.7109375" style="3" customWidth="1"/>
    <col min="13575" max="13575" width="14" style="3" customWidth="1"/>
    <col min="13576" max="13576" width="7.42578125" style="3" customWidth="1"/>
    <col min="13577" max="13824" width="11.42578125" style="3"/>
    <col min="13825" max="13825" width="15.85546875" style="3" customWidth="1"/>
    <col min="13826" max="13826" width="14.85546875" style="3" customWidth="1"/>
    <col min="13827" max="13827" width="13.28515625" style="3" customWidth="1"/>
    <col min="13828" max="13828" width="11.42578125" style="3"/>
    <col min="13829" max="13829" width="13.42578125" style="3" customWidth="1"/>
    <col min="13830" max="13830" width="12.7109375" style="3" customWidth="1"/>
    <col min="13831" max="13831" width="14" style="3" customWidth="1"/>
    <col min="13832" max="13832" width="7.42578125" style="3" customWidth="1"/>
    <col min="13833" max="14080" width="11.42578125" style="3"/>
    <col min="14081" max="14081" width="15.85546875" style="3" customWidth="1"/>
    <col min="14082" max="14082" width="14.85546875" style="3" customWidth="1"/>
    <col min="14083" max="14083" width="13.28515625" style="3" customWidth="1"/>
    <col min="14084" max="14084" width="11.42578125" style="3"/>
    <col min="14085" max="14085" width="13.42578125" style="3" customWidth="1"/>
    <col min="14086" max="14086" width="12.7109375" style="3" customWidth="1"/>
    <col min="14087" max="14087" width="14" style="3" customWidth="1"/>
    <col min="14088" max="14088" width="7.42578125" style="3" customWidth="1"/>
    <col min="14089" max="14336" width="11.42578125" style="3"/>
    <col min="14337" max="14337" width="15.85546875" style="3" customWidth="1"/>
    <col min="14338" max="14338" width="14.85546875" style="3" customWidth="1"/>
    <col min="14339" max="14339" width="13.28515625" style="3" customWidth="1"/>
    <col min="14340" max="14340" width="11.42578125" style="3"/>
    <col min="14341" max="14341" width="13.42578125" style="3" customWidth="1"/>
    <col min="14342" max="14342" width="12.7109375" style="3" customWidth="1"/>
    <col min="14343" max="14343" width="14" style="3" customWidth="1"/>
    <col min="14344" max="14344" width="7.42578125" style="3" customWidth="1"/>
    <col min="14345" max="14592" width="11.42578125" style="3"/>
    <col min="14593" max="14593" width="15.85546875" style="3" customWidth="1"/>
    <col min="14594" max="14594" width="14.85546875" style="3" customWidth="1"/>
    <col min="14595" max="14595" width="13.28515625" style="3" customWidth="1"/>
    <col min="14596" max="14596" width="11.42578125" style="3"/>
    <col min="14597" max="14597" width="13.42578125" style="3" customWidth="1"/>
    <col min="14598" max="14598" width="12.7109375" style="3" customWidth="1"/>
    <col min="14599" max="14599" width="14" style="3" customWidth="1"/>
    <col min="14600" max="14600" width="7.42578125" style="3" customWidth="1"/>
    <col min="14601" max="14848" width="11.42578125" style="3"/>
    <col min="14849" max="14849" width="15.85546875" style="3" customWidth="1"/>
    <col min="14850" max="14850" width="14.85546875" style="3" customWidth="1"/>
    <col min="14851" max="14851" width="13.28515625" style="3" customWidth="1"/>
    <col min="14852" max="14852" width="11.42578125" style="3"/>
    <col min="14853" max="14853" width="13.42578125" style="3" customWidth="1"/>
    <col min="14854" max="14854" width="12.7109375" style="3" customWidth="1"/>
    <col min="14855" max="14855" width="14" style="3" customWidth="1"/>
    <col min="14856" max="14856" width="7.42578125" style="3" customWidth="1"/>
    <col min="14857" max="15104" width="11.42578125" style="3"/>
    <col min="15105" max="15105" width="15.85546875" style="3" customWidth="1"/>
    <col min="15106" max="15106" width="14.85546875" style="3" customWidth="1"/>
    <col min="15107" max="15107" width="13.28515625" style="3" customWidth="1"/>
    <col min="15108" max="15108" width="11.42578125" style="3"/>
    <col min="15109" max="15109" width="13.42578125" style="3" customWidth="1"/>
    <col min="15110" max="15110" width="12.7109375" style="3" customWidth="1"/>
    <col min="15111" max="15111" width="14" style="3" customWidth="1"/>
    <col min="15112" max="15112" width="7.42578125" style="3" customWidth="1"/>
    <col min="15113" max="15360" width="11.42578125" style="3"/>
    <col min="15361" max="15361" width="15.85546875" style="3" customWidth="1"/>
    <col min="15362" max="15362" width="14.85546875" style="3" customWidth="1"/>
    <col min="15363" max="15363" width="13.28515625" style="3" customWidth="1"/>
    <col min="15364" max="15364" width="11.42578125" style="3"/>
    <col min="15365" max="15365" width="13.42578125" style="3" customWidth="1"/>
    <col min="15366" max="15366" width="12.7109375" style="3" customWidth="1"/>
    <col min="15367" max="15367" width="14" style="3" customWidth="1"/>
    <col min="15368" max="15368" width="7.42578125" style="3" customWidth="1"/>
    <col min="15369" max="15616" width="11.42578125" style="3"/>
    <col min="15617" max="15617" width="15.85546875" style="3" customWidth="1"/>
    <col min="15618" max="15618" width="14.85546875" style="3" customWidth="1"/>
    <col min="15619" max="15619" width="13.28515625" style="3" customWidth="1"/>
    <col min="15620" max="15620" width="11.42578125" style="3"/>
    <col min="15621" max="15621" width="13.42578125" style="3" customWidth="1"/>
    <col min="15622" max="15622" width="12.7109375" style="3" customWidth="1"/>
    <col min="15623" max="15623" width="14" style="3" customWidth="1"/>
    <col min="15624" max="15624" width="7.42578125" style="3" customWidth="1"/>
    <col min="15625" max="15872" width="11.42578125" style="3"/>
    <col min="15873" max="15873" width="15.85546875" style="3" customWidth="1"/>
    <col min="15874" max="15874" width="14.85546875" style="3" customWidth="1"/>
    <col min="15875" max="15875" width="13.28515625" style="3" customWidth="1"/>
    <col min="15876" max="15876" width="11.42578125" style="3"/>
    <col min="15877" max="15877" width="13.42578125" style="3" customWidth="1"/>
    <col min="15878" max="15878" width="12.7109375" style="3" customWidth="1"/>
    <col min="15879" max="15879" width="14" style="3" customWidth="1"/>
    <col min="15880" max="15880" width="7.42578125" style="3" customWidth="1"/>
    <col min="15881" max="16128" width="11.42578125" style="3"/>
    <col min="16129" max="16129" width="15.85546875" style="3" customWidth="1"/>
    <col min="16130" max="16130" width="14.85546875" style="3" customWidth="1"/>
    <col min="16131" max="16131" width="13.28515625" style="3" customWidth="1"/>
    <col min="16132" max="16132" width="11.42578125" style="3"/>
    <col min="16133" max="16133" width="13.42578125" style="3" customWidth="1"/>
    <col min="16134" max="16134" width="12.7109375" style="3" customWidth="1"/>
    <col min="16135" max="16135" width="14" style="3" customWidth="1"/>
    <col min="16136" max="16136" width="7.42578125" style="3" customWidth="1"/>
    <col min="16137" max="16384" width="11.42578125" style="3"/>
  </cols>
  <sheetData>
    <row r="1" spans="1:21" ht="20.25">
      <c r="A1" s="1346" t="str">
        <f>PPTO!D3</f>
        <v>PRESUPUESTO
MUNICIPIO EL BAGRE (ANTIOQUIA).</v>
      </c>
      <c r="B1" s="1347"/>
      <c r="C1" s="1347"/>
      <c r="D1" s="1347"/>
      <c r="E1" s="1347"/>
      <c r="F1" s="1347"/>
      <c r="G1" s="1348"/>
      <c r="H1" s="1"/>
      <c r="I1" s="2"/>
    </row>
    <row r="2" spans="1:21" ht="18" customHeight="1">
      <c r="A2" s="1362" t="s">
        <v>16</v>
      </c>
      <c r="B2" s="1363"/>
      <c r="C2" s="1363"/>
      <c r="D2" s="1363"/>
      <c r="E2" s="1363"/>
      <c r="F2" s="1363"/>
      <c r="G2" s="1364"/>
      <c r="H2" s="1"/>
      <c r="I2" s="2"/>
    </row>
    <row r="3" spans="1:21" ht="22.5" customHeight="1">
      <c r="A3" s="1367" t="str">
        <f>+PPTO!$D$5</f>
        <v>PROYECTO DE MEJORAMIENTO VIAL, ESPACIO PUBLICO Y OBRAS COMPLEMENTARIAS DE LA AVENIDA LA JUVENTUD Y TRAMOS ADYACENTES Y PRIORITARIOS DEL SECTOR URBANO EN EL MUNICIPIO EL BAGRE ANTIOQUIA.</v>
      </c>
      <c r="B3" s="1368"/>
      <c r="C3" s="1368"/>
      <c r="D3" s="1368"/>
      <c r="E3" s="1368"/>
      <c r="F3" s="1368"/>
      <c r="G3" s="1369"/>
      <c r="H3" s="1"/>
      <c r="I3" s="2"/>
    </row>
    <row r="4" spans="1:21" ht="15" customHeight="1">
      <c r="A4" s="1370"/>
      <c r="B4" s="1368"/>
      <c r="C4" s="1368"/>
      <c r="D4" s="1368"/>
      <c r="E4" s="1368"/>
      <c r="F4" s="1368"/>
      <c r="G4" s="1369"/>
      <c r="H4" s="1"/>
      <c r="I4" s="2"/>
    </row>
    <row r="5" spans="1:21" ht="6.75" customHeight="1">
      <c r="A5" s="222"/>
      <c r="B5" s="6"/>
      <c r="C5" s="24"/>
      <c r="D5" s="25"/>
      <c r="E5" s="6"/>
      <c r="F5" s="6"/>
      <c r="G5" s="223"/>
      <c r="H5" s="9"/>
    </row>
    <row r="6" spans="1:21" ht="52.5" customHeight="1">
      <c r="A6" s="368">
        <v>4.0999999999999996</v>
      </c>
      <c r="B6" s="1431" t="str">
        <f>VLOOKUP(A6,PPTO!D4:I131,2,FALSE)</f>
        <v>Suministro e instalacion de Bordillos de concreto de 3000 Psi, para confinamiento de calzada, dimensiones h=0.15, e=0.15 (Incluye refuerzo longitudinal y transversal, bordillo sobrepuesto en Placas de Pavimento Dilatados cada placa)</v>
      </c>
      <c r="C6" s="1432"/>
      <c r="D6" s="1432"/>
      <c r="E6" s="1433"/>
      <c r="F6" s="192" t="s">
        <v>118</v>
      </c>
      <c r="G6" s="248" t="str">
        <f>VLOOKUP(A6,PPTO!D4:I131,3,FALSE)</f>
        <v>m</v>
      </c>
      <c r="H6" s="9"/>
    </row>
    <row r="7" spans="1:21" ht="3.75" customHeight="1">
      <c r="A7" s="226"/>
      <c r="B7" s="4"/>
      <c r="C7" s="6"/>
      <c r="D7" s="4"/>
      <c r="E7" s="4"/>
      <c r="F7" s="4"/>
      <c r="G7" s="227"/>
      <c r="H7" s="9"/>
    </row>
    <row r="8" spans="1:21" ht="22.5" customHeight="1">
      <c r="A8" s="1354" t="s">
        <v>69</v>
      </c>
      <c r="B8" s="1355"/>
      <c r="C8" s="1355"/>
      <c r="D8" s="1355"/>
      <c r="E8" s="1355"/>
      <c r="F8" s="1355"/>
      <c r="G8" s="1356"/>
      <c r="H8" s="9"/>
    </row>
    <row r="9" spans="1:21" ht="4.5" customHeight="1">
      <c r="A9" s="226"/>
      <c r="B9" s="4"/>
      <c r="C9" s="6"/>
      <c r="D9" s="4"/>
      <c r="E9" s="4"/>
      <c r="F9" s="4"/>
      <c r="G9" s="227"/>
      <c r="H9" s="9"/>
      <c r="I9" s="5"/>
      <c r="J9" s="5"/>
      <c r="K9" s="5"/>
      <c r="L9" s="26"/>
      <c r="M9" s="5"/>
      <c r="N9" s="5"/>
      <c r="O9" s="5"/>
      <c r="P9" s="5"/>
    </row>
    <row r="10" spans="1:21">
      <c r="A10" s="1373" t="s">
        <v>17</v>
      </c>
      <c r="B10" s="1374"/>
      <c r="C10" s="1374"/>
      <c r="D10" s="220" t="s">
        <v>18</v>
      </c>
      <c r="E10" s="220" t="s">
        <v>19</v>
      </c>
      <c r="F10" s="220" t="s">
        <v>20</v>
      </c>
      <c r="G10" s="228" t="s">
        <v>21</v>
      </c>
      <c r="H10" s="27"/>
      <c r="I10" s="28"/>
      <c r="J10" s="29"/>
      <c r="K10" s="30"/>
      <c r="L10" s="30"/>
      <c r="M10" s="30"/>
      <c r="N10" s="30"/>
      <c r="O10" s="30"/>
      <c r="P10" s="5"/>
    </row>
    <row r="11" spans="1:21">
      <c r="A11" s="1352" t="s">
        <v>75</v>
      </c>
      <c r="B11" s="1353"/>
      <c r="C11" s="1353"/>
      <c r="D11" s="220"/>
      <c r="E11" s="83"/>
      <c r="F11" s="97"/>
      <c r="G11" s="229">
        <f>+G39*5%</f>
        <v>562</v>
      </c>
      <c r="H11" s="9"/>
      <c r="I11" s="30"/>
      <c r="J11" s="31"/>
      <c r="K11" s="30"/>
      <c r="L11" s="30"/>
      <c r="M11" s="30"/>
      <c r="N11" s="30"/>
      <c r="O11" s="30"/>
      <c r="P11" s="5"/>
    </row>
    <row r="12" spans="1:21">
      <c r="A12" s="1371" t="s">
        <v>842</v>
      </c>
      <c r="B12" s="1372"/>
      <c r="C12" s="1372"/>
      <c r="D12" s="83"/>
      <c r="E12" s="83"/>
      <c r="F12" s="93"/>
      <c r="G12" s="229">
        <f>5000*2/3</f>
        <v>3333</v>
      </c>
      <c r="H12" s="9"/>
      <c r="I12" s="16"/>
      <c r="J12" s="13"/>
      <c r="K12" s="8"/>
      <c r="L12" s="8"/>
      <c r="M12" s="8"/>
      <c r="N12" s="8"/>
      <c r="O12" s="8"/>
      <c r="P12" s="5"/>
    </row>
    <row r="13" spans="1:21">
      <c r="A13" s="1371"/>
      <c r="B13" s="1372"/>
      <c r="C13" s="1372"/>
      <c r="D13" s="83"/>
      <c r="E13" s="83"/>
      <c r="F13" s="93"/>
      <c r="G13" s="229"/>
      <c r="H13" s="9"/>
      <c r="I13" s="13"/>
      <c r="J13" s="13"/>
      <c r="K13" s="13"/>
      <c r="L13" s="13"/>
      <c r="M13" s="13"/>
      <c r="N13" s="13"/>
      <c r="O13" s="13"/>
      <c r="P13" s="5"/>
    </row>
    <row r="14" spans="1:21">
      <c r="A14" s="1371"/>
      <c r="B14" s="1372"/>
      <c r="C14" s="1372"/>
      <c r="D14" s="83"/>
      <c r="E14" s="83"/>
      <c r="F14" s="97"/>
      <c r="G14" s="229"/>
      <c r="H14" s="9"/>
      <c r="I14" s="8"/>
      <c r="J14" s="14"/>
      <c r="K14" s="32"/>
      <c r="L14" s="14"/>
      <c r="M14" s="15"/>
      <c r="N14" s="15"/>
      <c r="O14" s="19"/>
      <c r="P14" s="5"/>
    </row>
    <row r="15" spans="1:21">
      <c r="A15" s="1371"/>
      <c r="B15" s="1372"/>
      <c r="C15" s="1372"/>
      <c r="D15" s="83"/>
      <c r="E15" s="83"/>
      <c r="F15" s="98"/>
      <c r="G15" s="229"/>
      <c r="H15" s="9"/>
      <c r="I15" s="8"/>
      <c r="J15" s="33"/>
      <c r="K15" s="32"/>
      <c r="L15" s="14"/>
      <c r="M15" s="15"/>
      <c r="N15" s="15"/>
      <c r="O15" s="19"/>
      <c r="P15" s="5"/>
      <c r="Q15" s="5"/>
      <c r="R15" s="5"/>
      <c r="S15" s="5"/>
      <c r="T15" s="5"/>
      <c r="U15" s="5"/>
    </row>
    <row r="16" spans="1:21">
      <c r="A16" s="1371"/>
      <c r="B16" s="1372"/>
      <c r="C16" s="1372"/>
      <c r="D16" s="85" t="s">
        <v>37</v>
      </c>
      <c r="E16" s="50"/>
      <c r="F16" s="49"/>
      <c r="G16" s="230">
        <f>SUM(G11:G15)</f>
        <v>3895</v>
      </c>
      <c r="H16" s="9"/>
      <c r="I16" s="34"/>
      <c r="J16" s="34"/>
      <c r="K16" s="35"/>
      <c r="L16" s="36"/>
      <c r="M16" s="7"/>
      <c r="N16" s="7"/>
      <c r="O16" s="19"/>
      <c r="P16" s="5"/>
      <c r="Q16" s="5"/>
      <c r="R16" s="5"/>
      <c r="S16" s="5"/>
      <c r="T16" s="5"/>
      <c r="U16" s="5"/>
    </row>
    <row r="17" spans="1:21" ht="4.5" customHeight="1">
      <c r="A17" s="226"/>
      <c r="B17" s="4"/>
      <c r="C17" s="6"/>
      <c r="D17" s="4"/>
      <c r="E17" s="4"/>
      <c r="F17" s="4"/>
      <c r="G17" s="227"/>
      <c r="H17" s="9"/>
      <c r="I17" s="34"/>
      <c r="J17" s="34"/>
      <c r="K17" s="35"/>
      <c r="L17" s="36"/>
      <c r="M17" s="7"/>
      <c r="N17" s="7"/>
      <c r="O17" s="19"/>
      <c r="P17" s="5"/>
      <c r="Q17" s="5"/>
      <c r="R17" s="5"/>
      <c r="S17" s="5"/>
      <c r="T17" s="5"/>
      <c r="U17" s="5"/>
    </row>
    <row r="18" spans="1:21" ht="22.5" customHeight="1">
      <c r="A18" s="1354" t="s">
        <v>70</v>
      </c>
      <c r="B18" s="1355"/>
      <c r="C18" s="1355"/>
      <c r="D18" s="1355"/>
      <c r="E18" s="1355"/>
      <c r="F18" s="1355"/>
      <c r="G18" s="1356"/>
      <c r="H18" s="9"/>
    </row>
    <row r="19" spans="1:21" ht="4.5" customHeight="1">
      <c r="A19" s="226"/>
      <c r="B19" s="4"/>
      <c r="C19" s="6"/>
      <c r="D19" s="4"/>
      <c r="E19" s="4"/>
      <c r="F19" s="38"/>
      <c r="G19" s="227"/>
      <c r="H19" s="9"/>
      <c r="I19" s="34"/>
      <c r="J19" s="34"/>
      <c r="K19" s="35"/>
      <c r="L19" s="39"/>
      <c r="M19" s="7"/>
      <c r="N19" s="7"/>
      <c r="O19" s="8"/>
      <c r="P19" s="5"/>
      <c r="Q19" s="5"/>
      <c r="R19" s="5"/>
      <c r="S19" s="5"/>
      <c r="T19" s="5"/>
      <c r="U19" s="5"/>
    </row>
    <row r="20" spans="1:21">
      <c r="A20" s="1373" t="s">
        <v>17</v>
      </c>
      <c r="B20" s="1374"/>
      <c r="C20" s="1374"/>
      <c r="D20" s="220" t="s">
        <v>3</v>
      </c>
      <c r="E20" s="220" t="s">
        <v>4</v>
      </c>
      <c r="F20" s="220" t="s">
        <v>25</v>
      </c>
      <c r="G20" s="228" t="s">
        <v>21</v>
      </c>
      <c r="H20" s="27"/>
      <c r="I20" s="34"/>
      <c r="J20" s="34"/>
      <c r="K20" s="35"/>
      <c r="L20" s="39"/>
      <c r="M20" s="7"/>
      <c r="N20" s="7"/>
      <c r="O20" s="8"/>
      <c r="P20" s="5"/>
      <c r="Q20" s="5"/>
      <c r="R20" s="5"/>
      <c r="S20" s="5"/>
      <c r="T20" s="5"/>
      <c r="U20" s="5"/>
    </row>
    <row r="21" spans="1:21">
      <c r="A21" s="1382" t="s">
        <v>840</v>
      </c>
      <c r="B21" s="1383"/>
      <c r="C21" s="1383"/>
      <c r="D21" s="79" t="s">
        <v>44</v>
      </c>
      <c r="E21" s="88">
        <f>0.15 *0.15</f>
        <v>2.3E-2</v>
      </c>
      <c r="F21" s="87">
        <f>'CONC 3000 PSI'!G43</f>
        <v>360849</v>
      </c>
      <c r="G21" s="231">
        <f>+E21*F21</f>
        <v>8300</v>
      </c>
      <c r="H21" s="9"/>
      <c r="I21" s="34"/>
      <c r="J21" s="34"/>
      <c r="K21" s="35"/>
      <c r="L21" s="39"/>
      <c r="M21" s="7"/>
      <c r="N21" s="7"/>
      <c r="O21" s="13"/>
      <c r="P21" s="5"/>
      <c r="Q21" s="5"/>
      <c r="R21" s="5"/>
      <c r="S21" s="5"/>
      <c r="T21" s="5"/>
      <c r="U21" s="5"/>
    </row>
    <row r="22" spans="1:21">
      <c r="A22" s="1382" t="s">
        <v>841</v>
      </c>
      <c r="B22" s="1383"/>
      <c r="C22" s="1383"/>
      <c r="D22" s="81" t="s">
        <v>570</v>
      </c>
      <c r="E22" s="88">
        <f>(2+(0.2*2+0.1)/0.15)*0.56</f>
        <v>2.9870000000000001</v>
      </c>
      <c r="F22" s="78">
        <v>6000</v>
      </c>
      <c r="G22" s="231">
        <f>+E22*F22</f>
        <v>17922</v>
      </c>
      <c r="H22" s="9"/>
      <c r="I22" s="10"/>
      <c r="J22" s="10"/>
      <c r="K22" s="12"/>
      <c r="L22" s="39"/>
      <c r="M22" s="7"/>
      <c r="N22" s="7"/>
      <c r="O22" s="15"/>
      <c r="P22" s="5"/>
      <c r="Q22" s="5"/>
      <c r="R22" s="5"/>
      <c r="S22" s="5"/>
      <c r="T22" s="5"/>
      <c r="U22" s="5"/>
    </row>
    <row r="23" spans="1:21">
      <c r="A23" s="1352"/>
      <c r="B23" s="1353"/>
      <c r="C23" s="1353"/>
      <c r="D23" s="79"/>
      <c r="E23" s="82"/>
      <c r="F23" s="78"/>
      <c r="G23" s="231"/>
      <c r="H23" s="9"/>
      <c r="I23" s="10"/>
      <c r="J23" s="10"/>
      <c r="K23" s="12"/>
      <c r="L23" s="39"/>
      <c r="M23" s="7"/>
      <c r="N23" s="7"/>
      <c r="O23" s="15"/>
      <c r="P23" s="5"/>
      <c r="Q23" s="5"/>
      <c r="R23" s="5"/>
      <c r="S23" s="5"/>
      <c r="T23" s="5"/>
      <c r="U23" s="5"/>
    </row>
    <row r="24" spans="1:21">
      <c r="A24" s="1352"/>
      <c r="B24" s="1353"/>
      <c r="C24" s="1353"/>
      <c r="D24" s="81"/>
      <c r="E24" s="89"/>
      <c r="F24" s="78"/>
      <c r="G24" s="231"/>
      <c r="H24" s="9"/>
      <c r="I24" s="10"/>
      <c r="J24" s="40"/>
      <c r="K24" s="12"/>
      <c r="L24" s="13"/>
      <c r="M24" s="14"/>
      <c r="N24" s="14"/>
      <c r="O24" s="15"/>
      <c r="P24" s="5"/>
      <c r="Q24" s="5"/>
      <c r="R24" s="5"/>
      <c r="S24" s="5"/>
      <c r="T24" s="5"/>
      <c r="U24" s="5"/>
    </row>
    <row r="25" spans="1:21">
      <c r="A25" s="1352"/>
      <c r="B25" s="1353"/>
      <c r="C25" s="1353"/>
      <c r="D25" s="81"/>
      <c r="E25" s="82"/>
      <c r="F25" s="83"/>
      <c r="G25" s="231"/>
      <c r="H25" s="9"/>
      <c r="I25" s="10"/>
      <c r="J25" s="11"/>
      <c r="K25" s="12"/>
      <c r="L25" s="13"/>
      <c r="M25" s="14"/>
      <c r="N25" s="14"/>
      <c r="O25" s="15"/>
      <c r="P25" s="5"/>
      <c r="Q25" s="5"/>
      <c r="R25" s="5"/>
      <c r="S25" s="5"/>
      <c r="T25" s="5"/>
      <c r="U25" s="5"/>
    </row>
    <row r="26" spans="1:21">
      <c r="A26" s="1352"/>
      <c r="B26" s="1353"/>
      <c r="C26" s="1353"/>
      <c r="D26" s="79"/>
      <c r="E26" s="82"/>
      <c r="F26" s="83"/>
      <c r="G26" s="231"/>
      <c r="H26" s="9"/>
      <c r="I26" s="10"/>
      <c r="J26" s="11"/>
      <c r="K26" s="12"/>
      <c r="L26" s="13"/>
      <c r="M26" s="14"/>
      <c r="N26" s="14"/>
      <c r="O26" s="15"/>
      <c r="P26" s="5"/>
      <c r="Q26" s="5"/>
      <c r="R26" s="5"/>
      <c r="S26" s="5"/>
      <c r="T26" s="5"/>
      <c r="U26" s="5"/>
    </row>
    <row r="27" spans="1:21">
      <c r="A27" s="1352"/>
      <c r="B27" s="1353"/>
      <c r="C27" s="1353" t="s">
        <v>50</v>
      </c>
      <c r="D27" s="79"/>
      <c r="E27" s="82"/>
      <c r="F27" s="78" t="s">
        <v>130</v>
      </c>
      <c r="G27" s="231">
        <f>+(G21+G22)*5%</f>
        <v>1311</v>
      </c>
      <c r="H27" s="9"/>
      <c r="I27" s="10"/>
      <c r="J27" s="11"/>
      <c r="K27" s="12"/>
      <c r="L27" s="13"/>
      <c r="M27" s="14"/>
      <c r="N27" s="14"/>
      <c r="O27" s="15"/>
      <c r="P27" s="5"/>
      <c r="Q27" s="5"/>
      <c r="R27" s="5"/>
      <c r="S27" s="5"/>
      <c r="T27" s="5"/>
      <c r="U27" s="5"/>
    </row>
    <row r="28" spans="1:21">
      <c r="A28" s="1352"/>
      <c r="B28" s="1353"/>
      <c r="C28" s="1353"/>
      <c r="D28" s="79"/>
      <c r="E28" s="82"/>
      <c r="F28" s="83"/>
      <c r="G28" s="231"/>
      <c r="H28" s="9"/>
      <c r="I28" s="41"/>
      <c r="J28" s="41"/>
      <c r="K28" s="12"/>
      <c r="L28" s="13"/>
      <c r="M28" s="14"/>
      <c r="N28" s="14"/>
      <c r="O28" s="15"/>
      <c r="P28" s="5"/>
      <c r="Q28" s="5"/>
      <c r="R28" s="5"/>
      <c r="S28" s="5"/>
      <c r="T28" s="5"/>
      <c r="U28" s="5"/>
    </row>
    <row r="29" spans="1:21">
      <c r="A29" s="1352"/>
      <c r="B29" s="1353"/>
      <c r="C29" s="1353"/>
      <c r="D29" s="84"/>
      <c r="E29" s="84"/>
      <c r="F29" s="83"/>
      <c r="G29" s="231"/>
      <c r="H29" s="9"/>
      <c r="I29" s="42"/>
      <c r="J29" s="42"/>
      <c r="K29" s="42"/>
      <c r="L29" s="13"/>
      <c r="M29" s="14"/>
      <c r="N29" s="14"/>
      <c r="O29" s="15"/>
      <c r="P29" s="5"/>
      <c r="Q29" s="5"/>
      <c r="R29" s="5"/>
      <c r="S29" s="5"/>
      <c r="T29" s="5"/>
      <c r="U29" s="5"/>
    </row>
    <row r="30" spans="1:21">
      <c r="A30" s="1352"/>
      <c r="B30" s="1353"/>
      <c r="C30" s="1353"/>
      <c r="D30" s="85" t="s">
        <v>28</v>
      </c>
      <c r="E30" s="50"/>
      <c r="F30" s="49"/>
      <c r="G30" s="230">
        <f>SUM(G21:G29)</f>
        <v>27533</v>
      </c>
      <c r="H30" s="9"/>
      <c r="I30" s="8"/>
      <c r="J30" s="13"/>
      <c r="K30" s="8"/>
      <c r="L30" s="13"/>
      <c r="M30" s="14"/>
      <c r="N30" s="14"/>
      <c r="O30" s="15"/>
      <c r="P30" s="5"/>
    </row>
    <row r="31" spans="1:21" ht="3.75" customHeight="1">
      <c r="A31" s="226"/>
      <c r="B31" s="4"/>
      <c r="C31" s="6"/>
      <c r="D31" s="4"/>
      <c r="E31" s="4"/>
      <c r="F31" s="4"/>
      <c r="G31" s="227"/>
      <c r="H31" s="9"/>
      <c r="I31" s="8"/>
      <c r="J31" s="13"/>
      <c r="K31" s="18"/>
      <c r="L31" s="13"/>
      <c r="M31" s="33"/>
      <c r="N31" s="33"/>
      <c r="O31" s="15"/>
      <c r="P31" s="5"/>
    </row>
    <row r="32" spans="1:21" ht="22.5" customHeight="1">
      <c r="A32" s="1354" t="s">
        <v>71</v>
      </c>
      <c r="B32" s="1355"/>
      <c r="C32" s="1355"/>
      <c r="D32" s="1355"/>
      <c r="E32" s="1355"/>
      <c r="F32" s="1355"/>
      <c r="G32" s="1356"/>
      <c r="H32" s="9"/>
    </row>
    <row r="33" spans="1:16" ht="3.75" customHeight="1">
      <c r="A33" s="226"/>
      <c r="B33" s="4"/>
      <c r="C33" s="6"/>
      <c r="D33" s="4"/>
      <c r="E33" s="4"/>
      <c r="F33" s="4"/>
      <c r="G33" s="227"/>
      <c r="H33" s="9"/>
      <c r="I33" s="8"/>
      <c r="J33" s="13"/>
      <c r="K33" s="8"/>
      <c r="L33" s="8"/>
      <c r="M33" s="8"/>
      <c r="N33" s="8"/>
      <c r="O33" s="15"/>
      <c r="P33" s="5"/>
    </row>
    <row r="34" spans="1:16">
      <c r="A34" s="232" t="s">
        <v>5</v>
      </c>
      <c r="B34" s="60" t="s">
        <v>29</v>
      </c>
      <c r="C34" s="60" t="s">
        <v>30</v>
      </c>
      <c r="D34" s="60" t="s">
        <v>31</v>
      </c>
      <c r="E34" s="60" t="s">
        <v>32</v>
      </c>
      <c r="F34" s="60" t="s">
        <v>20</v>
      </c>
      <c r="G34" s="252" t="s">
        <v>33</v>
      </c>
      <c r="H34" s="27"/>
      <c r="I34" s="8"/>
      <c r="J34" s="13"/>
      <c r="K34" s="8"/>
      <c r="L34" s="8"/>
      <c r="M34" s="8"/>
      <c r="N34" s="8"/>
      <c r="O34" s="15"/>
      <c r="P34" s="5"/>
    </row>
    <row r="35" spans="1:16" ht="15.75">
      <c r="A35" s="233" t="s">
        <v>41</v>
      </c>
      <c r="B35" s="63">
        <f>BOF</f>
        <v>51749</v>
      </c>
      <c r="C35" s="68">
        <f>ffpp</f>
        <v>0.64539999999999997</v>
      </c>
      <c r="D35" s="72">
        <v>1</v>
      </c>
      <c r="E35" s="66">
        <f>OF</f>
        <v>88696</v>
      </c>
      <c r="F35" s="65">
        <v>40</v>
      </c>
      <c r="G35" s="831">
        <f>ROUND(+D35*E35/F35,0)</f>
        <v>2217</v>
      </c>
      <c r="H35" s="9"/>
      <c r="I35" s="16"/>
      <c r="J35" s="13"/>
      <c r="K35" s="8"/>
      <c r="L35" s="8"/>
      <c r="M35" s="8"/>
      <c r="N35" s="8"/>
      <c r="O35" s="15"/>
      <c r="P35" s="5"/>
    </row>
    <row r="36" spans="1:16" ht="15.75">
      <c r="A36" s="233" t="s">
        <v>38</v>
      </c>
      <c r="B36" s="63">
        <f>BOB</f>
        <v>41749</v>
      </c>
      <c r="C36" s="68">
        <f>ffpp</f>
        <v>0.64539999999999997</v>
      </c>
      <c r="D36" s="72">
        <v>5</v>
      </c>
      <c r="E36" s="66">
        <f>OB</f>
        <v>72242</v>
      </c>
      <c r="F36" s="65">
        <f>+F35</f>
        <v>40</v>
      </c>
      <c r="G36" s="831">
        <f>ROUND(+D36*E36/F36,0)</f>
        <v>9030</v>
      </c>
      <c r="H36" s="9"/>
      <c r="I36" s="8"/>
      <c r="J36" s="8"/>
      <c r="K36" s="13"/>
      <c r="L36" s="13"/>
      <c r="M36" s="13"/>
      <c r="N36" s="13"/>
      <c r="O36" s="13"/>
      <c r="P36" s="5"/>
    </row>
    <row r="37" spans="1:16">
      <c r="A37" s="234"/>
      <c r="B37" s="50"/>
      <c r="C37" s="961"/>
      <c r="D37" s="50"/>
      <c r="E37" s="50"/>
      <c r="F37" s="50"/>
      <c r="G37" s="235"/>
      <c r="H37" s="9"/>
      <c r="I37" s="8"/>
      <c r="J37" s="13"/>
      <c r="K37" s="13"/>
      <c r="L37" s="13"/>
      <c r="M37" s="33"/>
      <c r="N37" s="33"/>
      <c r="O37" s="43"/>
      <c r="P37" s="5"/>
    </row>
    <row r="38" spans="1:16">
      <c r="A38" s="233"/>
      <c r="B38" s="65"/>
      <c r="C38" s="68"/>
      <c r="D38" s="65"/>
      <c r="E38" s="69"/>
      <c r="F38" s="69"/>
      <c r="G38" s="236"/>
      <c r="H38" s="9"/>
      <c r="I38" s="8"/>
      <c r="J38" s="13"/>
      <c r="K38" s="13"/>
      <c r="L38" s="13"/>
      <c r="M38" s="33"/>
      <c r="N38" s="33"/>
      <c r="O38" s="43"/>
      <c r="P38" s="5"/>
    </row>
    <row r="39" spans="1:16">
      <c r="A39" s="249"/>
      <c r="B39" s="71"/>
      <c r="C39" s="71"/>
      <c r="D39" s="71" t="s">
        <v>34</v>
      </c>
      <c r="E39" s="71"/>
      <c r="F39" s="71"/>
      <c r="G39" s="250">
        <f>SUM(G35:G38)</f>
        <v>11247</v>
      </c>
      <c r="H39" s="9"/>
      <c r="I39" s="8"/>
      <c r="J39" s="13"/>
      <c r="K39" s="13"/>
      <c r="L39" s="13"/>
      <c r="M39" s="14"/>
      <c r="N39" s="14"/>
      <c r="O39" s="15"/>
      <c r="P39" s="5"/>
    </row>
    <row r="40" spans="1:16">
      <c r="A40" s="226"/>
      <c r="B40" s="4"/>
      <c r="C40" s="6"/>
      <c r="D40" s="4"/>
      <c r="E40" s="4"/>
      <c r="F40" s="4"/>
      <c r="G40" s="227"/>
      <c r="H40" s="9"/>
      <c r="I40" s="8"/>
      <c r="J40" s="13"/>
      <c r="K40" s="13"/>
      <c r="L40" s="13"/>
      <c r="M40" s="14"/>
      <c r="N40" s="14"/>
      <c r="O40" s="19"/>
      <c r="P40" s="5"/>
    </row>
    <row r="41" spans="1:16">
      <c r="A41" s="226"/>
      <c r="B41" s="4"/>
      <c r="C41" s="6"/>
      <c r="D41" s="4"/>
      <c r="E41" s="4"/>
      <c r="F41" s="4"/>
      <c r="G41" s="227"/>
      <c r="H41" s="9"/>
      <c r="I41" s="8"/>
      <c r="J41" s="13"/>
      <c r="K41" s="13"/>
      <c r="L41" s="13"/>
      <c r="M41" s="17"/>
      <c r="N41" s="17"/>
      <c r="O41" s="37"/>
      <c r="P41" s="5"/>
    </row>
    <row r="42" spans="1:16" ht="14.25">
      <c r="A42" s="226"/>
      <c r="B42" s="4"/>
      <c r="C42" s="6"/>
      <c r="D42" s="1357" t="s">
        <v>35</v>
      </c>
      <c r="E42" s="1358"/>
      <c r="F42" s="1359"/>
      <c r="G42" s="239">
        <f>+G39+G30+G16</f>
        <v>42675</v>
      </c>
      <c r="H42" s="9"/>
      <c r="I42" s="48"/>
      <c r="J42" s="20"/>
      <c r="K42" s="8"/>
      <c r="L42" s="8"/>
      <c r="M42" s="8"/>
      <c r="N42" s="8"/>
      <c r="O42" s="8"/>
      <c r="P42" s="5"/>
    </row>
    <row r="43" spans="1:16" ht="14.25">
      <c r="A43" s="240"/>
      <c r="B43" s="57"/>
      <c r="C43" s="58"/>
      <c r="D43" s="99"/>
      <c r="E43" s="99"/>
      <c r="F43" s="99"/>
      <c r="G43" s="251"/>
      <c r="H43" s="9"/>
      <c r="I43" s="48"/>
      <c r="J43" s="20"/>
      <c r="K43" s="8"/>
      <c r="L43" s="8"/>
      <c r="M43" s="8"/>
      <c r="N43" s="8"/>
      <c r="O43" s="8"/>
      <c r="P43" s="5"/>
    </row>
    <row r="44" spans="1:16" ht="14.25">
      <c r="A44" s="374"/>
      <c r="B44" s="375"/>
      <c r="C44" s="375"/>
      <c r="D44" s="99"/>
      <c r="E44" s="99"/>
      <c r="F44" s="99"/>
      <c r="G44" s="251"/>
      <c r="H44" s="9"/>
      <c r="I44" s="48"/>
      <c r="J44" s="20"/>
      <c r="K44" s="8"/>
      <c r="L44" s="8"/>
      <c r="M44" s="8"/>
      <c r="N44" s="8"/>
      <c r="O44" s="8"/>
      <c r="P44" s="5"/>
    </row>
    <row r="45" spans="1:16" ht="14.25">
      <c r="A45" s="373"/>
      <c r="B45" s="376"/>
      <c r="C45" s="376"/>
      <c r="D45" s="99"/>
      <c r="E45" s="99"/>
      <c r="F45" s="99"/>
      <c r="G45" s="251"/>
      <c r="H45" s="9"/>
      <c r="I45" s="48"/>
      <c r="J45" s="20"/>
      <c r="K45" s="8"/>
      <c r="L45" s="8"/>
      <c r="M45" s="8"/>
      <c r="N45" s="8"/>
      <c r="O45" s="8"/>
      <c r="P45" s="5"/>
    </row>
    <row r="46" spans="1:16" ht="14.25">
      <c r="A46" s="373"/>
      <c r="B46" s="376"/>
      <c r="C46" s="376"/>
      <c r="D46" s="44"/>
      <c r="E46" s="45"/>
      <c r="F46" s="45"/>
      <c r="G46" s="251"/>
      <c r="H46" s="9"/>
      <c r="I46" s="8"/>
      <c r="J46" s="13"/>
      <c r="K46" s="8"/>
      <c r="L46" s="8"/>
      <c r="M46" s="8"/>
      <c r="N46" s="8"/>
      <c r="O46" s="8"/>
      <c r="P46" s="5"/>
    </row>
    <row r="47" spans="1:16" ht="15" thickBot="1">
      <c r="A47" s="242"/>
      <c r="B47" s="243"/>
      <c r="C47" s="244"/>
      <c r="D47" s="245"/>
      <c r="E47" s="246"/>
      <c r="F47" s="246"/>
      <c r="G47" s="247"/>
      <c r="H47" s="9"/>
      <c r="I47" s="8"/>
      <c r="J47" s="13"/>
      <c r="K47" s="8"/>
      <c r="L47" s="8"/>
      <c r="M47" s="8"/>
      <c r="N47" s="8"/>
      <c r="O47" s="8"/>
      <c r="P47" s="5"/>
    </row>
    <row r="48" spans="1:16">
      <c r="I48" s="5"/>
      <c r="J48" s="5"/>
      <c r="K48" s="5"/>
      <c r="L48" s="5"/>
      <c r="M48" s="5"/>
      <c r="N48" s="5"/>
      <c r="O48" s="5"/>
      <c r="P48" s="5"/>
    </row>
    <row r="49" spans="9:16">
      <c r="I49" s="5"/>
      <c r="J49" s="5"/>
      <c r="K49" s="5"/>
      <c r="L49" s="5"/>
      <c r="M49" s="5"/>
      <c r="N49" s="5"/>
      <c r="O49" s="5"/>
      <c r="P49" s="5"/>
    </row>
  </sheetData>
  <mergeCells count="26">
    <mergeCell ref="A15:C15"/>
    <mergeCell ref="A20:C20"/>
    <mergeCell ref="A16:C16"/>
    <mergeCell ref="A18:G18"/>
    <mergeCell ref="A8:G8"/>
    <mergeCell ref="A10:C10"/>
    <mergeCell ref="A11:C11"/>
    <mergeCell ref="A12:C12"/>
    <mergeCell ref="A13:C13"/>
    <mergeCell ref="A14:C14"/>
    <mergeCell ref="A1:G1"/>
    <mergeCell ref="B6:E6"/>
    <mergeCell ref="A30:C30"/>
    <mergeCell ref="A32:G32"/>
    <mergeCell ref="D42:F42"/>
    <mergeCell ref="A29:C29"/>
    <mergeCell ref="A22:C22"/>
    <mergeCell ref="A23:C23"/>
    <mergeCell ref="A24:C24"/>
    <mergeCell ref="A25:C25"/>
    <mergeCell ref="A26:C26"/>
    <mergeCell ref="A28:C28"/>
    <mergeCell ref="A27:C27"/>
    <mergeCell ref="A2:G2"/>
    <mergeCell ref="A21:C21"/>
    <mergeCell ref="A3:G4"/>
  </mergeCells>
  <printOptions horizontalCentered="1" verticalCentered="1"/>
  <pageMargins left="0.74803149606299213" right="0.74803149606299213" top="0" bottom="0.98425196850393704" header="0" footer="0"/>
  <pageSetup scale="90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4"/>
  <dimension ref="A1:U49"/>
  <sheetViews>
    <sheetView view="pageBreakPreview" topLeftCell="A19" zoomScaleNormal="100" zoomScaleSheetLayoutView="100" workbookViewId="0">
      <selection activeCell="F36" sqref="F36"/>
    </sheetView>
  </sheetViews>
  <sheetFormatPr baseColWidth="10" defaultColWidth="10.7109375" defaultRowHeight="12.75"/>
  <cols>
    <col min="1" max="1" width="15.85546875" style="3" customWidth="1"/>
    <col min="2" max="2" width="14.85546875" style="3" customWidth="1"/>
    <col min="3" max="3" width="13.28515625" style="3" customWidth="1"/>
    <col min="4" max="4" width="11.42578125" style="3"/>
    <col min="5" max="5" width="13.42578125" style="3" customWidth="1"/>
    <col min="6" max="6" width="12.7109375" style="3" customWidth="1"/>
    <col min="7" max="7" width="14" style="3" customWidth="1"/>
    <col min="8" max="8" width="7.42578125" style="3" customWidth="1"/>
    <col min="9" max="256" width="11.42578125" style="3"/>
    <col min="257" max="257" width="15.85546875" style="3" customWidth="1"/>
    <col min="258" max="258" width="14.85546875" style="3" customWidth="1"/>
    <col min="259" max="259" width="13.28515625" style="3" customWidth="1"/>
    <col min="260" max="260" width="11.42578125" style="3"/>
    <col min="261" max="261" width="13.42578125" style="3" customWidth="1"/>
    <col min="262" max="262" width="12.7109375" style="3" customWidth="1"/>
    <col min="263" max="263" width="14" style="3" customWidth="1"/>
    <col min="264" max="264" width="7.42578125" style="3" customWidth="1"/>
    <col min="265" max="512" width="11.42578125" style="3"/>
    <col min="513" max="513" width="15.85546875" style="3" customWidth="1"/>
    <col min="514" max="514" width="14.85546875" style="3" customWidth="1"/>
    <col min="515" max="515" width="13.28515625" style="3" customWidth="1"/>
    <col min="516" max="516" width="11.42578125" style="3"/>
    <col min="517" max="517" width="13.42578125" style="3" customWidth="1"/>
    <col min="518" max="518" width="12.7109375" style="3" customWidth="1"/>
    <col min="519" max="519" width="14" style="3" customWidth="1"/>
    <col min="520" max="520" width="7.42578125" style="3" customWidth="1"/>
    <col min="521" max="768" width="11.42578125" style="3"/>
    <col min="769" max="769" width="15.85546875" style="3" customWidth="1"/>
    <col min="770" max="770" width="14.85546875" style="3" customWidth="1"/>
    <col min="771" max="771" width="13.28515625" style="3" customWidth="1"/>
    <col min="772" max="772" width="11.42578125" style="3"/>
    <col min="773" max="773" width="13.42578125" style="3" customWidth="1"/>
    <col min="774" max="774" width="12.7109375" style="3" customWidth="1"/>
    <col min="775" max="775" width="14" style="3" customWidth="1"/>
    <col min="776" max="776" width="7.42578125" style="3" customWidth="1"/>
    <col min="777" max="1024" width="11.42578125" style="3"/>
    <col min="1025" max="1025" width="15.85546875" style="3" customWidth="1"/>
    <col min="1026" max="1026" width="14.85546875" style="3" customWidth="1"/>
    <col min="1027" max="1027" width="13.28515625" style="3" customWidth="1"/>
    <col min="1028" max="1028" width="11.42578125" style="3"/>
    <col min="1029" max="1029" width="13.42578125" style="3" customWidth="1"/>
    <col min="1030" max="1030" width="12.7109375" style="3" customWidth="1"/>
    <col min="1031" max="1031" width="14" style="3" customWidth="1"/>
    <col min="1032" max="1032" width="7.42578125" style="3" customWidth="1"/>
    <col min="1033" max="1280" width="11.42578125" style="3"/>
    <col min="1281" max="1281" width="15.85546875" style="3" customWidth="1"/>
    <col min="1282" max="1282" width="14.85546875" style="3" customWidth="1"/>
    <col min="1283" max="1283" width="13.28515625" style="3" customWidth="1"/>
    <col min="1284" max="1284" width="11.42578125" style="3"/>
    <col min="1285" max="1285" width="13.42578125" style="3" customWidth="1"/>
    <col min="1286" max="1286" width="12.7109375" style="3" customWidth="1"/>
    <col min="1287" max="1287" width="14" style="3" customWidth="1"/>
    <col min="1288" max="1288" width="7.42578125" style="3" customWidth="1"/>
    <col min="1289" max="1536" width="11.42578125" style="3"/>
    <col min="1537" max="1537" width="15.85546875" style="3" customWidth="1"/>
    <col min="1538" max="1538" width="14.85546875" style="3" customWidth="1"/>
    <col min="1539" max="1539" width="13.28515625" style="3" customWidth="1"/>
    <col min="1540" max="1540" width="11.42578125" style="3"/>
    <col min="1541" max="1541" width="13.42578125" style="3" customWidth="1"/>
    <col min="1542" max="1542" width="12.7109375" style="3" customWidth="1"/>
    <col min="1543" max="1543" width="14" style="3" customWidth="1"/>
    <col min="1544" max="1544" width="7.42578125" style="3" customWidth="1"/>
    <col min="1545" max="1792" width="11.42578125" style="3"/>
    <col min="1793" max="1793" width="15.85546875" style="3" customWidth="1"/>
    <col min="1794" max="1794" width="14.85546875" style="3" customWidth="1"/>
    <col min="1795" max="1795" width="13.28515625" style="3" customWidth="1"/>
    <col min="1796" max="1796" width="11.42578125" style="3"/>
    <col min="1797" max="1797" width="13.42578125" style="3" customWidth="1"/>
    <col min="1798" max="1798" width="12.7109375" style="3" customWidth="1"/>
    <col min="1799" max="1799" width="14" style="3" customWidth="1"/>
    <col min="1800" max="1800" width="7.42578125" style="3" customWidth="1"/>
    <col min="1801" max="2048" width="11.42578125" style="3"/>
    <col min="2049" max="2049" width="15.85546875" style="3" customWidth="1"/>
    <col min="2050" max="2050" width="14.85546875" style="3" customWidth="1"/>
    <col min="2051" max="2051" width="13.28515625" style="3" customWidth="1"/>
    <col min="2052" max="2052" width="11.42578125" style="3"/>
    <col min="2053" max="2053" width="13.42578125" style="3" customWidth="1"/>
    <col min="2054" max="2054" width="12.7109375" style="3" customWidth="1"/>
    <col min="2055" max="2055" width="14" style="3" customWidth="1"/>
    <col min="2056" max="2056" width="7.42578125" style="3" customWidth="1"/>
    <col min="2057" max="2304" width="11.42578125" style="3"/>
    <col min="2305" max="2305" width="15.85546875" style="3" customWidth="1"/>
    <col min="2306" max="2306" width="14.85546875" style="3" customWidth="1"/>
    <col min="2307" max="2307" width="13.28515625" style="3" customWidth="1"/>
    <col min="2308" max="2308" width="11.42578125" style="3"/>
    <col min="2309" max="2309" width="13.42578125" style="3" customWidth="1"/>
    <col min="2310" max="2310" width="12.7109375" style="3" customWidth="1"/>
    <col min="2311" max="2311" width="14" style="3" customWidth="1"/>
    <col min="2312" max="2312" width="7.42578125" style="3" customWidth="1"/>
    <col min="2313" max="2560" width="11.42578125" style="3"/>
    <col min="2561" max="2561" width="15.85546875" style="3" customWidth="1"/>
    <col min="2562" max="2562" width="14.85546875" style="3" customWidth="1"/>
    <col min="2563" max="2563" width="13.28515625" style="3" customWidth="1"/>
    <col min="2564" max="2564" width="11.42578125" style="3"/>
    <col min="2565" max="2565" width="13.42578125" style="3" customWidth="1"/>
    <col min="2566" max="2566" width="12.7109375" style="3" customWidth="1"/>
    <col min="2567" max="2567" width="14" style="3" customWidth="1"/>
    <col min="2568" max="2568" width="7.42578125" style="3" customWidth="1"/>
    <col min="2569" max="2816" width="11.42578125" style="3"/>
    <col min="2817" max="2817" width="15.85546875" style="3" customWidth="1"/>
    <col min="2818" max="2818" width="14.85546875" style="3" customWidth="1"/>
    <col min="2819" max="2819" width="13.28515625" style="3" customWidth="1"/>
    <col min="2820" max="2820" width="11.42578125" style="3"/>
    <col min="2821" max="2821" width="13.42578125" style="3" customWidth="1"/>
    <col min="2822" max="2822" width="12.7109375" style="3" customWidth="1"/>
    <col min="2823" max="2823" width="14" style="3" customWidth="1"/>
    <col min="2824" max="2824" width="7.42578125" style="3" customWidth="1"/>
    <col min="2825" max="3072" width="11.42578125" style="3"/>
    <col min="3073" max="3073" width="15.85546875" style="3" customWidth="1"/>
    <col min="3074" max="3074" width="14.85546875" style="3" customWidth="1"/>
    <col min="3075" max="3075" width="13.28515625" style="3" customWidth="1"/>
    <col min="3076" max="3076" width="11.42578125" style="3"/>
    <col min="3077" max="3077" width="13.42578125" style="3" customWidth="1"/>
    <col min="3078" max="3078" width="12.7109375" style="3" customWidth="1"/>
    <col min="3079" max="3079" width="14" style="3" customWidth="1"/>
    <col min="3080" max="3080" width="7.42578125" style="3" customWidth="1"/>
    <col min="3081" max="3328" width="11.42578125" style="3"/>
    <col min="3329" max="3329" width="15.85546875" style="3" customWidth="1"/>
    <col min="3330" max="3330" width="14.85546875" style="3" customWidth="1"/>
    <col min="3331" max="3331" width="13.28515625" style="3" customWidth="1"/>
    <col min="3332" max="3332" width="11.42578125" style="3"/>
    <col min="3333" max="3333" width="13.42578125" style="3" customWidth="1"/>
    <col min="3334" max="3334" width="12.7109375" style="3" customWidth="1"/>
    <col min="3335" max="3335" width="14" style="3" customWidth="1"/>
    <col min="3336" max="3336" width="7.42578125" style="3" customWidth="1"/>
    <col min="3337" max="3584" width="11.42578125" style="3"/>
    <col min="3585" max="3585" width="15.85546875" style="3" customWidth="1"/>
    <col min="3586" max="3586" width="14.85546875" style="3" customWidth="1"/>
    <col min="3587" max="3587" width="13.28515625" style="3" customWidth="1"/>
    <col min="3588" max="3588" width="11.42578125" style="3"/>
    <col min="3589" max="3589" width="13.42578125" style="3" customWidth="1"/>
    <col min="3590" max="3590" width="12.7109375" style="3" customWidth="1"/>
    <col min="3591" max="3591" width="14" style="3" customWidth="1"/>
    <col min="3592" max="3592" width="7.42578125" style="3" customWidth="1"/>
    <col min="3593" max="3840" width="11.42578125" style="3"/>
    <col min="3841" max="3841" width="15.85546875" style="3" customWidth="1"/>
    <col min="3842" max="3842" width="14.85546875" style="3" customWidth="1"/>
    <col min="3843" max="3843" width="13.28515625" style="3" customWidth="1"/>
    <col min="3844" max="3844" width="11.42578125" style="3"/>
    <col min="3845" max="3845" width="13.42578125" style="3" customWidth="1"/>
    <col min="3846" max="3846" width="12.7109375" style="3" customWidth="1"/>
    <col min="3847" max="3847" width="14" style="3" customWidth="1"/>
    <col min="3848" max="3848" width="7.42578125" style="3" customWidth="1"/>
    <col min="3849" max="4096" width="11.42578125" style="3"/>
    <col min="4097" max="4097" width="15.85546875" style="3" customWidth="1"/>
    <col min="4098" max="4098" width="14.85546875" style="3" customWidth="1"/>
    <col min="4099" max="4099" width="13.28515625" style="3" customWidth="1"/>
    <col min="4100" max="4100" width="11.42578125" style="3"/>
    <col min="4101" max="4101" width="13.42578125" style="3" customWidth="1"/>
    <col min="4102" max="4102" width="12.7109375" style="3" customWidth="1"/>
    <col min="4103" max="4103" width="14" style="3" customWidth="1"/>
    <col min="4104" max="4104" width="7.42578125" style="3" customWidth="1"/>
    <col min="4105" max="4352" width="11.42578125" style="3"/>
    <col min="4353" max="4353" width="15.85546875" style="3" customWidth="1"/>
    <col min="4354" max="4354" width="14.85546875" style="3" customWidth="1"/>
    <col min="4355" max="4355" width="13.28515625" style="3" customWidth="1"/>
    <col min="4356" max="4356" width="11.42578125" style="3"/>
    <col min="4357" max="4357" width="13.42578125" style="3" customWidth="1"/>
    <col min="4358" max="4358" width="12.7109375" style="3" customWidth="1"/>
    <col min="4359" max="4359" width="14" style="3" customWidth="1"/>
    <col min="4360" max="4360" width="7.42578125" style="3" customWidth="1"/>
    <col min="4361" max="4608" width="11.42578125" style="3"/>
    <col min="4609" max="4609" width="15.85546875" style="3" customWidth="1"/>
    <col min="4610" max="4610" width="14.85546875" style="3" customWidth="1"/>
    <col min="4611" max="4611" width="13.28515625" style="3" customWidth="1"/>
    <col min="4612" max="4612" width="11.42578125" style="3"/>
    <col min="4613" max="4613" width="13.42578125" style="3" customWidth="1"/>
    <col min="4614" max="4614" width="12.7109375" style="3" customWidth="1"/>
    <col min="4615" max="4615" width="14" style="3" customWidth="1"/>
    <col min="4616" max="4616" width="7.42578125" style="3" customWidth="1"/>
    <col min="4617" max="4864" width="11.42578125" style="3"/>
    <col min="4865" max="4865" width="15.85546875" style="3" customWidth="1"/>
    <col min="4866" max="4866" width="14.85546875" style="3" customWidth="1"/>
    <col min="4867" max="4867" width="13.28515625" style="3" customWidth="1"/>
    <col min="4868" max="4868" width="11.42578125" style="3"/>
    <col min="4869" max="4869" width="13.42578125" style="3" customWidth="1"/>
    <col min="4870" max="4870" width="12.7109375" style="3" customWidth="1"/>
    <col min="4871" max="4871" width="14" style="3" customWidth="1"/>
    <col min="4872" max="4872" width="7.42578125" style="3" customWidth="1"/>
    <col min="4873" max="5120" width="11.42578125" style="3"/>
    <col min="5121" max="5121" width="15.85546875" style="3" customWidth="1"/>
    <col min="5122" max="5122" width="14.85546875" style="3" customWidth="1"/>
    <col min="5123" max="5123" width="13.28515625" style="3" customWidth="1"/>
    <col min="5124" max="5124" width="11.42578125" style="3"/>
    <col min="5125" max="5125" width="13.42578125" style="3" customWidth="1"/>
    <col min="5126" max="5126" width="12.7109375" style="3" customWidth="1"/>
    <col min="5127" max="5127" width="14" style="3" customWidth="1"/>
    <col min="5128" max="5128" width="7.42578125" style="3" customWidth="1"/>
    <col min="5129" max="5376" width="11.42578125" style="3"/>
    <col min="5377" max="5377" width="15.85546875" style="3" customWidth="1"/>
    <col min="5378" max="5378" width="14.85546875" style="3" customWidth="1"/>
    <col min="5379" max="5379" width="13.28515625" style="3" customWidth="1"/>
    <col min="5380" max="5380" width="11.42578125" style="3"/>
    <col min="5381" max="5381" width="13.42578125" style="3" customWidth="1"/>
    <col min="5382" max="5382" width="12.7109375" style="3" customWidth="1"/>
    <col min="5383" max="5383" width="14" style="3" customWidth="1"/>
    <col min="5384" max="5384" width="7.42578125" style="3" customWidth="1"/>
    <col min="5385" max="5632" width="11.42578125" style="3"/>
    <col min="5633" max="5633" width="15.85546875" style="3" customWidth="1"/>
    <col min="5634" max="5634" width="14.85546875" style="3" customWidth="1"/>
    <col min="5635" max="5635" width="13.28515625" style="3" customWidth="1"/>
    <col min="5636" max="5636" width="11.42578125" style="3"/>
    <col min="5637" max="5637" width="13.42578125" style="3" customWidth="1"/>
    <col min="5638" max="5638" width="12.7109375" style="3" customWidth="1"/>
    <col min="5639" max="5639" width="14" style="3" customWidth="1"/>
    <col min="5640" max="5640" width="7.42578125" style="3" customWidth="1"/>
    <col min="5641" max="5888" width="11.42578125" style="3"/>
    <col min="5889" max="5889" width="15.85546875" style="3" customWidth="1"/>
    <col min="5890" max="5890" width="14.85546875" style="3" customWidth="1"/>
    <col min="5891" max="5891" width="13.28515625" style="3" customWidth="1"/>
    <col min="5892" max="5892" width="11.42578125" style="3"/>
    <col min="5893" max="5893" width="13.42578125" style="3" customWidth="1"/>
    <col min="5894" max="5894" width="12.7109375" style="3" customWidth="1"/>
    <col min="5895" max="5895" width="14" style="3" customWidth="1"/>
    <col min="5896" max="5896" width="7.42578125" style="3" customWidth="1"/>
    <col min="5897" max="6144" width="11.42578125" style="3"/>
    <col min="6145" max="6145" width="15.85546875" style="3" customWidth="1"/>
    <col min="6146" max="6146" width="14.85546875" style="3" customWidth="1"/>
    <col min="6147" max="6147" width="13.28515625" style="3" customWidth="1"/>
    <col min="6148" max="6148" width="11.42578125" style="3"/>
    <col min="6149" max="6149" width="13.42578125" style="3" customWidth="1"/>
    <col min="6150" max="6150" width="12.7109375" style="3" customWidth="1"/>
    <col min="6151" max="6151" width="14" style="3" customWidth="1"/>
    <col min="6152" max="6152" width="7.42578125" style="3" customWidth="1"/>
    <col min="6153" max="6400" width="11.42578125" style="3"/>
    <col min="6401" max="6401" width="15.85546875" style="3" customWidth="1"/>
    <col min="6402" max="6402" width="14.85546875" style="3" customWidth="1"/>
    <col min="6403" max="6403" width="13.28515625" style="3" customWidth="1"/>
    <col min="6404" max="6404" width="11.42578125" style="3"/>
    <col min="6405" max="6405" width="13.42578125" style="3" customWidth="1"/>
    <col min="6406" max="6406" width="12.7109375" style="3" customWidth="1"/>
    <col min="6407" max="6407" width="14" style="3" customWidth="1"/>
    <col min="6408" max="6408" width="7.42578125" style="3" customWidth="1"/>
    <col min="6409" max="6656" width="11.42578125" style="3"/>
    <col min="6657" max="6657" width="15.85546875" style="3" customWidth="1"/>
    <col min="6658" max="6658" width="14.85546875" style="3" customWidth="1"/>
    <col min="6659" max="6659" width="13.28515625" style="3" customWidth="1"/>
    <col min="6660" max="6660" width="11.42578125" style="3"/>
    <col min="6661" max="6661" width="13.42578125" style="3" customWidth="1"/>
    <col min="6662" max="6662" width="12.7109375" style="3" customWidth="1"/>
    <col min="6663" max="6663" width="14" style="3" customWidth="1"/>
    <col min="6664" max="6664" width="7.42578125" style="3" customWidth="1"/>
    <col min="6665" max="6912" width="11.42578125" style="3"/>
    <col min="6913" max="6913" width="15.85546875" style="3" customWidth="1"/>
    <col min="6914" max="6914" width="14.85546875" style="3" customWidth="1"/>
    <col min="6915" max="6915" width="13.28515625" style="3" customWidth="1"/>
    <col min="6916" max="6916" width="11.42578125" style="3"/>
    <col min="6917" max="6917" width="13.42578125" style="3" customWidth="1"/>
    <col min="6918" max="6918" width="12.7109375" style="3" customWidth="1"/>
    <col min="6919" max="6919" width="14" style="3" customWidth="1"/>
    <col min="6920" max="6920" width="7.42578125" style="3" customWidth="1"/>
    <col min="6921" max="7168" width="11.42578125" style="3"/>
    <col min="7169" max="7169" width="15.85546875" style="3" customWidth="1"/>
    <col min="7170" max="7170" width="14.85546875" style="3" customWidth="1"/>
    <col min="7171" max="7171" width="13.28515625" style="3" customWidth="1"/>
    <col min="7172" max="7172" width="11.42578125" style="3"/>
    <col min="7173" max="7173" width="13.42578125" style="3" customWidth="1"/>
    <col min="7174" max="7174" width="12.7109375" style="3" customWidth="1"/>
    <col min="7175" max="7175" width="14" style="3" customWidth="1"/>
    <col min="7176" max="7176" width="7.42578125" style="3" customWidth="1"/>
    <col min="7177" max="7424" width="11.42578125" style="3"/>
    <col min="7425" max="7425" width="15.85546875" style="3" customWidth="1"/>
    <col min="7426" max="7426" width="14.85546875" style="3" customWidth="1"/>
    <col min="7427" max="7427" width="13.28515625" style="3" customWidth="1"/>
    <col min="7428" max="7428" width="11.42578125" style="3"/>
    <col min="7429" max="7429" width="13.42578125" style="3" customWidth="1"/>
    <col min="7430" max="7430" width="12.7109375" style="3" customWidth="1"/>
    <col min="7431" max="7431" width="14" style="3" customWidth="1"/>
    <col min="7432" max="7432" width="7.42578125" style="3" customWidth="1"/>
    <col min="7433" max="7680" width="11.42578125" style="3"/>
    <col min="7681" max="7681" width="15.85546875" style="3" customWidth="1"/>
    <col min="7682" max="7682" width="14.85546875" style="3" customWidth="1"/>
    <col min="7683" max="7683" width="13.28515625" style="3" customWidth="1"/>
    <col min="7684" max="7684" width="11.42578125" style="3"/>
    <col min="7685" max="7685" width="13.42578125" style="3" customWidth="1"/>
    <col min="7686" max="7686" width="12.7109375" style="3" customWidth="1"/>
    <col min="7687" max="7687" width="14" style="3" customWidth="1"/>
    <col min="7688" max="7688" width="7.42578125" style="3" customWidth="1"/>
    <col min="7689" max="7936" width="11.42578125" style="3"/>
    <col min="7937" max="7937" width="15.85546875" style="3" customWidth="1"/>
    <col min="7938" max="7938" width="14.85546875" style="3" customWidth="1"/>
    <col min="7939" max="7939" width="13.28515625" style="3" customWidth="1"/>
    <col min="7940" max="7940" width="11.42578125" style="3"/>
    <col min="7941" max="7941" width="13.42578125" style="3" customWidth="1"/>
    <col min="7942" max="7942" width="12.7109375" style="3" customWidth="1"/>
    <col min="7943" max="7943" width="14" style="3" customWidth="1"/>
    <col min="7944" max="7944" width="7.42578125" style="3" customWidth="1"/>
    <col min="7945" max="8192" width="11.42578125" style="3"/>
    <col min="8193" max="8193" width="15.85546875" style="3" customWidth="1"/>
    <col min="8194" max="8194" width="14.85546875" style="3" customWidth="1"/>
    <col min="8195" max="8195" width="13.28515625" style="3" customWidth="1"/>
    <col min="8196" max="8196" width="11.42578125" style="3"/>
    <col min="8197" max="8197" width="13.42578125" style="3" customWidth="1"/>
    <col min="8198" max="8198" width="12.7109375" style="3" customWidth="1"/>
    <col min="8199" max="8199" width="14" style="3" customWidth="1"/>
    <col min="8200" max="8200" width="7.42578125" style="3" customWidth="1"/>
    <col min="8201" max="8448" width="11.42578125" style="3"/>
    <col min="8449" max="8449" width="15.85546875" style="3" customWidth="1"/>
    <col min="8450" max="8450" width="14.85546875" style="3" customWidth="1"/>
    <col min="8451" max="8451" width="13.28515625" style="3" customWidth="1"/>
    <col min="8452" max="8452" width="11.42578125" style="3"/>
    <col min="8453" max="8453" width="13.42578125" style="3" customWidth="1"/>
    <col min="8454" max="8454" width="12.7109375" style="3" customWidth="1"/>
    <col min="8455" max="8455" width="14" style="3" customWidth="1"/>
    <col min="8456" max="8456" width="7.42578125" style="3" customWidth="1"/>
    <col min="8457" max="8704" width="11.42578125" style="3"/>
    <col min="8705" max="8705" width="15.85546875" style="3" customWidth="1"/>
    <col min="8706" max="8706" width="14.85546875" style="3" customWidth="1"/>
    <col min="8707" max="8707" width="13.28515625" style="3" customWidth="1"/>
    <col min="8708" max="8708" width="11.42578125" style="3"/>
    <col min="8709" max="8709" width="13.42578125" style="3" customWidth="1"/>
    <col min="8710" max="8710" width="12.7109375" style="3" customWidth="1"/>
    <col min="8711" max="8711" width="14" style="3" customWidth="1"/>
    <col min="8712" max="8712" width="7.42578125" style="3" customWidth="1"/>
    <col min="8713" max="8960" width="11.42578125" style="3"/>
    <col min="8961" max="8961" width="15.85546875" style="3" customWidth="1"/>
    <col min="8962" max="8962" width="14.85546875" style="3" customWidth="1"/>
    <col min="8963" max="8963" width="13.28515625" style="3" customWidth="1"/>
    <col min="8964" max="8964" width="11.42578125" style="3"/>
    <col min="8965" max="8965" width="13.42578125" style="3" customWidth="1"/>
    <col min="8966" max="8966" width="12.7109375" style="3" customWidth="1"/>
    <col min="8967" max="8967" width="14" style="3" customWidth="1"/>
    <col min="8968" max="8968" width="7.42578125" style="3" customWidth="1"/>
    <col min="8969" max="9216" width="11.42578125" style="3"/>
    <col min="9217" max="9217" width="15.85546875" style="3" customWidth="1"/>
    <col min="9218" max="9218" width="14.85546875" style="3" customWidth="1"/>
    <col min="9219" max="9219" width="13.28515625" style="3" customWidth="1"/>
    <col min="9220" max="9220" width="11.42578125" style="3"/>
    <col min="9221" max="9221" width="13.42578125" style="3" customWidth="1"/>
    <col min="9222" max="9222" width="12.7109375" style="3" customWidth="1"/>
    <col min="9223" max="9223" width="14" style="3" customWidth="1"/>
    <col min="9224" max="9224" width="7.42578125" style="3" customWidth="1"/>
    <col min="9225" max="9472" width="11.42578125" style="3"/>
    <col min="9473" max="9473" width="15.85546875" style="3" customWidth="1"/>
    <col min="9474" max="9474" width="14.85546875" style="3" customWidth="1"/>
    <col min="9475" max="9475" width="13.28515625" style="3" customWidth="1"/>
    <col min="9476" max="9476" width="11.42578125" style="3"/>
    <col min="9477" max="9477" width="13.42578125" style="3" customWidth="1"/>
    <col min="9478" max="9478" width="12.7109375" style="3" customWidth="1"/>
    <col min="9479" max="9479" width="14" style="3" customWidth="1"/>
    <col min="9480" max="9480" width="7.42578125" style="3" customWidth="1"/>
    <col min="9481" max="9728" width="11.42578125" style="3"/>
    <col min="9729" max="9729" width="15.85546875" style="3" customWidth="1"/>
    <col min="9730" max="9730" width="14.85546875" style="3" customWidth="1"/>
    <col min="9731" max="9731" width="13.28515625" style="3" customWidth="1"/>
    <col min="9732" max="9732" width="11.42578125" style="3"/>
    <col min="9733" max="9733" width="13.42578125" style="3" customWidth="1"/>
    <col min="9734" max="9734" width="12.7109375" style="3" customWidth="1"/>
    <col min="9735" max="9735" width="14" style="3" customWidth="1"/>
    <col min="9736" max="9736" width="7.42578125" style="3" customWidth="1"/>
    <col min="9737" max="9984" width="11.42578125" style="3"/>
    <col min="9985" max="9985" width="15.85546875" style="3" customWidth="1"/>
    <col min="9986" max="9986" width="14.85546875" style="3" customWidth="1"/>
    <col min="9987" max="9987" width="13.28515625" style="3" customWidth="1"/>
    <col min="9988" max="9988" width="11.42578125" style="3"/>
    <col min="9989" max="9989" width="13.42578125" style="3" customWidth="1"/>
    <col min="9990" max="9990" width="12.7109375" style="3" customWidth="1"/>
    <col min="9991" max="9991" width="14" style="3" customWidth="1"/>
    <col min="9992" max="9992" width="7.42578125" style="3" customWidth="1"/>
    <col min="9993" max="10240" width="11.42578125" style="3"/>
    <col min="10241" max="10241" width="15.85546875" style="3" customWidth="1"/>
    <col min="10242" max="10242" width="14.85546875" style="3" customWidth="1"/>
    <col min="10243" max="10243" width="13.28515625" style="3" customWidth="1"/>
    <col min="10244" max="10244" width="11.42578125" style="3"/>
    <col min="10245" max="10245" width="13.42578125" style="3" customWidth="1"/>
    <col min="10246" max="10246" width="12.7109375" style="3" customWidth="1"/>
    <col min="10247" max="10247" width="14" style="3" customWidth="1"/>
    <col min="10248" max="10248" width="7.42578125" style="3" customWidth="1"/>
    <col min="10249" max="10496" width="11.42578125" style="3"/>
    <col min="10497" max="10497" width="15.85546875" style="3" customWidth="1"/>
    <col min="10498" max="10498" width="14.85546875" style="3" customWidth="1"/>
    <col min="10499" max="10499" width="13.28515625" style="3" customWidth="1"/>
    <col min="10500" max="10500" width="11.42578125" style="3"/>
    <col min="10501" max="10501" width="13.42578125" style="3" customWidth="1"/>
    <col min="10502" max="10502" width="12.7109375" style="3" customWidth="1"/>
    <col min="10503" max="10503" width="14" style="3" customWidth="1"/>
    <col min="10504" max="10504" width="7.42578125" style="3" customWidth="1"/>
    <col min="10505" max="10752" width="11.42578125" style="3"/>
    <col min="10753" max="10753" width="15.85546875" style="3" customWidth="1"/>
    <col min="10754" max="10754" width="14.85546875" style="3" customWidth="1"/>
    <col min="10755" max="10755" width="13.28515625" style="3" customWidth="1"/>
    <col min="10756" max="10756" width="11.42578125" style="3"/>
    <col min="10757" max="10757" width="13.42578125" style="3" customWidth="1"/>
    <col min="10758" max="10758" width="12.7109375" style="3" customWidth="1"/>
    <col min="10759" max="10759" width="14" style="3" customWidth="1"/>
    <col min="10760" max="10760" width="7.42578125" style="3" customWidth="1"/>
    <col min="10761" max="11008" width="11.42578125" style="3"/>
    <col min="11009" max="11009" width="15.85546875" style="3" customWidth="1"/>
    <col min="11010" max="11010" width="14.85546875" style="3" customWidth="1"/>
    <col min="11011" max="11011" width="13.28515625" style="3" customWidth="1"/>
    <col min="11012" max="11012" width="11.42578125" style="3"/>
    <col min="11013" max="11013" width="13.42578125" style="3" customWidth="1"/>
    <col min="11014" max="11014" width="12.7109375" style="3" customWidth="1"/>
    <col min="11015" max="11015" width="14" style="3" customWidth="1"/>
    <col min="11016" max="11016" width="7.42578125" style="3" customWidth="1"/>
    <col min="11017" max="11264" width="11.42578125" style="3"/>
    <col min="11265" max="11265" width="15.85546875" style="3" customWidth="1"/>
    <col min="11266" max="11266" width="14.85546875" style="3" customWidth="1"/>
    <col min="11267" max="11267" width="13.28515625" style="3" customWidth="1"/>
    <col min="11268" max="11268" width="11.42578125" style="3"/>
    <col min="11269" max="11269" width="13.42578125" style="3" customWidth="1"/>
    <col min="11270" max="11270" width="12.7109375" style="3" customWidth="1"/>
    <col min="11271" max="11271" width="14" style="3" customWidth="1"/>
    <col min="11272" max="11272" width="7.42578125" style="3" customWidth="1"/>
    <col min="11273" max="11520" width="11.42578125" style="3"/>
    <col min="11521" max="11521" width="15.85546875" style="3" customWidth="1"/>
    <col min="11522" max="11522" width="14.85546875" style="3" customWidth="1"/>
    <col min="11523" max="11523" width="13.28515625" style="3" customWidth="1"/>
    <col min="11524" max="11524" width="11.42578125" style="3"/>
    <col min="11525" max="11525" width="13.42578125" style="3" customWidth="1"/>
    <col min="11526" max="11526" width="12.7109375" style="3" customWidth="1"/>
    <col min="11527" max="11527" width="14" style="3" customWidth="1"/>
    <col min="11528" max="11528" width="7.42578125" style="3" customWidth="1"/>
    <col min="11529" max="11776" width="11.42578125" style="3"/>
    <col min="11777" max="11777" width="15.85546875" style="3" customWidth="1"/>
    <col min="11778" max="11778" width="14.85546875" style="3" customWidth="1"/>
    <col min="11779" max="11779" width="13.28515625" style="3" customWidth="1"/>
    <col min="11780" max="11780" width="11.42578125" style="3"/>
    <col min="11781" max="11781" width="13.42578125" style="3" customWidth="1"/>
    <col min="11782" max="11782" width="12.7109375" style="3" customWidth="1"/>
    <col min="11783" max="11783" width="14" style="3" customWidth="1"/>
    <col min="11784" max="11784" width="7.42578125" style="3" customWidth="1"/>
    <col min="11785" max="12032" width="11.42578125" style="3"/>
    <col min="12033" max="12033" width="15.85546875" style="3" customWidth="1"/>
    <col min="12034" max="12034" width="14.85546875" style="3" customWidth="1"/>
    <col min="12035" max="12035" width="13.28515625" style="3" customWidth="1"/>
    <col min="12036" max="12036" width="11.42578125" style="3"/>
    <col min="12037" max="12037" width="13.42578125" style="3" customWidth="1"/>
    <col min="12038" max="12038" width="12.7109375" style="3" customWidth="1"/>
    <col min="12039" max="12039" width="14" style="3" customWidth="1"/>
    <col min="12040" max="12040" width="7.42578125" style="3" customWidth="1"/>
    <col min="12041" max="12288" width="11.42578125" style="3"/>
    <col min="12289" max="12289" width="15.85546875" style="3" customWidth="1"/>
    <col min="12290" max="12290" width="14.85546875" style="3" customWidth="1"/>
    <col min="12291" max="12291" width="13.28515625" style="3" customWidth="1"/>
    <col min="12292" max="12292" width="11.42578125" style="3"/>
    <col min="12293" max="12293" width="13.42578125" style="3" customWidth="1"/>
    <col min="12294" max="12294" width="12.7109375" style="3" customWidth="1"/>
    <col min="12295" max="12295" width="14" style="3" customWidth="1"/>
    <col min="12296" max="12296" width="7.42578125" style="3" customWidth="1"/>
    <col min="12297" max="12544" width="11.42578125" style="3"/>
    <col min="12545" max="12545" width="15.85546875" style="3" customWidth="1"/>
    <col min="12546" max="12546" width="14.85546875" style="3" customWidth="1"/>
    <col min="12547" max="12547" width="13.28515625" style="3" customWidth="1"/>
    <col min="12548" max="12548" width="11.42578125" style="3"/>
    <col min="12549" max="12549" width="13.42578125" style="3" customWidth="1"/>
    <col min="12550" max="12550" width="12.7109375" style="3" customWidth="1"/>
    <col min="12551" max="12551" width="14" style="3" customWidth="1"/>
    <col min="12552" max="12552" width="7.42578125" style="3" customWidth="1"/>
    <col min="12553" max="12800" width="11.42578125" style="3"/>
    <col min="12801" max="12801" width="15.85546875" style="3" customWidth="1"/>
    <col min="12802" max="12802" width="14.85546875" style="3" customWidth="1"/>
    <col min="12803" max="12803" width="13.28515625" style="3" customWidth="1"/>
    <col min="12804" max="12804" width="11.42578125" style="3"/>
    <col min="12805" max="12805" width="13.42578125" style="3" customWidth="1"/>
    <col min="12806" max="12806" width="12.7109375" style="3" customWidth="1"/>
    <col min="12807" max="12807" width="14" style="3" customWidth="1"/>
    <col min="12808" max="12808" width="7.42578125" style="3" customWidth="1"/>
    <col min="12809" max="13056" width="11.42578125" style="3"/>
    <col min="13057" max="13057" width="15.85546875" style="3" customWidth="1"/>
    <col min="13058" max="13058" width="14.85546875" style="3" customWidth="1"/>
    <col min="13059" max="13059" width="13.28515625" style="3" customWidth="1"/>
    <col min="13060" max="13060" width="11.42578125" style="3"/>
    <col min="13061" max="13061" width="13.42578125" style="3" customWidth="1"/>
    <col min="13062" max="13062" width="12.7109375" style="3" customWidth="1"/>
    <col min="13063" max="13063" width="14" style="3" customWidth="1"/>
    <col min="13064" max="13064" width="7.42578125" style="3" customWidth="1"/>
    <col min="13065" max="13312" width="11.42578125" style="3"/>
    <col min="13313" max="13313" width="15.85546875" style="3" customWidth="1"/>
    <col min="13314" max="13314" width="14.85546875" style="3" customWidth="1"/>
    <col min="13315" max="13315" width="13.28515625" style="3" customWidth="1"/>
    <col min="13316" max="13316" width="11.42578125" style="3"/>
    <col min="13317" max="13317" width="13.42578125" style="3" customWidth="1"/>
    <col min="13318" max="13318" width="12.7109375" style="3" customWidth="1"/>
    <col min="13319" max="13319" width="14" style="3" customWidth="1"/>
    <col min="13320" max="13320" width="7.42578125" style="3" customWidth="1"/>
    <col min="13321" max="13568" width="11.42578125" style="3"/>
    <col min="13569" max="13569" width="15.85546875" style="3" customWidth="1"/>
    <col min="13570" max="13570" width="14.85546875" style="3" customWidth="1"/>
    <col min="13571" max="13571" width="13.28515625" style="3" customWidth="1"/>
    <col min="13572" max="13572" width="11.42578125" style="3"/>
    <col min="13573" max="13573" width="13.42578125" style="3" customWidth="1"/>
    <col min="13574" max="13574" width="12.7109375" style="3" customWidth="1"/>
    <col min="13575" max="13575" width="14" style="3" customWidth="1"/>
    <col min="13576" max="13576" width="7.42578125" style="3" customWidth="1"/>
    <col min="13577" max="13824" width="11.42578125" style="3"/>
    <col min="13825" max="13825" width="15.85546875" style="3" customWidth="1"/>
    <col min="13826" max="13826" width="14.85546875" style="3" customWidth="1"/>
    <col min="13827" max="13827" width="13.28515625" style="3" customWidth="1"/>
    <col min="13828" max="13828" width="11.42578125" style="3"/>
    <col min="13829" max="13829" width="13.42578125" style="3" customWidth="1"/>
    <col min="13830" max="13830" width="12.7109375" style="3" customWidth="1"/>
    <col min="13831" max="13831" width="14" style="3" customWidth="1"/>
    <col min="13832" max="13832" width="7.42578125" style="3" customWidth="1"/>
    <col min="13833" max="14080" width="11.42578125" style="3"/>
    <col min="14081" max="14081" width="15.85546875" style="3" customWidth="1"/>
    <col min="14082" max="14082" width="14.85546875" style="3" customWidth="1"/>
    <col min="14083" max="14083" width="13.28515625" style="3" customWidth="1"/>
    <col min="14084" max="14084" width="11.42578125" style="3"/>
    <col min="14085" max="14085" width="13.42578125" style="3" customWidth="1"/>
    <col min="14086" max="14086" width="12.7109375" style="3" customWidth="1"/>
    <col min="14087" max="14087" width="14" style="3" customWidth="1"/>
    <col min="14088" max="14088" width="7.42578125" style="3" customWidth="1"/>
    <col min="14089" max="14336" width="11.42578125" style="3"/>
    <col min="14337" max="14337" width="15.85546875" style="3" customWidth="1"/>
    <col min="14338" max="14338" width="14.85546875" style="3" customWidth="1"/>
    <col min="14339" max="14339" width="13.28515625" style="3" customWidth="1"/>
    <col min="14340" max="14340" width="11.42578125" style="3"/>
    <col min="14341" max="14341" width="13.42578125" style="3" customWidth="1"/>
    <col min="14342" max="14342" width="12.7109375" style="3" customWidth="1"/>
    <col min="14343" max="14343" width="14" style="3" customWidth="1"/>
    <col min="14344" max="14344" width="7.42578125" style="3" customWidth="1"/>
    <col min="14345" max="14592" width="11.42578125" style="3"/>
    <col min="14593" max="14593" width="15.85546875" style="3" customWidth="1"/>
    <col min="14594" max="14594" width="14.85546875" style="3" customWidth="1"/>
    <col min="14595" max="14595" width="13.28515625" style="3" customWidth="1"/>
    <col min="14596" max="14596" width="11.42578125" style="3"/>
    <col min="14597" max="14597" width="13.42578125" style="3" customWidth="1"/>
    <col min="14598" max="14598" width="12.7109375" style="3" customWidth="1"/>
    <col min="14599" max="14599" width="14" style="3" customWidth="1"/>
    <col min="14600" max="14600" width="7.42578125" style="3" customWidth="1"/>
    <col min="14601" max="14848" width="11.42578125" style="3"/>
    <col min="14849" max="14849" width="15.85546875" style="3" customWidth="1"/>
    <col min="14850" max="14850" width="14.85546875" style="3" customWidth="1"/>
    <col min="14851" max="14851" width="13.28515625" style="3" customWidth="1"/>
    <col min="14852" max="14852" width="11.42578125" style="3"/>
    <col min="14853" max="14853" width="13.42578125" style="3" customWidth="1"/>
    <col min="14854" max="14854" width="12.7109375" style="3" customWidth="1"/>
    <col min="14855" max="14855" width="14" style="3" customWidth="1"/>
    <col min="14856" max="14856" width="7.42578125" style="3" customWidth="1"/>
    <col min="14857" max="15104" width="11.42578125" style="3"/>
    <col min="15105" max="15105" width="15.85546875" style="3" customWidth="1"/>
    <col min="15106" max="15106" width="14.85546875" style="3" customWidth="1"/>
    <col min="15107" max="15107" width="13.28515625" style="3" customWidth="1"/>
    <col min="15108" max="15108" width="11.42578125" style="3"/>
    <col min="15109" max="15109" width="13.42578125" style="3" customWidth="1"/>
    <col min="15110" max="15110" width="12.7109375" style="3" customWidth="1"/>
    <col min="15111" max="15111" width="14" style="3" customWidth="1"/>
    <col min="15112" max="15112" width="7.42578125" style="3" customWidth="1"/>
    <col min="15113" max="15360" width="11.42578125" style="3"/>
    <col min="15361" max="15361" width="15.85546875" style="3" customWidth="1"/>
    <col min="15362" max="15362" width="14.85546875" style="3" customWidth="1"/>
    <col min="15363" max="15363" width="13.28515625" style="3" customWidth="1"/>
    <col min="15364" max="15364" width="11.42578125" style="3"/>
    <col min="15365" max="15365" width="13.42578125" style="3" customWidth="1"/>
    <col min="15366" max="15366" width="12.7109375" style="3" customWidth="1"/>
    <col min="15367" max="15367" width="14" style="3" customWidth="1"/>
    <col min="15368" max="15368" width="7.42578125" style="3" customWidth="1"/>
    <col min="15369" max="15616" width="11.42578125" style="3"/>
    <col min="15617" max="15617" width="15.85546875" style="3" customWidth="1"/>
    <col min="15618" max="15618" width="14.85546875" style="3" customWidth="1"/>
    <col min="15619" max="15619" width="13.28515625" style="3" customWidth="1"/>
    <col min="15620" max="15620" width="11.42578125" style="3"/>
    <col min="15621" max="15621" width="13.42578125" style="3" customWidth="1"/>
    <col min="15622" max="15622" width="12.7109375" style="3" customWidth="1"/>
    <col min="15623" max="15623" width="14" style="3" customWidth="1"/>
    <col min="15624" max="15624" width="7.42578125" style="3" customWidth="1"/>
    <col min="15625" max="15872" width="11.42578125" style="3"/>
    <col min="15873" max="15873" width="15.85546875" style="3" customWidth="1"/>
    <col min="15874" max="15874" width="14.85546875" style="3" customWidth="1"/>
    <col min="15875" max="15875" width="13.28515625" style="3" customWidth="1"/>
    <col min="15876" max="15876" width="11.42578125" style="3"/>
    <col min="15877" max="15877" width="13.42578125" style="3" customWidth="1"/>
    <col min="15878" max="15878" width="12.7109375" style="3" customWidth="1"/>
    <col min="15879" max="15879" width="14" style="3" customWidth="1"/>
    <col min="15880" max="15880" width="7.42578125" style="3" customWidth="1"/>
    <col min="15881" max="16128" width="11.42578125" style="3"/>
    <col min="16129" max="16129" width="15.85546875" style="3" customWidth="1"/>
    <col min="16130" max="16130" width="14.85546875" style="3" customWidth="1"/>
    <col min="16131" max="16131" width="13.28515625" style="3" customWidth="1"/>
    <col min="16132" max="16132" width="11.42578125" style="3"/>
    <col min="16133" max="16133" width="13.42578125" style="3" customWidth="1"/>
    <col min="16134" max="16134" width="12.7109375" style="3" customWidth="1"/>
    <col min="16135" max="16135" width="14" style="3" customWidth="1"/>
    <col min="16136" max="16136" width="7.42578125" style="3" customWidth="1"/>
    <col min="16137" max="16384" width="11.42578125" style="3"/>
  </cols>
  <sheetData>
    <row r="1" spans="1:21" ht="20.25">
      <c r="A1" s="1346" t="str">
        <f>PPTO!D3</f>
        <v>PRESUPUESTO
MUNICIPIO EL BAGRE (ANTIOQUIA).</v>
      </c>
      <c r="B1" s="1347"/>
      <c r="C1" s="1347"/>
      <c r="D1" s="1347"/>
      <c r="E1" s="1347"/>
      <c r="F1" s="1347"/>
      <c r="G1" s="1348"/>
      <c r="H1" s="1"/>
      <c r="I1" s="2"/>
    </row>
    <row r="2" spans="1:21" ht="18" customHeight="1">
      <c r="A2" s="1362" t="s">
        <v>16</v>
      </c>
      <c r="B2" s="1363"/>
      <c r="C2" s="1363"/>
      <c r="D2" s="1363"/>
      <c r="E2" s="1363"/>
      <c r="F2" s="1363"/>
      <c r="G2" s="1364"/>
      <c r="H2" s="1"/>
      <c r="I2" s="2"/>
    </row>
    <row r="3" spans="1:21" ht="22.5" customHeight="1">
      <c r="A3" s="1367" t="str">
        <f>+PPTO!$D$5</f>
        <v>PROYECTO DE MEJORAMIENTO VIAL, ESPACIO PUBLICO Y OBRAS COMPLEMENTARIAS DE LA AVENIDA LA JUVENTUD Y TRAMOS ADYACENTES Y PRIORITARIOS DEL SECTOR URBANO EN EL MUNICIPIO EL BAGRE ANTIOQUIA.</v>
      </c>
      <c r="B3" s="1368"/>
      <c r="C3" s="1368"/>
      <c r="D3" s="1368"/>
      <c r="E3" s="1368"/>
      <c r="F3" s="1368"/>
      <c r="G3" s="1369"/>
      <c r="H3" s="1"/>
      <c r="I3" s="2"/>
    </row>
    <row r="4" spans="1:21" ht="17.25" customHeight="1">
      <c r="A4" s="1370"/>
      <c r="B4" s="1368"/>
      <c r="C4" s="1368"/>
      <c r="D4" s="1368"/>
      <c r="E4" s="1368"/>
      <c r="F4" s="1368"/>
      <c r="G4" s="1369"/>
      <c r="H4" s="1"/>
      <c r="I4" s="2"/>
    </row>
    <row r="5" spans="1:21" ht="6.75" customHeight="1">
      <c r="A5" s="222"/>
      <c r="B5" s="6"/>
      <c r="C5" s="24"/>
      <c r="D5" s="25"/>
      <c r="E5" s="6"/>
      <c r="F5" s="6"/>
      <c r="G5" s="223"/>
      <c r="H5" s="9"/>
    </row>
    <row r="6" spans="1:21" ht="41.25" customHeight="1">
      <c r="A6" s="368">
        <v>4.2</v>
      </c>
      <c r="B6" s="1349" t="str">
        <f>VLOOKUP(A6,PPTO!D9:I136,2,FALSE)</f>
        <v>Suministro e instalacion de Concreto Estampado y Pigmentado para Zonas Peatonales en perimetrales de la via en concreto de 3000 Psi.</v>
      </c>
      <c r="C6" s="1350"/>
      <c r="D6" s="1350"/>
      <c r="E6" s="1351"/>
      <c r="F6" s="192" t="s">
        <v>118</v>
      </c>
      <c r="G6" s="248" t="str">
        <f>VLOOKUP(A6,PPTO!D9:I136,3,FALSE)</f>
        <v>m2</v>
      </c>
      <c r="H6" s="9"/>
    </row>
    <row r="7" spans="1:21" ht="3.75" customHeight="1">
      <c r="A7" s="226"/>
      <c r="B7" s="4"/>
      <c r="C7" s="6"/>
      <c r="D7" s="4"/>
      <c r="E7" s="4"/>
      <c r="F7" s="4"/>
      <c r="G7" s="227"/>
      <c r="H7" s="9"/>
    </row>
    <row r="8" spans="1:21">
      <c r="A8" s="1354" t="s">
        <v>69</v>
      </c>
      <c r="B8" s="1355"/>
      <c r="C8" s="1355"/>
      <c r="D8" s="1355"/>
      <c r="E8" s="1355"/>
      <c r="F8" s="1355"/>
      <c r="G8" s="1356"/>
      <c r="H8" s="9"/>
    </row>
    <row r="9" spans="1:21" ht="4.5" customHeight="1">
      <c r="A9" s="226"/>
      <c r="B9" s="4"/>
      <c r="C9" s="6"/>
      <c r="D9" s="4"/>
      <c r="E9" s="4"/>
      <c r="F9" s="4"/>
      <c r="G9" s="227"/>
      <c r="H9" s="9"/>
      <c r="I9" s="5"/>
      <c r="J9" s="5"/>
      <c r="K9" s="5"/>
      <c r="L9" s="26"/>
      <c r="M9" s="5"/>
      <c r="N9" s="5"/>
      <c r="O9" s="5"/>
      <c r="P9" s="5"/>
    </row>
    <row r="10" spans="1:21">
      <c r="A10" s="1373" t="s">
        <v>17</v>
      </c>
      <c r="B10" s="1374"/>
      <c r="C10" s="1374"/>
      <c r="D10" s="346" t="s">
        <v>18</v>
      </c>
      <c r="E10" s="346" t="s">
        <v>19</v>
      </c>
      <c r="F10" s="346" t="s">
        <v>20</v>
      </c>
      <c r="G10" s="228" t="s">
        <v>21</v>
      </c>
      <c r="H10" s="27"/>
      <c r="I10" s="28"/>
      <c r="J10" s="29"/>
      <c r="K10" s="30"/>
      <c r="L10" s="30"/>
      <c r="M10" s="30"/>
      <c r="N10" s="30"/>
      <c r="O10" s="30"/>
      <c r="P10" s="5"/>
    </row>
    <row r="11" spans="1:21">
      <c r="A11" s="1352" t="s">
        <v>75</v>
      </c>
      <c r="B11" s="1353"/>
      <c r="C11" s="1353"/>
      <c r="D11" s="346"/>
      <c r="E11" s="83"/>
      <c r="F11" s="97"/>
      <c r="G11" s="229">
        <f>+G39*5%</f>
        <v>1273</v>
      </c>
      <c r="H11" s="9"/>
      <c r="I11" s="30"/>
      <c r="J11" s="31"/>
      <c r="K11" s="30"/>
      <c r="L11" s="30"/>
      <c r="M11" s="30"/>
      <c r="N11" s="30"/>
      <c r="O11" s="30"/>
      <c r="P11" s="5"/>
    </row>
    <row r="12" spans="1:21">
      <c r="A12" s="1371" t="s">
        <v>873</v>
      </c>
      <c r="B12" s="1372"/>
      <c r="C12" s="1372"/>
      <c r="D12" s="83"/>
      <c r="E12" s="83">
        <v>5000</v>
      </c>
      <c r="F12" s="93">
        <f>F35</f>
        <v>12</v>
      </c>
      <c r="G12" s="229">
        <f>E12/F12</f>
        <v>417</v>
      </c>
      <c r="H12" s="9"/>
      <c r="I12" s="16"/>
      <c r="J12" s="13"/>
      <c r="K12" s="8"/>
      <c r="L12" s="8"/>
      <c r="M12" s="8"/>
      <c r="N12" s="8"/>
      <c r="O12" s="8"/>
      <c r="P12" s="5"/>
    </row>
    <row r="13" spans="1:21">
      <c r="A13" s="1371"/>
      <c r="B13" s="1372"/>
      <c r="C13" s="1372"/>
      <c r="D13" s="83"/>
      <c r="E13" s="83"/>
      <c r="F13" s="93"/>
      <c r="G13" s="229"/>
      <c r="H13" s="9"/>
      <c r="I13" s="13"/>
      <c r="J13" s="13"/>
      <c r="K13" s="13"/>
      <c r="L13" s="13"/>
      <c r="M13" s="13"/>
      <c r="N13" s="13"/>
      <c r="O13" s="13"/>
      <c r="P13" s="5"/>
    </row>
    <row r="14" spans="1:21">
      <c r="A14" s="1371"/>
      <c r="B14" s="1372"/>
      <c r="C14" s="1372"/>
      <c r="D14" s="83"/>
      <c r="E14" s="83"/>
      <c r="F14" s="97"/>
      <c r="G14" s="229"/>
      <c r="H14" s="9"/>
      <c r="I14" s="8"/>
      <c r="J14" s="14"/>
      <c r="K14" s="32"/>
      <c r="L14" s="14"/>
      <c r="M14" s="15"/>
      <c r="N14" s="15"/>
      <c r="O14" s="19"/>
      <c r="P14" s="5"/>
    </row>
    <row r="15" spans="1:21">
      <c r="A15" s="1371"/>
      <c r="B15" s="1372"/>
      <c r="C15" s="1372"/>
      <c r="D15" s="83"/>
      <c r="E15" s="83"/>
      <c r="F15" s="98"/>
      <c r="G15" s="229"/>
      <c r="H15" s="9"/>
      <c r="I15" s="8"/>
      <c r="J15" s="33"/>
      <c r="K15" s="32"/>
      <c r="L15" s="14"/>
      <c r="M15" s="15"/>
      <c r="N15" s="15"/>
      <c r="O15" s="19"/>
      <c r="P15" s="5"/>
      <c r="Q15" s="5"/>
      <c r="R15" s="5"/>
      <c r="S15" s="5"/>
      <c r="T15" s="5"/>
      <c r="U15" s="5"/>
    </row>
    <row r="16" spans="1:21">
      <c r="A16" s="1371"/>
      <c r="B16" s="1372"/>
      <c r="C16" s="1372"/>
      <c r="D16" s="85" t="s">
        <v>37</v>
      </c>
      <c r="E16" s="50"/>
      <c r="F16" s="49"/>
      <c r="G16" s="230">
        <f>SUM(G11:G15)</f>
        <v>1690</v>
      </c>
      <c r="H16" s="9"/>
      <c r="I16" s="34"/>
      <c r="J16" s="34"/>
      <c r="K16" s="35"/>
      <c r="L16" s="36"/>
      <c r="M16" s="7"/>
      <c r="N16" s="7"/>
      <c r="O16" s="19"/>
      <c r="P16" s="5"/>
      <c r="Q16" s="5"/>
      <c r="R16" s="5"/>
      <c r="S16" s="5"/>
      <c r="T16" s="5"/>
      <c r="U16" s="5"/>
    </row>
    <row r="17" spans="1:21" ht="4.5" customHeight="1">
      <c r="A17" s="226"/>
      <c r="B17" s="4"/>
      <c r="C17" s="6"/>
      <c r="D17" s="4"/>
      <c r="E17" s="4"/>
      <c r="F17" s="4"/>
      <c r="G17" s="227"/>
      <c r="H17" s="9"/>
      <c r="I17" s="34"/>
      <c r="J17" s="34"/>
      <c r="K17" s="35"/>
      <c r="L17" s="36"/>
      <c r="M17" s="7"/>
      <c r="N17" s="7"/>
      <c r="O17" s="19"/>
      <c r="P17" s="5"/>
      <c r="Q17" s="5"/>
      <c r="R17" s="5"/>
      <c r="S17" s="5"/>
      <c r="T17" s="5"/>
      <c r="U17" s="5"/>
    </row>
    <row r="18" spans="1:21">
      <c r="A18" s="1354" t="s">
        <v>70</v>
      </c>
      <c r="B18" s="1355"/>
      <c r="C18" s="1355"/>
      <c r="D18" s="1355"/>
      <c r="E18" s="1355"/>
      <c r="F18" s="1355"/>
      <c r="G18" s="1356"/>
      <c r="H18" s="9"/>
    </row>
    <row r="19" spans="1:21" ht="4.5" customHeight="1">
      <c r="A19" s="226"/>
      <c r="B19" s="4"/>
      <c r="C19" s="6"/>
      <c r="D19" s="4"/>
      <c r="E19" s="4"/>
      <c r="F19" s="38"/>
      <c r="G19" s="227"/>
      <c r="H19" s="9"/>
      <c r="I19" s="34"/>
      <c r="J19" s="34"/>
      <c r="K19" s="35"/>
      <c r="L19" s="39"/>
      <c r="M19" s="7"/>
      <c r="N19" s="7"/>
      <c r="O19" s="8"/>
      <c r="P19" s="5"/>
      <c r="Q19" s="5"/>
      <c r="R19" s="5"/>
      <c r="S19" s="5"/>
      <c r="T19" s="5"/>
      <c r="U19" s="5"/>
    </row>
    <row r="20" spans="1:21">
      <c r="A20" s="1373" t="s">
        <v>17</v>
      </c>
      <c r="B20" s="1374"/>
      <c r="C20" s="1374"/>
      <c r="D20" s="346" t="s">
        <v>3</v>
      </c>
      <c r="E20" s="346" t="s">
        <v>4</v>
      </c>
      <c r="F20" s="346" t="s">
        <v>25</v>
      </c>
      <c r="G20" s="228" t="s">
        <v>21</v>
      </c>
      <c r="H20" s="27"/>
      <c r="I20" s="34"/>
      <c r="J20" s="34"/>
      <c r="K20" s="35"/>
      <c r="L20" s="39"/>
      <c r="M20" s="7"/>
      <c r="N20" s="7"/>
      <c r="O20" s="8"/>
      <c r="P20" s="5"/>
      <c r="Q20" s="5"/>
      <c r="R20" s="5"/>
      <c r="S20" s="5"/>
      <c r="T20" s="5"/>
      <c r="U20" s="5"/>
    </row>
    <row r="21" spans="1:21">
      <c r="A21" s="1435" t="s">
        <v>840</v>
      </c>
      <c r="B21" s="1436"/>
      <c r="C21" s="1436"/>
      <c r="D21" s="79" t="s">
        <v>122</v>
      </c>
      <c r="E21" s="88">
        <v>0.15</v>
      </c>
      <c r="F21" s="87">
        <f>'CONC 3000 PSI'!G43</f>
        <v>360849</v>
      </c>
      <c r="G21" s="231">
        <f>+E21*F21</f>
        <v>54127</v>
      </c>
      <c r="H21" s="9"/>
      <c r="I21" s="34"/>
      <c r="J21" s="34"/>
      <c r="K21" s="35"/>
      <c r="L21" s="39"/>
      <c r="M21" s="7"/>
      <c r="N21" s="7"/>
      <c r="O21" s="13"/>
      <c r="P21" s="5"/>
      <c r="Q21" s="5"/>
      <c r="R21" s="5"/>
      <c r="S21" s="5"/>
      <c r="T21" s="5"/>
      <c r="U21" s="5"/>
    </row>
    <row r="22" spans="1:21">
      <c r="A22" s="1382" t="s">
        <v>871</v>
      </c>
      <c r="B22" s="1383"/>
      <c r="C22" s="1383"/>
      <c r="D22" s="81" t="s">
        <v>53</v>
      </c>
      <c r="E22" s="88">
        <v>1.5</v>
      </c>
      <c r="F22" s="78">
        <v>4500</v>
      </c>
      <c r="G22" s="231">
        <f>+E22*F22</f>
        <v>6750</v>
      </c>
      <c r="H22" s="9"/>
      <c r="I22" s="10">
        <f>25*F22</f>
        <v>112500</v>
      </c>
      <c r="J22" s="10"/>
      <c r="K22" s="12"/>
      <c r="L22" s="39"/>
      <c r="M22" s="7"/>
      <c r="N22" s="7"/>
      <c r="O22" s="15"/>
      <c r="P22" s="5"/>
      <c r="Q22" s="5"/>
      <c r="R22" s="5"/>
      <c r="S22" s="5"/>
      <c r="T22" s="5"/>
      <c r="U22" s="5"/>
    </row>
    <row r="23" spans="1:21">
      <c r="A23" s="1352" t="s">
        <v>870</v>
      </c>
      <c r="B23" s="1353"/>
      <c r="C23" s="1353"/>
      <c r="D23" s="79" t="s">
        <v>872</v>
      </c>
      <c r="E23" s="82">
        <f>1/15</f>
        <v>7.0000000000000007E-2</v>
      </c>
      <c r="F23" s="78">
        <v>25000</v>
      </c>
      <c r="G23" s="231">
        <f>+E23*F23</f>
        <v>1750</v>
      </c>
      <c r="H23" s="9"/>
      <c r="I23" s="10"/>
      <c r="J23" s="10"/>
      <c r="K23" s="12"/>
      <c r="L23" s="39"/>
      <c r="M23" s="7"/>
      <c r="N23" s="7"/>
      <c r="O23" s="15"/>
      <c r="P23" s="5"/>
      <c r="Q23" s="5"/>
      <c r="R23" s="5"/>
      <c r="S23" s="5"/>
      <c r="T23" s="5"/>
      <c r="U23" s="5"/>
    </row>
    <row r="24" spans="1:21">
      <c r="A24" s="1434" t="s">
        <v>707</v>
      </c>
      <c r="B24" s="1414"/>
      <c r="C24" s="1414"/>
      <c r="D24" s="422" t="s">
        <v>72</v>
      </c>
      <c r="E24" s="423">
        <v>2</v>
      </c>
      <c r="F24" s="424">
        <f>95000/(6*2.4)</f>
        <v>6597</v>
      </c>
      <c r="G24" s="421">
        <f>ROUND(F24*E24,0)</f>
        <v>13194</v>
      </c>
      <c r="H24" s="9"/>
      <c r="I24" s="10"/>
      <c r="J24" s="40"/>
      <c r="K24" s="12"/>
      <c r="L24" s="13"/>
      <c r="M24" s="14"/>
      <c r="N24" s="14"/>
      <c r="O24" s="15"/>
      <c r="P24" s="5"/>
      <c r="Q24" s="5"/>
      <c r="R24" s="5"/>
      <c r="S24" s="5"/>
      <c r="T24" s="5"/>
      <c r="U24" s="5"/>
    </row>
    <row r="25" spans="1:21">
      <c r="A25" s="1352"/>
      <c r="B25" s="1353"/>
      <c r="C25" s="1353"/>
      <c r="D25" s="81"/>
      <c r="E25" s="82"/>
      <c r="F25" s="83"/>
      <c r="G25" s="231"/>
      <c r="H25" s="9"/>
      <c r="I25" s="10"/>
      <c r="J25" s="11"/>
      <c r="K25" s="12"/>
      <c r="L25" s="13"/>
      <c r="M25" s="14"/>
      <c r="N25" s="14"/>
      <c r="O25" s="15"/>
      <c r="P25" s="5"/>
      <c r="Q25" s="5"/>
      <c r="R25" s="5"/>
      <c r="S25" s="5"/>
      <c r="T25" s="5"/>
      <c r="U25" s="5"/>
    </row>
    <row r="26" spans="1:21">
      <c r="A26" s="1352"/>
      <c r="B26" s="1353"/>
      <c r="C26" s="1353"/>
      <c r="D26" s="79"/>
      <c r="E26" s="82"/>
      <c r="F26" s="83"/>
      <c r="G26" s="231"/>
      <c r="H26" s="9"/>
      <c r="I26" s="10"/>
      <c r="J26" s="11"/>
      <c r="K26" s="12"/>
      <c r="L26" s="13"/>
      <c r="M26" s="14"/>
      <c r="N26" s="14"/>
      <c r="O26" s="15"/>
      <c r="P26" s="5"/>
      <c r="Q26" s="5"/>
      <c r="R26" s="5"/>
      <c r="S26" s="5"/>
      <c r="T26" s="5"/>
      <c r="U26" s="5"/>
    </row>
    <row r="27" spans="1:21">
      <c r="A27" s="1352"/>
      <c r="B27" s="1353"/>
      <c r="C27" s="1353" t="s">
        <v>50</v>
      </c>
      <c r="D27" s="79"/>
      <c r="E27" s="82"/>
      <c r="F27" s="83"/>
      <c r="G27" s="231">
        <f>+(G21+G22)*5%</f>
        <v>3044</v>
      </c>
      <c r="H27" s="9"/>
      <c r="I27" s="10"/>
      <c r="J27" s="11"/>
      <c r="K27" s="12"/>
      <c r="L27" s="13"/>
      <c r="M27" s="14"/>
      <c r="N27" s="14"/>
      <c r="O27" s="15"/>
      <c r="P27" s="5"/>
      <c r="Q27" s="5"/>
      <c r="R27" s="5"/>
      <c r="S27" s="5"/>
      <c r="T27" s="5"/>
      <c r="U27" s="5"/>
    </row>
    <row r="28" spans="1:21">
      <c r="A28" s="1352"/>
      <c r="B28" s="1353"/>
      <c r="C28" s="1353"/>
      <c r="D28" s="79"/>
      <c r="E28" s="82"/>
      <c r="F28" s="83"/>
      <c r="G28" s="231"/>
      <c r="H28" s="9"/>
      <c r="I28" s="41"/>
      <c r="J28" s="41"/>
      <c r="K28" s="12"/>
      <c r="L28" s="13"/>
      <c r="M28" s="14"/>
      <c r="N28" s="14"/>
      <c r="O28" s="15"/>
      <c r="P28" s="5"/>
      <c r="Q28" s="5"/>
      <c r="R28" s="5"/>
      <c r="S28" s="5"/>
      <c r="T28" s="5"/>
      <c r="U28" s="5"/>
    </row>
    <row r="29" spans="1:21">
      <c r="A29" s="1352"/>
      <c r="B29" s="1353"/>
      <c r="C29" s="1353"/>
      <c r="D29" s="84"/>
      <c r="E29" s="84"/>
      <c r="F29" s="83"/>
      <c r="G29" s="231"/>
      <c r="H29" s="9"/>
      <c r="I29" s="42"/>
      <c r="J29" s="42"/>
      <c r="K29" s="42"/>
      <c r="L29" s="13"/>
      <c r="M29" s="14"/>
      <c r="N29" s="14"/>
      <c r="O29" s="15"/>
      <c r="P29" s="5"/>
      <c r="Q29" s="5"/>
      <c r="R29" s="5"/>
      <c r="S29" s="5"/>
      <c r="T29" s="5"/>
      <c r="U29" s="5"/>
    </row>
    <row r="30" spans="1:21">
      <c r="A30" s="1352"/>
      <c r="B30" s="1353"/>
      <c r="C30" s="1353"/>
      <c r="D30" s="85" t="s">
        <v>28</v>
      </c>
      <c r="E30" s="50"/>
      <c r="F30" s="49"/>
      <c r="G30" s="230">
        <f>SUM(G21:G29)</f>
        <v>78865</v>
      </c>
      <c r="H30" s="9"/>
      <c r="I30" s="8"/>
      <c r="J30" s="13"/>
      <c r="K30" s="8"/>
      <c r="L30" s="13"/>
      <c r="M30" s="14"/>
      <c r="N30" s="14"/>
      <c r="O30" s="15"/>
      <c r="P30" s="5"/>
    </row>
    <row r="31" spans="1:21" ht="3.75" customHeight="1">
      <c r="A31" s="226"/>
      <c r="B31" s="4"/>
      <c r="C31" s="6"/>
      <c r="D31" s="4"/>
      <c r="E31" s="4"/>
      <c r="F31" s="4"/>
      <c r="G31" s="227"/>
      <c r="H31" s="9"/>
      <c r="I31" s="8"/>
      <c r="J31" s="13"/>
      <c r="K31" s="18"/>
      <c r="L31" s="13"/>
      <c r="M31" s="33"/>
      <c r="N31" s="33"/>
      <c r="O31" s="15"/>
      <c r="P31" s="5"/>
    </row>
    <row r="32" spans="1:21">
      <c r="A32" s="1354" t="s">
        <v>71</v>
      </c>
      <c r="B32" s="1355"/>
      <c r="C32" s="1355"/>
      <c r="D32" s="1355"/>
      <c r="E32" s="1355"/>
      <c r="F32" s="1355"/>
      <c r="G32" s="1356"/>
      <c r="H32" s="9"/>
    </row>
    <row r="33" spans="1:16" ht="3.75" customHeight="1">
      <c r="A33" s="226"/>
      <c r="B33" s="4"/>
      <c r="C33" s="6"/>
      <c r="D33" s="4"/>
      <c r="E33" s="4"/>
      <c r="F33" s="4"/>
      <c r="G33" s="227"/>
      <c r="H33" s="9"/>
      <c r="I33" s="8"/>
      <c r="J33" s="13"/>
      <c r="K33" s="8"/>
      <c r="L33" s="8"/>
      <c r="M33" s="8"/>
      <c r="N33" s="8"/>
      <c r="O33" s="15"/>
      <c r="P33" s="5"/>
    </row>
    <row r="34" spans="1:16">
      <c r="A34" s="232" t="s">
        <v>5</v>
      </c>
      <c r="B34" s="60" t="s">
        <v>29</v>
      </c>
      <c r="C34" s="60" t="s">
        <v>30</v>
      </c>
      <c r="D34" s="60" t="s">
        <v>31</v>
      </c>
      <c r="E34" s="60" t="s">
        <v>32</v>
      </c>
      <c r="F34" s="60" t="s">
        <v>20</v>
      </c>
      <c r="G34" s="252" t="s">
        <v>33</v>
      </c>
      <c r="H34" s="27"/>
      <c r="I34" s="8"/>
      <c r="J34" s="13"/>
      <c r="K34" s="8"/>
      <c r="L34" s="8"/>
      <c r="M34" s="8"/>
      <c r="N34" s="8"/>
      <c r="O34" s="15"/>
      <c r="P34" s="5"/>
    </row>
    <row r="35" spans="1:16" ht="15.75">
      <c r="A35" s="233" t="s">
        <v>41</v>
      </c>
      <c r="B35" s="63">
        <f>BOF</f>
        <v>51749</v>
      </c>
      <c r="C35" s="68">
        <f>ffpp</f>
        <v>0.64539999999999997</v>
      </c>
      <c r="D35" s="72">
        <v>1</v>
      </c>
      <c r="E35" s="66">
        <f>OF</f>
        <v>88696</v>
      </c>
      <c r="F35" s="65">
        <v>12</v>
      </c>
      <c r="G35" s="831">
        <f>ROUND(+D35*E35/F35,0)</f>
        <v>7391</v>
      </c>
      <c r="H35" s="9"/>
      <c r="I35" s="16"/>
      <c r="J35" s="13"/>
      <c r="K35" s="8"/>
      <c r="L35" s="8"/>
      <c r="M35" s="8"/>
      <c r="N35" s="8"/>
      <c r="O35" s="15"/>
      <c r="P35" s="5"/>
    </row>
    <row r="36" spans="1:16" ht="15.75">
      <c r="A36" s="233" t="s">
        <v>38</v>
      </c>
      <c r="B36" s="63">
        <f>BOB</f>
        <v>41749</v>
      </c>
      <c r="C36" s="68">
        <f>ffpp</f>
        <v>0.64539999999999997</v>
      </c>
      <c r="D36" s="72">
        <v>3</v>
      </c>
      <c r="E36" s="66">
        <f>OB</f>
        <v>72242</v>
      </c>
      <c r="F36" s="65">
        <f>+F35</f>
        <v>12</v>
      </c>
      <c r="G36" s="831">
        <f>ROUND(+D36*E36/F36,0)</f>
        <v>18061</v>
      </c>
      <c r="H36" s="9"/>
      <c r="I36" s="8"/>
      <c r="J36" s="8"/>
      <c r="K36" s="13"/>
      <c r="L36" s="13"/>
      <c r="M36" s="13"/>
      <c r="N36" s="13"/>
      <c r="O36" s="13"/>
      <c r="P36" s="5"/>
    </row>
    <row r="37" spans="1:16">
      <c r="A37" s="234"/>
      <c r="B37" s="50"/>
      <c r="C37" s="961"/>
      <c r="D37" s="50"/>
      <c r="E37" s="50"/>
      <c r="F37" s="50"/>
      <c r="G37" s="235"/>
      <c r="H37" s="9"/>
      <c r="I37" s="8"/>
      <c r="J37" s="13"/>
      <c r="K37" s="13"/>
      <c r="L37" s="13"/>
      <c r="M37" s="33"/>
      <c r="N37" s="33"/>
      <c r="O37" s="43"/>
      <c r="P37" s="5"/>
    </row>
    <row r="38" spans="1:16">
      <c r="A38" s="233"/>
      <c r="B38" s="65"/>
      <c r="C38" s="68"/>
      <c r="D38" s="65"/>
      <c r="E38" s="69"/>
      <c r="F38" s="69"/>
      <c r="G38" s="236"/>
      <c r="H38" s="9"/>
      <c r="I38" s="8"/>
      <c r="J38" s="13"/>
      <c r="K38" s="13"/>
      <c r="L38" s="13"/>
      <c r="M38" s="33"/>
      <c r="N38" s="33"/>
      <c r="O38" s="43"/>
      <c r="P38" s="5"/>
    </row>
    <row r="39" spans="1:16">
      <c r="A39" s="249"/>
      <c r="B39" s="71"/>
      <c r="C39" s="71"/>
      <c r="D39" s="71" t="s">
        <v>34</v>
      </c>
      <c r="E39" s="71"/>
      <c r="F39" s="71"/>
      <c r="G39" s="250">
        <f>SUM(G35:G38)</f>
        <v>25452</v>
      </c>
      <c r="H39" s="9"/>
      <c r="I39" s="8"/>
      <c r="J39" s="13"/>
      <c r="K39" s="13"/>
      <c r="L39" s="13"/>
      <c r="M39" s="14"/>
      <c r="N39" s="14"/>
      <c r="O39" s="15"/>
      <c r="P39" s="5"/>
    </row>
    <row r="40" spans="1:16">
      <c r="A40" s="226"/>
      <c r="B40" s="4"/>
      <c r="C40" s="6"/>
      <c r="D40" s="4"/>
      <c r="E40" s="4"/>
      <c r="F40" s="4"/>
      <c r="G40" s="227"/>
      <c r="H40" s="9"/>
      <c r="I40" s="8"/>
      <c r="J40" s="13"/>
      <c r="K40" s="13"/>
      <c r="L40" s="13"/>
      <c r="M40" s="14"/>
      <c r="N40" s="14"/>
      <c r="O40" s="19"/>
      <c r="P40" s="5"/>
    </row>
    <row r="41" spans="1:16">
      <c r="A41" s="226"/>
      <c r="B41" s="4"/>
      <c r="C41" s="6"/>
      <c r="D41" s="4"/>
      <c r="E41" s="4"/>
      <c r="F41" s="4"/>
      <c r="G41" s="227"/>
      <c r="H41" s="9"/>
      <c r="I41" s="8"/>
      <c r="J41" s="13"/>
      <c r="K41" s="13"/>
      <c r="L41" s="13"/>
      <c r="M41" s="17"/>
      <c r="N41" s="17"/>
      <c r="O41" s="37"/>
      <c r="P41" s="5"/>
    </row>
    <row r="42" spans="1:16" ht="14.25">
      <c r="A42" s="226"/>
      <c r="B42" s="4"/>
      <c r="C42" s="6"/>
      <c r="D42" s="1357" t="s">
        <v>35</v>
      </c>
      <c r="E42" s="1358"/>
      <c r="F42" s="1359"/>
      <c r="G42" s="239">
        <f>+G39+G30+G16</f>
        <v>106007</v>
      </c>
      <c r="H42" s="9"/>
      <c r="I42" s="48"/>
      <c r="J42" s="20"/>
      <c r="K42" s="8"/>
      <c r="L42" s="8"/>
      <c r="M42" s="8"/>
      <c r="N42" s="8"/>
      <c r="O42" s="8"/>
      <c r="P42" s="5"/>
    </row>
    <row r="43" spans="1:16" ht="14.25">
      <c r="A43" s="240"/>
      <c r="B43" s="57"/>
      <c r="C43" s="58"/>
      <c r="D43" s="99"/>
      <c r="E43" s="99"/>
      <c r="F43" s="99"/>
      <c r="G43" s="251"/>
      <c r="H43" s="9"/>
      <c r="I43" s="48"/>
      <c r="J43" s="20"/>
      <c r="K43" s="8"/>
      <c r="L43" s="8"/>
      <c r="M43" s="8"/>
      <c r="N43" s="8"/>
      <c r="O43" s="8"/>
      <c r="P43" s="5"/>
    </row>
    <row r="44" spans="1:16" ht="14.25">
      <c r="A44" s="374"/>
      <c r="B44" s="375"/>
      <c r="C44" s="375"/>
      <c r="D44" s="99"/>
      <c r="E44" s="99"/>
      <c r="F44" s="99"/>
      <c r="G44" s="251"/>
      <c r="H44" s="9"/>
      <c r="I44" s="48"/>
      <c r="J44" s="20"/>
      <c r="K44" s="8"/>
      <c r="L44" s="8"/>
      <c r="M44" s="8"/>
      <c r="N44" s="8"/>
      <c r="O44" s="8"/>
      <c r="P44" s="5"/>
    </row>
    <row r="45" spans="1:16" ht="14.25">
      <c r="A45" s="373"/>
      <c r="B45" s="376"/>
      <c r="C45" s="376"/>
      <c r="D45" s="99"/>
      <c r="E45" s="99"/>
      <c r="F45" s="99"/>
      <c r="G45" s="251"/>
      <c r="H45" s="9"/>
      <c r="I45" s="48"/>
      <c r="J45" s="20"/>
      <c r="K45" s="8"/>
      <c r="L45" s="8"/>
      <c r="M45" s="8"/>
      <c r="N45" s="8"/>
      <c r="O45" s="8"/>
      <c r="P45" s="5"/>
    </row>
    <row r="46" spans="1:16" ht="14.25">
      <c r="A46" s="373"/>
      <c r="B46" s="376"/>
      <c r="C46" s="376"/>
      <c r="D46" s="44"/>
      <c r="E46" s="45"/>
      <c r="F46" s="45"/>
      <c r="G46" s="251"/>
      <c r="H46" s="9"/>
      <c r="I46" s="8"/>
      <c r="J46" s="13"/>
      <c r="K46" s="8"/>
      <c r="L46" s="8"/>
      <c r="M46" s="8"/>
      <c r="N46" s="8"/>
      <c r="O46" s="8"/>
      <c r="P46" s="5"/>
    </row>
    <row r="47" spans="1:16" ht="15" thickBot="1">
      <c r="A47" s="242"/>
      <c r="B47" s="243"/>
      <c r="C47" s="244"/>
      <c r="D47" s="245"/>
      <c r="E47" s="246"/>
      <c r="F47" s="246"/>
      <c r="G47" s="247"/>
      <c r="H47" s="9"/>
      <c r="I47" s="8"/>
      <c r="J47" s="13"/>
      <c r="K47" s="8"/>
      <c r="L47" s="8"/>
      <c r="M47" s="8"/>
      <c r="N47" s="8"/>
      <c r="O47" s="8"/>
      <c r="P47" s="5"/>
    </row>
    <row r="48" spans="1:16">
      <c r="I48" s="5"/>
      <c r="J48" s="5"/>
      <c r="K48" s="5"/>
      <c r="L48" s="5"/>
      <c r="M48" s="5"/>
      <c r="N48" s="5"/>
      <c r="O48" s="5"/>
      <c r="P48" s="5"/>
    </row>
    <row r="49" spans="9:16">
      <c r="I49" s="5"/>
      <c r="J49" s="5"/>
      <c r="K49" s="5"/>
      <c r="L49" s="5"/>
      <c r="M49" s="5"/>
      <c r="N49" s="5"/>
      <c r="O49" s="5"/>
      <c r="P49" s="5"/>
    </row>
  </sheetData>
  <mergeCells count="26">
    <mergeCell ref="A32:G32"/>
    <mergeCell ref="D42:F42"/>
    <mergeCell ref="A25:C25"/>
    <mergeCell ref="A26:C26"/>
    <mergeCell ref="A27:C27"/>
    <mergeCell ref="A28:C28"/>
    <mergeCell ref="A29:C29"/>
    <mergeCell ref="A30:C30"/>
    <mergeCell ref="A24:C24"/>
    <mergeCell ref="A11:C11"/>
    <mergeCell ref="A12:C12"/>
    <mergeCell ref="A13:C13"/>
    <mergeCell ref="A14:C14"/>
    <mergeCell ref="A15:C15"/>
    <mergeCell ref="A16:C16"/>
    <mergeCell ref="A18:G18"/>
    <mergeCell ref="A20:C20"/>
    <mergeCell ref="A21:C21"/>
    <mergeCell ref="A22:C22"/>
    <mergeCell ref="A23:C23"/>
    <mergeCell ref="A10:C10"/>
    <mergeCell ref="A1:G1"/>
    <mergeCell ref="A2:G2"/>
    <mergeCell ref="A3:G4"/>
    <mergeCell ref="B6:E6"/>
    <mergeCell ref="A8:G8"/>
  </mergeCells>
  <printOptions horizontalCentered="1" verticalCentered="1"/>
  <pageMargins left="0.74803149606299213" right="0.74803149606299213" top="0" bottom="0.98425196850393704" header="0" footer="0"/>
  <pageSetup scale="90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3"/>
  <dimension ref="A1:U49"/>
  <sheetViews>
    <sheetView view="pageBreakPreview" topLeftCell="A22" zoomScaleNormal="100" zoomScaleSheetLayoutView="100" workbookViewId="0">
      <selection activeCell="I7" sqref="I7"/>
    </sheetView>
  </sheetViews>
  <sheetFormatPr baseColWidth="10" defaultColWidth="10.7109375" defaultRowHeight="12.75"/>
  <cols>
    <col min="1" max="1" width="15.85546875" style="3" customWidth="1"/>
    <col min="2" max="2" width="14.85546875" style="3" customWidth="1"/>
    <col min="3" max="3" width="13.28515625" style="3" customWidth="1"/>
    <col min="4" max="4" width="11.42578125" style="3"/>
    <col min="5" max="5" width="13.42578125" style="3" customWidth="1"/>
    <col min="6" max="6" width="12.7109375" style="3" customWidth="1"/>
    <col min="7" max="7" width="14" style="3" customWidth="1"/>
    <col min="8" max="8" width="7.42578125" style="3" customWidth="1"/>
    <col min="9" max="256" width="11.42578125" style="3"/>
    <col min="257" max="257" width="15.85546875" style="3" customWidth="1"/>
    <col min="258" max="258" width="14.85546875" style="3" customWidth="1"/>
    <col min="259" max="259" width="13.28515625" style="3" customWidth="1"/>
    <col min="260" max="260" width="11.42578125" style="3"/>
    <col min="261" max="261" width="13.42578125" style="3" customWidth="1"/>
    <col min="262" max="262" width="12.7109375" style="3" customWidth="1"/>
    <col min="263" max="263" width="14" style="3" customWidth="1"/>
    <col min="264" max="264" width="7.42578125" style="3" customWidth="1"/>
    <col min="265" max="512" width="11.42578125" style="3"/>
    <col min="513" max="513" width="15.85546875" style="3" customWidth="1"/>
    <col min="514" max="514" width="14.85546875" style="3" customWidth="1"/>
    <col min="515" max="515" width="13.28515625" style="3" customWidth="1"/>
    <col min="516" max="516" width="11.42578125" style="3"/>
    <col min="517" max="517" width="13.42578125" style="3" customWidth="1"/>
    <col min="518" max="518" width="12.7109375" style="3" customWidth="1"/>
    <col min="519" max="519" width="14" style="3" customWidth="1"/>
    <col min="520" max="520" width="7.42578125" style="3" customWidth="1"/>
    <col min="521" max="768" width="11.42578125" style="3"/>
    <col min="769" max="769" width="15.85546875" style="3" customWidth="1"/>
    <col min="770" max="770" width="14.85546875" style="3" customWidth="1"/>
    <col min="771" max="771" width="13.28515625" style="3" customWidth="1"/>
    <col min="772" max="772" width="11.42578125" style="3"/>
    <col min="773" max="773" width="13.42578125" style="3" customWidth="1"/>
    <col min="774" max="774" width="12.7109375" style="3" customWidth="1"/>
    <col min="775" max="775" width="14" style="3" customWidth="1"/>
    <col min="776" max="776" width="7.42578125" style="3" customWidth="1"/>
    <col min="777" max="1024" width="11.42578125" style="3"/>
    <col min="1025" max="1025" width="15.85546875" style="3" customWidth="1"/>
    <col min="1026" max="1026" width="14.85546875" style="3" customWidth="1"/>
    <col min="1027" max="1027" width="13.28515625" style="3" customWidth="1"/>
    <col min="1028" max="1028" width="11.42578125" style="3"/>
    <col min="1029" max="1029" width="13.42578125" style="3" customWidth="1"/>
    <col min="1030" max="1030" width="12.7109375" style="3" customWidth="1"/>
    <col min="1031" max="1031" width="14" style="3" customWidth="1"/>
    <col min="1032" max="1032" width="7.42578125" style="3" customWidth="1"/>
    <col min="1033" max="1280" width="11.42578125" style="3"/>
    <col min="1281" max="1281" width="15.85546875" style="3" customWidth="1"/>
    <col min="1282" max="1282" width="14.85546875" style="3" customWidth="1"/>
    <col min="1283" max="1283" width="13.28515625" style="3" customWidth="1"/>
    <col min="1284" max="1284" width="11.42578125" style="3"/>
    <col min="1285" max="1285" width="13.42578125" style="3" customWidth="1"/>
    <col min="1286" max="1286" width="12.7109375" style="3" customWidth="1"/>
    <col min="1287" max="1287" width="14" style="3" customWidth="1"/>
    <col min="1288" max="1288" width="7.42578125" style="3" customWidth="1"/>
    <col min="1289" max="1536" width="11.42578125" style="3"/>
    <col min="1537" max="1537" width="15.85546875" style="3" customWidth="1"/>
    <col min="1538" max="1538" width="14.85546875" style="3" customWidth="1"/>
    <col min="1539" max="1539" width="13.28515625" style="3" customWidth="1"/>
    <col min="1540" max="1540" width="11.42578125" style="3"/>
    <col min="1541" max="1541" width="13.42578125" style="3" customWidth="1"/>
    <col min="1542" max="1542" width="12.7109375" style="3" customWidth="1"/>
    <col min="1543" max="1543" width="14" style="3" customWidth="1"/>
    <col min="1544" max="1544" width="7.42578125" style="3" customWidth="1"/>
    <col min="1545" max="1792" width="11.42578125" style="3"/>
    <col min="1793" max="1793" width="15.85546875" style="3" customWidth="1"/>
    <col min="1794" max="1794" width="14.85546875" style="3" customWidth="1"/>
    <col min="1795" max="1795" width="13.28515625" style="3" customWidth="1"/>
    <col min="1796" max="1796" width="11.42578125" style="3"/>
    <col min="1797" max="1797" width="13.42578125" style="3" customWidth="1"/>
    <col min="1798" max="1798" width="12.7109375" style="3" customWidth="1"/>
    <col min="1799" max="1799" width="14" style="3" customWidth="1"/>
    <col min="1800" max="1800" width="7.42578125" style="3" customWidth="1"/>
    <col min="1801" max="2048" width="11.42578125" style="3"/>
    <col min="2049" max="2049" width="15.85546875" style="3" customWidth="1"/>
    <col min="2050" max="2050" width="14.85546875" style="3" customWidth="1"/>
    <col min="2051" max="2051" width="13.28515625" style="3" customWidth="1"/>
    <col min="2052" max="2052" width="11.42578125" style="3"/>
    <col min="2053" max="2053" width="13.42578125" style="3" customWidth="1"/>
    <col min="2054" max="2054" width="12.7109375" style="3" customWidth="1"/>
    <col min="2055" max="2055" width="14" style="3" customWidth="1"/>
    <col min="2056" max="2056" width="7.42578125" style="3" customWidth="1"/>
    <col min="2057" max="2304" width="11.42578125" style="3"/>
    <col min="2305" max="2305" width="15.85546875" style="3" customWidth="1"/>
    <col min="2306" max="2306" width="14.85546875" style="3" customWidth="1"/>
    <col min="2307" max="2307" width="13.28515625" style="3" customWidth="1"/>
    <col min="2308" max="2308" width="11.42578125" style="3"/>
    <col min="2309" max="2309" width="13.42578125" style="3" customWidth="1"/>
    <col min="2310" max="2310" width="12.7109375" style="3" customWidth="1"/>
    <col min="2311" max="2311" width="14" style="3" customWidth="1"/>
    <col min="2312" max="2312" width="7.42578125" style="3" customWidth="1"/>
    <col min="2313" max="2560" width="11.42578125" style="3"/>
    <col min="2561" max="2561" width="15.85546875" style="3" customWidth="1"/>
    <col min="2562" max="2562" width="14.85546875" style="3" customWidth="1"/>
    <col min="2563" max="2563" width="13.28515625" style="3" customWidth="1"/>
    <col min="2564" max="2564" width="11.42578125" style="3"/>
    <col min="2565" max="2565" width="13.42578125" style="3" customWidth="1"/>
    <col min="2566" max="2566" width="12.7109375" style="3" customWidth="1"/>
    <col min="2567" max="2567" width="14" style="3" customWidth="1"/>
    <col min="2568" max="2568" width="7.42578125" style="3" customWidth="1"/>
    <col min="2569" max="2816" width="11.42578125" style="3"/>
    <col min="2817" max="2817" width="15.85546875" style="3" customWidth="1"/>
    <col min="2818" max="2818" width="14.85546875" style="3" customWidth="1"/>
    <col min="2819" max="2819" width="13.28515625" style="3" customWidth="1"/>
    <col min="2820" max="2820" width="11.42578125" style="3"/>
    <col min="2821" max="2821" width="13.42578125" style="3" customWidth="1"/>
    <col min="2822" max="2822" width="12.7109375" style="3" customWidth="1"/>
    <col min="2823" max="2823" width="14" style="3" customWidth="1"/>
    <col min="2824" max="2824" width="7.42578125" style="3" customWidth="1"/>
    <col min="2825" max="3072" width="11.42578125" style="3"/>
    <col min="3073" max="3073" width="15.85546875" style="3" customWidth="1"/>
    <col min="3074" max="3074" width="14.85546875" style="3" customWidth="1"/>
    <col min="3075" max="3075" width="13.28515625" style="3" customWidth="1"/>
    <col min="3076" max="3076" width="11.42578125" style="3"/>
    <col min="3077" max="3077" width="13.42578125" style="3" customWidth="1"/>
    <col min="3078" max="3078" width="12.7109375" style="3" customWidth="1"/>
    <col min="3079" max="3079" width="14" style="3" customWidth="1"/>
    <col min="3080" max="3080" width="7.42578125" style="3" customWidth="1"/>
    <col min="3081" max="3328" width="11.42578125" style="3"/>
    <col min="3329" max="3329" width="15.85546875" style="3" customWidth="1"/>
    <col min="3330" max="3330" width="14.85546875" style="3" customWidth="1"/>
    <col min="3331" max="3331" width="13.28515625" style="3" customWidth="1"/>
    <col min="3332" max="3332" width="11.42578125" style="3"/>
    <col min="3333" max="3333" width="13.42578125" style="3" customWidth="1"/>
    <col min="3334" max="3334" width="12.7109375" style="3" customWidth="1"/>
    <col min="3335" max="3335" width="14" style="3" customWidth="1"/>
    <col min="3336" max="3336" width="7.42578125" style="3" customWidth="1"/>
    <col min="3337" max="3584" width="11.42578125" style="3"/>
    <col min="3585" max="3585" width="15.85546875" style="3" customWidth="1"/>
    <col min="3586" max="3586" width="14.85546875" style="3" customWidth="1"/>
    <col min="3587" max="3587" width="13.28515625" style="3" customWidth="1"/>
    <col min="3588" max="3588" width="11.42578125" style="3"/>
    <col min="3589" max="3589" width="13.42578125" style="3" customWidth="1"/>
    <col min="3590" max="3590" width="12.7109375" style="3" customWidth="1"/>
    <col min="3591" max="3591" width="14" style="3" customWidth="1"/>
    <col min="3592" max="3592" width="7.42578125" style="3" customWidth="1"/>
    <col min="3593" max="3840" width="11.42578125" style="3"/>
    <col min="3841" max="3841" width="15.85546875" style="3" customWidth="1"/>
    <col min="3842" max="3842" width="14.85546875" style="3" customWidth="1"/>
    <col min="3843" max="3843" width="13.28515625" style="3" customWidth="1"/>
    <col min="3844" max="3844" width="11.42578125" style="3"/>
    <col min="3845" max="3845" width="13.42578125" style="3" customWidth="1"/>
    <col min="3846" max="3846" width="12.7109375" style="3" customWidth="1"/>
    <col min="3847" max="3847" width="14" style="3" customWidth="1"/>
    <col min="3848" max="3848" width="7.42578125" style="3" customWidth="1"/>
    <col min="3849" max="4096" width="11.42578125" style="3"/>
    <col min="4097" max="4097" width="15.85546875" style="3" customWidth="1"/>
    <col min="4098" max="4098" width="14.85546875" style="3" customWidth="1"/>
    <col min="4099" max="4099" width="13.28515625" style="3" customWidth="1"/>
    <col min="4100" max="4100" width="11.42578125" style="3"/>
    <col min="4101" max="4101" width="13.42578125" style="3" customWidth="1"/>
    <col min="4102" max="4102" width="12.7109375" style="3" customWidth="1"/>
    <col min="4103" max="4103" width="14" style="3" customWidth="1"/>
    <col min="4104" max="4104" width="7.42578125" style="3" customWidth="1"/>
    <col min="4105" max="4352" width="11.42578125" style="3"/>
    <col min="4353" max="4353" width="15.85546875" style="3" customWidth="1"/>
    <col min="4354" max="4354" width="14.85546875" style="3" customWidth="1"/>
    <col min="4355" max="4355" width="13.28515625" style="3" customWidth="1"/>
    <col min="4356" max="4356" width="11.42578125" style="3"/>
    <col min="4357" max="4357" width="13.42578125" style="3" customWidth="1"/>
    <col min="4358" max="4358" width="12.7109375" style="3" customWidth="1"/>
    <col min="4359" max="4359" width="14" style="3" customWidth="1"/>
    <col min="4360" max="4360" width="7.42578125" style="3" customWidth="1"/>
    <col min="4361" max="4608" width="11.42578125" style="3"/>
    <col min="4609" max="4609" width="15.85546875" style="3" customWidth="1"/>
    <col min="4610" max="4610" width="14.85546875" style="3" customWidth="1"/>
    <col min="4611" max="4611" width="13.28515625" style="3" customWidth="1"/>
    <col min="4612" max="4612" width="11.42578125" style="3"/>
    <col min="4613" max="4613" width="13.42578125" style="3" customWidth="1"/>
    <col min="4614" max="4614" width="12.7109375" style="3" customWidth="1"/>
    <col min="4615" max="4615" width="14" style="3" customWidth="1"/>
    <col min="4616" max="4616" width="7.42578125" style="3" customWidth="1"/>
    <col min="4617" max="4864" width="11.42578125" style="3"/>
    <col min="4865" max="4865" width="15.85546875" style="3" customWidth="1"/>
    <col min="4866" max="4866" width="14.85546875" style="3" customWidth="1"/>
    <col min="4867" max="4867" width="13.28515625" style="3" customWidth="1"/>
    <col min="4868" max="4868" width="11.42578125" style="3"/>
    <col min="4869" max="4869" width="13.42578125" style="3" customWidth="1"/>
    <col min="4870" max="4870" width="12.7109375" style="3" customWidth="1"/>
    <col min="4871" max="4871" width="14" style="3" customWidth="1"/>
    <col min="4872" max="4872" width="7.42578125" style="3" customWidth="1"/>
    <col min="4873" max="5120" width="11.42578125" style="3"/>
    <col min="5121" max="5121" width="15.85546875" style="3" customWidth="1"/>
    <col min="5122" max="5122" width="14.85546875" style="3" customWidth="1"/>
    <col min="5123" max="5123" width="13.28515625" style="3" customWidth="1"/>
    <col min="5124" max="5124" width="11.42578125" style="3"/>
    <col min="5125" max="5125" width="13.42578125" style="3" customWidth="1"/>
    <col min="5126" max="5126" width="12.7109375" style="3" customWidth="1"/>
    <col min="5127" max="5127" width="14" style="3" customWidth="1"/>
    <col min="5128" max="5128" width="7.42578125" style="3" customWidth="1"/>
    <col min="5129" max="5376" width="11.42578125" style="3"/>
    <col min="5377" max="5377" width="15.85546875" style="3" customWidth="1"/>
    <col min="5378" max="5378" width="14.85546875" style="3" customWidth="1"/>
    <col min="5379" max="5379" width="13.28515625" style="3" customWidth="1"/>
    <col min="5380" max="5380" width="11.42578125" style="3"/>
    <col min="5381" max="5381" width="13.42578125" style="3" customWidth="1"/>
    <col min="5382" max="5382" width="12.7109375" style="3" customWidth="1"/>
    <col min="5383" max="5383" width="14" style="3" customWidth="1"/>
    <col min="5384" max="5384" width="7.42578125" style="3" customWidth="1"/>
    <col min="5385" max="5632" width="11.42578125" style="3"/>
    <col min="5633" max="5633" width="15.85546875" style="3" customWidth="1"/>
    <col min="5634" max="5634" width="14.85546875" style="3" customWidth="1"/>
    <col min="5635" max="5635" width="13.28515625" style="3" customWidth="1"/>
    <col min="5636" max="5636" width="11.42578125" style="3"/>
    <col min="5637" max="5637" width="13.42578125" style="3" customWidth="1"/>
    <col min="5638" max="5638" width="12.7109375" style="3" customWidth="1"/>
    <col min="5639" max="5639" width="14" style="3" customWidth="1"/>
    <col min="5640" max="5640" width="7.42578125" style="3" customWidth="1"/>
    <col min="5641" max="5888" width="11.42578125" style="3"/>
    <col min="5889" max="5889" width="15.85546875" style="3" customWidth="1"/>
    <col min="5890" max="5890" width="14.85546875" style="3" customWidth="1"/>
    <col min="5891" max="5891" width="13.28515625" style="3" customWidth="1"/>
    <col min="5892" max="5892" width="11.42578125" style="3"/>
    <col min="5893" max="5893" width="13.42578125" style="3" customWidth="1"/>
    <col min="5894" max="5894" width="12.7109375" style="3" customWidth="1"/>
    <col min="5895" max="5895" width="14" style="3" customWidth="1"/>
    <col min="5896" max="5896" width="7.42578125" style="3" customWidth="1"/>
    <col min="5897" max="6144" width="11.42578125" style="3"/>
    <col min="6145" max="6145" width="15.85546875" style="3" customWidth="1"/>
    <col min="6146" max="6146" width="14.85546875" style="3" customWidth="1"/>
    <col min="6147" max="6147" width="13.28515625" style="3" customWidth="1"/>
    <col min="6148" max="6148" width="11.42578125" style="3"/>
    <col min="6149" max="6149" width="13.42578125" style="3" customWidth="1"/>
    <col min="6150" max="6150" width="12.7109375" style="3" customWidth="1"/>
    <col min="6151" max="6151" width="14" style="3" customWidth="1"/>
    <col min="6152" max="6152" width="7.42578125" style="3" customWidth="1"/>
    <col min="6153" max="6400" width="11.42578125" style="3"/>
    <col min="6401" max="6401" width="15.85546875" style="3" customWidth="1"/>
    <col min="6402" max="6402" width="14.85546875" style="3" customWidth="1"/>
    <col min="6403" max="6403" width="13.28515625" style="3" customWidth="1"/>
    <col min="6404" max="6404" width="11.42578125" style="3"/>
    <col min="6405" max="6405" width="13.42578125" style="3" customWidth="1"/>
    <col min="6406" max="6406" width="12.7109375" style="3" customWidth="1"/>
    <col min="6407" max="6407" width="14" style="3" customWidth="1"/>
    <col min="6408" max="6408" width="7.42578125" style="3" customWidth="1"/>
    <col min="6409" max="6656" width="11.42578125" style="3"/>
    <col min="6657" max="6657" width="15.85546875" style="3" customWidth="1"/>
    <col min="6658" max="6658" width="14.85546875" style="3" customWidth="1"/>
    <col min="6659" max="6659" width="13.28515625" style="3" customWidth="1"/>
    <col min="6660" max="6660" width="11.42578125" style="3"/>
    <col min="6661" max="6661" width="13.42578125" style="3" customWidth="1"/>
    <col min="6662" max="6662" width="12.7109375" style="3" customWidth="1"/>
    <col min="6663" max="6663" width="14" style="3" customWidth="1"/>
    <col min="6664" max="6664" width="7.42578125" style="3" customWidth="1"/>
    <col min="6665" max="6912" width="11.42578125" style="3"/>
    <col min="6913" max="6913" width="15.85546875" style="3" customWidth="1"/>
    <col min="6914" max="6914" width="14.85546875" style="3" customWidth="1"/>
    <col min="6915" max="6915" width="13.28515625" style="3" customWidth="1"/>
    <col min="6916" max="6916" width="11.42578125" style="3"/>
    <col min="6917" max="6917" width="13.42578125" style="3" customWidth="1"/>
    <col min="6918" max="6918" width="12.7109375" style="3" customWidth="1"/>
    <col min="6919" max="6919" width="14" style="3" customWidth="1"/>
    <col min="6920" max="6920" width="7.42578125" style="3" customWidth="1"/>
    <col min="6921" max="7168" width="11.42578125" style="3"/>
    <col min="7169" max="7169" width="15.85546875" style="3" customWidth="1"/>
    <col min="7170" max="7170" width="14.85546875" style="3" customWidth="1"/>
    <col min="7171" max="7171" width="13.28515625" style="3" customWidth="1"/>
    <col min="7172" max="7172" width="11.42578125" style="3"/>
    <col min="7173" max="7173" width="13.42578125" style="3" customWidth="1"/>
    <col min="7174" max="7174" width="12.7109375" style="3" customWidth="1"/>
    <col min="7175" max="7175" width="14" style="3" customWidth="1"/>
    <col min="7176" max="7176" width="7.42578125" style="3" customWidth="1"/>
    <col min="7177" max="7424" width="11.42578125" style="3"/>
    <col min="7425" max="7425" width="15.85546875" style="3" customWidth="1"/>
    <col min="7426" max="7426" width="14.85546875" style="3" customWidth="1"/>
    <col min="7427" max="7427" width="13.28515625" style="3" customWidth="1"/>
    <col min="7428" max="7428" width="11.42578125" style="3"/>
    <col min="7429" max="7429" width="13.42578125" style="3" customWidth="1"/>
    <col min="7430" max="7430" width="12.7109375" style="3" customWidth="1"/>
    <col min="7431" max="7431" width="14" style="3" customWidth="1"/>
    <col min="7432" max="7432" width="7.42578125" style="3" customWidth="1"/>
    <col min="7433" max="7680" width="11.42578125" style="3"/>
    <col min="7681" max="7681" width="15.85546875" style="3" customWidth="1"/>
    <col min="7682" max="7682" width="14.85546875" style="3" customWidth="1"/>
    <col min="7683" max="7683" width="13.28515625" style="3" customWidth="1"/>
    <col min="7684" max="7684" width="11.42578125" style="3"/>
    <col min="7685" max="7685" width="13.42578125" style="3" customWidth="1"/>
    <col min="7686" max="7686" width="12.7109375" style="3" customWidth="1"/>
    <col min="7687" max="7687" width="14" style="3" customWidth="1"/>
    <col min="7688" max="7688" width="7.42578125" style="3" customWidth="1"/>
    <col min="7689" max="7936" width="11.42578125" style="3"/>
    <col min="7937" max="7937" width="15.85546875" style="3" customWidth="1"/>
    <col min="7938" max="7938" width="14.85546875" style="3" customWidth="1"/>
    <col min="7939" max="7939" width="13.28515625" style="3" customWidth="1"/>
    <col min="7940" max="7940" width="11.42578125" style="3"/>
    <col min="7941" max="7941" width="13.42578125" style="3" customWidth="1"/>
    <col min="7942" max="7942" width="12.7109375" style="3" customWidth="1"/>
    <col min="7943" max="7943" width="14" style="3" customWidth="1"/>
    <col min="7944" max="7944" width="7.42578125" style="3" customWidth="1"/>
    <col min="7945" max="8192" width="11.42578125" style="3"/>
    <col min="8193" max="8193" width="15.85546875" style="3" customWidth="1"/>
    <col min="8194" max="8194" width="14.85546875" style="3" customWidth="1"/>
    <col min="8195" max="8195" width="13.28515625" style="3" customWidth="1"/>
    <col min="8196" max="8196" width="11.42578125" style="3"/>
    <col min="8197" max="8197" width="13.42578125" style="3" customWidth="1"/>
    <col min="8198" max="8198" width="12.7109375" style="3" customWidth="1"/>
    <col min="8199" max="8199" width="14" style="3" customWidth="1"/>
    <col min="8200" max="8200" width="7.42578125" style="3" customWidth="1"/>
    <col min="8201" max="8448" width="11.42578125" style="3"/>
    <col min="8449" max="8449" width="15.85546875" style="3" customWidth="1"/>
    <col min="8450" max="8450" width="14.85546875" style="3" customWidth="1"/>
    <col min="8451" max="8451" width="13.28515625" style="3" customWidth="1"/>
    <col min="8452" max="8452" width="11.42578125" style="3"/>
    <col min="8453" max="8453" width="13.42578125" style="3" customWidth="1"/>
    <col min="8454" max="8454" width="12.7109375" style="3" customWidth="1"/>
    <col min="8455" max="8455" width="14" style="3" customWidth="1"/>
    <col min="8456" max="8456" width="7.42578125" style="3" customWidth="1"/>
    <col min="8457" max="8704" width="11.42578125" style="3"/>
    <col min="8705" max="8705" width="15.85546875" style="3" customWidth="1"/>
    <col min="8706" max="8706" width="14.85546875" style="3" customWidth="1"/>
    <col min="8707" max="8707" width="13.28515625" style="3" customWidth="1"/>
    <col min="8708" max="8708" width="11.42578125" style="3"/>
    <col min="8709" max="8709" width="13.42578125" style="3" customWidth="1"/>
    <col min="8710" max="8710" width="12.7109375" style="3" customWidth="1"/>
    <col min="8711" max="8711" width="14" style="3" customWidth="1"/>
    <col min="8712" max="8712" width="7.42578125" style="3" customWidth="1"/>
    <col min="8713" max="8960" width="11.42578125" style="3"/>
    <col min="8961" max="8961" width="15.85546875" style="3" customWidth="1"/>
    <col min="8962" max="8962" width="14.85546875" style="3" customWidth="1"/>
    <col min="8963" max="8963" width="13.28515625" style="3" customWidth="1"/>
    <col min="8964" max="8964" width="11.42578125" style="3"/>
    <col min="8965" max="8965" width="13.42578125" style="3" customWidth="1"/>
    <col min="8966" max="8966" width="12.7109375" style="3" customWidth="1"/>
    <col min="8967" max="8967" width="14" style="3" customWidth="1"/>
    <col min="8968" max="8968" width="7.42578125" style="3" customWidth="1"/>
    <col min="8969" max="9216" width="11.42578125" style="3"/>
    <col min="9217" max="9217" width="15.85546875" style="3" customWidth="1"/>
    <col min="9218" max="9218" width="14.85546875" style="3" customWidth="1"/>
    <col min="9219" max="9219" width="13.28515625" style="3" customWidth="1"/>
    <col min="9220" max="9220" width="11.42578125" style="3"/>
    <col min="9221" max="9221" width="13.42578125" style="3" customWidth="1"/>
    <col min="9222" max="9222" width="12.7109375" style="3" customWidth="1"/>
    <col min="9223" max="9223" width="14" style="3" customWidth="1"/>
    <col min="9224" max="9224" width="7.42578125" style="3" customWidth="1"/>
    <col min="9225" max="9472" width="11.42578125" style="3"/>
    <col min="9473" max="9473" width="15.85546875" style="3" customWidth="1"/>
    <col min="9474" max="9474" width="14.85546875" style="3" customWidth="1"/>
    <col min="9475" max="9475" width="13.28515625" style="3" customWidth="1"/>
    <col min="9476" max="9476" width="11.42578125" style="3"/>
    <col min="9477" max="9477" width="13.42578125" style="3" customWidth="1"/>
    <col min="9478" max="9478" width="12.7109375" style="3" customWidth="1"/>
    <col min="9479" max="9479" width="14" style="3" customWidth="1"/>
    <col min="9480" max="9480" width="7.42578125" style="3" customWidth="1"/>
    <col min="9481" max="9728" width="11.42578125" style="3"/>
    <col min="9729" max="9729" width="15.85546875" style="3" customWidth="1"/>
    <col min="9730" max="9730" width="14.85546875" style="3" customWidth="1"/>
    <col min="9731" max="9731" width="13.28515625" style="3" customWidth="1"/>
    <col min="9732" max="9732" width="11.42578125" style="3"/>
    <col min="9733" max="9733" width="13.42578125" style="3" customWidth="1"/>
    <col min="9734" max="9734" width="12.7109375" style="3" customWidth="1"/>
    <col min="9735" max="9735" width="14" style="3" customWidth="1"/>
    <col min="9736" max="9736" width="7.42578125" style="3" customWidth="1"/>
    <col min="9737" max="9984" width="11.42578125" style="3"/>
    <col min="9985" max="9985" width="15.85546875" style="3" customWidth="1"/>
    <col min="9986" max="9986" width="14.85546875" style="3" customWidth="1"/>
    <col min="9987" max="9987" width="13.28515625" style="3" customWidth="1"/>
    <col min="9988" max="9988" width="11.42578125" style="3"/>
    <col min="9989" max="9989" width="13.42578125" style="3" customWidth="1"/>
    <col min="9990" max="9990" width="12.7109375" style="3" customWidth="1"/>
    <col min="9991" max="9991" width="14" style="3" customWidth="1"/>
    <col min="9992" max="9992" width="7.42578125" style="3" customWidth="1"/>
    <col min="9993" max="10240" width="11.42578125" style="3"/>
    <col min="10241" max="10241" width="15.85546875" style="3" customWidth="1"/>
    <col min="10242" max="10242" width="14.85546875" style="3" customWidth="1"/>
    <col min="10243" max="10243" width="13.28515625" style="3" customWidth="1"/>
    <col min="10244" max="10244" width="11.42578125" style="3"/>
    <col min="10245" max="10245" width="13.42578125" style="3" customWidth="1"/>
    <col min="10246" max="10246" width="12.7109375" style="3" customWidth="1"/>
    <col min="10247" max="10247" width="14" style="3" customWidth="1"/>
    <col min="10248" max="10248" width="7.42578125" style="3" customWidth="1"/>
    <col min="10249" max="10496" width="11.42578125" style="3"/>
    <col min="10497" max="10497" width="15.85546875" style="3" customWidth="1"/>
    <col min="10498" max="10498" width="14.85546875" style="3" customWidth="1"/>
    <col min="10499" max="10499" width="13.28515625" style="3" customWidth="1"/>
    <col min="10500" max="10500" width="11.42578125" style="3"/>
    <col min="10501" max="10501" width="13.42578125" style="3" customWidth="1"/>
    <col min="10502" max="10502" width="12.7109375" style="3" customWidth="1"/>
    <col min="10503" max="10503" width="14" style="3" customWidth="1"/>
    <col min="10504" max="10504" width="7.42578125" style="3" customWidth="1"/>
    <col min="10505" max="10752" width="11.42578125" style="3"/>
    <col min="10753" max="10753" width="15.85546875" style="3" customWidth="1"/>
    <col min="10754" max="10754" width="14.85546875" style="3" customWidth="1"/>
    <col min="10755" max="10755" width="13.28515625" style="3" customWidth="1"/>
    <col min="10756" max="10756" width="11.42578125" style="3"/>
    <col min="10757" max="10757" width="13.42578125" style="3" customWidth="1"/>
    <col min="10758" max="10758" width="12.7109375" style="3" customWidth="1"/>
    <col min="10759" max="10759" width="14" style="3" customWidth="1"/>
    <col min="10760" max="10760" width="7.42578125" style="3" customWidth="1"/>
    <col min="10761" max="11008" width="11.42578125" style="3"/>
    <col min="11009" max="11009" width="15.85546875" style="3" customWidth="1"/>
    <col min="11010" max="11010" width="14.85546875" style="3" customWidth="1"/>
    <col min="11011" max="11011" width="13.28515625" style="3" customWidth="1"/>
    <col min="11012" max="11012" width="11.42578125" style="3"/>
    <col min="11013" max="11013" width="13.42578125" style="3" customWidth="1"/>
    <col min="11014" max="11014" width="12.7109375" style="3" customWidth="1"/>
    <col min="11015" max="11015" width="14" style="3" customWidth="1"/>
    <col min="11016" max="11016" width="7.42578125" style="3" customWidth="1"/>
    <col min="11017" max="11264" width="11.42578125" style="3"/>
    <col min="11265" max="11265" width="15.85546875" style="3" customWidth="1"/>
    <col min="11266" max="11266" width="14.85546875" style="3" customWidth="1"/>
    <col min="11267" max="11267" width="13.28515625" style="3" customWidth="1"/>
    <col min="11268" max="11268" width="11.42578125" style="3"/>
    <col min="11269" max="11269" width="13.42578125" style="3" customWidth="1"/>
    <col min="11270" max="11270" width="12.7109375" style="3" customWidth="1"/>
    <col min="11271" max="11271" width="14" style="3" customWidth="1"/>
    <col min="11272" max="11272" width="7.42578125" style="3" customWidth="1"/>
    <col min="11273" max="11520" width="11.42578125" style="3"/>
    <col min="11521" max="11521" width="15.85546875" style="3" customWidth="1"/>
    <col min="11522" max="11522" width="14.85546875" style="3" customWidth="1"/>
    <col min="11523" max="11523" width="13.28515625" style="3" customWidth="1"/>
    <col min="11524" max="11524" width="11.42578125" style="3"/>
    <col min="11525" max="11525" width="13.42578125" style="3" customWidth="1"/>
    <col min="11526" max="11526" width="12.7109375" style="3" customWidth="1"/>
    <col min="11527" max="11527" width="14" style="3" customWidth="1"/>
    <col min="11528" max="11528" width="7.42578125" style="3" customWidth="1"/>
    <col min="11529" max="11776" width="11.42578125" style="3"/>
    <col min="11777" max="11777" width="15.85546875" style="3" customWidth="1"/>
    <col min="11778" max="11778" width="14.85546875" style="3" customWidth="1"/>
    <col min="11779" max="11779" width="13.28515625" style="3" customWidth="1"/>
    <col min="11780" max="11780" width="11.42578125" style="3"/>
    <col min="11781" max="11781" width="13.42578125" style="3" customWidth="1"/>
    <col min="11782" max="11782" width="12.7109375" style="3" customWidth="1"/>
    <col min="11783" max="11783" width="14" style="3" customWidth="1"/>
    <col min="11784" max="11784" width="7.42578125" style="3" customWidth="1"/>
    <col min="11785" max="12032" width="11.42578125" style="3"/>
    <col min="12033" max="12033" width="15.85546875" style="3" customWidth="1"/>
    <col min="12034" max="12034" width="14.85546875" style="3" customWidth="1"/>
    <col min="12035" max="12035" width="13.28515625" style="3" customWidth="1"/>
    <col min="12036" max="12036" width="11.42578125" style="3"/>
    <col min="12037" max="12037" width="13.42578125" style="3" customWidth="1"/>
    <col min="12038" max="12038" width="12.7109375" style="3" customWidth="1"/>
    <col min="12039" max="12039" width="14" style="3" customWidth="1"/>
    <col min="12040" max="12040" width="7.42578125" style="3" customWidth="1"/>
    <col min="12041" max="12288" width="11.42578125" style="3"/>
    <col min="12289" max="12289" width="15.85546875" style="3" customWidth="1"/>
    <col min="12290" max="12290" width="14.85546875" style="3" customWidth="1"/>
    <col min="12291" max="12291" width="13.28515625" style="3" customWidth="1"/>
    <col min="12292" max="12292" width="11.42578125" style="3"/>
    <col min="12293" max="12293" width="13.42578125" style="3" customWidth="1"/>
    <col min="12294" max="12294" width="12.7109375" style="3" customWidth="1"/>
    <col min="12295" max="12295" width="14" style="3" customWidth="1"/>
    <col min="12296" max="12296" width="7.42578125" style="3" customWidth="1"/>
    <col min="12297" max="12544" width="11.42578125" style="3"/>
    <col min="12545" max="12545" width="15.85546875" style="3" customWidth="1"/>
    <col min="12546" max="12546" width="14.85546875" style="3" customWidth="1"/>
    <col min="12547" max="12547" width="13.28515625" style="3" customWidth="1"/>
    <col min="12548" max="12548" width="11.42578125" style="3"/>
    <col min="12549" max="12549" width="13.42578125" style="3" customWidth="1"/>
    <col min="12550" max="12550" width="12.7109375" style="3" customWidth="1"/>
    <col min="12551" max="12551" width="14" style="3" customWidth="1"/>
    <col min="12552" max="12552" width="7.42578125" style="3" customWidth="1"/>
    <col min="12553" max="12800" width="11.42578125" style="3"/>
    <col min="12801" max="12801" width="15.85546875" style="3" customWidth="1"/>
    <col min="12802" max="12802" width="14.85546875" style="3" customWidth="1"/>
    <col min="12803" max="12803" width="13.28515625" style="3" customWidth="1"/>
    <col min="12804" max="12804" width="11.42578125" style="3"/>
    <col min="12805" max="12805" width="13.42578125" style="3" customWidth="1"/>
    <col min="12806" max="12806" width="12.7109375" style="3" customWidth="1"/>
    <col min="12807" max="12807" width="14" style="3" customWidth="1"/>
    <col min="12808" max="12808" width="7.42578125" style="3" customWidth="1"/>
    <col min="12809" max="13056" width="11.42578125" style="3"/>
    <col min="13057" max="13057" width="15.85546875" style="3" customWidth="1"/>
    <col min="13058" max="13058" width="14.85546875" style="3" customWidth="1"/>
    <col min="13059" max="13059" width="13.28515625" style="3" customWidth="1"/>
    <col min="13060" max="13060" width="11.42578125" style="3"/>
    <col min="13061" max="13061" width="13.42578125" style="3" customWidth="1"/>
    <col min="13062" max="13062" width="12.7109375" style="3" customWidth="1"/>
    <col min="13063" max="13063" width="14" style="3" customWidth="1"/>
    <col min="13064" max="13064" width="7.42578125" style="3" customWidth="1"/>
    <col min="13065" max="13312" width="11.42578125" style="3"/>
    <col min="13313" max="13313" width="15.85546875" style="3" customWidth="1"/>
    <col min="13314" max="13314" width="14.85546875" style="3" customWidth="1"/>
    <col min="13315" max="13315" width="13.28515625" style="3" customWidth="1"/>
    <col min="13316" max="13316" width="11.42578125" style="3"/>
    <col min="13317" max="13317" width="13.42578125" style="3" customWidth="1"/>
    <col min="13318" max="13318" width="12.7109375" style="3" customWidth="1"/>
    <col min="13319" max="13319" width="14" style="3" customWidth="1"/>
    <col min="13320" max="13320" width="7.42578125" style="3" customWidth="1"/>
    <col min="13321" max="13568" width="11.42578125" style="3"/>
    <col min="13569" max="13569" width="15.85546875" style="3" customWidth="1"/>
    <col min="13570" max="13570" width="14.85546875" style="3" customWidth="1"/>
    <col min="13571" max="13571" width="13.28515625" style="3" customWidth="1"/>
    <col min="13572" max="13572" width="11.42578125" style="3"/>
    <col min="13573" max="13573" width="13.42578125" style="3" customWidth="1"/>
    <col min="13574" max="13574" width="12.7109375" style="3" customWidth="1"/>
    <col min="13575" max="13575" width="14" style="3" customWidth="1"/>
    <col min="13576" max="13576" width="7.42578125" style="3" customWidth="1"/>
    <col min="13577" max="13824" width="11.42578125" style="3"/>
    <col min="13825" max="13825" width="15.85546875" style="3" customWidth="1"/>
    <col min="13826" max="13826" width="14.85546875" style="3" customWidth="1"/>
    <col min="13827" max="13827" width="13.28515625" style="3" customWidth="1"/>
    <col min="13828" max="13828" width="11.42578125" style="3"/>
    <col min="13829" max="13829" width="13.42578125" style="3" customWidth="1"/>
    <col min="13830" max="13830" width="12.7109375" style="3" customWidth="1"/>
    <col min="13831" max="13831" width="14" style="3" customWidth="1"/>
    <col min="13832" max="13832" width="7.42578125" style="3" customWidth="1"/>
    <col min="13833" max="14080" width="11.42578125" style="3"/>
    <col min="14081" max="14081" width="15.85546875" style="3" customWidth="1"/>
    <col min="14082" max="14082" width="14.85546875" style="3" customWidth="1"/>
    <col min="14083" max="14083" width="13.28515625" style="3" customWidth="1"/>
    <col min="14084" max="14084" width="11.42578125" style="3"/>
    <col min="14085" max="14085" width="13.42578125" style="3" customWidth="1"/>
    <col min="14086" max="14086" width="12.7109375" style="3" customWidth="1"/>
    <col min="14087" max="14087" width="14" style="3" customWidth="1"/>
    <col min="14088" max="14088" width="7.42578125" style="3" customWidth="1"/>
    <col min="14089" max="14336" width="11.42578125" style="3"/>
    <col min="14337" max="14337" width="15.85546875" style="3" customWidth="1"/>
    <col min="14338" max="14338" width="14.85546875" style="3" customWidth="1"/>
    <col min="14339" max="14339" width="13.28515625" style="3" customWidth="1"/>
    <col min="14340" max="14340" width="11.42578125" style="3"/>
    <col min="14341" max="14341" width="13.42578125" style="3" customWidth="1"/>
    <col min="14342" max="14342" width="12.7109375" style="3" customWidth="1"/>
    <col min="14343" max="14343" width="14" style="3" customWidth="1"/>
    <col min="14344" max="14344" width="7.42578125" style="3" customWidth="1"/>
    <col min="14345" max="14592" width="11.42578125" style="3"/>
    <col min="14593" max="14593" width="15.85546875" style="3" customWidth="1"/>
    <col min="14594" max="14594" width="14.85546875" style="3" customWidth="1"/>
    <col min="14595" max="14595" width="13.28515625" style="3" customWidth="1"/>
    <col min="14596" max="14596" width="11.42578125" style="3"/>
    <col min="14597" max="14597" width="13.42578125" style="3" customWidth="1"/>
    <col min="14598" max="14598" width="12.7109375" style="3" customWidth="1"/>
    <col min="14599" max="14599" width="14" style="3" customWidth="1"/>
    <col min="14600" max="14600" width="7.42578125" style="3" customWidth="1"/>
    <col min="14601" max="14848" width="11.42578125" style="3"/>
    <col min="14849" max="14849" width="15.85546875" style="3" customWidth="1"/>
    <col min="14850" max="14850" width="14.85546875" style="3" customWidth="1"/>
    <col min="14851" max="14851" width="13.28515625" style="3" customWidth="1"/>
    <col min="14852" max="14852" width="11.42578125" style="3"/>
    <col min="14853" max="14853" width="13.42578125" style="3" customWidth="1"/>
    <col min="14854" max="14854" width="12.7109375" style="3" customWidth="1"/>
    <col min="14855" max="14855" width="14" style="3" customWidth="1"/>
    <col min="14856" max="14856" width="7.42578125" style="3" customWidth="1"/>
    <col min="14857" max="15104" width="11.42578125" style="3"/>
    <col min="15105" max="15105" width="15.85546875" style="3" customWidth="1"/>
    <col min="15106" max="15106" width="14.85546875" style="3" customWidth="1"/>
    <col min="15107" max="15107" width="13.28515625" style="3" customWidth="1"/>
    <col min="15108" max="15108" width="11.42578125" style="3"/>
    <col min="15109" max="15109" width="13.42578125" style="3" customWidth="1"/>
    <col min="15110" max="15110" width="12.7109375" style="3" customWidth="1"/>
    <col min="15111" max="15111" width="14" style="3" customWidth="1"/>
    <col min="15112" max="15112" width="7.42578125" style="3" customWidth="1"/>
    <col min="15113" max="15360" width="11.42578125" style="3"/>
    <col min="15361" max="15361" width="15.85546875" style="3" customWidth="1"/>
    <col min="15362" max="15362" width="14.85546875" style="3" customWidth="1"/>
    <col min="15363" max="15363" width="13.28515625" style="3" customWidth="1"/>
    <col min="15364" max="15364" width="11.42578125" style="3"/>
    <col min="15365" max="15365" width="13.42578125" style="3" customWidth="1"/>
    <col min="15366" max="15366" width="12.7109375" style="3" customWidth="1"/>
    <col min="15367" max="15367" width="14" style="3" customWidth="1"/>
    <col min="15368" max="15368" width="7.42578125" style="3" customWidth="1"/>
    <col min="15369" max="15616" width="11.42578125" style="3"/>
    <col min="15617" max="15617" width="15.85546875" style="3" customWidth="1"/>
    <col min="15618" max="15618" width="14.85546875" style="3" customWidth="1"/>
    <col min="15619" max="15619" width="13.28515625" style="3" customWidth="1"/>
    <col min="15620" max="15620" width="11.42578125" style="3"/>
    <col min="15621" max="15621" width="13.42578125" style="3" customWidth="1"/>
    <col min="15622" max="15622" width="12.7109375" style="3" customWidth="1"/>
    <col min="15623" max="15623" width="14" style="3" customWidth="1"/>
    <col min="15624" max="15624" width="7.42578125" style="3" customWidth="1"/>
    <col min="15625" max="15872" width="11.42578125" style="3"/>
    <col min="15873" max="15873" width="15.85546875" style="3" customWidth="1"/>
    <col min="15874" max="15874" width="14.85546875" style="3" customWidth="1"/>
    <col min="15875" max="15875" width="13.28515625" style="3" customWidth="1"/>
    <col min="15876" max="15876" width="11.42578125" style="3"/>
    <col min="15877" max="15877" width="13.42578125" style="3" customWidth="1"/>
    <col min="15878" max="15878" width="12.7109375" style="3" customWidth="1"/>
    <col min="15879" max="15879" width="14" style="3" customWidth="1"/>
    <col min="15880" max="15880" width="7.42578125" style="3" customWidth="1"/>
    <col min="15881" max="16128" width="11.42578125" style="3"/>
    <col min="16129" max="16129" width="15.85546875" style="3" customWidth="1"/>
    <col min="16130" max="16130" width="14.85546875" style="3" customWidth="1"/>
    <col min="16131" max="16131" width="13.28515625" style="3" customWidth="1"/>
    <col min="16132" max="16132" width="11.42578125" style="3"/>
    <col min="16133" max="16133" width="13.42578125" style="3" customWidth="1"/>
    <col min="16134" max="16134" width="12.7109375" style="3" customWidth="1"/>
    <col min="16135" max="16135" width="14" style="3" customWidth="1"/>
    <col min="16136" max="16136" width="7.42578125" style="3" customWidth="1"/>
    <col min="16137" max="16384" width="11.42578125" style="3"/>
  </cols>
  <sheetData>
    <row r="1" spans="1:21" ht="20.25">
      <c r="A1" s="1346" t="str">
        <f>PPTO!D3</f>
        <v>PRESUPUESTO
MUNICIPIO EL BAGRE (ANTIOQUIA).</v>
      </c>
      <c r="B1" s="1347"/>
      <c r="C1" s="1347"/>
      <c r="D1" s="1347"/>
      <c r="E1" s="1347"/>
      <c r="F1" s="1347"/>
      <c r="G1" s="1348"/>
      <c r="H1" s="1"/>
      <c r="I1" s="2"/>
    </row>
    <row r="2" spans="1:21" ht="18">
      <c r="A2" s="1362" t="s">
        <v>16</v>
      </c>
      <c r="B2" s="1363"/>
      <c r="C2" s="1363"/>
      <c r="D2" s="1363"/>
      <c r="E2" s="1363"/>
      <c r="F2" s="1363"/>
      <c r="G2" s="1364"/>
      <c r="H2" s="1"/>
      <c r="I2" s="2"/>
    </row>
    <row r="3" spans="1:21" ht="20.25" customHeight="1">
      <c r="A3" s="1367" t="str">
        <f>+PPTO!$D$5</f>
        <v>PROYECTO DE MEJORAMIENTO VIAL, ESPACIO PUBLICO Y OBRAS COMPLEMENTARIAS DE LA AVENIDA LA JUVENTUD Y TRAMOS ADYACENTES Y PRIORITARIOS DEL SECTOR URBANO EN EL MUNICIPIO EL BAGRE ANTIOQUIA.</v>
      </c>
      <c r="B3" s="1368"/>
      <c r="C3" s="1368"/>
      <c r="D3" s="1368"/>
      <c r="E3" s="1368"/>
      <c r="F3" s="1368"/>
      <c r="G3" s="1369"/>
      <c r="H3" s="1"/>
      <c r="I3" s="2"/>
    </row>
    <row r="4" spans="1:21" ht="20.25" customHeight="1">
      <c r="A4" s="1370"/>
      <c r="B4" s="1368"/>
      <c r="C4" s="1368"/>
      <c r="D4" s="1368"/>
      <c r="E4" s="1368"/>
      <c r="F4" s="1368"/>
      <c r="G4" s="1369"/>
      <c r="H4" s="1"/>
      <c r="I4" s="2"/>
    </row>
    <row r="5" spans="1:21" ht="6.75" customHeight="1">
      <c r="A5" s="222"/>
      <c r="B5" s="6"/>
      <c r="C5" s="24"/>
      <c r="D5" s="25"/>
      <c r="E5" s="6"/>
      <c r="F5" s="6"/>
      <c r="G5" s="223"/>
      <c r="H5" s="9"/>
    </row>
    <row r="6" spans="1:21" ht="34.5" customHeight="1">
      <c r="A6" s="368">
        <v>4.3</v>
      </c>
      <c r="B6" s="1349" t="str">
        <f>VLOOKUP(A6,PPTO!D9:I136,2,FALSE)</f>
        <v>Construccion de Carcamos para obras de paso hidraulico en concreto de 3000 PSI (Incluye tapas de conceto con escotillas para limpieza).</v>
      </c>
      <c r="C6" s="1350"/>
      <c r="D6" s="1350"/>
      <c r="E6" s="1351"/>
      <c r="F6" s="192" t="s">
        <v>118</v>
      </c>
      <c r="G6" s="248" t="str">
        <f>VLOOKUP(A6,PPTO!D9:I136,3,FALSE)</f>
        <v>m</v>
      </c>
      <c r="H6" s="9"/>
    </row>
    <row r="7" spans="1:21" ht="3.75" customHeight="1">
      <c r="A7" s="226"/>
      <c r="B7" s="4"/>
      <c r="C7" s="6"/>
      <c r="D7" s="4"/>
      <c r="E7" s="4"/>
      <c r="F7" s="4"/>
      <c r="G7" s="227"/>
      <c r="H7" s="9"/>
    </row>
    <row r="8" spans="1:21">
      <c r="A8" s="1354" t="s">
        <v>69</v>
      </c>
      <c r="B8" s="1355"/>
      <c r="C8" s="1355"/>
      <c r="D8" s="1355"/>
      <c r="E8" s="1355"/>
      <c r="F8" s="1355"/>
      <c r="G8" s="1356"/>
      <c r="H8" s="9"/>
    </row>
    <row r="9" spans="1:21" ht="4.5" customHeight="1">
      <c r="A9" s="226"/>
      <c r="B9" s="4"/>
      <c r="C9" s="6"/>
      <c r="D9" s="4"/>
      <c r="E9" s="4"/>
      <c r="F9" s="4"/>
      <c r="G9" s="227"/>
      <c r="H9" s="9"/>
      <c r="I9" s="5"/>
      <c r="J9" s="5"/>
      <c r="K9" s="5"/>
      <c r="L9" s="26"/>
      <c r="M9" s="5"/>
      <c r="N9" s="5"/>
      <c r="O9" s="5"/>
      <c r="P9" s="5"/>
    </row>
    <row r="10" spans="1:21">
      <c r="A10" s="1373" t="s">
        <v>17</v>
      </c>
      <c r="B10" s="1374"/>
      <c r="C10" s="1374"/>
      <c r="D10" s="297" t="s">
        <v>4</v>
      </c>
      <c r="E10" s="297" t="s">
        <v>19</v>
      </c>
      <c r="F10" s="297" t="s">
        <v>20</v>
      </c>
      <c r="G10" s="228" t="s">
        <v>21</v>
      </c>
      <c r="H10" s="27"/>
      <c r="I10" s="28"/>
      <c r="J10" s="29"/>
      <c r="K10" s="30"/>
      <c r="L10" s="30"/>
      <c r="M10" s="30"/>
      <c r="N10" s="30"/>
      <c r="O10" s="30"/>
      <c r="P10" s="5"/>
    </row>
    <row r="11" spans="1:21">
      <c r="A11" s="1352" t="s">
        <v>75</v>
      </c>
      <c r="B11" s="1353"/>
      <c r="C11" s="1353"/>
      <c r="D11" s="297"/>
      <c r="E11" s="83"/>
      <c r="F11" s="97"/>
      <c r="G11" s="229">
        <f>+G39*5%</f>
        <v>7498</v>
      </c>
      <c r="H11" s="9"/>
      <c r="I11" s="30"/>
      <c r="J11" s="31"/>
      <c r="K11" s="30"/>
      <c r="L11" s="30"/>
      <c r="M11" s="30"/>
      <c r="N11" s="30"/>
      <c r="O11" s="30"/>
      <c r="P11" s="5"/>
    </row>
    <row r="12" spans="1:21">
      <c r="A12" s="1371" t="s">
        <v>864</v>
      </c>
      <c r="B12" s="1372"/>
      <c r="C12" s="1372"/>
      <c r="D12" s="98">
        <v>10</v>
      </c>
      <c r="E12" s="83">
        <v>600</v>
      </c>
      <c r="F12" s="93">
        <v>0.25</v>
      </c>
      <c r="G12" s="229">
        <f>+E12/F12</f>
        <v>2400</v>
      </c>
      <c r="H12" s="9"/>
      <c r="I12" s="30"/>
      <c r="J12" s="31"/>
      <c r="K12" s="30"/>
      <c r="L12" s="30"/>
      <c r="M12" s="30"/>
      <c r="N12" s="30"/>
      <c r="O12" s="30"/>
      <c r="P12" s="5"/>
    </row>
    <row r="13" spans="1:21">
      <c r="A13" s="1371"/>
      <c r="B13" s="1372"/>
      <c r="C13" s="1372"/>
      <c r="D13" s="98"/>
      <c r="E13" s="83"/>
      <c r="F13" s="93"/>
      <c r="G13" s="229"/>
      <c r="H13" s="9"/>
      <c r="I13" s="16"/>
      <c r="J13" s="13"/>
      <c r="K13" s="8"/>
      <c r="L13" s="8"/>
      <c r="M13" s="8"/>
      <c r="N13" s="8"/>
      <c r="O13" s="8"/>
      <c r="P13" s="5"/>
    </row>
    <row r="14" spans="1:21">
      <c r="A14" s="1371"/>
      <c r="B14" s="1372"/>
      <c r="C14" s="1372"/>
      <c r="D14" s="98"/>
      <c r="E14" s="83"/>
      <c r="F14" s="93"/>
      <c r="G14" s="229"/>
      <c r="H14" s="9"/>
      <c r="I14" s="13"/>
      <c r="J14" s="13"/>
      <c r="K14" s="13"/>
      <c r="L14" s="13"/>
      <c r="M14" s="13"/>
      <c r="N14" s="13"/>
      <c r="O14" s="13"/>
      <c r="P14" s="5"/>
    </row>
    <row r="15" spans="1:21">
      <c r="A15" s="1371"/>
      <c r="B15" s="1372"/>
      <c r="C15" s="1372"/>
      <c r="D15" s="83"/>
      <c r="E15" s="83"/>
      <c r="F15" s="98"/>
      <c r="G15" s="229"/>
      <c r="H15" s="9"/>
      <c r="I15" s="8"/>
      <c r="J15" s="33"/>
      <c r="K15" s="32"/>
      <c r="L15" s="14"/>
      <c r="M15" s="15"/>
      <c r="N15" s="15"/>
      <c r="O15" s="19"/>
      <c r="P15" s="5"/>
      <c r="Q15" s="5"/>
      <c r="R15" s="5"/>
      <c r="S15" s="5"/>
      <c r="T15" s="5"/>
      <c r="U15" s="5"/>
    </row>
    <row r="16" spans="1:21">
      <c r="A16" s="1371"/>
      <c r="B16" s="1372"/>
      <c r="C16" s="1372"/>
      <c r="D16" s="85" t="s">
        <v>37</v>
      </c>
      <c r="E16" s="50"/>
      <c r="F16" s="49"/>
      <c r="G16" s="230">
        <f>SUM(G11:G15)</f>
        <v>9898</v>
      </c>
      <c r="H16" s="9"/>
      <c r="I16" s="34"/>
      <c r="J16" s="34"/>
      <c r="K16" s="35"/>
      <c r="L16" s="36"/>
      <c r="M16" s="7"/>
      <c r="N16" s="7"/>
      <c r="O16" s="19"/>
      <c r="P16" s="5"/>
      <c r="Q16" s="5"/>
      <c r="R16" s="5"/>
      <c r="S16" s="5"/>
      <c r="T16" s="5"/>
      <c r="U16" s="5"/>
    </row>
    <row r="17" spans="1:21" ht="4.5" customHeight="1">
      <c r="A17" s="226"/>
      <c r="B17" s="4"/>
      <c r="C17" s="6"/>
      <c r="D17" s="4"/>
      <c r="E17" s="4"/>
      <c r="F17" s="4"/>
      <c r="G17" s="227"/>
      <c r="H17" s="9"/>
      <c r="I17" s="34"/>
      <c r="J17" s="34"/>
      <c r="K17" s="35"/>
      <c r="L17" s="36"/>
      <c r="M17" s="7"/>
      <c r="N17" s="7"/>
      <c r="O17" s="19"/>
      <c r="P17" s="5"/>
      <c r="Q17" s="5"/>
      <c r="R17" s="5"/>
      <c r="S17" s="5"/>
      <c r="T17" s="5"/>
      <c r="U17" s="5"/>
    </row>
    <row r="18" spans="1:21">
      <c r="A18" s="1354" t="s">
        <v>70</v>
      </c>
      <c r="B18" s="1355"/>
      <c r="C18" s="1355"/>
      <c r="D18" s="1355"/>
      <c r="E18" s="1355"/>
      <c r="F18" s="1355"/>
      <c r="G18" s="1356"/>
      <c r="H18" s="9"/>
    </row>
    <row r="19" spans="1:21" ht="4.5" customHeight="1">
      <c r="A19" s="226"/>
      <c r="B19" s="4"/>
      <c r="C19" s="6"/>
      <c r="D19" s="4"/>
      <c r="E19" s="4"/>
      <c r="F19" s="38"/>
      <c r="G19" s="227"/>
      <c r="H19" s="9"/>
      <c r="I19" s="34"/>
      <c r="J19" s="34"/>
      <c r="K19" s="35"/>
      <c r="L19" s="39"/>
      <c r="M19" s="7"/>
      <c r="N19" s="7"/>
      <c r="O19" s="8"/>
      <c r="P19" s="5"/>
      <c r="Q19" s="5"/>
      <c r="R19" s="5"/>
      <c r="S19" s="5"/>
      <c r="T19" s="5"/>
      <c r="U19" s="5"/>
    </row>
    <row r="20" spans="1:21">
      <c r="A20" s="1373" t="s">
        <v>17</v>
      </c>
      <c r="B20" s="1374"/>
      <c r="C20" s="1374"/>
      <c r="D20" s="297" t="s">
        <v>3</v>
      </c>
      <c r="E20" s="297" t="s">
        <v>4</v>
      </c>
      <c r="F20" s="297" t="s">
        <v>25</v>
      </c>
      <c r="G20" s="228" t="s">
        <v>21</v>
      </c>
      <c r="H20" s="27"/>
      <c r="I20" s="34"/>
      <c r="J20" s="34"/>
      <c r="K20" s="35"/>
      <c r="L20" s="39"/>
      <c r="M20" s="7"/>
      <c r="N20" s="7"/>
      <c r="O20" s="8"/>
      <c r="P20" s="5"/>
      <c r="Q20" s="5"/>
      <c r="R20" s="5"/>
      <c r="S20" s="5"/>
      <c r="T20" s="5"/>
      <c r="U20" s="5"/>
    </row>
    <row r="21" spans="1:21">
      <c r="A21" s="1382" t="s">
        <v>109</v>
      </c>
      <c r="B21" s="1383"/>
      <c r="C21" s="1383"/>
      <c r="D21" s="79" t="s">
        <v>44</v>
      </c>
      <c r="E21" s="88">
        <f>0.6*0.15+0.5*2*0.1+0.6*0.2</f>
        <v>0.31</v>
      </c>
      <c r="F21" s="87">
        <f>'CONC 3000 PSI'!G43</f>
        <v>360849</v>
      </c>
      <c r="G21" s="231">
        <f>ROUND(F21*E21,0)</f>
        <v>111863</v>
      </c>
      <c r="H21" s="9"/>
      <c r="I21" s="34"/>
      <c r="J21" s="34"/>
      <c r="K21" s="35"/>
      <c r="L21" s="39"/>
      <c r="M21" s="7"/>
      <c r="N21" s="7"/>
      <c r="O21" s="13"/>
      <c r="P21" s="5"/>
      <c r="Q21" s="5"/>
      <c r="R21" s="5"/>
      <c r="S21" s="5"/>
      <c r="T21" s="5"/>
      <c r="U21" s="5"/>
    </row>
    <row r="22" spans="1:21">
      <c r="A22" s="1437" t="s">
        <v>110</v>
      </c>
      <c r="B22" s="1383"/>
      <c r="C22" s="1383"/>
      <c r="D22" s="193" t="s">
        <v>0</v>
      </c>
      <c r="E22" s="88">
        <v>2</v>
      </c>
      <c r="F22" s="78">
        <v>9809</v>
      </c>
      <c r="G22" s="231">
        <f t="shared" ref="G22:G24" si="0">ROUND(F22*E22,0)</f>
        <v>19618</v>
      </c>
      <c r="H22" s="9"/>
      <c r="P22" s="5"/>
      <c r="Q22" s="5"/>
      <c r="R22" s="5"/>
      <c r="S22" s="5"/>
      <c r="T22" s="5"/>
      <c r="U22" s="5"/>
    </row>
    <row r="23" spans="1:21">
      <c r="A23" s="1437" t="s">
        <v>111</v>
      </c>
      <c r="B23" s="1383"/>
      <c r="C23" s="1383"/>
      <c r="D23" s="193" t="s">
        <v>39</v>
      </c>
      <c r="E23" s="88">
        <v>2</v>
      </c>
      <c r="F23" s="78">
        <v>4658</v>
      </c>
      <c r="G23" s="231">
        <f t="shared" si="0"/>
        <v>9316</v>
      </c>
      <c r="H23" s="9"/>
      <c r="I23" s="34"/>
      <c r="J23" s="34"/>
      <c r="K23" s="35"/>
      <c r="L23" s="39"/>
      <c r="M23" s="7"/>
      <c r="N23" s="7"/>
      <c r="O23" s="8"/>
      <c r="P23" s="5"/>
      <c r="Q23" s="5"/>
      <c r="R23" s="5"/>
      <c r="S23" s="5"/>
      <c r="T23" s="5"/>
      <c r="U23" s="5"/>
    </row>
    <row r="24" spans="1:21">
      <c r="A24" s="1437" t="s">
        <v>112</v>
      </c>
      <c r="B24" s="1383"/>
      <c r="C24" s="1383"/>
      <c r="D24" s="193" t="s">
        <v>113</v>
      </c>
      <c r="E24" s="88">
        <v>1</v>
      </c>
      <c r="F24" s="78">
        <v>4849</v>
      </c>
      <c r="G24" s="231">
        <f t="shared" si="0"/>
        <v>4849</v>
      </c>
      <c r="H24" s="9"/>
      <c r="I24" s="34"/>
      <c r="J24" s="34"/>
      <c r="K24" s="35"/>
      <c r="L24" s="39"/>
      <c r="M24" s="7"/>
      <c r="N24" s="7"/>
      <c r="O24" s="8"/>
      <c r="P24" s="5"/>
      <c r="Q24" s="5"/>
      <c r="R24" s="5"/>
      <c r="S24" s="5"/>
      <c r="T24" s="5"/>
      <c r="U24" s="5"/>
    </row>
    <row r="25" spans="1:21">
      <c r="A25" s="1437" t="s">
        <v>114</v>
      </c>
      <c r="B25" s="1383"/>
      <c r="C25" s="1383"/>
      <c r="D25" s="193" t="s">
        <v>115</v>
      </c>
      <c r="E25" s="88">
        <v>7</v>
      </c>
      <c r="F25" s="78">
        <v>4200</v>
      </c>
      <c r="G25" s="231">
        <f t="shared" ref="G25" si="1">ROUND(F25*E25,0)</f>
        <v>29400</v>
      </c>
      <c r="H25" s="9"/>
      <c r="I25" s="34"/>
      <c r="J25" s="34"/>
      <c r="K25" s="35"/>
      <c r="L25" s="39"/>
      <c r="M25" s="7"/>
      <c r="N25" s="7"/>
      <c r="O25" s="13"/>
      <c r="P25" s="5"/>
      <c r="Q25" s="5"/>
      <c r="R25" s="5"/>
      <c r="S25" s="5"/>
      <c r="T25" s="5"/>
      <c r="U25" s="5"/>
    </row>
    <row r="26" spans="1:21">
      <c r="A26" s="1437"/>
      <c r="B26" s="1383"/>
      <c r="C26" s="1383"/>
      <c r="D26" s="193"/>
      <c r="E26" s="88"/>
      <c r="F26" s="78"/>
      <c r="G26" s="231"/>
      <c r="H26" s="9"/>
      <c r="I26" s="10"/>
      <c r="J26" s="10"/>
      <c r="K26" s="12"/>
      <c r="L26" s="39"/>
      <c r="M26" s="7"/>
      <c r="N26" s="7"/>
      <c r="O26" s="15"/>
      <c r="P26" s="5"/>
      <c r="Q26" s="5"/>
      <c r="R26" s="5"/>
      <c r="S26" s="5"/>
      <c r="T26" s="5"/>
      <c r="U26" s="5"/>
    </row>
    <row r="27" spans="1:21">
      <c r="A27" s="1352"/>
      <c r="B27" s="1353"/>
      <c r="C27" s="1353" t="s">
        <v>50</v>
      </c>
      <c r="D27" s="79"/>
      <c r="E27" s="82"/>
      <c r="F27" s="78" t="s">
        <v>130</v>
      </c>
      <c r="G27" s="231">
        <f>+G21*0.05</f>
        <v>5593</v>
      </c>
      <c r="H27" s="9"/>
      <c r="I27" s="10"/>
      <c r="J27" s="11"/>
      <c r="K27" s="12"/>
      <c r="L27" s="13"/>
      <c r="M27" s="14"/>
      <c r="N27" s="14"/>
      <c r="O27" s="15"/>
      <c r="P27" s="5"/>
      <c r="Q27" s="5"/>
      <c r="R27" s="5"/>
      <c r="S27" s="5"/>
      <c r="T27" s="5"/>
      <c r="U27" s="5"/>
    </row>
    <row r="28" spans="1:21">
      <c r="A28" s="1352"/>
      <c r="B28" s="1353"/>
      <c r="C28" s="1353"/>
      <c r="D28" s="79"/>
      <c r="E28" s="82"/>
      <c r="F28" s="83"/>
      <c r="G28" s="231"/>
      <c r="H28" s="9"/>
      <c r="I28" s="41"/>
      <c r="J28" s="41"/>
      <c r="K28" s="12"/>
      <c r="L28" s="13"/>
      <c r="M28" s="14"/>
      <c r="N28" s="14"/>
      <c r="O28" s="15"/>
      <c r="P28" s="5"/>
      <c r="Q28" s="5"/>
      <c r="R28" s="5"/>
      <c r="S28" s="5"/>
      <c r="T28" s="5"/>
      <c r="U28" s="5"/>
    </row>
    <row r="29" spans="1:21">
      <c r="A29" s="1352"/>
      <c r="B29" s="1353"/>
      <c r="C29" s="1353"/>
      <c r="D29" s="84"/>
      <c r="E29" s="84"/>
      <c r="F29" s="83"/>
      <c r="G29" s="231"/>
      <c r="H29" s="9"/>
      <c r="I29" s="42"/>
      <c r="J29" s="42"/>
      <c r="K29" s="42"/>
      <c r="L29" s="13"/>
      <c r="M29" s="14"/>
      <c r="N29" s="14"/>
      <c r="O29" s="15"/>
      <c r="P29" s="5"/>
      <c r="Q29" s="5"/>
      <c r="R29" s="5"/>
      <c r="S29" s="5"/>
      <c r="T29" s="5"/>
      <c r="U29" s="5"/>
    </row>
    <row r="30" spans="1:21">
      <c r="A30" s="1352"/>
      <c r="B30" s="1353"/>
      <c r="C30" s="1353"/>
      <c r="D30" s="85" t="s">
        <v>28</v>
      </c>
      <c r="E30" s="50"/>
      <c r="F30" s="49"/>
      <c r="G30" s="230">
        <f>SUM(G21:G29)</f>
        <v>180639</v>
      </c>
      <c r="H30" s="9"/>
      <c r="I30" s="8"/>
      <c r="J30" s="13"/>
      <c r="K30" s="8"/>
      <c r="L30" s="13"/>
      <c r="M30" s="14"/>
      <c r="N30" s="14"/>
      <c r="O30" s="15"/>
      <c r="P30" s="5"/>
    </row>
    <row r="31" spans="1:21" ht="3.75" customHeight="1">
      <c r="A31" s="226"/>
      <c r="B31" s="4"/>
      <c r="C31" s="6"/>
      <c r="D31" s="4"/>
      <c r="E31" s="4"/>
      <c r="F31" s="4"/>
      <c r="G31" s="227"/>
      <c r="H31" s="9"/>
      <c r="I31" s="8"/>
      <c r="J31" s="13"/>
      <c r="K31" s="18"/>
      <c r="L31" s="13"/>
      <c r="M31" s="33"/>
      <c r="N31" s="33"/>
      <c r="O31" s="15"/>
      <c r="P31" s="5"/>
    </row>
    <row r="32" spans="1:21">
      <c r="A32" s="1354" t="s">
        <v>71</v>
      </c>
      <c r="B32" s="1355"/>
      <c r="C32" s="1355"/>
      <c r="D32" s="1355"/>
      <c r="E32" s="1355"/>
      <c r="F32" s="1355"/>
      <c r="G32" s="1356"/>
      <c r="H32" s="9"/>
    </row>
    <row r="33" spans="1:16" ht="3.75" customHeight="1">
      <c r="A33" s="226"/>
      <c r="B33" s="4"/>
      <c r="C33" s="6"/>
      <c r="D33" s="4"/>
      <c r="E33" s="4"/>
      <c r="F33" s="4"/>
      <c r="G33" s="227"/>
      <c r="H33" s="9"/>
      <c r="I33" s="8"/>
      <c r="J33" s="13"/>
      <c r="K33" s="8"/>
      <c r="L33" s="8"/>
      <c r="M33" s="8"/>
      <c r="N33" s="8"/>
      <c r="O33" s="15"/>
      <c r="P33" s="5"/>
    </row>
    <row r="34" spans="1:16">
      <c r="A34" s="232" t="s">
        <v>5</v>
      </c>
      <c r="B34" s="60" t="s">
        <v>29</v>
      </c>
      <c r="C34" s="60" t="s">
        <v>30</v>
      </c>
      <c r="D34" s="60" t="s">
        <v>31</v>
      </c>
      <c r="E34" s="60" t="s">
        <v>32</v>
      </c>
      <c r="F34" s="60" t="s">
        <v>20</v>
      </c>
      <c r="G34" s="228" t="s">
        <v>33</v>
      </c>
      <c r="H34" s="27"/>
      <c r="I34" s="8"/>
      <c r="J34" s="13"/>
      <c r="K34" s="8"/>
      <c r="L34" s="8"/>
      <c r="M34" s="8"/>
      <c r="N34" s="8"/>
      <c r="O34" s="15"/>
      <c r="P34" s="5"/>
    </row>
    <row r="35" spans="1:16">
      <c r="A35" s="233" t="s">
        <v>41</v>
      </c>
      <c r="B35" s="63">
        <f>BOF</f>
        <v>51749</v>
      </c>
      <c r="C35" s="68">
        <f>ffpp</f>
        <v>0.64539999999999997</v>
      </c>
      <c r="D35" s="72">
        <v>1</v>
      </c>
      <c r="E35" s="66">
        <f>OF</f>
        <v>88696</v>
      </c>
      <c r="F35" s="65">
        <v>3</v>
      </c>
      <c r="G35" s="231">
        <f>ROUND(+D35*E35/F35,0)</f>
        <v>29565</v>
      </c>
      <c r="H35" s="9"/>
      <c r="I35" s="16"/>
      <c r="J35" s="13"/>
      <c r="K35" s="8"/>
      <c r="L35" s="8"/>
      <c r="M35" s="8"/>
      <c r="N35" s="8"/>
      <c r="O35" s="15"/>
      <c r="P35" s="5"/>
    </row>
    <row r="36" spans="1:16">
      <c r="A36" s="233" t="s">
        <v>38</v>
      </c>
      <c r="B36" s="63">
        <f>BOB</f>
        <v>41749</v>
      </c>
      <c r="C36" s="68">
        <f>ffpp</f>
        <v>0.64539999999999997</v>
      </c>
      <c r="D36" s="72">
        <v>5</v>
      </c>
      <c r="E36" s="66">
        <f>OB</f>
        <v>72242</v>
      </c>
      <c r="F36" s="65">
        <f>+F35</f>
        <v>3</v>
      </c>
      <c r="G36" s="231">
        <f>ROUND(+D36*E36/F36,0)</f>
        <v>120403</v>
      </c>
      <c r="H36" s="9"/>
      <c r="I36" s="8"/>
      <c r="J36" s="8"/>
      <c r="K36" s="13"/>
      <c r="L36" s="13"/>
      <c r="M36" s="13"/>
      <c r="N36" s="13"/>
      <c r="O36" s="13"/>
      <c r="P36" s="5"/>
    </row>
    <row r="37" spans="1:16">
      <c r="A37" s="234"/>
      <c r="B37" s="50"/>
      <c r="C37" s="961"/>
      <c r="D37" s="50"/>
      <c r="E37" s="50"/>
      <c r="F37" s="50"/>
      <c r="G37" s="235"/>
      <c r="H37" s="9"/>
      <c r="I37" s="8"/>
      <c r="J37" s="13"/>
      <c r="K37" s="13"/>
      <c r="L37" s="13"/>
      <c r="M37" s="33"/>
      <c r="N37" s="33"/>
      <c r="O37" s="43"/>
      <c r="P37" s="5"/>
    </row>
    <row r="38" spans="1:16">
      <c r="A38" s="233"/>
      <c r="B38" s="65"/>
      <c r="C38" s="68"/>
      <c r="D38" s="65"/>
      <c r="E38" s="69"/>
      <c r="F38" s="69"/>
      <c r="G38" s="236"/>
      <c r="H38" s="9"/>
      <c r="I38" s="8"/>
      <c r="J38" s="13"/>
      <c r="K38" s="13"/>
      <c r="L38" s="13"/>
      <c r="M38" s="33"/>
      <c r="N38" s="33"/>
      <c r="O38" s="43"/>
      <c r="P38" s="5"/>
    </row>
    <row r="39" spans="1:16">
      <c r="A39" s="249"/>
      <c r="B39" s="71"/>
      <c r="C39" s="71"/>
      <c r="D39" s="71" t="s">
        <v>34</v>
      </c>
      <c r="E39" s="71"/>
      <c r="F39" s="71"/>
      <c r="G39" s="250">
        <f>SUM(G35:G38)</f>
        <v>149968</v>
      </c>
      <c r="H39" s="9">
        <f>53000</f>
        <v>53000</v>
      </c>
      <c r="I39" s="8"/>
      <c r="J39" s="13"/>
      <c r="K39" s="13"/>
      <c r="L39" s="13"/>
      <c r="M39" s="14"/>
      <c r="N39" s="14"/>
      <c r="O39" s="15"/>
      <c r="P39" s="5"/>
    </row>
    <row r="40" spans="1:16">
      <c r="A40" s="226"/>
      <c r="B40" s="4"/>
      <c r="C40" s="6"/>
      <c r="D40" s="4"/>
      <c r="E40" s="4"/>
      <c r="F40" s="4"/>
      <c r="G40" s="227"/>
      <c r="H40" s="9"/>
      <c r="I40" s="8"/>
      <c r="J40" s="13"/>
      <c r="K40" s="13"/>
      <c r="L40" s="13"/>
      <c r="M40" s="14"/>
      <c r="N40" s="14"/>
      <c r="O40" s="19"/>
      <c r="P40" s="5"/>
    </row>
    <row r="41" spans="1:16">
      <c r="A41" s="226"/>
      <c r="B41" s="4"/>
      <c r="C41" s="6"/>
      <c r="D41" s="4"/>
      <c r="E41" s="4"/>
      <c r="F41" s="4"/>
      <c r="G41" s="227"/>
      <c r="H41" s="9"/>
      <c r="I41" s="8"/>
      <c r="J41" s="13"/>
      <c r="K41" s="13"/>
      <c r="L41" s="13"/>
      <c r="M41" s="17"/>
      <c r="N41" s="17"/>
      <c r="O41" s="37"/>
      <c r="P41" s="5"/>
    </row>
    <row r="42" spans="1:16" ht="14.25">
      <c r="A42" s="226"/>
      <c r="B42" s="4"/>
      <c r="C42" s="6"/>
      <c r="D42" s="1357" t="s">
        <v>35</v>
      </c>
      <c r="E42" s="1358"/>
      <c r="F42" s="1359"/>
      <c r="G42" s="239">
        <f>+G39+G30+G16</f>
        <v>340505</v>
      </c>
      <c r="H42" s="9"/>
      <c r="I42" s="8"/>
      <c r="J42" s="13"/>
      <c r="K42" s="8"/>
      <c r="L42" s="8"/>
      <c r="M42" s="8"/>
      <c r="N42" s="8"/>
      <c r="O42" s="8"/>
      <c r="P42" s="5"/>
    </row>
    <row r="43" spans="1:16" ht="14.25">
      <c r="A43" s="240"/>
      <c r="B43" s="57"/>
      <c r="C43" s="58"/>
      <c r="D43" s="99"/>
      <c r="E43" s="99"/>
      <c r="F43" s="99"/>
      <c r="G43" s="251"/>
      <c r="H43" s="9"/>
      <c r="I43" s="8"/>
      <c r="J43" s="13"/>
      <c r="K43" s="8"/>
      <c r="L43" s="8"/>
      <c r="M43" s="8"/>
      <c r="N43" s="8"/>
      <c r="O43" s="8"/>
      <c r="P43" s="5"/>
    </row>
    <row r="44" spans="1:16" ht="14.25">
      <c r="A44" s="374"/>
      <c r="B44" s="375"/>
      <c r="C44" s="375"/>
      <c r="D44" s="99"/>
      <c r="E44" s="99"/>
      <c r="F44" s="99"/>
      <c r="G44" s="251"/>
      <c r="H44" s="9"/>
      <c r="I44" s="8"/>
      <c r="J44" s="13"/>
      <c r="K44" s="8"/>
      <c r="L44" s="8"/>
      <c r="M44" s="8"/>
      <c r="N44" s="8"/>
      <c r="O44" s="8"/>
      <c r="P44" s="5"/>
    </row>
    <row r="45" spans="1:16" ht="14.25">
      <c r="A45" s="373"/>
      <c r="B45" s="376"/>
      <c r="C45" s="376"/>
      <c r="D45" s="99"/>
      <c r="E45" s="99"/>
      <c r="F45" s="99"/>
      <c r="G45" s="251"/>
      <c r="H45" s="9"/>
      <c r="I45" s="8"/>
      <c r="J45" s="13"/>
      <c r="K45" s="8"/>
      <c r="L45" s="8"/>
      <c r="M45" s="8"/>
      <c r="N45" s="8"/>
      <c r="O45" s="8"/>
      <c r="P45" s="5"/>
    </row>
    <row r="46" spans="1:16" ht="14.25">
      <c r="A46" s="373"/>
      <c r="B46" s="376"/>
      <c r="C46" s="376"/>
      <c r="D46" s="44"/>
      <c r="E46" s="45"/>
      <c r="F46" s="45"/>
      <c r="G46" s="251"/>
      <c r="H46" s="9"/>
      <c r="I46" s="8"/>
      <c r="J46" s="13"/>
      <c r="K46" s="8"/>
      <c r="L46" s="8"/>
      <c r="M46" s="8"/>
      <c r="N46" s="8"/>
      <c r="O46" s="8"/>
      <c r="P46" s="5"/>
    </row>
    <row r="47" spans="1:16" ht="15" thickBot="1">
      <c r="A47" s="242"/>
      <c r="B47" s="243"/>
      <c r="C47" s="244"/>
      <c r="D47" s="245"/>
      <c r="E47" s="246"/>
      <c r="F47" s="246"/>
      <c r="G47" s="247"/>
      <c r="H47" s="9"/>
      <c r="I47" s="8"/>
      <c r="J47" s="13"/>
      <c r="K47" s="8"/>
      <c r="L47" s="8"/>
      <c r="M47" s="8"/>
      <c r="N47" s="8"/>
      <c r="O47" s="8"/>
      <c r="P47" s="5"/>
    </row>
    <row r="48" spans="1:16">
      <c r="I48" s="5"/>
      <c r="J48" s="5"/>
      <c r="K48" s="5"/>
      <c r="L48" s="5"/>
      <c r="M48" s="5"/>
      <c r="N48" s="5"/>
      <c r="O48" s="5"/>
      <c r="P48" s="5"/>
    </row>
    <row r="49" spans="9:16">
      <c r="I49" s="5"/>
      <c r="J49" s="5"/>
      <c r="K49" s="5"/>
      <c r="L49" s="5"/>
      <c r="M49" s="5"/>
      <c r="N49" s="5"/>
      <c r="O49" s="5"/>
      <c r="P49" s="5"/>
    </row>
  </sheetData>
  <mergeCells count="26">
    <mergeCell ref="A32:G32"/>
    <mergeCell ref="D42:F42"/>
    <mergeCell ref="A25:C25"/>
    <mergeCell ref="A26:C26"/>
    <mergeCell ref="A27:C27"/>
    <mergeCell ref="A28:C28"/>
    <mergeCell ref="A29:C29"/>
    <mergeCell ref="A30:C30"/>
    <mergeCell ref="A24:C24"/>
    <mergeCell ref="A11:C11"/>
    <mergeCell ref="A12:C12"/>
    <mergeCell ref="A13:C13"/>
    <mergeCell ref="A14:C14"/>
    <mergeCell ref="A15:C15"/>
    <mergeCell ref="A16:C16"/>
    <mergeCell ref="A18:G18"/>
    <mergeCell ref="A20:C20"/>
    <mergeCell ref="A21:C21"/>
    <mergeCell ref="A22:C22"/>
    <mergeCell ref="A23:C23"/>
    <mergeCell ref="A10:C10"/>
    <mergeCell ref="A1:G1"/>
    <mergeCell ref="A2:G2"/>
    <mergeCell ref="A3:G4"/>
    <mergeCell ref="B6:E6"/>
    <mergeCell ref="A8:G8"/>
  </mergeCells>
  <printOptions horizontalCentered="1" verticalCentered="1"/>
  <pageMargins left="0.74803149606299213" right="0.74803149606299213" top="0" bottom="0.98425196850393704" header="0" footer="0"/>
  <pageSetup scale="90" orientation="portrait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5"/>
  <dimension ref="A1:U49"/>
  <sheetViews>
    <sheetView view="pageBreakPreview" topLeftCell="A7" zoomScaleNormal="100" zoomScaleSheetLayoutView="100" workbookViewId="0">
      <selection activeCell="F23" sqref="F23"/>
    </sheetView>
  </sheetViews>
  <sheetFormatPr baseColWidth="10" defaultColWidth="10.7109375" defaultRowHeight="12.75"/>
  <cols>
    <col min="1" max="1" width="15.85546875" style="3" customWidth="1"/>
    <col min="2" max="2" width="14.85546875" style="3" customWidth="1"/>
    <col min="3" max="3" width="13.28515625" style="3" customWidth="1"/>
    <col min="4" max="4" width="11.42578125" style="3"/>
    <col min="5" max="5" width="13.42578125" style="3" customWidth="1"/>
    <col min="6" max="6" width="12.7109375" style="3" customWidth="1"/>
    <col min="7" max="7" width="14" style="3" customWidth="1"/>
    <col min="8" max="8" width="17" style="3" customWidth="1"/>
    <col min="9" max="9" width="12" style="3" bestFit="1" customWidth="1"/>
    <col min="10" max="256" width="11.42578125" style="3"/>
    <col min="257" max="257" width="15.85546875" style="3" customWidth="1"/>
    <col min="258" max="258" width="14.85546875" style="3" customWidth="1"/>
    <col min="259" max="259" width="13.28515625" style="3" customWidth="1"/>
    <col min="260" max="260" width="11.42578125" style="3"/>
    <col min="261" max="261" width="13.42578125" style="3" customWidth="1"/>
    <col min="262" max="262" width="12.7109375" style="3" customWidth="1"/>
    <col min="263" max="263" width="14" style="3" customWidth="1"/>
    <col min="264" max="264" width="7.42578125" style="3" customWidth="1"/>
    <col min="265" max="512" width="11.42578125" style="3"/>
    <col min="513" max="513" width="15.85546875" style="3" customWidth="1"/>
    <col min="514" max="514" width="14.85546875" style="3" customWidth="1"/>
    <col min="515" max="515" width="13.28515625" style="3" customWidth="1"/>
    <col min="516" max="516" width="11.42578125" style="3"/>
    <col min="517" max="517" width="13.42578125" style="3" customWidth="1"/>
    <col min="518" max="518" width="12.7109375" style="3" customWidth="1"/>
    <col min="519" max="519" width="14" style="3" customWidth="1"/>
    <col min="520" max="520" width="7.42578125" style="3" customWidth="1"/>
    <col min="521" max="768" width="11.42578125" style="3"/>
    <col min="769" max="769" width="15.85546875" style="3" customWidth="1"/>
    <col min="770" max="770" width="14.85546875" style="3" customWidth="1"/>
    <col min="771" max="771" width="13.28515625" style="3" customWidth="1"/>
    <col min="772" max="772" width="11.42578125" style="3"/>
    <col min="773" max="773" width="13.42578125" style="3" customWidth="1"/>
    <col min="774" max="774" width="12.7109375" style="3" customWidth="1"/>
    <col min="775" max="775" width="14" style="3" customWidth="1"/>
    <col min="776" max="776" width="7.42578125" style="3" customWidth="1"/>
    <col min="777" max="1024" width="11.42578125" style="3"/>
    <col min="1025" max="1025" width="15.85546875" style="3" customWidth="1"/>
    <col min="1026" max="1026" width="14.85546875" style="3" customWidth="1"/>
    <col min="1027" max="1027" width="13.28515625" style="3" customWidth="1"/>
    <col min="1028" max="1028" width="11.42578125" style="3"/>
    <col min="1029" max="1029" width="13.42578125" style="3" customWidth="1"/>
    <col min="1030" max="1030" width="12.7109375" style="3" customWidth="1"/>
    <col min="1031" max="1031" width="14" style="3" customWidth="1"/>
    <col min="1032" max="1032" width="7.42578125" style="3" customWidth="1"/>
    <col min="1033" max="1280" width="11.42578125" style="3"/>
    <col min="1281" max="1281" width="15.85546875" style="3" customWidth="1"/>
    <col min="1282" max="1282" width="14.85546875" style="3" customWidth="1"/>
    <col min="1283" max="1283" width="13.28515625" style="3" customWidth="1"/>
    <col min="1284" max="1284" width="11.42578125" style="3"/>
    <col min="1285" max="1285" width="13.42578125" style="3" customWidth="1"/>
    <col min="1286" max="1286" width="12.7109375" style="3" customWidth="1"/>
    <col min="1287" max="1287" width="14" style="3" customWidth="1"/>
    <col min="1288" max="1288" width="7.42578125" style="3" customWidth="1"/>
    <col min="1289" max="1536" width="11.42578125" style="3"/>
    <col min="1537" max="1537" width="15.85546875" style="3" customWidth="1"/>
    <col min="1538" max="1538" width="14.85546875" style="3" customWidth="1"/>
    <col min="1539" max="1539" width="13.28515625" style="3" customWidth="1"/>
    <col min="1540" max="1540" width="11.42578125" style="3"/>
    <col min="1541" max="1541" width="13.42578125" style="3" customWidth="1"/>
    <col min="1542" max="1542" width="12.7109375" style="3" customWidth="1"/>
    <col min="1543" max="1543" width="14" style="3" customWidth="1"/>
    <col min="1544" max="1544" width="7.42578125" style="3" customWidth="1"/>
    <col min="1545" max="1792" width="11.42578125" style="3"/>
    <col min="1793" max="1793" width="15.85546875" style="3" customWidth="1"/>
    <col min="1794" max="1794" width="14.85546875" style="3" customWidth="1"/>
    <col min="1795" max="1795" width="13.28515625" style="3" customWidth="1"/>
    <col min="1796" max="1796" width="11.42578125" style="3"/>
    <col min="1797" max="1797" width="13.42578125" style="3" customWidth="1"/>
    <col min="1798" max="1798" width="12.7109375" style="3" customWidth="1"/>
    <col min="1799" max="1799" width="14" style="3" customWidth="1"/>
    <col min="1800" max="1800" width="7.42578125" style="3" customWidth="1"/>
    <col min="1801" max="2048" width="11.42578125" style="3"/>
    <col min="2049" max="2049" width="15.85546875" style="3" customWidth="1"/>
    <col min="2050" max="2050" width="14.85546875" style="3" customWidth="1"/>
    <col min="2051" max="2051" width="13.28515625" style="3" customWidth="1"/>
    <col min="2052" max="2052" width="11.42578125" style="3"/>
    <col min="2053" max="2053" width="13.42578125" style="3" customWidth="1"/>
    <col min="2054" max="2054" width="12.7109375" style="3" customWidth="1"/>
    <col min="2055" max="2055" width="14" style="3" customWidth="1"/>
    <col min="2056" max="2056" width="7.42578125" style="3" customWidth="1"/>
    <col min="2057" max="2304" width="11.42578125" style="3"/>
    <col min="2305" max="2305" width="15.85546875" style="3" customWidth="1"/>
    <col min="2306" max="2306" width="14.85546875" style="3" customWidth="1"/>
    <col min="2307" max="2307" width="13.28515625" style="3" customWidth="1"/>
    <col min="2308" max="2308" width="11.42578125" style="3"/>
    <col min="2309" max="2309" width="13.42578125" style="3" customWidth="1"/>
    <col min="2310" max="2310" width="12.7109375" style="3" customWidth="1"/>
    <col min="2311" max="2311" width="14" style="3" customWidth="1"/>
    <col min="2312" max="2312" width="7.42578125" style="3" customWidth="1"/>
    <col min="2313" max="2560" width="11.42578125" style="3"/>
    <col min="2561" max="2561" width="15.85546875" style="3" customWidth="1"/>
    <col min="2562" max="2562" width="14.85546875" style="3" customWidth="1"/>
    <col min="2563" max="2563" width="13.28515625" style="3" customWidth="1"/>
    <col min="2564" max="2564" width="11.42578125" style="3"/>
    <col min="2565" max="2565" width="13.42578125" style="3" customWidth="1"/>
    <col min="2566" max="2566" width="12.7109375" style="3" customWidth="1"/>
    <col min="2567" max="2567" width="14" style="3" customWidth="1"/>
    <col min="2568" max="2568" width="7.42578125" style="3" customWidth="1"/>
    <col min="2569" max="2816" width="11.42578125" style="3"/>
    <col min="2817" max="2817" width="15.85546875" style="3" customWidth="1"/>
    <col min="2818" max="2818" width="14.85546875" style="3" customWidth="1"/>
    <col min="2819" max="2819" width="13.28515625" style="3" customWidth="1"/>
    <col min="2820" max="2820" width="11.42578125" style="3"/>
    <col min="2821" max="2821" width="13.42578125" style="3" customWidth="1"/>
    <col min="2822" max="2822" width="12.7109375" style="3" customWidth="1"/>
    <col min="2823" max="2823" width="14" style="3" customWidth="1"/>
    <col min="2824" max="2824" width="7.42578125" style="3" customWidth="1"/>
    <col min="2825" max="3072" width="11.42578125" style="3"/>
    <col min="3073" max="3073" width="15.85546875" style="3" customWidth="1"/>
    <col min="3074" max="3074" width="14.85546875" style="3" customWidth="1"/>
    <col min="3075" max="3075" width="13.28515625" style="3" customWidth="1"/>
    <col min="3076" max="3076" width="11.42578125" style="3"/>
    <col min="3077" max="3077" width="13.42578125" style="3" customWidth="1"/>
    <col min="3078" max="3078" width="12.7109375" style="3" customWidth="1"/>
    <col min="3079" max="3079" width="14" style="3" customWidth="1"/>
    <col min="3080" max="3080" width="7.42578125" style="3" customWidth="1"/>
    <col min="3081" max="3328" width="11.42578125" style="3"/>
    <col min="3329" max="3329" width="15.85546875" style="3" customWidth="1"/>
    <col min="3330" max="3330" width="14.85546875" style="3" customWidth="1"/>
    <col min="3331" max="3331" width="13.28515625" style="3" customWidth="1"/>
    <col min="3332" max="3332" width="11.42578125" style="3"/>
    <col min="3333" max="3333" width="13.42578125" style="3" customWidth="1"/>
    <col min="3334" max="3334" width="12.7109375" style="3" customWidth="1"/>
    <col min="3335" max="3335" width="14" style="3" customWidth="1"/>
    <col min="3336" max="3336" width="7.42578125" style="3" customWidth="1"/>
    <col min="3337" max="3584" width="11.42578125" style="3"/>
    <col min="3585" max="3585" width="15.85546875" style="3" customWidth="1"/>
    <col min="3586" max="3586" width="14.85546875" style="3" customWidth="1"/>
    <col min="3587" max="3587" width="13.28515625" style="3" customWidth="1"/>
    <col min="3588" max="3588" width="11.42578125" style="3"/>
    <col min="3589" max="3589" width="13.42578125" style="3" customWidth="1"/>
    <col min="3590" max="3590" width="12.7109375" style="3" customWidth="1"/>
    <col min="3591" max="3591" width="14" style="3" customWidth="1"/>
    <col min="3592" max="3592" width="7.42578125" style="3" customWidth="1"/>
    <col min="3593" max="3840" width="11.42578125" style="3"/>
    <col min="3841" max="3841" width="15.85546875" style="3" customWidth="1"/>
    <col min="3842" max="3842" width="14.85546875" style="3" customWidth="1"/>
    <col min="3843" max="3843" width="13.28515625" style="3" customWidth="1"/>
    <col min="3844" max="3844" width="11.42578125" style="3"/>
    <col min="3845" max="3845" width="13.42578125" style="3" customWidth="1"/>
    <col min="3846" max="3846" width="12.7109375" style="3" customWidth="1"/>
    <col min="3847" max="3847" width="14" style="3" customWidth="1"/>
    <col min="3848" max="3848" width="7.42578125" style="3" customWidth="1"/>
    <col min="3849" max="4096" width="11.42578125" style="3"/>
    <col min="4097" max="4097" width="15.85546875" style="3" customWidth="1"/>
    <col min="4098" max="4098" width="14.85546875" style="3" customWidth="1"/>
    <col min="4099" max="4099" width="13.28515625" style="3" customWidth="1"/>
    <col min="4100" max="4100" width="11.42578125" style="3"/>
    <col min="4101" max="4101" width="13.42578125" style="3" customWidth="1"/>
    <col min="4102" max="4102" width="12.7109375" style="3" customWidth="1"/>
    <col min="4103" max="4103" width="14" style="3" customWidth="1"/>
    <col min="4104" max="4104" width="7.42578125" style="3" customWidth="1"/>
    <col min="4105" max="4352" width="11.42578125" style="3"/>
    <col min="4353" max="4353" width="15.85546875" style="3" customWidth="1"/>
    <col min="4354" max="4354" width="14.85546875" style="3" customWidth="1"/>
    <col min="4355" max="4355" width="13.28515625" style="3" customWidth="1"/>
    <col min="4356" max="4356" width="11.42578125" style="3"/>
    <col min="4357" max="4357" width="13.42578125" style="3" customWidth="1"/>
    <col min="4358" max="4358" width="12.7109375" style="3" customWidth="1"/>
    <col min="4359" max="4359" width="14" style="3" customWidth="1"/>
    <col min="4360" max="4360" width="7.42578125" style="3" customWidth="1"/>
    <col min="4361" max="4608" width="11.42578125" style="3"/>
    <col min="4609" max="4609" width="15.85546875" style="3" customWidth="1"/>
    <col min="4610" max="4610" width="14.85546875" style="3" customWidth="1"/>
    <col min="4611" max="4611" width="13.28515625" style="3" customWidth="1"/>
    <col min="4612" max="4612" width="11.42578125" style="3"/>
    <col min="4613" max="4613" width="13.42578125" style="3" customWidth="1"/>
    <col min="4614" max="4614" width="12.7109375" style="3" customWidth="1"/>
    <col min="4615" max="4615" width="14" style="3" customWidth="1"/>
    <col min="4616" max="4616" width="7.42578125" style="3" customWidth="1"/>
    <col min="4617" max="4864" width="11.42578125" style="3"/>
    <col min="4865" max="4865" width="15.85546875" style="3" customWidth="1"/>
    <col min="4866" max="4866" width="14.85546875" style="3" customWidth="1"/>
    <col min="4867" max="4867" width="13.28515625" style="3" customWidth="1"/>
    <col min="4868" max="4868" width="11.42578125" style="3"/>
    <col min="4869" max="4869" width="13.42578125" style="3" customWidth="1"/>
    <col min="4870" max="4870" width="12.7109375" style="3" customWidth="1"/>
    <col min="4871" max="4871" width="14" style="3" customWidth="1"/>
    <col min="4872" max="4872" width="7.42578125" style="3" customWidth="1"/>
    <col min="4873" max="5120" width="11.42578125" style="3"/>
    <col min="5121" max="5121" width="15.85546875" style="3" customWidth="1"/>
    <col min="5122" max="5122" width="14.85546875" style="3" customWidth="1"/>
    <col min="5123" max="5123" width="13.28515625" style="3" customWidth="1"/>
    <col min="5124" max="5124" width="11.42578125" style="3"/>
    <col min="5125" max="5125" width="13.42578125" style="3" customWidth="1"/>
    <col min="5126" max="5126" width="12.7109375" style="3" customWidth="1"/>
    <col min="5127" max="5127" width="14" style="3" customWidth="1"/>
    <col min="5128" max="5128" width="7.42578125" style="3" customWidth="1"/>
    <col min="5129" max="5376" width="11.42578125" style="3"/>
    <col min="5377" max="5377" width="15.85546875" style="3" customWidth="1"/>
    <col min="5378" max="5378" width="14.85546875" style="3" customWidth="1"/>
    <col min="5379" max="5379" width="13.28515625" style="3" customWidth="1"/>
    <col min="5380" max="5380" width="11.42578125" style="3"/>
    <col min="5381" max="5381" width="13.42578125" style="3" customWidth="1"/>
    <col min="5382" max="5382" width="12.7109375" style="3" customWidth="1"/>
    <col min="5383" max="5383" width="14" style="3" customWidth="1"/>
    <col min="5384" max="5384" width="7.42578125" style="3" customWidth="1"/>
    <col min="5385" max="5632" width="11.42578125" style="3"/>
    <col min="5633" max="5633" width="15.85546875" style="3" customWidth="1"/>
    <col min="5634" max="5634" width="14.85546875" style="3" customWidth="1"/>
    <col min="5635" max="5635" width="13.28515625" style="3" customWidth="1"/>
    <col min="5636" max="5636" width="11.42578125" style="3"/>
    <col min="5637" max="5637" width="13.42578125" style="3" customWidth="1"/>
    <col min="5638" max="5638" width="12.7109375" style="3" customWidth="1"/>
    <col min="5639" max="5639" width="14" style="3" customWidth="1"/>
    <col min="5640" max="5640" width="7.42578125" style="3" customWidth="1"/>
    <col min="5641" max="5888" width="11.42578125" style="3"/>
    <col min="5889" max="5889" width="15.85546875" style="3" customWidth="1"/>
    <col min="5890" max="5890" width="14.85546875" style="3" customWidth="1"/>
    <col min="5891" max="5891" width="13.28515625" style="3" customWidth="1"/>
    <col min="5892" max="5892" width="11.42578125" style="3"/>
    <col min="5893" max="5893" width="13.42578125" style="3" customWidth="1"/>
    <col min="5894" max="5894" width="12.7109375" style="3" customWidth="1"/>
    <col min="5895" max="5895" width="14" style="3" customWidth="1"/>
    <col min="5896" max="5896" width="7.42578125" style="3" customWidth="1"/>
    <col min="5897" max="6144" width="11.42578125" style="3"/>
    <col min="6145" max="6145" width="15.85546875" style="3" customWidth="1"/>
    <col min="6146" max="6146" width="14.85546875" style="3" customWidth="1"/>
    <col min="6147" max="6147" width="13.28515625" style="3" customWidth="1"/>
    <col min="6148" max="6148" width="11.42578125" style="3"/>
    <col min="6149" max="6149" width="13.42578125" style="3" customWidth="1"/>
    <col min="6150" max="6150" width="12.7109375" style="3" customWidth="1"/>
    <col min="6151" max="6151" width="14" style="3" customWidth="1"/>
    <col min="6152" max="6152" width="7.42578125" style="3" customWidth="1"/>
    <col min="6153" max="6400" width="11.42578125" style="3"/>
    <col min="6401" max="6401" width="15.85546875" style="3" customWidth="1"/>
    <col min="6402" max="6402" width="14.85546875" style="3" customWidth="1"/>
    <col min="6403" max="6403" width="13.28515625" style="3" customWidth="1"/>
    <col min="6404" max="6404" width="11.42578125" style="3"/>
    <col min="6405" max="6405" width="13.42578125" style="3" customWidth="1"/>
    <col min="6406" max="6406" width="12.7109375" style="3" customWidth="1"/>
    <col min="6407" max="6407" width="14" style="3" customWidth="1"/>
    <col min="6408" max="6408" width="7.42578125" style="3" customWidth="1"/>
    <col min="6409" max="6656" width="11.42578125" style="3"/>
    <col min="6657" max="6657" width="15.85546875" style="3" customWidth="1"/>
    <col min="6658" max="6658" width="14.85546875" style="3" customWidth="1"/>
    <col min="6659" max="6659" width="13.28515625" style="3" customWidth="1"/>
    <col min="6660" max="6660" width="11.42578125" style="3"/>
    <col min="6661" max="6661" width="13.42578125" style="3" customWidth="1"/>
    <col min="6662" max="6662" width="12.7109375" style="3" customWidth="1"/>
    <col min="6663" max="6663" width="14" style="3" customWidth="1"/>
    <col min="6664" max="6664" width="7.42578125" style="3" customWidth="1"/>
    <col min="6665" max="6912" width="11.42578125" style="3"/>
    <col min="6913" max="6913" width="15.85546875" style="3" customWidth="1"/>
    <col min="6914" max="6914" width="14.85546875" style="3" customWidth="1"/>
    <col min="6915" max="6915" width="13.28515625" style="3" customWidth="1"/>
    <col min="6916" max="6916" width="11.42578125" style="3"/>
    <col min="6917" max="6917" width="13.42578125" style="3" customWidth="1"/>
    <col min="6918" max="6918" width="12.7109375" style="3" customWidth="1"/>
    <col min="6919" max="6919" width="14" style="3" customWidth="1"/>
    <col min="6920" max="6920" width="7.42578125" style="3" customWidth="1"/>
    <col min="6921" max="7168" width="11.42578125" style="3"/>
    <col min="7169" max="7169" width="15.85546875" style="3" customWidth="1"/>
    <col min="7170" max="7170" width="14.85546875" style="3" customWidth="1"/>
    <col min="7171" max="7171" width="13.28515625" style="3" customWidth="1"/>
    <col min="7172" max="7172" width="11.42578125" style="3"/>
    <col min="7173" max="7173" width="13.42578125" style="3" customWidth="1"/>
    <col min="7174" max="7174" width="12.7109375" style="3" customWidth="1"/>
    <col min="7175" max="7175" width="14" style="3" customWidth="1"/>
    <col min="7176" max="7176" width="7.42578125" style="3" customWidth="1"/>
    <col min="7177" max="7424" width="11.42578125" style="3"/>
    <col min="7425" max="7425" width="15.85546875" style="3" customWidth="1"/>
    <col min="7426" max="7426" width="14.85546875" style="3" customWidth="1"/>
    <col min="7427" max="7427" width="13.28515625" style="3" customWidth="1"/>
    <col min="7428" max="7428" width="11.42578125" style="3"/>
    <col min="7429" max="7429" width="13.42578125" style="3" customWidth="1"/>
    <col min="7430" max="7430" width="12.7109375" style="3" customWidth="1"/>
    <col min="7431" max="7431" width="14" style="3" customWidth="1"/>
    <col min="7432" max="7432" width="7.42578125" style="3" customWidth="1"/>
    <col min="7433" max="7680" width="11.42578125" style="3"/>
    <col min="7681" max="7681" width="15.85546875" style="3" customWidth="1"/>
    <col min="7682" max="7682" width="14.85546875" style="3" customWidth="1"/>
    <col min="7683" max="7683" width="13.28515625" style="3" customWidth="1"/>
    <col min="7684" max="7684" width="11.42578125" style="3"/>
    <col min="7685" max="7685" width="13.42578125" style="3" customWidth="1"/>
    <col min="7686" max="7686" width="12.7109375" style="3" customWidth="1"/>
    <col min="7687" max="7687" width="14" style="3" customWidth="1"/>
    <col min="7688" max="7688" width="7.42578125" style="3" customWidth="1"/>
    <col min="7689" max="7936" width="11.42578125" style="3"/>
    <col min="7937" max="7937" width="15.85546875" style="3" customWidth="1"/>
    <col min="7938" max="7938" width="14.85546875" style="3" customWidth="1"/>
    <col min="7939" max="7939" width="13.28515625" style="3" customWidth="1"/>
    <col min="7940" max="7940" width="11.42578125" style="3"/>
    <col min="7941" max="7941" width="13.42578125" style="3" customWidth="1"/>
    <col min="7942" max="7942" width="12.7109375" style="3" customWidth="1"/>
    <col min="7943" max="7943" width="14" style="3" customWidth="1"/>
    <col min="7944" max="7944" width="7.42578125" style="3" customWidth="1"/>
    <col min="7945" max="8192" width="11.42578125" style="3"/>
    <col min="8193" max="8193" width="15.85546875" style="3" customWidth="1"/>
    <col min="8194" max="8194" width="14.85546875" style="3" customWidth="1"/>
    <col min="8195" max="8195" width="13.28515625" style="3" customWidth="1"/>
    <col min="8196" max="8196" width="11.42578125" style="3"/>
    <col min="8197" max="8197" width="13.42578125" style="3" customWidth="1"/>
    <col min="8198" max="8198" width="12.7109375" style="3" customWidth="1"/>
    <col min="8199" max="8199" width="14" style="3" customWidth="1"/>
    <col min="8200" max="8200" width="7.42578125" style="3" customWidth="1"/>
    <col min="8201" max="8448" width="11.42578125" style="3"/>
    <col min="8449" max="8449" width="15.85546875" style="3" customWidth="1"/>
    <col min="8450" max="8450" width="14.85546875" style="3" customWidth="1"/>
    <col min="8451" max="8451" width="13.28515625" style="3" customWidth="1"/>
    <col min="8452" max="8452" width="11.42578125" style="3"/>
    <col min="8453" max="8453" width="13.42578125" style="3" customWidth="1"/>
    <col min="8454" max="8454" width="12.7109375" style="3" customWidth="1"/>
    <col min="8455" max="8455" width="14" style="3" customWidth="1"/>
    <col min="8456" max="8456" width="7.42578125" style="3" customWidth="1"/>
    <col min="8457" max="8704" width="11.42578125" style="3"/>
    <col min="8705" max="8705" width="15.85546875" style="3" customWidth="1"/>
    <col min="8706" max="8706" width="14.85546875" style="3" customWidth="1"/>
    <col min="8707" max="8707" width="13.28515625" style="3" customWidth="1"/>
    <col min="8708" max="8708" width="11.42578125" style="3"/>
    <col min="8709" max="8709" width="13.42578125" style="3" customWidth="1"/>
    <col min="8710" max="8710" width="12.7109375" style="3" customWidth="1"/>
    <col min="8711" max="8711" width="14" style="3" customWidth="1"/>
    <col min="8712" max="8712" width="7.42578125" style="3" customWidth="1"/>
    <col min="8713" max="8960" width="11.42578125" style="3"/>
    <col min="8961" max="8961" width="15.85546875" style="3" customWidth="1"/>
    <col min="8962" max="8962" width="14.85546875" style="3" customWidth="1"/>
    <col min="8963" max="8963" width="13.28515625" style="3" customWidth="1"/>
    <col min="8964" max="8964" width="11.42578125" style="3"/>
    <col min="8965" max="8965" width="13.42578125" style="3" customWidth="1"/>
    <col min="8966" max="8966" width="12.7109375" style="3" customWidth="1"/>
    <col min="8967" max="8967" width="14" style="3" customWidth="1"/>
    <col min="8968" max="8968" width="7.42578125" style="3" customWidth="1"/>
    <col min="8969" max="9216" width="11.42578125" style="3"/>
    <col min="9217" max="9217" width="15.85546875" style="3" customWidth="1"/>
    <col min="9218" max="9218" width="14.85546875" style="3" customWidth="1"/>
    <col min="9219" max="9219" width="13.28515625" style="3" customWidth="1"/>
    <col min="9220" max="9220" width="11.42578125" style="3"/>
    <col min="9221" max="9221" width="13.42578125" style="3" customWidth="1"/>
    <col min="9222" max="9222" width="12.7109375" style="3" customWidth="1"/>
    <col min="9223" max="9223" width="14" style="3" customWidth="1"/>
    <col min="9224" max="9224" width="7.42578125" style="3" customWidth="1"/>
    <col min="9225" max="9472" width="11.42578125" style="3"/>
    <col min="9473" max="9473" width="15.85546875" style="3" customWidth="1"/>
    <col min="9474" max="9474" width="14.85546875" style="3" customWidth="1"/>
    <col min="9475" max="9475" width="13.28515625" style="3" customWidth="1"/>
    <col min="9476" max="9476" width="11.42578125" style="3"/>
    <col min="9477" max="9477" width="13.42578125" style="3" customWidth="1"/>
    <col min="9478" max="9478" width="12.7109375" style="3" customWidth="1"/>
    <col min="9479" max="9479" width="14" style="3" customWidth="1"/>
    <col min="9480" max="9480" width="7.42578125" style="3" customWidth="1"/>
    <col min="9481" max="9728" width="11.42578125" style="3"/>
    <col min="9729" max="9729" width="15.85546875" style="3" customWidth="1"/>
    <col min="9730" max="9730" width="14.85546875" style="3" customWidth="1"/>
    <col min="9731" max="9731" width="13.28515625" style="3" customWidth="1"/>
    <col min="9732" max="9732" width="11.42578125" style="3"/>
    <col min="9733" max="9733" width="13.42578125" style="3" customWidth="1"/>
    <col min="9734" max="9734" width="12.7109375" style="3" customWidth="1"/>
    <col min="9735" max="9735" width="14" style="3" customWidth="1"/>
    <col min="9736" max="9736" width="7.42578125" style="3" customWidth="1"/>
    <col min="9737" max="9984" width="11.42578125" style="3"/>
    <col min="9985" max="9985" width="15.85546875" style="3" customWidth="1"/>
    <col min="9986" max="9986" width="14.85546875" style="3" customWidth="1"/>
    <col min="9987" max="9987" width="13.28515625" style="3" customWidth="1"/>
    <col min="9988" max="9988" width="11.42578125" style="3"/>
    <col min="9989" max="9989" width="13.42578125" style="3" customWidth="1"/>
    <col min="9990" max="9990" width="12.7109375" style="3" customWidth="1"/>
    <col min="9991" max="9991" width="14" style="3" customWidth="1"/>
    <col min="9992" max="9992" width="7.42578125" style="3" customWidth="1"/>
    <col min="9993" max="10240" width="11.42578125" style="3"/>
    <col min="10241" max="10241" width="15.85546875" style="3" customWidth="1"/>
    <col min="10242" max="10242" width="14.85546875" style="3" customWidth="1"/>
    <col min="10243" max="10243" width="13.28515625" style="3" customWidth="1"/>
    <col min="10244" max="10244" width="11.42578125" style="3"/>
    <col min="10245" max="10245" width="13.42578125" style="3" customWidth="1"/>
    <col min="10246" max="10246" width="12.7109375" style="3" customWidth="1"/>
    <col min="10247" max="10247" width="14" style="3" customWidth="1"/>
    <col min="10248" max="10248" width="7.42578125" style="3" customWidth="1"/>
    <col min="10249" max="10496" width="11.42578125" style="3"/>
    <col min="10497" max="10497" width="15.85546875" style="3" customWidth="1"/>
    <col min="10498" max="10498" width="14.85546875" style="3" customWidth="1"/>
    <col min="10499" max="10499" width="13.28515625" style="3" customWidth="1"/>
    <col min="10500" max="10500" width="11.42578125" style="3"/>
    <col min="10501" max="10501" width="13.42578125" style="3" customWidth="1"/>
    <col min="10502" max="10502" width="12.7109375" style="3" customWidth="1"/>
    <col min="10503" max="10503" width="14" style="3" customWidth="1"/>
    <col min="10504" max="10504" width="7.42578125" style="3" customWidth="1"/>
    <col min="10505" max="10752" width="11.42578125" style="3"/>
    <col min="10753" max="10753" width="15.85546875" style="3" customWidth="1"/>
    <col min="10754" max="10754" width="14.85546875" style="3" customWidth="1"/>
    <col min="10755" max="10755" width="13.28515625" style="3" customWidth="1"/>
    <col min="10756" max="10756" width="11.42578125" style="3"/>
    <col min="10757" max="10757" width="13.42578125" style="3" customWidth="1"/>
    <col min="10758" max="10758" width="12.7109375" style="3" customWidth="1"/>
    <col min="10759" max="10759" width="14" style="3" customWidth="1"/>
    <col min="10760" max="10760" width="7.42578125" style="3" customWidth="1"/>
    <col min="10761" max="11008" width="11.42578125" style="3"/>
    <col min="11009" max="11009" width="15.85546875" style="3" customWidth="1"/>
    <col min="11010" max="11010" width="14.85546875" style="3" customWidth="1"/>
    <col min="11011" max="11011" width="13.28515625" style="3" customWidth="1"/>
    <col min="11012" max="11012" width="11.42578125" style="3"/>
    <col min="11013" max="11013" width="13.42578125" style="3" customWidth="1"/>
    <col min="11014" max="11014" width="12.7109375" style="3" customWidth="1"/>
    <col min="11015" max="11015" width="14" style="3" customWidth="1"/>
    <col min="11016" max="11016" width="7.42578125" style="3" customWidth="1"/>
    <col min="11017" max="11264" width="11.42578125" style="3"/>
    <col min="11265" max="11265" width="15.85546875" style="3" customWidth="1"/>
    <col min="11266" max="11266" width="14.85546875" style="3" customWidth="1"/>
    <col min="11267" max="11267" width="13.28515625" style="3" customWidth="1"/>
    <col min="11268" max="11268" width="11.42578125" style="3"/>
    <col min="11269" max="11269" width="13.42578125" style="3" customWidth="1"/>
    <col min="11270" max="11270" width="12.7109375" style="3" customWidth="1"/>
    <col min="11271" max="11271" width="14" style="3" customWidth="1"/>
    <col min="11272" max="11272" width="7.42578125" style="3" customWidth="1"/>
    <col min="11273" max="11520" width="11.42578125" style="3"/>
    <col min="11521" max="11521" width="15.85546875" style="3" customWidth="1"/>
    <col min="11522" max="11522" width="14.85546875" style="3" customWidth="1"/>
    <col min="11523" max="11523" width="13.28515625" style="3" customWidth="1"/>
    <col min="11524" max="11524" width="11.42578125" style="3"/>
    <col min="11525" max="11525" width="13.42578125" style="3" customWidth="1"/>
    <col min="11526" max="11526" width="12.7109375" style="3" customWidth="1"/>
    <col min="11527" max="11527" width="14" style="3" customWidth="1"/>
    <col min="11528" max="11528" width="7.42578125" style="3" customWidth="1"/>
    <col min="11529" max="11776" width="11.42578125" style="3"/>
    <col min="11777" max="11777" width="15.85546875" style="3" customWidth="1"/>
    <col min="11778" max="11778" width="14.85546875" style="3" customWidth="1"/>
    <col min="11779" max="11779" width="13.28515625" style="3" customWidth="1"/>
    <col min="11780" max="11780" width="11.42578125" style="3"/>
    <col min="11781" max="11781" width="13.42578125" style="3" customWidth="1"/>
    <col min="11782" max="11782" width="12.7109375" style="3" customWidth="1"/>
    <col min="11783" max="11783" width="14" style="3" customWidth="1"/>
    <col min="11784" max="11784" width="7.42578125" style="3" customWidth="1"/>
    <col min="11785" max="12032" width="11.42578125" style="3"/>
    <col min="12033" max="12033" width="15.85546875" style="3" customWidth="1"/>
    <col min="12034" max="12034" width="14.85546875" style="3" customWidth="1"/>
    <col min="12035" max="12035" width="13.28515625" style="3" customWidth="1"/>
    <col min="12036" max="12036" width="11.42578125" style="3"/>
    <col min="12037" max="12037" width="13.42578125" style="3" customWidth="1"/>
    <col min="12038" max="12038" width="12.7109375" style="3" customWidth="1"/>
    <col min="12039" max="12039" width="14" style="3" customWidth="1"/>
    <col min="12040" max="12040" width="7.42578125" style="3" customWidth="1"/>
    <col min="12041" max="12288" width="11.42578125" style="3"/>
    <col min="12289" max="12289" width="15.85546875" style="3" customWidth="1"/>
    <col min="12290" max="12290" width="14.85546875" style="3" customWidth="1"/>
    <col min="12291" max="12291" width="13.28515625" style="3" customWidth="1"/>
    <col min="12292" max="12292" width="11.42578125" style="3"/>
    <col min="12293" max="12293" width="13.42578125" style="3" customWidth="1"/>
    <col min="12294" max="12294" width="12.7109375" style="3" customWidth="1"/>
    <col min="12295" max="12295" width="14" style="3" customWidth="1"/>
    <col min="12296" max="12296" width="7.42578125" style="3" customWidth="1"/>
    <col min="12297" max="12544" width="11.42578125" style="3"/>
    <col min="12545" max="12545" width="15.85546875" style="3" customWidth="1"/>
    <col min="12546" max="12546" width="14.85546875" style="3" customWidth="1"/>
    <col min="12547" max="12547" width="13.28515625" style="3" customWidth="1"/>
    <col min="12548" max="12548" width="11.42578125" style="3"/>
    <col min="12549" max="12549" width="13.42578125" style="3" customWidth="1"/>
    <col min="12550" max="12550" width="12.7109375" style="3" customWidth="1"/>
    <col min="12551" max="12551" width="14" style="3" customWidth="1"/>
    <col min="12552" max="12552" width="7.42578125" style="3" customWidth="1"/>
    <col min="12553" max="12800" width="11.42578125" style="3"/>
    <col min="12801" max="12801" width="15.85546875" style="3" customWidth="1"/>
    <col min="12802" max="12802" width="14.85546875" style="3" customWidth="1"/>
    <col min="12803" max="12803" width="13.28515625" style="3" customWidth="1"/>
    <col min="12804" max="12804" width="11.42578125" style="3"/>
    <col min="12805" max="12805" width="13.42578125" style="3" customWidth="1"/>
    <col min="12806" max="12806" width="12.7109375" style="3" customWidth="1"/>
    <col min="12807" max="12807" width="14" style="3" customWidth="1"/>
    <col min="12808" max="12808" width="7.42578125" style="3" customWidth="1"/>
    <col min="12809" max="13056" width="11.42578125" style="3"/>
    <col min="13057" max="13057" width="15.85546875" style="3" customWidth="1"/>
    <col min="13058" max="13058" width="14.85546875" style="3" customWidth="1"/>
    <col min="13059" max="13059" width="13.28515625" style="3" customWidth="1"/>
    <col min="13060" max="13060" width="11.42578125" style="3"/>
    <col min="13061" max="13061" width="13.42578125" style="3" customWidth="1"/>
    <col min="13062" max="13062" width="12.7109375" style="3" customWidth="1"/>
    <col min="13063" max="13063" width="14" style="3" customWidth="1"/>
    <col min="13064" max="13064" width="7.42578125" style="3" customWidth="1"/>
    <col min="13065" max="13312" width="11.42578125" style="3"/>
    <col min="13313" max="13313" width="15.85546875" style="3" customWidth="1"/>
    <col min="13314" max="13314" width="14.85546875" style="3" customWidth="1"/>
    <col min="13315" max="13315" width="13.28515625" style="3" customWidth="1"/>
    <col min="13316" max="13316" width="11.42578125" style="3"/>
    <col min="13317" max="13317" width="13.42578125" style="3" customWidth="1"/>
    <col min="13318" max="13318" width="12.7109375" style="3" customWidth="1"/>
    <col min="13319" max="13319" width="14" style="3" customWidth="1"/>
    <col min="13320" max="13320" width="7.42578125" style="3" customWidth="1"/>
    <col min="13321" max="13568" width="11.42578125" style="3"/>
    <col min="13569" max="13569" width="15.85546875" style="3" customWidth="1"/>
    <col min="13570" max="13570" width="14.85546875" style="3" customWidth="1"/>
    <col min="13571" max="13571" width="13.28515625" style="3" customWidth="1"/>
    <col min="13572" max="13572" width="11.42578125" style="3"/>
    <col min="13573" max="13573" width="13.42578125" style="3" customWidth="1"/>
    <col min="13574" max="13574" width="12.7109375" style="3" customWidth="1"/>
    <col min="13575" max="13575" width="14" style="3" customWidth="1"/>
    <col min="13576" max="13576" width="7.42578125" style="3" customWidth="1"/>
    <col min="13577" max="13824" width="11.42578125" style="3"/>
    <col min="13825" max="13825" width="15.85546875" style="3" customWidth="1"/>
    <col min="13826" max="13826" width="14.85546875" style="3" customWidth="1"/>
    <col min="13827" max="13827" width="13.28515625" style="3" customWidth="1"/>
    <col min="13828" max="13828" width="11.42578125" style="3"/>
    <col min="13829" max="13829" width="13.42578125" style="3" customWidth="1"/>
    <col min="13830" max="13830" width="12.7109375" style="3" customWidth="1"/>
    <col min="13831" max="13831" width="14" style="3" customWidth="1"/>
    <col min="13832" max="13832" width="7.42578125" style="3" customWidth="1"/>
    <col min="13833" max="14080" width="11.42578125" style="3"/>
    <col min="14081" max="14081" width="15.85546875" style="3" customWidth="1"/>
    <col min="14082" max="14082" width="14.85546875" style="3" customWidth="1"/>
    <col min="14083" max="14083" width="13.28515625" style="3" customWidth="1"/>
    <col min="14084" max="14084" width="11.42578125" style="3"/>
    <col min="14085" max="14085" width="13.42578125" style="3" customWidth="1"/>
    <col min="14086" max="14086" width="12.7109375" style="3" customWidth="1"/>
    <col min="14087" max="14087" width="14" style="3" customWidth="1"/>
    <col min="14088" max="14088" width="7.42578125" style="3" customWidth="1"/>
    <col min="14089" max="14336" width="11.42578125" style="3"/>
    <col min="14337" max="14337" width="15.85546875" style="3" customWidth="1"/>
    <col min="14338" max="14338" width="14.85546875" style="3" customWidth="1"/>
    <col min="14339" max="14339" width="13.28515625" style="3" customWidth="1"/>
    <col min="14340" max="14340" width="11.42578125" style="3"/>
    <col min="14341" max="14341" width="13.42578125" style="3" customWidth="1"/>
    <col min="14342" max="14342" width="12.7109375" style="3" customWidth="1"/>
    <col min="14343" max="14343" width="14" style="3" customWidth="1"/>
    <col min="14344" max="14344" width="7.42578125" style="3" customWidth="1"/>
    <col min="14345" max="14592" width="11.42578125" style="3"/>
    <col min="14593" max="14593" width="15.85546875" style="3" customWidth="1"/>
    <col min="14594" max="14594" width="14.85546875" style="3" customWidth="1"/>
    <col min="14595" max="14595" width="13.28515625" style="3" customWidth="1"/>
    <col min="14596" max="14596" width="11.42578125" style="3"/>
    <col min="14597" max="14597" width="13.42578125" style="3" customWidth="1"/>
    <col min="14598" max="14598" width="12.7109375" style="3" customWidth="1"/>
    <col min="14599" max="14599" width="14" style="3" customWidth="1"/>
    <col min="14600" max="14600" width="7.42578125" style="3" customWidth="1"/>
    <col min="14601" max="14848" width="11.42578125" style="3"/>
    <col min="14849" max="14849" width="15.85546875" style="3" customWidth="1"/>
    <col min="14850" max="14850" width="14.85546875" style="3" customWidth="1"/>
    <col min="14851" max="14851" width="13.28515625" style="3" customWidth="1"/>
    <col min="14852" max="14852" width="11.42578125" style="3"/>
    <col min="14853" max="14853" width="13.42578125" style="3" customWidth="1"/>
    <col min="14854" max="14854" width="12.7109375" style="3" customWidth="1"/>
    <col min="14855" max="14855" width="14" style="3" customWidth="1"/>
    <col min="14856" max="14856" width="7.42578125" style="3" customWidth="1"/>
    <col min="14857" max="15104" width="11.42578125" style="3"/>
    <col min="15105" max="15105" width="15.85546875" style="3" customWidth="1"/>
    <col min="15106" max="15106" width="14.85546875" style="3" customWidth="1"/>
    <col min="15107" max="15107" width="13.28515625" style="3" customWidth="1"/>
    <col min="15108" max="15108" width="11.42578125" style="3"/>
    <col min="15109" max="15109" width="13.42578125" style="3" customWidth="1"/>
    <col min="15110" max="15110" width="12.7109375" style="3" customWidth="1"/>
    <col min="15111" max="15111" width="14" style="3" customWidth="1"/>
    <col min="15112" max="15112" width="7.42578125" style="3" customWidth="1"/>
    <col min="15113" max="15360" width="11.42578125" style="3"/>
    <col min="15361" max="15361" width="15.85546875" style="3" customWidth="1"/>
    <col min="15362" max="15362" width="14.85546875" style="3" customWidth="1"/>
    <col min="15363" max="15363" width="13.28515625" style="3" customWidth="1"/>
    <col min="15364" max="15364" width="11.42578125" style="3"/>
    <col min="15365" max="15365" width="13.42578125" style="3" customWidth="1"/>
    <col min="15366" max="15366" width="12.7109375" style="3" customWidth="1"/>
    <col min="15367" max="15367" width="14" style="3" customWidth="1"/>
    <col min="15368" max="15368" width="7.42578125" style="3" customWidth="1"/>
    <col min="15369" max="15616" width="11.42578125" style="3"/>
    <col min="15617" max="15617" width="15.85546875" style="3" customWidth="1"/>
    <col min="15618" max="15618" width="14.85546875" style="3" customWidth="1"/>
    <col min="15619" max="15619" width="13.28515625" style="3" customWidth="1"/>
    <col min="15620" max="15620" width="11.42578125" style="3"/>
    <col min="15621" max="15621" width="13.42578125" style="3" customWidth="1"/>
    <col min="15622" max="15622" width="12.7109375" style="3" customWidth="1"/>
    <col min="15623" max="15623" width="14" style="3" customWidth="1"/>
    <col min="15624" max="15624" width="7.42578125" style="3" customWidth="1"/>
    <col min="15625" max="15872" width="11.42578125" style="3"/>
    <col min="15873" max="15873" width="15.85546875" style="3" customWidth="1"/>
    <col min="15874" max="15874" width="14.85546875" style="3" customWidth="1"/>
    <col min="15875" max="15875" width="13.28515625" style="3" customWidth="1"/>
    <col min="15876" max="15876" width="11.42578125" style="3"/>
    <col min="15877" max="15877" width="13.42578125" style="3" customWidth="1"/>
    <col min="15878" max="15878" width="12.7109375" style="3" customWidth="1"/>
    <col min="15879" max="15879" width="14" style="3" customWidth="1"/>
    <col min="15880" max="15880" width="7.42578125" style="3" customWidth="1"/>
    <col min="15881" max="16128" width="11.42578125" style="3"/>
    <col min="16129" max="16129" width="15.85546875" style="3" customWidth="1"/>
    <col min="16130" max="16130" width="14.85546875" style="3" customWidth="1"/>
    <col min="16131" max="16131" width="13.28515625" style="3" customWidth="1"/>
    <col min="16132" max="16132" width="11.42578125" style="3"/>
    <col min="16133" max="16133" width="13.42578125" style="3" customWidth="1"/>
    <col min="16134" max="16134" width="12.7109375" style="3" customWidth="1"/>
    <col min="16135" max="16135" width="14" style="3" customWidth="1"/>
    <col min="16136" max="16136" width="7.42578125" style="3" customWidth="1"/>
    <col min="16137" max="16384" width="11.42578125" style="3"/>
  </cols>
  <sheetData>
    <row r="1" spans="1:21" ht="20.25">
      <c r="A1" s="1346" t="str">
        <f>PPTO!D3</f>
        <v>PRESUPUESTO
MUNICIPIO EL BAGRE (ANTIOQUIA).</v>
      </c>
      <c r="B1" s="1347"/>
      <c r="C1" s="1347"/>
      <c r="D1" s="1347"/>
      <c r="E1" s="1347"/>
      <c r="F1" s="1347"/>
      <c r="G1" s="1348"/>
      <c r="H1" s="1"/>
      <c r="I1" s="2"/>
    </row>
    <row r="2" spans="1:21" ht="18" customHeight="1">
      <c r="A2" s="1362" t="s">
        <v>16</v>
      </c>
      <c r="B2" s="1363"/>
      <c r="C2" s="1363"/>
      <c r="D2" s="1363"/>
      <c r="E2" s="1363"/>
      <c r="F2" s="1363"/>
      <c r="G2" s="1364"/>
      <c r="H2" s="1"/>
      <c r="I2" s="2"/>
    </row>
    <row r="3" spans="1:21" ht="24.75" customHeight="1">
      <c r="A3" s="1367" t="str">
        <f>+PPTO!$D$5</f>
        <v>PROYECTO DE MEJORAMIENTO VIAL, ESPACIO PUBLICO Y OBRAS COMPLEMENTARIAS DE LA AVENIDA LA JUVENTUD Y TRAMOS ADYACENTES Y PRIORITARIOS DEL SECTOR URBANO EN EL MUNICIPIO EL BAGRE ANTIOQUIA.</v>
      </c>
      <c r="B3" s="1368"/>
      <c r="C3" s="1368"/>
      <c r="D3" s="1368"/>
      <c r="E3" s="1368"/>
      <c r="F3" s="1368"/>
      <c r="G3" s="1369"/>
      <c r="H3" s="1"/>
      <c r="I3" s="2"/>
    </row>
    <row r="4" spans="1:21" ht="11.25" customHeight="1">
      <c r="A4" s="1370"/>
      <c r="B4" s="1368"/>
      <c r="C4" s="1368"/>
      <c r="D4" s="1368"/>
      <c r="E4" s="1368"/>
      <c r="F4" s="1368"/>
      <c r="G4" s="1369"/>
      <c r="H4" s="1"/>
      <c r="I4" s="2"/>
    </row>
    <row r="5" spans="1:21" ht="6.75" customHeight="1">
      <c r="A5" s="222"/>
      <c r="B5" s="6"/>
      <c r="C5" s="24"/>
      <c r="D5" s="25"/>
      <c r="E5" s="6"/>
      <c r="F5" s="6"/>
      <c r="G5" s="223"/>
      <c r="H5" s="9"/>
    </row>
    <row r="6" spans="1:21" ht="55.5" customHeight="1">
      <c r="A6" s="368">
        <v>4.4000000000000004</v>
      </c>
      <c r="B6" s="1349" t="str">
        <f>VLOOKUP(A6,PPTO!D9:I136,2,FALSE)</f>
        <v>Suministro e instalacion de Bordillos de concreto de 3000 Psi, para Separadores centrales de calzada, dimensiones h=0.25, e=0.15 (Incluye refuerzo longitudinal y transversal, bordillo sobrepuesto en Placas de Pavimento Dilatados cada placa)</v>
      </c>
      <c r="C6" s="1350"/>
      <c r="D6" s="1350"/>
      <c r="E6" s="1351"/>
      <c r="F6" s="192" t="s">
        <v>118</v>
      </c>
      <c r="G6" s="248" t="str">
        <f>VLOOKUP(A6,PPTO!D9:I136,3,FALSE)</f>
        <v>m3</v>
      </c>
      <c r="H6" s="9"/>
    </row>
    <row r="7" spans="1:21" ht="3.75" customHeight="1">
      <c r="A7" s="226"/>
      <c r="B7" s="4"/>
      <c r="C7" s="6"/>
      <c r="D7" s="4"/>
      <c r="E7" s="4"/>
      <c r="F7" s="4"/>
      <c r="G7" s="227"/>
      <c r="H7" s="9"/>
    </row>
    <row r="8" spans="1:21" ht="22.5" customHeight="1">
      <c r="A8" s="1354" t="s">
        <v>69</v>
      </c>
      <c r="B8" s="1355"/>
      <c r="C8" s="1355"/>
      <c r="D8" s="1355"/>
      <c r="E8" s="1355"/>
      <c r="F8" s="1355"/>
      <c r="G8" s="1356"/>
      <c r="H8" s="9"/>
    </row>
    <row r="9" spans="1:21" ht="4.5" customHeight="1">
      <c r="A9" s="226"/>
      <c r="B9" s="4"/>
      <c r="C9" s="6"/>
      <c r="D9" s="4"/>
      <c r="E9" s="4"/>
      <c r="F9" s="4"/>
      <c r="G9" s="227"/>
      <c r="H9" s="9"/>
      <c r="I9" s="5"/>
      <c r="J9" s="5"/>
      <c r="K9" s="5"/>
      <c r="L9" s="26"/>
      <c r="M9" s="5"/>
      <c r="N9" s="5"/>
      <c r="O9" s="5"/>
      <c r="P9" s="5"/>
    </row>
    <row r="10" spans="1:21">
      <c r="A10" s="1373" t="s">
        <v>17</v>
      </c>
      <c r="B10" s="1374"/>
      <c r="C10" s="1374"/>
      <c r="D10" s="220" t="s">
        <v>4</v>
      </c>
      <c r="E10" s="220" t="s">
        <v>19</v>
      </c>
      <c r="F10" s="220" t="s">
        <v>20</v>
      </c>
      <c r="G10" s="228" t="s">
        <v>21</v>
      </c>
      <c r="H10" s="27"/>
      <c r="I10" s="28"/>
      <c r="J10" s="29"/>
      <c r="K10" s="30"/>
      <c r="L10" s="30"/>
      <c r="M10" s="30"/>
      <c r="N10" s="30"/>
      <c r="O10" s="30"/>
      <c r="P10" s="5"/>
    </row>
    <row r="11" spans="1:21">
      <c r="A11" s="1352" t="s">
        <v>75</v>
      </c>
      <c r="B11" s="1353"/>
      <c r="C11" s="1353"/>
      <c r="D11" s="220"/>
      <c r="E11" s="83"/>
      <c r="F11" s="97"/>
      <c r="G11" s="229">
        <f>+G39*5%</f>
        <v>598</v>
      </c>
      <c r="H11" s="9"/>
      <c r="I11" s="30"/>
      <c r="J11" s="31"/>
      <c r="K11" s="30"/>
      <c r="L11" s="30"/>
      <c r="M11" s="30"/>
      <c r="N11" s="30"/>
      <c r="O11" s="30"/>
      <c r="P11" s="5"/>
    </row>
    <row r="12" spans="1:21" ht="11.25" customHeight="1">
      <c r="A12" s="1371" t="s">
        <v>842</v>
      </c>
      <c r="B12" s="1372"/>
      <c r="C12" s="1372"/>
      <c r="D12" s="83"/>
      <c r="E12" s="83"/>
      <c r="F12" s="93"/>
      <c r="G12" s="229">
        <f>5000*2/3</f>
        <v>3333</v>
      </c>
      <c r="H12" s="9"/>
      <c r="I12" s="13"/>
      <c r="J12" s="13"/>
      <c r="K12" s="13"/>
      <c r="L12" s="13"/>
      <c r="M12" s="13"/>
      <c r="N12" s="13"/>
      <c r="O12" s="13"/>
      <c r="P12" s="5"/>
    </row>
    <row r="13" spans="1:21">
      <c r="A13" s="1371"/>
      <c r="B13" s="1372"/>
      <c r="C13" s="1372"/>
      <c r="D13" s="98"/>
      <c r="E13" s="83"/>
      <c r="F13" s="93"/>
      <c r="G13" s="229"/>
      <c r="H13" s="9"/>
      <c r="I13" s="16"/>
      <c r="J13" s="13"/>
      <c r="K13" s="8"/>
      <c r="L13" s="8"/>
      <c r="M13" s="8"/>
      <c r="N13" s="8"/>
      <c r="O13" s="8"/>
      <c r="P13" s="5"/>
    </row>
    <row r="14" spans="1:21">
      <c r="A14" s="1371"/>
      <c r="B14" s="1372"/>
      <c r="C14" s="1372"/>
      <c r="D14" s="98"/>
      <c r="E14" s="83"/>
      <c r="F14" s="93"/>
      <c r="G14" s="229"/>
      <c r="H14" s="9"/>
      <c r="I14" s="13"/>
      <c r="J14" s="13"/>
      <c r="K14" s="13"/>
      <c r="L14" s="13"/>
      <c r="M14" s="13"/>
      <c r="N14" s="13"/>
      <c r="O14" s="13"/>
      <c r="P14" s="5"/>
    </row>
    <row r="15" spans="1:21">
      <c r="A15" s="1371"/>
      <c r="B15" s="1372"/>
      <c r="C15" s="1372"/>
      <c r="D15" s="83"/>
      <c r="E15" s="83"/>
      <c r="F15" s="98"/>
      <c r="G15" s="229"/>
      <c r="H15" s="9"/>
      <c r="I15" s="8"/>
      <c r="J15" s="33"/>
      <c r="K15" s="32"/>
      <c r="L15" s="14"/>
      <c r="M15" s="15"/>
      <c r="N15" s="15"/>
      <c r="O15" s="19"/>
      <c r="P15" s="5"/>
      <c r="Q15" s="5"/>
      <c r="R15" s="5"/>
      <c r="S15" s="5"/>
      <c r="T15" s="5"/>
      <c r="U15" s="5"/>
    </row>
    <row r="16" spans="1:21">
      <c r="A16" s="1371"/>
      <c r="B16" s="1372"/>
      <c r="C16" s="1372"/>
      <c r="D16" s="85" t="s">
        <v>37</v>
      </c>
      <c r="E16" s="50"/>
      <c r="F16" s="49"/>
      <c r="G16" s="230">
        <f>SUM(G11:G15)</f>
        <v>3931</v>
      </c>
      <c r="H16" s="9"/>
      <c r="I16" s="34"/>
      <c r="J16" s="34"/>
      <c r="K16" s="35"/>
      <c r="L16" s="36"/>
      <c r="M16" s="7"/>
      <c r="N16" s="7"/>
      <c r="O16" s="19"/>
      <c r="P16" s="5"/>
      <c r="Q16" s="5"/>
      <c r="R16" s="5"/>
      <c r="S16" s="5"/>
      <c r="T16" s="5"/>
      <c r="U16" s="5"/>
    </row>
    <row r="17" spans="1:21" ht="4.5" customHeight="1">
      <c r="A17" s="226"/>
      <c r="B17" s="4"/>
      <c r="C17" s="6"/>
      <c r="D17" s="4"/>
      <c r="E17" s="4"/>
      <c r="F17" s="4"/>
      <c r="G17" s="227"/>
      <c r="H17" s="9"/>
      <c r="I17" s="34"/>
      <c r="J17" s="34"/>
      <c r="K17" s="35"/>
      <c r="L17" s="36"/>
      <c r="M17" s="7"/>
      <c r="N17" s="7"/>
      <c r="O17" s="19"/>
      <c r="P17" s="5"/>
      <c r="Q17" s="5"/>
      <c r="R17" s="5"/>
      <c r="S17" s="5"/>
      <c r="T17" s="5"/>
      <c r="U17" s="5"/>
    </row>
    <row r="18" spans="1:21" ht="22.5" customHeight="1">
      <c r="A18" s="1354" t="s">
        <v>70</v>
      </c>
      <c r="B18" s="1355"/>
      <c r="C18" s="1355"/>
      <c r="D18" s="1355"/>
      <c r="E18" s="1355"/>
      <c r="F18" s="1355"/>
      <c r="G18" s="1356"/>
      <c r="H18" s="9"/>
    </row>
    <row r="19" spans="1:21" ht="4.5" customHeight="1">
      <c r="A19" s="226"/>
      <c r="B19" s="4"/>
      <c r="C19" s="6"/>
      <c r="D19" s="4"/>
      <c r="E19" s="4"/>
      <c r="F19" s="38"/>
      <c r="G19" s="227"/>
      <c r="H19" s="9"/>
      <c r="I19" s="34"/>
      <c r="J19" s="34"/>
      <c r="K19" s="35"/>
      <c r="L19" s="39"/>
      <c r="M19" s="7"/>
      <c r="N19" s="7"/>
      <c r="O19" s="8"/>
      <c r="P19" s="5"/>
      <c r="Q19" s="5"/>
      <c r="R19" s="5"/>
      <c r="S19" s="5"/>
      <c r="T19" s="5"/>
      <c r="U19" s="5"/>
    </row>
    <row r="20" spans="1:21">
      <c r="A20" s="1373" t="s">
        <v>17</v>
      </c>
      <c r="B20" s="1374"/>
      <c r="C20" s="1374"/>
      <c r="D20" s="220" t="s">
        <v>3</v>
      </c>
      <c r="E20" s="220" t="s">
        <v>4</v>
      </c>
      <c r="F20" s="220" t="s">
        <v>25</v>
      </c>
      <c r="G20" s="228" t="s">
        <v>21</v>
      </c>
      <c r="H20" s="27"/>
      <c r="I20" s="34"/>
      <c r="J20" s="34"/>
      <c r="K20" s="35"/>
      <c r="L20" s="39"/>
      <c r="M20" s="7"/>
      <c r="N20" s="7"/>
      <c r="O20" s="8"/>
      <c r="P20" s="5"/>
      <c r="Q20" s="5"/>
      <c r="R20" s="5"/>
      <c r="S20" s="5"/>
      <c r="T20" s="5"/>
      <c r="U20" s="5"/>
    </row>
    <row r="21" spans="1:21">
      <c r="A21" s="1382" t="s">
        <v>109</v>
      </c>
      <c r="B21" s="1383"/>
      <c r="C21" s="1383"/>
      <c r="D21" s="79" t="s">
        <v>44</v>
      </c>
      <c r="E21" s="82">
        <f>0.15*0.25</f>
        <v>0.04</v>
      </c>
      <c r="F21" s="87">
        <f>'CONC 3000 PSI'!G43</f>
        <v>360849</v>
      </c>
      <c r="G21" s="231">
        <f>ROUND(F21*E21,0)</f>
        <v>14434</v>
      </c>
      <c r="H21" s="9"/>
      <c r="I21" s="34"/>
      <c r="J21" s="34"/>
      <c r="K21" s="35"/>
      <c r="L21" s="39"/>
      <c r="M21" s="7"/>
      <c r="N21" s="7"/>
      <c r="O21" s="13"/>
      <c r="P21" s="5"/>
      <c r="Q21" s="5"/>
      <c r="R21" s="5"/>
      <c r="S21" s="5"/>
      <c r="T21" s="5"/>
      <c r="U21" s="5"/>
    </row>
    <row r="22" spans="1:21" ht="12.75" customHeight="1">
      <c r="A22" s="1382" t="s">
        <v>841</v>
      </c>
      <c r="B22" s="1383"/>
      <c r="C22" s="1383"/>
      <c r="D22" s="81" t="s">
        <v>570</v>
      </c>
      <c r="E22" s="88">
        <f>(2+(0.35*2+0.1)/0.15)*0.56</f>
        <v>4.1070000000000002</v>
      </c>
      <c r="F22" s="78">
        <v>6000</v>
      </c>
      <c r="G22" s="67">
        <f>ROUND(F22*E22,0)</f>
        <v>24642</v>
      </c>
      <c r="H22" s="294">
        <f>F35*F22</f>
        <v>270000</v>
      </c>
      <c r="I22" s="34"/>
      <c r="J22" s="34"/>
      <c r="K22" s="35"/>
      <c r="L22" s="39"/>
      <c r="M22" s="7"/>
      <c r="N22" s="7"/>
      <c r="O22" s="8"/>
      <c r="P22" s="5"/>
      <c r="Q22" s="5"/>
      <c r="R22" s="5"/>
      <c r="S22" s="5"/>
      <c r="T22" s="5"/>
      <c r="U22" s="5"/>
    </row>
    <row r="23" spans="1:21">
      <c r="A23" s="1437"/>
      <c r="B23" s="1383"/>
      <c r="C23" s="1383"/>
      <c r="D23" s="295"/>
      <c r="E23" s="119"/>
      <c r="F23" s="63"/>
      <c r="G23" s="67"/>
      <c r="H23" s="9"/>
      <c r="I23" s="34"/>
      <c r="J23" s="34"/>
      <c r="K23" s="35"/>
      <c r="L23" s="39"/>
      <c r="M23" s="7"/>
      <c r="N23" s="7"/>
      <c r="O23" s="8"/>
      <c r="P23" s="5"/>
      <c r="Q23" s="5"/>
      <c r="R23" s="5"/>
      <c r="S23" s="5"/>
      <c r="T23" s="5"/>
      <c r="U23" s="5"/>
    </row>
    <row r="24" spans="1:21">
      <c r="A24" s="1437"/>
      <c r="B24" s="1383"/>
      <c r="C24" s="1383"/>
      <c r="D24" s="193"/>
      <c r="E24" s="88"/>
      <c r="F24" s="78"/>
      <c r="G24" s="231"/>
      <c r="H24" s="9"/>
      <c r="I24" s="34"/>
      <c r="J24" s="34"/>
      <c r="K24" s="35"/>
      <c r="L24" s="39"/>
      <c r="M24" s="7"/>
      <c r="N24" s="7"/>
      <c r="O24" s="13"/>
      <c r="P24" s="5"/>
      <c r="Q24" s="5"/>
      <c r="R24" s="5"/>
      <c r="S24" s="5"/>
      <c r="T24" s="5"/>
      <c r="U24" s="5"/>
    </row>
    <row r="25" spans="1:21">
      <c r="A25" s="1437"/>
      <c r="B25" s="1383"/>
      <c r="C25" s="1383"/>
      <c r="D25" s="193"/>
      <c r="E25" s="88"/>
      <c r="F25" s="78"/>
      <c r="G25" s="231"/>
      <c r="H25" s="9"/>
      <c r="I25" s="34"/>
      <c r="J25" s="34"/>
      <c r="K25" s="35"/>
      <c r="L25" s="39"/>
      <c r="M25" s="7"/>
      <c r="N25" s="7"/>
      <c r="O25" s="13"/>
      <c r="P25" s="5"/>
      <c r="Q25" s="5"/>
      <c r="R25" s="5"/>
      <c r="S25" s="5"/>
      <c r="T25" s="5"/>
      <c r="U25" s="5"/>
    </row>
    <row r="26" spans="1:21">
      <c r="A26" s="1437"/>
      <c r="B26" s="1383"/>
      <c r="C26" s="1383"/>
      <c r="D26" s="193"/>
      <c r="E26" s="88"/>
      <c r="F26" s="78"/>
      <c r="G26" s="231"/>
      <c r="H26" s="9"/>
      <c r="I26" s="10"/>
      <c r="J26" s="10"/>
      <c r="K26" s="12"/>
      <c r="L26" s="39"/>
      <c r="M26" s="7"/>
      <c r="N26" s="7"/>
      <c r="O26" s="15"/>
      <c r="P26" s="5"/>
      <c r="Q26" s="5"/>
      <c r="R26" s="5"/>
      <c r="S26" s="5"/>
      <c r="T26" s="5"/>
      <c r="U26" s="5"/>
    </row>
    <row r="27" spans="1:21">
      <c r="A27" s="1352" t="s">
        <v>130</v>
      </c>
      <c r="B27" s="1353"/>
      <c r="C27" s="1353" t="s">
        <v>50</v>
      </c>
      <c r="D27" s="79"/>
      <c r="E27" s="82"/>
      <c r="F27" s="78"/>
      <c r="G27" s="231">
        <f>+G21*0.05</f>
        <v>722</v>
      </c>
      <c r="H27" s="9"/>
      <c r="I27" s="10"/>
      <c r="J27" s="11"/>
      <c r="K27" s="12"/>
      <c r="L27" s="13"/>
      <c r="M27" s="14"/>
      <c r="N27" s="14"/>
      <c r="O27" s="15"/>
      <c r="P27" s="5"/>
      <c r="Q27" s="5"/>
      <c r="R27" s="5"/>
      <c r="S27" s="5"/>
      <c r="T27" s="5"/>
      <c r="U27" s="5"/>
    </row>
    <row r="28" spans="1:21">
      <c r="A28" s="1352"/>
      <c r="B28" s="1353"/>
      <c r="C28" s="1353"/>
      <c r="D28" s="79"/>
      <c r="E28" s="82"/>
      <c r="F28" s="83"/>
      <c r="G28" s="231"/>
      <c r="H28" s="9"/>
      <c r="I28" s="41"/>
      <c r="J28" s="41"/>
      <c r="K28" s="12"/>
      <c r="L28" s="13"/>
      <c r="M28" s="14"/>
      <c r="N28" s="14"/>
      <c r="O28" s="15"/>
      <c r="P28" s="5"/>
      <c r="Q28" s="5"/>
      <c r="R28" s="5"/>
      <c r="S28" s="5"/>
      <c r="T28" s="5"/>
      <c r="U28" s="5"/>
    </row>
    <row r="29" spans="1:21">
      <c r="A29" s="1352"/>
      <c r="B29" s="1353"/>
      <c r="C29" s="1353"/>
      <c r="D29" s="84"/>
      <c r="E29" s="84"/>
      <c r="F29" s="83"/>
      <c r="G29" s="231"/>
      <c r="H29" s="9"/>
      <c r="I29" s="42"/>
      <c r="J29" s="42"/>
      <c r="K29" s="42"/>
      <c r="L29" s="13"/>
      <c r="M29" s="14"/>
      <c r="N29" s="14"/>
      <c r="O29" s="15"/>
      <c r="P29" s="5"/>
      <c r="Q29" s="5"/>
      <c r="R29" s="5"/>
      <c r="S29" s="5"/>
      <c r="T29" s="5"/>
      <c r="U29" s="5"/>
    </row>
    <row r="30" spans="1:21">
      <c r="A30" s="1352"/>
      <c r="B30" s="1353"/>
      <c r="C30" s="1353"/>
      <c r="D30" s="85" t="s">
        <v>28</v>
      </c>
      <c r="E30" s="50"/>
      <c r="F30" s="49"/>
      <c r="G30" s="230">
        <f>SUM(G21:G29)</f>
        <v>39798</v>
      </c>
      <c r="H30" s="9"/>
      <c r="I30" s="8"/>
      <c r="J30" s="13"/>
      <c r="K30" s="8"/>
      <c r="L30" s="13"/>
      <c r="M30" s="14"/>
      <c r="N30" s="14"/>
      <c r="O30" s="15"/>
      <c r="P30" s="5"/>
    </row>
    <row r="31" spans="1:21" ht="3.75" customHeight="1">
      <c r="A31" s="226"/>
      <c r="B31" s="4"/>
      <c r="C31" s="6"/>
      <c r="D31" s="4"/>
      <c r="E31" s="4"/>
      <c r="F31" s="4"/>
      <c r="G31" s="227"/>
      <c r="H31" s="9"/>
      <c r="I31" s="8"/>
      <c r="J31" s="13"/>
      <c r="K31" s="18"/>
      <c r="L31" s="13"/>
      <c r="M31" s="33"/>
      <c r="N31" s="33"/>
      <c r="O31" s="15"/>
      <c r="P31" s="5"/>
    </row>
    <row r="32" spans="1:21" ht="22.5" customHeight="1">
      <c r="A32" s="1354" t="s">
        <v>71</v>
      </c>
      <c r="B32" s="1355"/>
      <c r="C32" s="1355"/>
      <c r="D32" s="1355"/>
      <c r="E32" s="1355"/>
      <c r="F32" s="1355"/>
      <c r="G32" s="1356"/>
      <c r="H32" s="9"/>
    </row>
    <row r="33" spans="1:16" ht="3.75" customHeight="1">
      <c r="A33" s="226"/>
      <c r="B33" s="4"/>
      <c r="C33" s="6"/>
      <c r="D33" s="4"/>
      <c r="E33" s="4"/>
      <c r="F33" s="4"/>
      <c r="G33" s="227"/>
      <c r="H33" s="9"/>
      <c r="I33" s="8"/>
      <c r="J33" s="13"/>
      <c r="K33" s="8"/>
      <c r="L33" s="8"/>
      <c r="M33" s="8"/>
      <c r="N33" s="8"/>
      <c r="O33" s="15"/>
      <c r="P33" s="5"/>
    </row>
    <row r="34" spans="1:16">
      <c r="A34" s="232" t="s">
        <v>5</v>
      </c>
      <c r="B34" s="60" t="s">
        <v>29</v>
      </c>
      <c r="C34" s="60" t="s">
        <v>30</v>
      </c>
      <c r="D34" s="60" t="s">
        <v>31</v>
      </c>
      <c r="E34" s="60" t="s">
        <v>32</v>
      </c>
      <c r="F34" s="60" t="s">
        <v>20</v>
      </c>
      <c r="G34" s="228" t="s">
        <v>33</v>
      </c>
      <c r="H34" s="27"/>
      <c r="I34" s="8"/>
      <c r="J34" s="13"/>
      <c r="K34" s="8"/>
      <c r="L34" s="8"/>
      <c r="M34" s="8"/>
      <c r="N34" s="8"/>
      <c r="O34" s="15"/>
      <c r="P34" s="5"/>
    </row>
    <row r="35" spans="1:16">
      <c r="A35" s="233" t="s">
        <v>41</v>
      </c>
      <c r="B35" s="63">
        <f>BOF</f>
        <v>51749</v>
      </c>
      <c r="C35" s="68">
        <f>ffpp</f>
        <v>0.64539999999999997</v>
      </c>
      <c r="D35" s="72">
        <v>2</v>
      </c>
      <c r="E35" s="66">
        <f>OF</f>
        <v>88696</v>
      </c>
      <c r="F35" s="65">
        <v>45</v>
      </c>
      <c r="G35" s="231">
        <f>ROUND(+D35*E35/F35,0)</f>
        <v>3942</v>
      </c>
      <c r="H35" s="296">
        <v>8.9</v>
      </c>
      <c r="I35" s="16">
        <f>F35*0.22</f>
        <v>9.9</v>
      </c>
      <c r="J35" s="13"/>
      <c r="K35" s="8"/>
      <c r="L35" s="8"/>
      <c r="M35" s="8"/>
      <c r="N35" s="8"/>
      <c r="O35" s="15"/>
      <c r="P35" s="5"/>
    </row>
    <row r="36" spans="1:16">
      <c r="A36" s="233" t="s">
        <v>38</v>
      </c>
      <c r="B36" s="63">
        <f>BOB</f>
        <v>41749</v>
      </c>
      <c r="C36" s="68">
        <f>ffpp</f>
        <v>0.64539999999999997</v>
      </c>
      <c r="D36" s="72">
        <v>5</v>
      </c>
      <c r="E36" s="66">
        <f>OB</f>
        <v>72242</v>
      </c>
      <c r="F36" s="65">
        <f>+F35</f>
        <v>45</v>
      </c>
      <c r="G36" s="231">
        <f>ROUND(+D36*E36/F36,0)</f>
        <v>8027</v>
      </c>
      <c r="H36" s="9"/>
      <c r="I36" s="8"/>
      <c r="J36" s="8"/>
      <c r="K36" s="13"/>
      <c r="L36" s="13"/>
      <c r="M36" s="13"/>
      <c r="N36" s="13"/>
      <c r="O36" s="13"/>
      <c r="P36" s="5"/>
    </row>
    <row r="37" spans="1:16">
      <c r="A37" s="234"/>
      <c r="B37" s="50"/>
      <c r="C37" s="961"/>
      <c r="D37" s="50"/>
      <c r="E37" s="50"/>
      <c r="F37" s="50"/>
      <c r="G37" s="235"/>
      <c r="H37" s="9"/>
      <c r="I37" s="8"/>
      <c r="J37" s="13"/>
      <c r="K37" s="13"/>
      <c r="L37" s="13"/>
      <c r="M37" s="33"/>
      <c r="N37" s="33"/>
      <c r="O37" s="43"/>
      <c r="P37" s="5"/>
    </row>
    <row r="38" spans="1:16">
      <c r="A38" s="233"/>
      <c r="B38" s="65"/>
      <c r="C38" s="68"/>
      <c r="D38" s="65"/>
      <c r="E38" s="69"/>
      <c r="F38" s="69"/>
      <c r="G38" s="236"/>
      <c r="H38" s="9"/>
      <c r="I38" s="8"/>
      <c r="J38" s="13"/>
      <c r="K38" s="13"/>
      <c r="L38" s="13"/>
      <c r="M38" s="33"/>
      <c r="N38" s="33"/>
      <c r="O38" s="43"/>
      <c r="P38" s="5"/>
    </row>
    <row r="39" spans="1:16">
      <c r="A39" s="249"/>
      <c r="B39" s="71"/>
      <c r="C39" s="71"/>
      <c r="D39" s="71" t="s">
        <v>34</v>
      </c>
      <c r="E39" s="71"/>
      <c r="F39" s="71"/>
      <c r="G39" s="250">
        <f>SUM(G35:G38)</f>
        <v>11969</v>
      </c>
      <c r="H39" s="9"/>
      <c r="I39" s="8"/>
      <c r="J39" s="13"/>
      <c r="K39" s="13"/>
      <c r="L39" s="13"/>
      <c r="M39" s="14"/>
      <c r="N39" s="14"/>
      <c r="O39" s="15"/>
      <c r="P39" s="5"/>
    </row>
    <row r="40" spans="1:16">
      <c r="A40" s="226"/>
      <c r="B40" s="4"/>
      <c r="C40" s="6"/>
      <c r="D40" s="4"/>
      <c r="E40" s="4"/>
      <c r="F40" s="4"/>
      <c r="G40" s="227"/>
      <c r="H40" s="9"/>
      <c r="I40" s="8"/>
      <c r="J40" s="13"/>
      <c r="K40" s="13"/>
      <c r="L40" s="13"/>
      <c r="M40" s="14"/>
      <c r="N40" s="14"/>
      <c r="O40" s="19"/>
      <c r="P40" s="5"/>
    </row>
    <row r="41" spans="1:16">
      <c r="A41" s="226"/>
      <c r="B41" s="4"/>
      <c r="C41" s="6"/>
      <c r="D41" s="4"/>
      <c r="E41" s="4"/>
      <c r="F41" s="4"/>
      <c r="G41" s="227"/>
      <c r="H41" s="9"/>
      <c r="I41" s="8"/>
      <c r="J41" s="13"/>
      <c r="K41" s="13"/>
      <c r="L41" s="13"/>
      <c r="M41" s="17"/>
      <c r="N41" s="17"/>
      <c r="O41" s="37"/>
      <c r="P41" s="5"/>
    </row>
    <row r="42" spans="1:16" ht="14.25">
      <c r="A42" s="226"/>
      <c r="B42" s="4"/>
      <c r="C42" s="6"/>
      <c r="D42" s="1357" t="s">
        <v>35</v>
      </c>
      <c r="E42" s="1358"/>
      <c r="F42" s="1359"/>
      <c r="G42" s="239">
        <f>+G39+G30+G16</f>
        <v>55698</v>
      </c>
      <c r="H42" s="293">
        <v>183333</v>
      </c>
      <c r="I42" s="293">
        <f>G42/0.22</f>
        <v>253173</v>
      </c>
      <c r="J42" s="13"/>
      <c r="K42" s="8"/>
      <c r="L42" s="8"/>
      <c r="M42" s="8"/>
      <c r="N42" s="8"/>
      <c r="O42" s="8"/>
      <c r="P42" s="5"/>
    </row>
    <row r="43" spans="1:16" ht="14.25">
      <c r="A43" s="240"/>
      <c r="B43" s="57"/>
      <c r="C43" s="58"/>
      <c r="D43" s="99"/>
      <c r="E43" s="99"/>
      <c r="F43" s="99"/>
      <c r="G43" s="251"/>
      <c r="H43" s="206"/>
      <c r="I43" s="8"/>
      <c r="J43" s="13"/>
      <c r="K43" s="8"/>
      <c r="L43" s="8"/>
      <c r="M43" s="8"/>
      <c r="N43" s="8"/>
      <c r="O43" s="8"/>
      <c r="P43" s="5"/>
    </row>
    <row r="44" spans="1:16" ht="14.25">
      <c r="A44" s="374"/>
      <c r="B44" s="375"/>
      <c r="C44" s="375"/>
      <c r="D44" s="99"/>
      <c r="E44" s="99"/>
      <c r="F44" s="99"/>
      <c r="G44" s="251"/>
      <c r="H44" s="9"/>
      <c r="I44" s="8"/>
      <c r="J44" s="13"/>
      <c r="K44" s="8"/>
      <c r="L44" s="8"/>
      <c r="M44" s="8"/>
      <c r="N44" s="8"/>
      <c r="O44" s="8"/>
      <c r="P44" s="5"/>
    </row>
    <row r="45" spans="1:16" ht="14.25">
      <c r="A45" s="373"/>
      <c r="B45" s="376"/>
      <c r="C45" s="376"/>
      <c r="D45" s="99"/>
      <c r="E45" s="99"/>
      <c r="F45" s="99"/>
      <c r="G45" s="251"/>
      <c r="H45" s="9"/>
      <c r="I45" s="8"/>
      <c r="J45" s="13"/>
      <c r="K45" s="8"/>
      <c r="L45" s="8"/>
      <c r="M45" s="8"/>
      <c r="N45" s="8"/>
      <c r="O45" s="8"/>
      <c r="P45" s="5"/>
    </row>
    <row r="46" spans="1:16" ht="14.25">
      <c r="A46" s="373"/>
      <c r="B46" s="376"/>
      <c r="C46" s="376"/>
      <c r="D46" s="44"/>
      <c r="E46" s="45"/>
      <c r="F46" s="45"/>
      <c r="G46" s="251"/>
      <c r="H46" s="9"/>
      <c r="I46" s="8"/>
      <c r="J46" s="13"/>
      <c r="K46" s="8"/>
      <c r="L46" s="8"/>
      <c r="M46" s="8"/>
      <c r="N46" s="8"/>
      <c r="O46" s="8"/>
      <c r="P46" s="5"/>
    </row>
    <row r="47" spans="1:16" ht="15" thickBot="1">
      <c r="A47" s="242"/>
      <c r="B47" s="243"/>
      <c r="C47" s="244"/>
      <c r="D47" s="245"/>
      <c r="E47" s="246"/>
      <c r="F47" s="246"/>
      <c r="G47" s="247"/>
      <c r="H47" s="9"/>
      <c r="I47" s="8"/>
      <c r="J47" s="13"/>
      <c r="K47" s="8"/>
      <c r="L47" s="8"/>
      <c r="M47" s="8"/>
      <c r="N47" s="8"/>
      <c r="O47" s="8"/>
      <c r="P47" s="5"/>
    </row>
    <row r="48" spans="1:16">
      <c r="I48" s="5"/>
      <c r="J48" s="5"/>
      <c r="K48" s="5"/>
      <c r="L48" s="5"/>
      <c r="M48" s="5"/>
      <c r="N48" s="5"/>
      <c r="O48" s="5"/>
      <c r="P48" s="5"/>
    </row>
    <row r="49" spans="9:16">
      <c r="I49" s="5"/>
      <c r="J49" s="5"/>
      <c r="K49" s="5"/>
      <c r="L49" s="5"/>
      <c r="M49" s="5"/>
      <c r="N49" s="5"/>
      <c r="O49" s="5"/>
      <c r="P49" s="5"/>
    </row>
  </sheetData>
  <mergeCells count="26">
    <mergeCell ref="D42:F42"/>
    <mergeCell ref="A25:C25"/>
    <mergeCell ref="A26:C26"/>
    <mergeCell ref="A27:C27"/>
    <mergeCell ref="A28:C28"/>
    <mergeCell ref="A29:C29"/>
    <mergeCell ref="A30:C30"/>
    <mergeCell ref="A20:C20"/>
    <mergeCell ref="A21:C21"/>
    <mergeCell ref="A22:C22"/>
    <mergeCell ref="A23:C23"/>
    <mergeCell ref="A32:G32"/>
    <mergeCell ref="A24:C24"/>
    <mergeCell ref="A1:G1"/>
    <mergeCell ref="A10:C10"/>
    <mergeCell ref="A2:G2"/>
    <mergeCell ref="A3:G4"/>
    <mergeCell ref="B6:E6"/>
    <mergeCell ref="A8:G8"/>
    <mergeCell ref="A16:C16"/>
    <mergeCell ref="A18:G18"/>
    <mergeCell ref="A11:C11"/>
    <mergeCell ref="A12:C12"/>
    <mergeCell ref="A13:C13"/>
    <mergeCell ref="A14:C14"/>
    <mergeCell ref="A15:C15"/>
  </mergeCells>
  <printOptions horizontalCentered="1" verticalCentered="1"/>
  <pageMargins left="0.74803149606299213" right="0.74803149606299213" top="0" bottom="0.98425196850393704" header="0" footer="0"/>
  <pageSetup scale="90" orientation="portrait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1"/>
  <dimension ref="A1:U49"/>
  <sheetViews>
    <sheetView view="pageBreakPreview" topLeftCell="A7" zoomScaleNormal="100" zoomScaleSheetLayoutView="100" workbookViewId="0">
      <selection activeCell="F22" sqref="F22"/>
    </sheetView>
  </sheetViews>
  <sheetFormatPr baseColWidth="10" defaultColWidth="10.7109375" defaultRowHeight="12.75"/>
  <cols>
    <col min="1" max="1" width="15.85546875" style="3" customWidth="1"/>
    <col min="2" max="2" width="14.85546875" style="3" customWidth="1"/>
    <col min="3" max="3" width="13.28515625" style="3" customWidth="1"/>
    <col min="4" max="4" width="11.42578125" style="3"/>
    <col min="5" max="5" width="13.42578125" style="3" customWidth="1"/>
    <col min="6" max="6" width="12.7109375" style="3" customWidth="1"/>
    <col min="7" max="7" width="14" style="3" customWidth="1"/>
    <col min="8" max="8" width="17" style="3" customWidth="1"/>
    <col min="9" max="9" width="13.7109375" style="3" bestFit="1" customWidth="1"/>
    <col min="10" max="256" width="11.42578125" style="3"/>
    <col min="257" max="257" width="15.85546875" style="3" customWidth="1"/>
    <col min="258" max="258" width="14.85546875" style="3" customWidth="1"/>
    <col min="259" max="259" width="13.28515625" style="3" customWidth="1"/>
    <col min="260" max="260" width="11.42578125" style="3"/>
    <col min="261" max="261" width="13.42578125" style="3" customWidth="1"/>
    <col min="262" max="262" width="12.7109375" style="3" customWidth="1"/>
    <col min="263" max="263" width="14" style="3" customWidth="1"/>
    <col min="264" max="264" width="7.42578125" style="3" customWidth="1"/>
    <col min="265" max="512" width="11.42578125" style="3"/>
    <col min="513" max="513" width="15.85546875" style="3" customWidth="1"/>
    <col min="514" max="514" width="14.85546875" style="3" customWidth="1"/>
    <col min="515" max="515" width="13.28515625" style="3" customWidth="1"/>
    <col min="516" max="516" width="11.42578125" style="3"/>
    <col min="517" max="517" width="13.42578125" style="3" customWidth="1"/>
    <col min="518" max="518" width="12.7109375" style="3" customWidth="1"/>
    <col min="519" max="519" width="14" style="3" customWidth="1"/>
    <col min="520" max="520" width="7.42578125" style="3" customWidth="1"/>
    <col min="521" max="768" width="11.42578125" style="3"/>
    <col min="769" max="769" width="15.85546875" style="3" customWidth="1"/>
    <col min="770" max="770" width="14.85546875" style="3" customWidth="1"/>
    <col min="771" max="771" width="13.28515625" style="3" customWidth="1"/>
    <col min="772" max="772" width="11.42578125" style="3"/>
    <col min="773" max="773" width="13.42578125" style="3" customWidth="1"/>
    <col min="774" max="774" width="12.7109375" style="3" customWidth="1"/>
    <col min="775" max="775" width="14" style="3" customWidth="1"/>
    <col min="776" max="776" width="7.42578125" style="3" customWidth="1"/>
    <col min="777" max="1024" width="11.42578125" style="3"/>
    <col min="1025" max="1025" width="15.85546875" style="3" customWidth="1"/>
    <col min="1026" max="1026" width="14.85546875" style="3" customWidth="1"/>
    <col min="1027" max="1027" width="13.28515625" style="3" customWidth="1"/>
    <col min="1028" max="1028" width="11.42578125" style="3"/>
    <col min="1029" max="1029" width="13.42578125" style="3" customWidth="1"/>
    <col min="1030" max="1030" width="12.7109375" style="3" customWidth="1"/>
    <col min="1031" max="1031" width="14" style="3" customWidth="1"/>
    <col min="1032" max="1032" width="7.42578125" style="3" customWidth="1"/>
    <col min="1033" max="1280" width="11.42578125" style="3"/>
    <col min="1281" max="1281" width="15.85546875" style="3" customWidth="1"/>
    <col min="1282" max="1282" width="14.85546875" style="3" customWidth="1"/>
    <col min="1283" max="1283" width="13.28515625" style="3" customWidth="1"/>
    <col min="1284" max="1284" width="11.42578125" style="3"/>
    <col min="1285" max="1285" width="13.42578125" style="3" customWidth="1"/>
    <col min="1286" max="1286" width="12.7109375" style="3" customWidth="1"/>
    <col min="1287" max="1287" width="14" style="3" customWidth="1"/>
    <col min="1288" max="1288" width="7.42578125" style="3" customWidth="1"/>
    <col min="1289" max="1536" width="11.42578125" style="3"/>
    <col min="1537" max="1537" width="15.85546875" style="3" customWidth="1"/>
    <col min="1538" max="1538" width="14.85546875" style="3" customWidth="1"/>
    <col min="1539" max="1539" width="13.28515625" style="3" customWidth="1"/>
    <col min="1540" max="1540" width="11.42578125" style="3"/>
    <col min="1541" max="1541" width="13.42578125" style="3" customWidth="1"/>
    <col min="1542" max="1542" width="12.7109375" style="3" customWidth="1"/>
    <col min="1543" max="1543" width="14" style="3" customWidth="1"/>
    <col min="1544" max="1544" width="7.42578125" style="3" customWidth="1"/>
    <col min="1545" max="1792" width="11.42578125" style="3"/>
    <col min="1793" max="1793" width="15.85546875" style="3" customWidth="1"/>
    <col min="1794" max="1794" width="14.85546875" style="3" customWidth="1"/>
    <col min="1795" max="1795" width="13.28515625" style="3" customWidth="1"/>
    <col min="1796" max="1796" width="11.42578125" style="3"/>
    <col min="1797" max="1797" width="13.42578125" style="3" customWidth="1"/>
    <col min="1798" max="1798" width="12.7109375" style="3" customWidth="1"/>
    <col min="1799" max="1799" width="14" style="3" customWidth="1"/>
    <col min="1800" max="1800" width="7.42578125" style="3" customWidth="1"/>
    <col min="1801" max="2048" width="11.42578125" style="3"/>
    <col min="2049" max="2049" width="15.85546875" style="3" customWidth="1"/>
    <col min="2050" max="2050" width="14.85546875" style="3" customWidth="1"/>
    <col min="2051" max="2051" width="13.28515625" style="3" customWidth="1"/>
    <col min="2052" max="2052" width="11.42578125" style="3"/>
    <col min="2053" max="2053" width="13.42578125" style="3" customWidth="1"/>
    <col min="2054" max="2054" width="12.7109375" style="3" customWidth="1"/>
    <col min="2055" max="2055" width="14" style="3" customWidth="1"/>
    <col min="2056" max="2056" width="7.42578125" style="3" customWidth="1"/>
    <col min="2057" max="2304" width="11.42578125" style="3"/>
    <col min="2305" max="2305" width="15.85546875" style="3" customWidth="1"/>
    <col min="2306" max="2306" width="14.85546875" style="3" customWidth="1"/>
    <col min="2307" max="2307" width="13.28515625" style="3" customWidth="1"/>
    <col min="2308" max="2308" width="11.42578125" style="3"/>
    <col min="2309" max="2309" width="13.42578125" style="3" customWidth="1"/>
    <col min="2310" max="2310" width="12.7109375" style="3" customWidth="1"/>
    <col min="2311" max="2311" width="14" style="3" customWidth="1"/>
    <col min="2312" max="2312" width="7.42578125" style="3" customWidth="1"/>
    <col min="2313" max="2560" width="11.42578125" style="3"/>
    <col min="2561" max="2561" width="15.85546875" style="3" customWidth="1"/>
    <col min="2562" max="2562" width="14.85546875" style="3" customWidth="1"/>
    <col min="2563" max="2563" width="13.28515625" style="3" customWidth="1"/>
    <col min="2564" max="2564" width="11.42578125" style="3"/>
    <col min="2565" max="2565" width="13.42578125" style="3" customWidth="1"/>
    <col min="2566" max="2566" width="12.7109375" style="3" customWidth="1"/>
    <col min="2567" max="2567" width="14" style="3" customWidth="1"/>
    <col min="2568" max="2568" width="7.42578125" style="3" customWidth="1"/>
    <col min="2569" max="2816" width="11.42578125" style="3"/>
    <col min="2817" max="2817" width="15.85546875" style="3" customWidth="1"/>
    <col min="2818" max="2818" width="14.85546875" style="3" customWidth="1"/>
    <col min="2819" max="2819" width="13.28515625" style="3" customWidth="1"/>
    <col min="2820" max="2820" width="11.42578125" style="3"/>
    <col min="2821" max="2821" width="13.42578125" style="3" customWidth="1"/>
    <col min="2822" max="2822" width="12.7109375" style="3" customWidth="1"/>
    <col min="2823" max="2823" width="14" style="3" customWidth="1"/>
    <col min="2824" max="2824" width="7.42578125" style="3" customWidth="1"/>
    <col min="2825" max="3072" width="11.42578125" style="3"/>
    <col min="3073" max="3073" width="15.85546875" style="3" customWidth="1"/>
    <col min="3074" max="3074" width="14.85546875" style="3" customWidth="1"/>
    <col min="3075" max="3075" width="13.28515625" style="3" customWidth="1"/>
    <col min="3076" max="3076" width="11.42578125" style="3"/>
    <col min="3077" max="3077" width="13.42578125" style="3" customWidth="1"/>
    <col min="3078" max="3078" width="12.7109375" style="3" customWidth="1"/>
    <col min="3079" max="3079" width="14" style="3" customWidth="1"/>
    <col min="3080" max="3080" width="7.42578125" style="3" customWidth="1"/>
    <col min="3081" max="3328" width="11.42578125" style="3"/>
    <col min="3329" max="3329" width="15.85546875" style="3" customWidth="1"/>
    <col min="3330" max="3330" width="14.85546875" style="3" customWidth="1"/>
    <col min="3331" max="3331" width="13.28515625" style="3" customWidth="1"/>
    <col min="3332" max="3332" width="11.42578125" style="3"/>
    <col min="3333" max="3333" width="13.42578125" style="3" customWidth="1"/>
    <col min="3334" max="3334" width="12.7109375" style="3" customWidth="1"/>
    <col min="3335" max="3335" width="14" style="3" customWidth="1"/>
    <col min="3336" max="3336" width="7.42578125" style="3" customWidth="1"/>
    <col min="3337" max="3584" width="11.42578125" style="3"/>
    <col min="3585" max="3585" width="15.85546875" style="3" customWidth="1"/>
    <col min="3586" max="3586" width="14.85546875" style="3" customWidth="1"/>
    <col min="3587" max="3587" width="13.28515625" style="3" customWidth="1"/>
    <col min="3588" max="3588" width="11.42578125" style="3"/>
    <col min="3589" max="3589" width="13.42578125" style="3" customWidth="1"/>
    <col min="3590" max="3590" width="12.7109375" style="3" customWidth="1"/>
    <col min="3591" max="3591" width="14" style="3" customWidth="1"/>
    <col min="3592" max="3592" width="7.42578125" style="3" customWidth="1"/>
    <col min="3593" max="3840" width="11.42578125" style="3"/>
    <col min="3841" max="3841" width="15.85546875" style="3" customWidth="1"/>
    <col min="3842" max="3842" width="14.85546875" style="3" customWidth="1"/>
    <col min="3843" max="3843" width="13.28515625" style="3" customWidth="1"/>
    <col min="3844" max="3844" width="11.42578125" style="3"/>
    <col min="3845" max="3845" width="13.42578125" style="3" customWidth="1"/>
    <col min="3846" max="3846" width="12.7109375" style="3" customWidth="1"/>
    <col min="3847" max="3847" width="14" style="3" customWidth="1"/>
    <col min="3848" max="3848" width="7.42578125" style="3" customWidth="1"/>
    <col min="3849" max="4096" width="11.42578125" style="3"/>
    <col min="4097" max="4097" width="15.85546875" style="3" customWidth="1"/>
    <col min="4098" max="4098" width="14.85546875" style="3" customWidth="1"/>
    <col min="4099" max="4099" width="13.28515625" style="3" customWidth="1"/>
    <col min="4100" max="4100" width="11.42578125" style="3"/>
    <col min="4101" max="4101" width="13.42578125" style="3" customWidth="1"/>
    <col min="4102" max="4102" width="12.7109375" style="3" customWidth="1"/>
    <col min="4103" max="4103" width="14" style="3" customWidth="1"/>
    <col min="4104" max="4104" width="7.42578125" style="3" customWidth="1"/>
    <col min="4105" max="4352" width="11.42578125" style="3"/>
    <col min="4353" max="4353" width="15.85546875" style="3" customWidth="1"/>
    <col min="4354" max="4354" width="14.85546875" style="3" customWidth="1"/>
    <col min="4355" max="4355" width="13.28515625" style="3" customWidth="1"/>
    <col min="4356" max="4356" width="11.42578125" style="3"/>
    <col min="4357" max="4357" width="13.42578125" style="3" customWidth="1"/>
    <col min="4358" max="4358" width="12.7109375" style="3" customWidth="1"/>
    <col min="4359" max="4359" width="14" style="3" customWidth="1"/>
    <col min="4360" max="4360" width="7.42578125" style="3" customWidth="1"/>
    <col min="4361" max="4608" width="11.42578125" style="3"/>
    <col min="4609" max="4609" width="15.85546875" style="3" customWidth="1"/>
    <col min="4610" max="4610" width="14.85546875" style="3" customWidth="1"/>
    <col min="4611" max="4611" width="13.28515625" style="3" customWidth="1"/>
    <col min="4612" max="4612" width="11.42578125" style="3"/>
    <col min="4613" max="4613" width="13.42578125" style="3" customWidth="1"/>
    <col min="4614" max="4614" width="12.7109375" style="3" customWidth="1"/>
    <col min="4615" max="4615" width="14" style="3" customWidth="1"/>
    <col min="4616" max="4616" width="7.42578125" style="3" customWidth="1"/>
    <col min="4617" max="4864" width="11.42578125" style="3"/>
    <col min="4865" max="4865" width="15.85546875" style="3" customWidth="1"/>
    <col min="4866" max="4866" width="14.85546875" style="3" customWidth="1"/>
    <col min="4867" max="4867" width="13.28515625" style="3" customWidth="1"/>
    <col min="4868" max="4868" width="11.42578125" style="3"/>
    <col min="4869" max="4869" width="13.42578125" style="3" customWidth="1"/>
    <col min="4870" max="4870" width="12.7109375" style="3" customWidth="1"/>
    <col min="4871" max="4871" width="14" style="3" customWidth="1"/>
    <col min="4872" max="4872" width="7.42578125" style="3" customWidth="1"/>
    <col min="4873" max="5120" width="11.42578125" style="3"/>
    <col min="5121" max="5121" width="15.85546875" style="3" customWidth="1"/>
    <col min="5122" max="5122" width="14.85546875" style="3" customWidth="1"/>
    <col min="5123" max="5123" width="13.28515625" style="3" customWidth="1"/>
    <col min="5124" max="5124" width="11.42578125" style="3"/>
    <col min="5125" max="5125" width="13.42578125" style="3" customWidth="1"/>
    <col min="5126" max="5126" width="12.7109375" style="3" customWidth="1"/>
    <col min="5127" max="5127" width="14" style="3" customWidth="1"/>
    <col min="5128" max="5128" width="7.42578125" style="3" customWidth="1"/>
    <col min="5129" max="5376" width="11.42578125" style="3"/>
    <col min="5377" max="5377" width="15.85546875" style="3" customWidth="1"/>
    <col min="5378" max="5378" width="14.85546875" style="3" customWidth="1"/>
    <col min="5379" max="5379" width="13.28515625" style="3" customWidth="1"/>
    <col min="5380" max="5380" width="11.42578125" style="3"/>
    <col min="5381" max="5381" width="13.42578125" style="3" customWidth="1"/>
    <col min="5382" max="5382" width="12.7109375" style="3" customWidth="1"/>
    <col min="5383" max="5383" width="14" style="3" customWidth="1"/>
    <col min="5384" max="5384" width="7.42578125" style="3" customWidth="1"/>
    <col min="5385" max="5632" width="11.42578125" style="3"/>
    <col min="5633" max="5633" width="15.85546875" style="3" customWidth="1"/>
    <col min="5634" max="5634" width="14.85546875" style="3" customWidth="1"/>
    <col min="5635" max="5635" width="13.28515625" style="3" customWidth="1"/>
    <col min="5636" max="5636" width="11.42578125" style="3"/>
    <col min="5637" max="5637" width="13.42578125" style="3" customWidth="1"/>
    <col min="5638" max="5638" width="12.7109375" style="3" customWidth="1"/>
    <col min="5639" max="5639" width="14" style="3" customWidth="1"/>
    <col min="5640" max="5640" width="7.42578125" style="3" customWidth="1"/>
    <col min="5641" max="5888" width="11.42578125" style="3"/>
    <col min="5889" max="5889" width="15.85546875" style="3" customWidth="1"/>
    <col min="5890" max="5890" width="14.85546875" style="3" customWidth="1"/>
    <col min="5891" max="5891" width="13.28515625" style="3" customWidth="1"/>
    <col min="5892" max="5892" width="11.42578125" style="3"/>
    <col min="5893" max="5893" width="13.42578125" style="3" customWidth="1"/>
    <col min="5894" max="5894" width="12.7109375" style="3" customWidth="1"/>
    <col min="5895" max="5895" width="14" style="3" customWidth="1"/>
    <col min="5896" max="5896" width="7.42578125" style="3" customWidth="1"/>
    <col min="5897" max="6144" width="11.42578125" style="3"/>
    <col min="6145" max="6145" width="15.85546875" style="3" customWidth="1"/>
    <col min="6146" max="6146" width="14.85546875" style="3" customWidth="1"/>
    <col min="6147" max="6147" width="13.28515625" style="3" customWidth="1"/>
    <col min="6148" max="6148" width="11.42578125" style="3"/>
    <col min="6149" max="6149" width="13.42578125" style="3" customWidth="1"/>
    <col min="6150" max="6150" width="12.7109375" style="3" customWidth="1"/>
    <col min="6151" max="6151" width="14" style="3" customWidth="1"/>
    <col min="6152" max="6152" width="7.42578125" style="3" customWidth="1"/>
    <col min="6153" max="6400" width="11.42578125" style="3"/>
    <col min="6401" max="6401" width="15.85546875" style="3" customWidth="1"/>
    <col min="6402" max="6402" width="14.85546875" style="3" customWidth="1"/>
    <col min="6403" max="6403" width="13.28515625" style="3" customWidth="1"/>
    <col min="6404" max="6404" width="11.42578125" style="3"/>
    <col min="6405" max="6405" width="13.42578125" style="3" customWidth="1"/>
    <col min="6406" max="6406" width="12.7109375" style="3" customWidth="1"/>
    <col min="6407" max="6407" width="14" style="3" customWidth="1"/>
    <col min="6408" max="6408" width="7.42578125" style="3" customWidth="1"/>
    <col min="6409" max="6656" width="11.42578125" style="3"/>
    <col min="6657" max="6657" width="15.85546875" style="3" customWidth="1"/>
    <col min="6658" max="6658" width="14.85546875" style="3" customWidth="1"/>
    <col min="6659" max="6659" width="13.28515625" style="3" customWidth="1"/>
    <col min="6660" max="6660" width="11.42578125" style="3"/>
    <col min="6661" max="6661" width="13.42578125" style="3" customWidth="1"/>
    <col min="6662" max="6662" width="12.7109375" style="3" customWidth="1"/>
    <col min="6663" max="6663" width="14" style="3" customWidth="1"/>
    <col min="6664" max="6664" width="7.42578125" style="3" customWidth="1"/>
    <col min="6665" max="6912" width="11.42578125" style="3"/>
    <col min="6913" max="6913" width="15.85546875" style="3" customWidth="1"/>
    <col min="6914" max="6914" width="14.85546875" style="3" customWidth="1"/>
    <col min="6915" max="6915" width="13.28515625" style="3" customWidth="1"/>
    <col min="6916" max="6916" width="11.42578125" style="3"/>
    <col min="6917" max="6917" width="13.42578125" style="3" customWidth="1"/>
    <col min="6918" max="6918" width="12.7109375" style="3" customWidth="1"/>
    <col min="6919" max="6919" width="14" style="3" customWidth="1"/>
    <col min="6920" max="6920" width="7.42578125" style="3" customWidth="1"/>
    <col min="6921" max="7168" width="11.42578125" style="3"/>
    <col min="7169" max="7169" width="15.85546875" style="3" customWidth="1"/>
    <col min="7170" max="7170" width="14.85546875" style="3" customWidth="1"/>
    <col min="7171" max="7171" width="13.28515625" style="3" customWidth="1"/>
    <col min="7172" max="7172" width="11.42578125" style="3"/>
    <col min="7173" max="7173" width="13.42578125" style="3" customWidth="1"/>
    <col min="7174" max="7174" width="12.7109375" style="3" customWidth="1"/>
    <col min="7175" max="7175" width="14" style="3" customWidth="1"/>
    <col min="7176" max="7176" width="7.42578125" style="3" customWidth="1"/>
    <col min="7177" max="7424" width="11.42578125" style="3"/>
    <col min="7425" max="7425" width="15.85546875" style="3" customWidth="1"/>
    <col min="7426" max="7426" width="14.85546875" style="3" customWidth="1"/>
    <col min="7427" max="7427" width="13.28515625" style="3" customWidth="1"/>
    <col min="7428" max="7428" width="11.42578125" style="3"/>
    <col min="7429" max="7429" width="13.42578125" style="3" customWidth="1"/>
    <col min="7430" max="7430" width="12.7109375" style="3" customWidth="1"/>
    <col min="7431" max="7431" width="14" style="3" customWidth="1"/>
    <col min="7432" max="7432" width="7.42578125" style="3" customWidth="1"/>
    <col min="7433" max="7680" width="11.42578125" style="3"/>
    <col min="7681" max="7681" width="15.85546875" style="3" customWidth="1"/>
    <col min="7682" max="7682" width="14.85546875" style="3" customWidth="1"/>
    <col min="7683" max="7683" width="13.28515625" style="3" customWidth="1"/>
    <col min="7684" max="7684" width="11.42578125" style="3"/>
    <col min="7685" max="7685" width="13.42578125" style="3" customWidth="1"/>
    <col min="7686" max="7686" width="12.7109375" style="3" customWidth="1"/>
    <col min="7687" max="7687" width="14" style="3" customWidth="1"/>
    <col min="7688" max="7688" width="7.42578125" style="3" customWidth="1"/>
    <col min="7689" max="7936" width="11.42578125" style="3"/>
    <col min="7937" max="7937" width="15.85546875" style="3" customWidth="1"/>
    <col min="7938" max="7938" width="14.85546875" style="3" customWidth="1"/>
    <col min="7939" max="7939" width="13.28515625" style="3" customWidth="1"/>
    <col min="7940" max="7940" width="11.42578125" style="3"/>
    <col min="7941" max="7941" width="13.42578125" style="3" customWidth="1"/>
    <col min="7942" max="7942" width="12.7109375" style="3" customWidth="1"/>
    <col min="7943" max="7943" width="14" style="3" customWidth="1"/>
    <col min="7944" max="7944" width="7.42578125" style="3" customWidth="1"/>
    <col min="7945" max="8192" width="11.42578125" style="3"/>
    <col min="8193" max="8193" width="15.85546875" style="3" customWidth="1"/>
    <col min="8194" max="8194" width="14.85546875" style="3" customWidth="1"/>
    <col min="8195" max="8195" width="13.28515625" style="3" customWidth="1"/>
    <col min="8196" max="8196" width="11.42578125" style="3"/>
    <col min="8197" max="8197" width="13.42578125" style="3" customWidth="1"/>
    <col min="8198" max="8198" width="12.7109375" style="3" customWidth="1"/>
    <col min="8199" max="8199" width="14" style="3" customWidth="1"/>
    <col min="8200" max="8200" width="7.42578125" style="3" customWidth="1"/>
    <col min="8201" max="8448" width="11.42578125" style="3"/>
    <col min="8449" max="8449" width="15.85546875" style="3" customWidth="1"/>
    <col min="8450" max="8450" width="14.85546875" style="3" customWidth="1"/>
    <col min="8451" max="8451" width="13.28515625" style="3" customWidth="1"/>
    <col min="8452" max="8452" width="11.42578125" style="3"/>
    <col min="8453" max="8453" width="13.42578125" style="3" customWidth="1"/>
    <col min="8454" max="8454" width="12.7109375" style="3" customWidth="1"/>
    <col min="8455" max="8455" width="14" style="3" customWidth="1"/>
    <col min="8456" max="8456" width="7.42578125" style="3" customWidth="1"/>
    <col min="8457" max="8704" width="11.42578125" style="3"/>
    <col min="8705" max="8705" width="15.85546875" style="3" customWidth="1"/>
    <col min="8706" max="8706" width="14.85546875" style="3" customWidth="1"/>
    <col min="8707" max="8707" width="13.28515625" style="3" customWidth="1"/>
    <col min="8708" max="8708" width="11.42578125" style="3"/>
    <col min="8709" max="8709" width="13.42578125" style="3" customWidth="1"/>
    <col min="8710" max="8710" width="12.7109375" style="3" customWidth="1"/>
    <col min="8711" max="8711" width="14" style="3" customWidth="1"/>
    <col min="8712" max="8712" width="7.42578125" style="3" customWidth="1"/>
    <col min="8713" max="8960" width="11.42578125" style="3"/>
    <col min="8961" max="8961" width="15.85546875" style="3" customWidth="1"/>
    <col min="8962" max="8962" width="14.85546875" style="3" customWidth="1"/>
    <col min="8963" max="8963" width="13.28515625" style="3" customWidth="1"/>
    <col min="8964" max="8964" width="11.42578125" style="3"/>
    <col min="8965" max="8965" width="13.42578125" style="3" customWidth="1"/>
    <col min="8966" max="8966" width="12.7109375" style="3" customWidth="1"/>
    <col min="8967" max="8967" width="14" style="3" customWidth="1"/>
    <col min="8968" max="8968" width="7.42578125" style="3" customWidth="1"/>
    <col min="8969" max="9216" width="11.42578125" style="3"/>
    <col min="9217" max="9217" width="15.85546875" style="3" customWidth="1"/>
    <col min="9218" max="9218" width="14.85546875" style="3" customWidth="1"/>
    <col min="9219" max="9219" width="13.28515625" style="3" customWidth="1"/>
    <col min="9220" max="9220" width="11.42578125" style="3"/>
    <col min="9221" max="9221" width="13.42578125" style="3" customWidth="1"/>
    <col min="9222" max="9222" width="12.7109375" style="3" customWidth="1"/>
    <col min="9223" max="9223" width="14" style="3" customWidth="1"/>
    <col min="9224" max="9224" width="7.42578125" style="3" customWidth="1"/>
    <col min="9225" max="9472" width="11.42578125" style="3"/>
    <col min="9473" max="9473" width="15.85546875" style="3" customWidth="1"/>
    <col min="9474" max="9474" width="14.85546875" style="3" customWidth="1"/>
    <col min="9475" max="9475" width="13.28515625" style="3" customWidth="1"/>
    <col min="9476" max="9476" width="11.42578125" style="3"/>
    <col min="9477" max="9477" width="13.42578125" style="3" customWidth="1"/>
    <col min="9478" max="9478" width="12.7109375" style="3" customWidth="1"/>
    <col min="9479" max="9479" width="14" style="3" customWidth="1"/>
    <col min="9480" max="9480" width="7.42578125" style="3" customWidth="1"/>
    <col min="9481" max="9728" width="11.42578125" style="3"/>
    <col min="9729" max="9729" width="15.85546875" style="3" customWidth="1"/>
    <col min="9730" max="9730" width="14.85546875" style="3" customWidth="1"/>
    <col min="9731" max="9731" width="13.28515625" style="3" customWidth="1"/>
    <col min="9732" max="9732" width="11.42578125" style="3"/>
    <col min="9733" max="9733" width="13.42578125" style="3" customWidth="1"/>
    <col min="9734" max="9734" width="12.7109375" style="3" customWidth="1"/>
    <col min="9735" max="9735" width="14" style="3" customWidth="1"/>
    <col min="9736" max="9736" width="7.42578125" style="3" customWidth="1"/>
    <col min="9737" max="9984" width="11.42578125" style="3"/>
    <col min="9985" max="9985" width="15.85546875" style="3" customWidth="1"/>
    <col min="9986" max="9986" width="14.85546875" style="3" customWidth="1"/>
    <col min="9987" max="9987" width="13.28515625" style="3" customWidth="1"/>
    <col min="9988" max="9988" width="11.42578125" style="3"/>
    <col min="9989" max="9989" width="13.42578125" style="3" customWidth="1"/>
    <col min="9990" max="9990" width="12.7109375" style="3" customWidth="1"/>
    <col min="9991" max="9991" width="14" style="3" customWidth="1"/>
    <col min="9992" max="9992" width="7.42578125" style="3" customWidth="1"/>
    <col min="9993" max="10240" width="11.42578125" style="3"/>
    <col min="10241" max="10241" width="15.85546875" style="3" customWidth="1"/>
    <col min="10242" max="10242" width="14.85546875" style="3" customWidth="1"/>
    <col min="10243" max="10243" width="13.28515625" style="3" customWidth="1"/>
    <col min="10244" max="10244" width="11.42578125" style="3"/>
    <col min="10245" max="10245" width="13.42578125" style="3" customWidth="1"/>
    <col min="10246" max="10246" width="12.7109375" style="3" customWidth="1"/>
    <col min="10247" max="10247" width="14" style="3" customWidth="1"/>
    <col min="10248" max="10248" width="7.42578125" style="3" customWidth="1"/>
    <col min="10249" max="10496" width="11.42578125" style="3"/>
    <col min="10497" max="10497" width="15.85546875" style="3" customWidth="1"/>
    <col min="10498" max="10498" width="14.85546875" style="3" customWidth="1"/>
    <col min="10499" max="10499" width="13.28515625" style="3" customWidth="1"/>
    <col min="10500" max="10500" width="11.42578125" style="3"/>
    <col min="10501" max="10501" width="13.42578125" style="3" customWidth="1"/>
    <col min="10502" max="10502" width="12.7109375" style="3" customWidth="1"/>
    <col min="10503" max="10503" width="14" style="3" customWidth="1"/>
    <col min="10504" max="10504" width="7.42578125" style="3" customWidth="1"/>
    <col min="10505" max="10752" width="11.42578125" style="3"/>
    <col min="10753" max="10753" width="15.85546875" style="3" customWidth="1"/>
    <col min="10754" max="10754" width="14.85546875" style="3" customWidth="1"/>
    <col min="10755" max="10755" width="13.28515625" style="3" customWidth="1"/>
    <col min="10756" max="10756" width="11.42578125" style="3"/>
    <col min="10757" max="10757" width="13.42578125" style="3" customWidth="1"/>
    <col min="10758" max="10758" width="12.7109375" style="3" customWidth="1"/>
    <col min="10759" max="10759" width="14" style="3" customWidth="1"/>
    <col min="10760" max="10760" width="7.42578125" style="3" customWidth="1"/>
    <col min="10761" max="11008" width="11.42578125" style="3"/>
    <col min="11009" max="11009" width="15.85546875" style="3" customWidth="1"/>
    <col min="11010" max="11010" width="14.85546875" style="3" customWidth="1"/>
    <col min="11011" max="11011" width="13.28515625" style="3" customWidth="1"/>
    <col min="11012" max="11012" width="11.42578125" style="3"/>
    <col min="11013" max="11013" width="13.42578125" style="3" customWidth="1"/>
    <col min="11014" max="11014" width="12.7109375" style="3" customWidth="1"/>
    <col min="11015" max="11015" width="14" style="3" customWidth="1"/>
    <col min="11016" max="11016" width="7.42578125" style="3" customWidth="1"/>
    <col min="11017" max="11264" width="11.42578125" style="3"/>
    <col min="11265" max="11265" width="15.85546875" style="3" customWidth="1"/>
    <col min="11266" max="11266" width="14.85546875" style="3" customWidth="1"/>
    <col min="11267" max="11267" width="13.28515625" style="3" customWidth="1"/>
    <col min="11268" max="11268" width="11.42578125" style="3"/>
    <col min="11269" max="11269" width="13.42578125" style="3" customWidth="1"/>
    <col min="11270" max="11270" width="12.7109375" style="3" customWidth="1"/>
    <col min="11271" max="11271" width="14" style="3" customWidth="1"/>
    <col min="11272" max="11272" width="7.42578125" style="3" customWidth="1"/>
    <col min="11273" max="11520" width="11.42578125" style="3"/>
    <col min="11521" max="11521" width="15.85546875" style="3" customWidth="1"/>
    <col min="11522" max="11522" width="14.85546875" style="3" customWidth="1"/>
    <col min="11523" max="11523" width="13.28515625" style="3" customWidth="1"/>
    <col min="11524" max="11524" width="11.42578125" style="3"/>
    <col min="11525" max="11525" width="13.42578125" style="3" customWidth="1"/>
    <col min="11526" max="11526" width="12.7109375" style="3" customWidth="1"/>
    <col min="11527" max="11527" width="14" style="3" customWidth="1"/>
    <col min="11528" max="11528" width="7.42578125" style="3" customWidth="1"/>
    <col min="11529" max="11776" width="11.42578125" style="3"/>
    <col min="11777" max="11777" width="15.85546875" style="3" customWidth="1"/>
    <col min="11778" max="11778" width="14.85546875" style="3" customWidth="1"/>
    <col min="11779" max="11779" width="13.28515625" style="3" customWidth="1"/>
    <col min="11780" max="11780" width="11.42578125" style="3"/>
    <col min="11781" max="11781" width="13.42578125" style="3" customWidth="1"/>
    <col min="11782" max="11782" width="12.7109375" style="3" customWidth="1"/>
    <col min="11783" max="11783" width="14" style="3" customWidth="1"/>
    <col min="11784" max="11784" width="7.42578125" style="3" customWidth="1"/>
    <col min="11785" max="12032" width="11.42578125" style="3"/>
    <col min="12033" max="12033" width="15.85546875" style="3" customWidth="1"/>
    <col min="12034" max="12034" width="14.85546875" style="3" customWidth="1"/>
    <col min="12035" max="12035" width="13.28515625" style="3" customWidth="1"/>
    <col min="12036" max="12036" width="11.42578125" style="3"/>
    <col min="12037" max="12037" width="13.42578125" style="3" customWidth="1"/>
    <col min="12038" max="12038" width="12.7109375" style="3" customWidth="1"/>
    <col min="12039" max="12039" width="14" style="3" customWidth="1"/>
    <col min="12040" max="12040" width="7.42578125" style="3" customWidth="1"/>
    <col min="12041" max="12288" width="11.42578125" style="3"/>
    <col min="12289" max="12289" width="15.85546875" style="3" customWidth="1"/>
    <col min="12290" max="12290" width="14.85546875" style="3" customWidth="1"/>
    <col min="12291" max="12291" width="13.28515625" style="3" customWidth="1"/>
    <col min="12292" max="12292" width="11.42578125" style="3"/>
    <col min="12293" max="12293" width="13.42578125" style="3" customWidth="1"/>
    <col min="12294" max="12294" width="12.7109375" style="3" customWidth="1"/>
    <col min="12295" max="12295" width="14" style="3" customWidth="1"/>
    <col min="12296" max="12296" width="7.42578125" style="3" customWidth="1"/>
    <col min="12297" max="12544" width="11.42578125" style="3"/>
    <col min="12545" max="12545" width="15.85546875" style="3" customWidth="1"/>
    <col min="12546" max="12546" width="14.85546875" style="3" customWidth="1"/>
    <col min="12547" max="12547" width="13.28515625" style="3" customWidth="1"/>
    <col min="12548" max="12548" width="11.42578125" style="3"/>
    <col min="12549" max="12549" width="13.42578125" style="3" customWidth="1"/>
    <col min="12550" max="12550" width="12.7109375" style="3" customWidth="1"/>
    <col min="12551" max="12551" width="14" style="3" customWidth="1"/>
    <col min="12552" max="12552" width="7.42578125" style="3" customWidth="1"/>
    <col min="12553" max="12800" width="11.42578125" style="3"/>
    <col min="12801" max="12801" width="15.85546875" style="3" customWidth="1"/>
    <col min="12802" max="12802" width="14.85546875" style="3" customWidth="1"/>
    <col min="12803" max="12803" width="13.28515625" style="3" customWidth="1"/>
    <col min="12804" max="12804" width="11.42578125" style="3"/>
    <col min="12805" max="12805" width="13.42578125" style="3" customWidth="1"/>
    <col min="12806" max="12806" width="12.7109375" style="3" customWidth="1"/>
    <col min="12807" max="12807" width="14" style="3" customWidth="1"/>
    <col min="12808" max="12808" width="7.42578125" style="3" customWidth="1"/>
    <col min="12809" max="13056" width="11.42578125" style="3"/>
    <col min="13057" max="13057" width="15.85546875" style="3" customWidth="1"/>
    <col min="13058" max="13058" width="14.85546875" style="3" customWidth="1"/>
    <col min="13059" max="13059" width="13.28515625" style="3" customWidth="1"/>
    <col min="13060" max="13060" width="11.42578125" style="3"/>
    <col min="13061" max="13061" width="13.42578125" style="3" customWidth="1"/>
    <col min="13062" max="13062" width="12.7109375" style="3" customWidth="1"/>
    <col min="13063" max="13063" width="14" style="3" customWidth="1"/>
    <col min="13064" max="13064" width="7.42578125" style="3" customWidth="1"/>
    <col min="13065" max="13312" width="11.42578125" style="3"/>
    <col min="13313" max="13313" width="15.85546875" style="3" customWidth="1"/>
    <col min="13314" max="13314" width="14.85546875" style="3" customWidth="1"/>
    <col min="13315" max="13315" width="13.28515625" style="3" customWidth="1"/>
    <col min="13316" max="13316" width="11.42578125" style="3"/>
    <col min="13317" max="13317" width="13.42578125" style="3" customWidth="1"/>
    <col min="13318" max="13318" width="12.7109375" style="3" customWidth="1"/>
    <col min="13319" max="13319" width="14" style="3" customWidth="1"/>
    <col min="13320" max="13320" width="7.42578125" style="3" customWidth="1"/>
    <col min="13321" max="13568" width="11.42578125" style="3"/>
    <col min="13569" max="13569" width="15.85546875" style="3" customWidth="1"/>
    <col min="13570" max="13570" width="14.85546875" style="3" customWidth="1"/>
    <col min="13571" max="13571" width="13.28515625" style="3" customWidth="1"/>
    <col min="13572" max="13572" width="11.42578125" style="3"/>
    <col min="13573" max="13573" width="13.42578125" style="3" customWidth="1"/>
    <col min="13574" max="13574" width="12.7109375" style="3" customWidth="1"/>
    <col min="13575" max="13575" width="14" style="3" customWidth="1"/>
    <col min="13576" max="13576" width="7.42578125" style="3" customWidth="1"/>
    <col min="13577" max="13824" width="11.42578125" style="3"/>
    <col min="13825" max="13825" width="15.85546875" style="3" customWidth="1"/>
    <col min="13826" max="13826" width="14.85546875" style="3" customWidth="1"/>
    <col min="13827" max="13827" width="13.28515625" style="3" customWidth="1"/>
    <col min="13828" max="13828" width="11.42578125" style="3"/>
    <col min="13829" max="13829" width="13.42578125" style="3" customWidth="1"/>
    <col min="13830" max="13830" width="12.7109375" style="3" customWidth="1"/>
    <col min="13831" max="13831" width="14" style="3" customWidth="1"/>
    <col min="13832" max="13832" width="7.42578125" style="3" customWidth="1"/>
    <col min="13833" max="14080" width="11.42578125" style="3"/>
    <col min="14081" max="14081" width="15.85546875" style="3" customWidth="1"/>
    <col min="14082" max="14082" width="14.85546875" style="3" customWidth="1"/>
    <col min="14083" max="14083" width="13.28515625" style="3" customWidth="1"/>
    <col min="14084" max="14084" width="11.42578125" style="3"/>
    <col min="14085" max="14085" width="13.42578125" style="3" customWidth="1"/>
    <col min="14086" max="14086" width="12.7109375" style="3" customWidth="1"/>
    <col min="14087" max="14087" width="14" style="3" customWidth="1"/>
    <col min="14088" max="14088" width="7.42578125" style="3" customWidth="1"/>
    <col min="14089" max="14336" width="11.42578125" style="3"/>
    <col min="14337" max="14337" width="15.85546875" style="3" customWidth="1"/>
    <col min="14338" max="14338" width="14.85546875" style="3" customWidth="1"/>
    <col min="14339" max="14339" width="13.28515625" style="3" customWidth="1"/>
    <col min="14340" max="14340" width="11.42578125" style="3"/>
    <col min="14341" max="14341" width="13.42578125" style="3" customWidth="1"/>
    <col min="14342" max="14342" width="12.7109375" style="3" customWidth="1"/>
    <col min="14343" max="14343" width="14" style="3" customWidth="1"/>
    <col min="14344" max="14344" width="7.42578125" style="3" customWidth="1"/>
    <col min="14345" max="14592" width="11.42578125" style="3"/>
    <col min="14593" max="14593" width="15.85546875" style="3" customWidth="1"/>
    <col min="14594" max="14594" width="14.85546875" style="3" customWidth="1"/>
    <col min="14595" max="14595" width="13.28515625" style="3" customWidth="1"/>
    <col min="14596" max="14596" width="11.42578125" style="3"/>
    <col min="14597" max="14597" width="13.42578125" style="3" customWidth="1"/>
    <col min="14598" max="14598" width="12.7109375" style="3" customWidth="1"/>
    <col min="14599" max="14599" width="14" style="3" customWidth="1"/>
    <col min="14600" max="14600" width="7.42578125" style="3" customWidth="1"/>
    <col min="14601" max="14848" width="11.42578125" style="3"/>
    <col min="14849" max="14849" width="15.85546875" style="3" customWidth="1"/>
    <col min="14850" max="14850" width="14.85546875" style="3" customWidth="1"/>
    <col min="14851" max="14851" width="13.28515625" style="3" customWidth="1"/>
    <col min="14852" max="14852" width="11.42578125" style="3"/>
    <col min="14853" max="14853" width="13.42578125" style="3" customWidth="1"/>
    <col min="14854" max="14854" width="12.7109375" style="3" customWidth="1"/>
    <col min="14855" max="14855" width="14" style="3" customWidth="1"/>
    <col min="14856" max="14856" width="7.42578125" style="3" customWidth="1"/>
    <col min="14857" max="15104" width="11.42578125" style="3"/>
    <col min="15105" max="15105" width="15.85546875" style="3" customWidth="1"/>
    <col min="15106" max="15106" width="14.85546875" style="3" customWidth="1"/>
    <col min="15107" max="15107" width="13.28515625" style="3" customWidth="1"/>
    <col min="15108" max="15108" width="11.42578125" style="3"/>
    <col min="15109" max="15109" width="13.42578125" style="3" customWidth="1"/>
    <col min="15110" max="15110" width="12.7109375" style="3" customWidth="1"/>
    <col min="15111" max="15111" width="14" style="3" customWidth="1"/>
    <col min="15112" max="15112" width="7.42578125" style="3" customWidth="1"/>
    <col min="15113" max="15360" width="11.42578125" style="3"/>
    <col min="15361" max="15361" width="15.85546875" style="3" customWidth="1"/>
    <col min="15362" max="15362" width="14.85546875" style="3" customWidth="1"/>
    <col min="15363" max="15363" width="13.28515625" style="3" customWidth="1"/>
    <col min="15364" max="15364" width="11.42578125" style="3"/>
    <col min="15365" max="15365" width="13.42578125" style="3" customWidth="1"/>
    <col min="15366" max="15366" width="12.7109375" style="3" customWidth="1"/>
    <col min="15367" max="15367" width="14" style="3" customWidth="1"/>
    <col min="15368" max="15368" width="7.42578125" style="3" customWidth="1"/>
    <col min="15369" max="15616" width="11.42578125" style="3"/>
    <col min="15617" max="15617" width="15.85546875" style="3" customWidth="1"/>
    <col min="15618" max="15618" width="14.85546875" style="3" customWidth="1"/>
    <col min="15619" max="15619" width="13.28515625" style="3" customWidth="1"/>
    <col min="15620" max="15620" width="11.42578125" style="3"/>
    <col min="15621" max="15621" width="13.42578125" style="3" customWidth="1"/>
    <col min="15622" max="15622" width="12.7109375" style="3" customWidth="1"/>
    <col min="15623" max="15623" width="14" style="3" customWidth="1"/>
    <col min="15624" max="15624" width="7.42578125" style="3" customWidth="1"/>
    <col min="15625" max="15872" width="11.42578125" style="3"/>
    <col min="15873" max="15873" width="15.85546875" style="3" customWidth="1"/>
    <col min="15874" max="15874" width="14.85546875" style="3" customWidth="1"/>
    <col min="15875" max="15875" width="13.28515625" style="3" customWidth="1"/>
    <col min="15876" max="15876" width="11.42578125" style="3"/>
    <col min="15877" max="15877" width="13.42578125" style="3" customWidth="1"/>
    <col min="15878" max="15878" width="12.7109375" style="3" customWidth="1"/>
    <col min="15879" max="15879" width="14" style="3" customWidth="1"/>
    <col min="15880" max="15880" width="7.42578125" style="3" customWidth="1"/>
    <col min="15881" max="16128" width="11.42578125" style="3"/>
    <col min="16129" max="16129" width="15.85546875" style="3" customWidth="1"/>
    <col min="16130" max="16130" width="14.85546875" style="3" customWidth="1"/>
    <col min="16131" max="16131" width="13.28515625" style="3" customWidth="1"/>
    <col min="16132" max="16132" width="11.42578125" style="3"/>
    <col min="16133" max="16133" width="13.42578125" style="3" customWidth="1"/>
    <col min="16134" max="16134" width="12.7109375" style="3" customWidth="1"/>
    <col min="16135" max="16135" width="14" style="3" customWidth="1"/>
    <col min="16136" max="16136" width="7.42578125" style="3" customWidth="1"/>
    <col min="16137" max="16384" width="11.42578125" style="3"/>
  </cols>
  <sheetData>
    <row r="1" spans="1:21" ht="48" customHeight="1">
      <c r="A1" s="1346" t="str">
        <f>PPTO!D3</f>
        <v>PRESUPUESTO
MUNICIPIO EL BAGRE (ANTIOQUIA).</v>
      </c>
      <c r="B1" s="1347"/>
      <c r="C1" s="1347"/>
      <c r="D1" s="1347"/>
      <c r="E1" s="1347"/>
      <c r="F1" s="1347"/>
      <c r="G1" s="1348"/>
      <c r="H1" s="1"/>
      <c r="I1" s="2"/>
    </row>
    <row r="2" spans="1:21" ht="18" customHeight="1">
      <c r="A2" s="1362" t="s">
        <v>16</v>
      </c>
      <c r="B2" s="1363"/>
      <c r="C2" s="1363"/>
      <c r="D2" s="1363"/>
      <c r="E2" s="1363"/>
      <c r="F2" s="1363"/>
      <c r="G2" s="1364"/>
      <c r="H2" s="1"/>
      <c r="I2" s="2"/>
    </row>
    <row r="3" spans="1:21" ht="24.75" customHeight="1">
      <c r="A3" s="1367" t="str">
        <f>+PPTO!$D$5</f>
        <v>PROYECTO DE MEJORAMIENTO VIAL, ESPACIO PUBLICO Y OBRAS COMPLEMENTARIAS DE LA AVENIDA LA JUVENTUD Y TRAMOS ADYACENTES Y PRIORITARIOS DEL SECTOR URBANO EN EL MUNICIPIO EL BAGRE ANTIOQUIA.</v>
      </c>
      <c r="B3" s="1368"/>
      <c r="C3" s="1368"/>
      <c r="D3" s="1368"/>
      <c r="E3" s="1368"/>
      <c r="F3" s="1368"/>
      <c r="G3" s="1369"/>
      <c r="H3" s="1"/>
      <c r="I3" s="2"/>
    </row>
    <row r="4" spans="1:21" ht="30" customHeight="1">
      <c r="A4" s="1370"/>
      <c r="B4" s="1368"/>
      <c r="C4" s="1368"/>
      <c r="D4" s="1368"/>
      <c r="E4" s="1368"/>
      <c r="F4" s="1368"/>
      <c r="G4" s="1369"/>
      <c r="H4" s="1"/>
      <c r="I4" s="2"/>
    </row>
    <row r="5" spans="1:21" ht="6.75" customHeight="1">
      <c r="A5" s="222"/>
      <c r="B5" s="6"/>
      <c r="C5" s="24"/>
      <c r="D5" s="25"/>
      <c r="E5" s="6"/>
      <c r="F5" s="6"/>
      <c r="G5" s="223"/>
      <c r="H5" s="9"/>
    </row>
    <row r="6" spans="1:21" ht="52.5" customHeight="1">
      <c r="A6" s="368">
        <v>4.5</v>
      </c>
      <c r="B6" s="1349" t="str">
        <f>VLOOKUP(A6,PPTO!D9:I136,2,FALSE)</f>
        <v>Concreto de 4000 psi para resalto vehicular, con protuberancia de 10 cm y longitud a lo largo de la vía de 3,70 mt. (incluye refuerzo)</v>
      </c>
      <c r="C6" s="1350"/>
      <c r="D6" s="1350"/>
      <c r="E6" s="1351"/>
      <c r="F6" s="192" t="s">
        <v>118</v>
      </c>
      <c r="G6" s="248" t="str">
        <f>VLOOKUP(A6,PPTO!D9:I136,3,FALSE)</f>
        <v>m</v>
      </c>
      <c r="H6" s="9"/>
    </row>
    <row r="7" spans="1:21" ht="3.75" customHeight="1">
      <c r="A7" s="226"/>
      <c r="B7" s="4"/>
      <c r="C7" s="6"/>
      <c r="D7" s="4"/>
      <c r="E7" s="4"/>
      <c r="F7" s="4"/>
      <c r="G7" s="227"/>
      <c r="H7" s="9"/>
    </row>
    <row r="8" spans="1:21" ht="22.5" customHeight="1">
      <c r="A8" s="1354" t="s">
        <v>69</v>
      </c>
      <c r="B8" s="1355"/>
      <c r="C8" s="1355"/>
      <c r="D8" s="1355"/>
      <c r="E8" s="1355"/>
      <c r="F8" s="1355"/>
      <c r="G8" s="1356"/>
      <c r="H8" s="9"/>
    </row>
    <row r="9" spans="1:21" ht="4.5" customHeight="1">
      <c r="A9" s="226"/>
      <c r="B9" s="4"/>
      <c r="C9" s="6"/>
      <c r="D9" s="4"/>
      <c r="E9" s="4"/>
      <c r="F9" s="4"/>
      <c r="G9" s="227"/>
      <c r="H9" s="9"/>
      <c r="I9" s="5"/>
      <c r="J9" s="5"/>
      <c r="K9" s="5"/>
      <c r="L9" s="26"/>
      <c r="M9" s="5"/>
      <c r="N9" s="5"/>
      <c r="O9" s="5"/>
      <c r="P9" s="5"/>
    </row>
    <row r="10" spans="1:21">
      <c r="A10" s="1373" t="s">
        <v>17</v>
      </c>
      <c r="B10" s="1374"/>
      <c r="C10" s="1374"/>
      <c r="D10" s="346" t="s">
        <v>4</v>
      </c>
      <c r="E10" s="346" t="s">
        <v>19</v>
      </c>
      <c r="F10" s="346" t="s">
        <v>20</v>
      </c>
      <c r="G10" s="228" t="s">
        <v>21</v>
      </c>
      <c r="H10" s="27"/>
      <c r="I10" s="28"/>
      <c r="J10" s="29"/>
      <c r="K10" s="30"/>
      <c r="L10" s="30"/>
      <c r="M10" s="30"/>
      <c r="N10" s="30"/>
      <c r="O10" s="30"/>
      <c r="P10" s="5"/>
    </row>
    <row r="11" spans="1:21">
      <c r="A11" s="1352" t="s">
        <v>75</v>
      </c>
      <c r="B11" s="1353"/>
      <c r="C11" s="1353"/>
      <c r="D11" s="346"/>
      <c r="E11" s="83"/>
      <c r="F11" s="97"/>
      <c r="G11" s="229">
        <f>+G39*5%</f>
        <v>5624</v>
      </c>
      <c r="H11" s="9"/>
      <c r="I11" s="30"/>
      <c r="J11" s="31"/>
      <c r="K11" s="30"/>
      <c r="L11" s="30"/>
      <c r="M11" s="30"/>
      <c r="N11" s="30"/>
      <c r="O11" s="30"/>
      <c r="P11" s="5"/>
    </row>
    <row r="12" spans="1:21" ht="11.25" customHeight="1">
      <c r="A12" s="1371"/>
      <c r="B12" s="1372"/>
      <c r="C12" s="1372"/>
      <c r="D12" s="98"/>
      <c r="E12" s="83"/>
      <c r="F12" s="93"/>
      <c r="G12" s="229"/>
      <c r="H12" s="9"/>
      <c r="I12" s="13"/>
      <c r="J12" s="13"/>
      <c r="K12" s="13"/>
      <c r="L12" s="13"/>
      <c r="M12" s="13"/>
      <c r="N12" s="13"/>
      <c r="O12" s="13"/>
      <c r="P12" s="5"/>
    </row>
    <row r="13" spans="1:21">
      <c r="A13" s="1371"/>
      <c r="B13" s="1372"/>
      <c r="C13" s="1372"/>
      <c r="D13" s="98"/>
      <c r="E13" s="83"/>
      <c r="F13" s="93"/>
      <c r="G13" s="229"/>
      <c r="H13" s="9"/>
      <c r="I13" s="16"/>
      <c r="J13" s="13"/>
      <c r="K13" s="8"/>
      <c r="L13" s="8"/>
      <c r="M13" s="8"/>
      <c r="N13" s="8"/>
      <c r="O13" s="8"/>
      <c r="P13" s="5"/>
    </row>
    <row r="14" spans="1:21">
      <c r="A14" s="1371"/>
      <c r="B14" s="1372"/>
      <c r="C14" s="1372"/>
      <c r="D14" s="98"/>
      <c r="E14" s="83"/>
      <c r="F14" s="93"/>
      <c r="G14" s="229"/>
      <c r="H14" s="9"/>
      <c r="I14" s="13"/>
      <c r="J14" s="13"/>
      <c r="K14" s="13"/>
      <c r="L14" s="13"/>
      <c r="M14" s="13"/>
      <c r="N14" s="13"/>
      <c r="O14" s="13"/>
      <c r="P14" s="5"/>
    </row>
    <row r="15" spans="1:21">
      <c r="A15" s="1371"/>
      <c r="B15" s="1372"/>
      <c r="C15" s="1372"/>
      <c r="D15" s="83"/>
      <c r="E15" s="83"/>
      <c r="F15" s="98"/>
      <c r="G15" s="229"/>
      <c r="H15" s="9"/>
      <c r="I15" s="8"/>
      <c r="J15" s="33"/>
      <c r="K15" s="32"/>
      <c r="L15" s="14"/>
      <c r="M15" s="15"/>
      <c r="N15" s="15"/>
      <c r="O15" s="19"/>
      <c r="P15" s="5"/>
      <c r="Q15" s="5"/>
      <c r="R15" s="5"/>
      <c r="S15" s="5"/>
      <c r="T15" s="5"/>
      <c r="U15" s="5"/>
    </row>
    <row r="16" spans="1:21">
      <c r="A16" s="1371"/>
      <c r="B16" s="1372"/>
      <c r="C16" s="1372"/>
      <c r="D16" s="85" t="s">
        <v>37</v>
      </c>
      <c r="E16" s="50"/>
      <c r="F16" s="49"/>
      <c r="G16" s="230">
        <f>SUM(G11:G15)</f>
        <v>5624</v>
      </c>
      <c r="H16" s="9"/>
      <c r="I16" s="34"/>
      <c r="J16" s="34"/>
      <c r="K16" s="35"/>
      <c r="L16" s="36"/>
      <c r="M16" s="7"/>
      <c r="N16" s="7"/>
      <c r="O16" s="19"/>
      <c r="P16" s="5"/>
      <c r="Q16" s="5"/>
      <c r="R16" s="5"/>
      <c r="S16" s="5"/>
      <c r="T16" s="5"/>
      <c r="U16" s="5"/>
    </row>
    <row r="17" spans="1:21" ht="4.5" customHeight="1">
      <c r="A17" s="226"/>
      <c r="B17" s="4"/>
      <c r="C17" s="6"/>
      <c r="D17" s="4"/>
      <c r="E17" s="4"/>
      <c r="F17" s="4"/>
      <c r="G17" s="227"/>
      <c r="H17" s="9"/>
      <c r="I17" s="34"/>
      <c r="J17" s="34"/>
      <c r="K17" s="35"/>
      <c r="L17" s="36"/>
      <c r="M17" s="7"/>
      <c r="N17" s="7"/>
      <c r="O17" s="19"/>
      <c r="P17" s="5"/>
      <c r="Q17" s="5"/>
      <c r="R17" s="5"/>
      <c r="S17" s="5"/>
      <c r="T17" s="5"/>
      <c r="U17" s="5"/>
    </row>
    <row r="18" spans="1:21" ht="22.5" customHeight="1">
      <c r="A18" s="1354" t="s">
        <v>70</v>
      </c>
      <c r="B18" s="1355"/>
      <c r="C18" s="1355"/>
      <c r="D18" s="1355"/>
      <c r="E18" s="1355"/>
      <c r="F18" s="1355"/>
      <c r="G18" s="1356"/>
      <c r="H18" s="9"/>
    </row>
    <row r="19" spans="1:21" ht="4.5" customHeight="1">
      <c r="A19" s="226"/>
      <c r="B19" s="4"/>
      <c r="C19" s="6"/>
      <c r="D19" s="4"/>
      <c r="E19" s="4"/>
      <c r="F19" s="38"/>
      <c r="G19" s="227"/>
      <c r="H19" s="9"/>
      <c r="I19" s="34"/>
      <c r="J19" s="34"/>
      <c r="K19" s="35"/>
      <c r="L19" s="39"/>
      <c r="M19" s="7"/>
      <c r="N19" s="7"/>
      <c r="O19" s="8"/>
      <c r="P19" s="5"/>
      <c r="Q19" s="5"/>
      <c r="R19" s="5"/>
      <c r="S19" s="5"/>
      <c r="T19" s="5"/>
      <c r="U19" s="5"/>
    </row>
    <row r="20" spans="1:21">
      <c r="A20" s="1373" t="s">
        <v>17</v>
      </c>
      <c r="B20" s="1374"/>
      <c r="C20" s="1374"/>
      <c r="D20" s="346" t="s">
        <v>3</v>
      </c>
      <c r="E20" s="346" t="s">
        <v>4</v>
      </c>
      <c r="F20" s="346" t="s">
        <v>25</v>
      </c>
      <c r="G20" s="228" t="s">
        <v>21</v>
      </c>
      <c r="H20" s="27"/>
      <c r="I20" s="34"/>
      <c r="J20" s="34"/>
      <c r="K20" s="35"/>
      <c r="L20" s="39"/>
      <c r="M20" s="7"/>
      <c r="N20" s="7"/>
      <c r="O20" s="8"/>
      <c r="P20" s="5"/>
      <c r="Q20" s="5"/>
      <c r="R20" s="5"/>
      <c r="S20" s="5"/>
      <c r="T20" s="5"/>
      <c r="U20" s="5"/>
    </row>
    <row r="21" spans="1:21">
      <c r="A21" s="1382" t="s">
        <v>127</v>
      </c>
      <c r="B21" s="1383"/>
      <c r="C21" s="1383"/>
      <c r="D21" s="79" t="s">
        <v>44</v>
      </c>
      <c r="E21" s="82">
        <v>0.74</v>
      </c>
      <c r="F21" s="87">
        <f>'CONC 4000 PSI '!G43</f>
        <v>461971</v>
      </c>
      <c r="G21" s="231">
        <f>ROUND(F21*E21,0)</f>
        <v>341859</v>
      </c>
      <c r="H21" s="9"/>
      <c r="I21" s="34"/>
      <c r="J21" s="34"/>
      <c r="K21" s="35"/>
      <c r="L21" s="39"/>
      <c r="M21" s="7"/>
      <c r="N21" s="7"/>
      <c r="O21" s="13"/>
      <c r="P21" s="5"/>
      <c r="Q21" s="5"/>
      <c r="R21" s="5"/>
      <c r="S21" s="5"/>
      <c r="T21" s="5"/>
      <c r="U21" s="5"/>
    </row>
    <row r="22" spans="1:21">
      <c r="A22" s="1438" t="s">
        <v>126</v>
      </c>
      <c r="B22" s="1439"/>
      <c r="C22" s="1440"/>
      <c r="D22" s="467" t="s">
        <v>0</v>
      </c>
      <c r="E22" s="427">
        <f>(3.7/0.2)*2*1</f>
        <v>37</v>
      </c>
      <c r="F22" s="420">
        <v>4381</v>
      </c>
      <c r="G22" s="421">
        <f>ROUND(F22*E22,0)</f>
        <v>162097</v>
      </c>
      <c r="H22" s="294">
        <f>F35*F22</f>
        <v>17524</v>
      </c>
      <c r="I22" s="34"/>
      <c r="J22" s="34"/>
      <c r="K22" s="35"/>
      <c r="L22" s="39"/>
      <c r="M22" s="7"/>
      <c r="N22" s="7"/>
      <c r="O22" s="8"/>
      <c r="P22" s="5"/>
      <c r="Q22" s="5"/>
      <c r="R22" s="5"/>
      <c r="S22" s="5"/>
      <c r="T22" s="5"/>
      <c r="U22" s="5"/>
    </row>
    <row r="23" spans="1:21">
      <c r="A23" s="1437"/>
      <c r="B23" s="1383"/>
      <c r="C23" s="1383"/>
      <c r="D23" s="295"/>
      <c r="E23" s="119"/>
      <c r="F23" s="63"/>
      <c r="G23" s="67"/>
      <c r="H23" s="9"/>
      <c r="I23" s="34"/>
      <c r="J23" s="34"/>
      <c r="K23" s="35"/>
      <c r="L23" s="39"/>
      <c r="M23" s="7"/>
      <c r="N23" s="7"/>
      <c r="O23" s="8"/>
      <c r="P23" s="5"/>
      <c r="Q23" s="5"/>
      <c r="R23" s="5"/>
      <c r="S23" s="5"/>
      <c r="T23" s="5"/>
      <c r="U23" s="5"/>
    </row>
    <row r="24" spans="1:21">
      <c r="A24" s="1437"/>
      <c r="B24" s="1383"/>
      <c r="C24" s="1383"/>
      <c r="D24" s="193"/>
      <c r="E24" s="88"/>
      <c r="F24" s="78"/>
      <c r="G24" s="231"/>
      <c r="H24" s="9"/>
      <c r="I24" s="34"/>
      <c r="J24" s="34"/>
      <c r="K24" s="35"/>
      <c r="L24" s="39"/>
      <c r="M24" s="7"/>
      <c r="N24" s="7"/>
      <c r="O24" s="13"/>
      <c r="P24" s="5"/>
      <c r="Q24" s="5"/>
      <c r="R24" s="5"/>
      <c r="S24" s="5"/>
      <c r="T24" s="5"/>
      <c r="U24" s="5"/>
    </row>
    <row r="25" spans="1:21">
      <c r="A25" s="1437"/>
      <c r="B25" s="1383"/>
      <c r="C25" s="1383"/>
      <c r="D25" s="193"/>
      <c r="E25" s="88"/>
      <c r="F25" s="78"/>
      <c r="G25" s="231"/>
      <c r="H25" s="9"/>
      <c r="I25" s="34"/>
      <c r="J25" s="34"/>
      <c r="K25" s="35"/>
      <c r="L25" s="39"/>
      <c r="M25" s="7"/>
      <c r="N25" s="7"/>
      <c r="O25" s="13"/>
      <c r="P25" s="5"/>
      <c r="Q25" s="5"/>
      <c r="R25" s="5"/>
      <c r="S25" s="5"/>
      <c r="T25" s="5"/>
      <c r="U25" s="5"/>
    </row>
    <row r="26" spans="1:21">
      <c r="A26" s="1437"/>
      <c r="B26" s="1383"/>
      <c r="C26" s="1383"/>
      <c r="D26" s="193"/>
      <c r="E26" s="88"/>
      <c r="F26" s="78"/>
      <c r="G26" s="231"/>
      <c r="H26" s="9"/>
      <c r="I26" s="10"/>
      <c r="J26" s="10"/>
      <c r="K26" s="12"/>
      <c r="L26" s="39"/>
      <c r="M26" s="7"/>
      <c r="N26" s="7"/>
      <c r="O26" s="15"/>
      <c r="P26" s="5"/>
      <c r="Q26" s="5"/>
      <c r="R26" s="5"/>
      <c r="S26" s="5"/>
      <c r="T26" s="5"/>
      <c r="U26" s="5"/>
    </row>
    <row r="27" spans="1:21">
      <c r="A27" s="1352" t="s">
        <v>130</v>
      </c>
      <c r="B27" s="1353"/>
      <c r="C27" s="1353" t="s">
        <v>50</v>
      </c>
      <c r="D27" s="79"/>
      <c r="E27" s="82"/>
      <c r="F27" s="78"/>
      <c r="G27" s="231">
        <f>+G21*0.05</f>
        <v>17093</v>
      </c>
      <c r="H27" s="9"/>
      <c r="I27" s="10"/>
      <c r="J27" s="11"/>
      <c r="K27" s="12"/>
      <c r="L27" s="13"/>
      <c r="M27" s="14"/>
      <c r="N27" s="14"/>
      <c r="O27" s="15"/>
      <c r="P27" s="5"/>
      <c r="Q27" s="5"/>
      <c r="R27" s="5"/>
      <c r="S27" s="5"/>
      <c r="T27" s="5"/>
      <c r="U27" s="5"/>
    </row>
    <row r="28" spans="1:21">
      <c r="A28" s="1352"/>
      <c r="B28" s="1353"/>
      <c r="C28" s="1353"/>
      <c r="D28" s="79"/>
      <c r="E28" s="82"/>
      <c r="F28" s="83"/>
      <c r="G28" s="231"/>
      <c r="H28" s="9"/>
      <c r="I28" s="41"/>
      <c r="J28" s="41"/>
      <c r="K28" s="12"/>
      <c r="L28" s="13"/>
      <c r="M28" s="14"/>
      <c r="N28" s="14"/>
      <c r="O28" s="15"/>
      <c r="P28" s="5"/>
      <c r="Q28" s="5"/>
      <c r="R28" s="5"/>
      <c r="S28" s="5"/>
      <c r="T28" s="5"/>
      <c r="U28" s="5"/>
    </row>
    <row r="29" spans="1:21">
      <c r="A29" s="1352"/>
      <c r="B29" s="1353"/>
      <c r="C29" s="1353"/>
      <c r="D29" s="84"/>
      <c r="E29" s="84"/>
      <c r="F29" s="83"/>
      <c r="G29" s="231"/>
      <c r="H29" s="9"/>
      <c r="I29" s="42"/>
      <c r="J29" s="42"/>
      <c r="K29" s="42"/>
      <c r="L29" s="13"/>
      <c r="M29" s="14"/>
      <c r="N29" s="14"/>
      <c r="O29" s="15"/>
      <c r="P29" s="5"/>
      <c r="Q29" s="5"/>
      <c r="R29" s="5"/>
      <c r="S29" s="5"/>
      <c r="T29" s="5"/>
      <c r="U29" s="5"/>
    </row>
    <row r="30" spans="1:21">
      <c r="A30" s="1352"/>
      <c r="B30" s="1353"/>
      <c r="C30" s="1353"/>
      <c r="D30" s="85" t="s">
        <v>28</v>
      </c>
      <c r="E30" s="50"/>
      <c r="F30" s="49"/>
      <c r="G30" s="230">
        <f>SUM(G21:G29)</f>
        <v>521049</v>
      </c>
      <c r="H30" s="9"/>
      <c r="I30" s="8"/>
      <c r="J30" s="13"/>
      <c r="K30" s="8"/>
      <c r="L30" s="13"/>
      <c r="M30" s="14"/>
      <c r="N30" s="14"/>
      <c r="O30" s="15"/>
      <c r="P30" s="5"/>
    </row>
    <row r="31" spans="1:21" ht="3.75" customHeight="1">
      <c r="A31" s="226"/>
      <c r="B31" s="4"/>
      <c r="C31" s="6"/>
      <c r="D31" s="4"/>
      <c r="E31" s="4"/>
      <c r="F31" s="4"/>
      <c r="G31" s="227"/>
      <c r="H31" s="9"/>
      <c r="I31" s="8"/>
      <c r="J31" s="13"/>
      <c r="K31" s="18"/>
      <c r="L31" s="13"/>
      <c r="M31" s="33"/>
      <c r="N31" s="33"/>
      <c r="O31" s="15"/>
      <c r="P31" s="5"/>
    </row>
    <row r="32" spans="1:21" ht="22.5" customHeight="1">
      <c r="A32" s="1354" t="s">
        <v>71</v>
      </c>
      <c r="B32" s="1355"/>
      <c r="C32" s="1355"/>
      <c r="D32" s="1355"/>
      <c r="E32" s="1355"/>
      <c r="F32" s="1355"/>
      <c r="G32" s="1356"/>
      <c r="H32" s="9"/>
    </row>
    <row r="33" spans="1:16" ht="3.75" customHeight="1">
      <c r="A33" s="226"/>
      <c r="B33" s="4"/>
      <c r="C33" s="6"/>
      <c r="D33" s="4"/>
      <c r="E33" s="4"/>
      <c r="F33" s="4"/>
      <c r="G33" s="227"/>
      <c r="H33" s="9"/>
      <c r="I33" s="8"/>
      <c r="J33" s="13"/>
      <c r="K33" s="8"/>
      <c r="L33" s="8"/>
      <c r="M33" s="8"/>
      <c r="N33" s="8"/>
      <c r="O33" s="15"/>
      <c r="P33" s="5"/>
    </row>
    <row r="34" spans="1:16">
      <c r="A34" s="232" t="s">
        <v>5</v>
      </c>
      <c r="B34" s="60" t="s">
        <v>29</v>
      </c>
      <c r="C34" s="60" t="s">
        <v>30</v>
      </c>
      <c r="D34" s="60" t="s">
        <v>31</v>
      </c>
      <c r="E34" s="60" t="s">
        <v>32</v>
      </c>
      <c r="F34" s="60" t="s">
        <v>20</v>
      </c>
      <c r="G34" s="228" t="s">
        <v>33</v>
      </c>
      <c r="H34" s="27"/>
      <c r="I34" s="8"/>
      <c r="J34" s="13"/>
      <c r="K34" s="8"/>
      <c r="L34" s="8"/>
      <c r="M34" s="8"/>
      <c r="N34" s="8"/>
      <c r="O34" s="15"/>
      <c r="P34" s="5"/>
    </row>
    <row r="35" spans="1:16">
      <c r="A35" s="233" t="s">
        <v>41</v>
      </c>
      <c r="B35" s="63">
        <f>BOF</f>
        <v>51749</v>
      </c>
      <c r="C35" s="68">
        <f>ffpp</f>
        <v>0.64539999999999997</v>
      </c>
      <c r="D35" s="72">
        <v>1</v>
      </c>
      <c r="E35" s="66">
        <f>OF</f>
        <v>88696</v>
      </c>
      <c r="F35" s="65">
        <v>4</v>
      </c>
      <c r="G35" s="231">
        <f>ROUND(+D35*E35/F35,0)</f>
        <v>22174</v>
      </c>
      <c r="H35" s="296">
        <v>8.9</v>
      </c>
      <c r="I35" s="16">
        <f>F35*0.22</f>
        <v>0.88</v>
      </c>
      <c r="J35" s="13"/>
      <c r="K35" s="8"/>
      <c r="L35" s="8"/>
      <c r="M35" s="8"/>
      <c r="N35" s="8"/>
      <c r="O35" s="15"/>
      <c r="P35" s="5"/>
    </row>
    <row r="36" spans="1:16">
      <c r="A36" s="233" t="s">
        <v>38</v>
      </c>
      <c r="B36" s="63">
        <f>BOB</f>
        <v>41749</v>
      </c>
      <c r="C36" s="68">
        <f>ffpp</f>
        <v>0.64539999999999997</v>
      </c>
      <c r="D36" s="72">
        <v>5</v>
      </c>
      <c r="E36" s="66">
        <f>OB</f>
        <v>72242</v>
      </c>
      <c r="F36" s="65">
        <f>+F35</f>
        <v>4</v>
      </c>
      <c r="G36" s="231">
        <f>ROUND(+D36*E36/F36,0)</f>
        <v>90303</v>
      </c>
      <c r="H36" s="9"/>
      <c r="I36" s="8"/>
      <c r="J36" s="8"/>
      <c r="K36" s="13"/>
      <c r="L36" s="13"/>
      <c r="M36" s="13"/>
      <c r="N36" s="13"/>
      <c r="O36" s="13"/>
      <c r="P36" s="5"/>
    </row>
    <row r="37" spans="1:16">
      <c r="A37" s="234"/>
      <c r="B37" s="50"/>
      <c r="C37" s="961"/>
      <c r="D37" s="50"/>
      <c r="E37" s="50"/>
      <c r="F37" s="50"/>
      <c r="G37" s="235"/>
      <c r="H37" s="9"/>
      <c r="I37" s="8"/>
      <c r="J37" s="13"/>
      <c r="K37" s="13"/>
      <c r="L37" s="13"/>
      <c r="M37" s="33"/>
      <c r="N37" s="33"/>
      <c r="O37" s="43"/>
      <c r="P37" s="5"/>
    </row>
    <row r="38" spans="1:16">
      <c r="A38" s="233"/>
      <c r="B38" s="65"/>
      <c r="C38" s="68"/>
      <c r="D38" s="65"/>
      <c r="E38" s="69"/>
      <c r="F38" s="69"/>
      <c r="G38" s="236"/>
      <c r="H38" s="9"/>
      <c r="I38" s="8"/>
      <c r="J38" s="13"/>
      <c r="K38" s="13"/>
      <c r="L38" s="13"/>
      <c r="M38" s="33"/>
      <c r="N38" s="33"/>
      <c r="O38" s="43"/>
      <c r="P38" s="5"/>
    </row>
    <row r="39" spans="1:16">
      <c r="A39" s="249"/>
      <c r="B39" s="71"/>
      <c r="C39" s="71"/>
      <c r="D39" s="71" t="s">
        <v>34</v>
      </c>
      <c r="E39" s="71"/>
      <c r="F39" s="71"/>
      <c r="G39" s="250">
        <f>SUM(G35:G38)</f>
        <v>112477</v>
      </c>
      <c r="H39" s="9"/>
      <c r="I39" s="8"/>
      <c r="J39" s="13"/>
      <c r="K39" s="13"/>
      <c r="L39" s="13"/>
      <c r="M39" s="14"/>
      <c r="N39" s="14"/>
      <c r="O39" s="15"/>
      <c r="P39" s="5"/>
    </row>
    <row r="40" spans="1:16">
      <c r="A40" s="226"/>
      <c r="B40" s="4"/>
      <c r="C40" s="6"/>
      <c r="D40" s="4"/>
      <c r="E40" s="4"/>
      <c r="F40" s="4"/>
      <c r="G40" s="227"/>
      <c r="H40" s="9"/>
      <c r="I40" s="8"/>
      <c r="J40" s="13"/>
      <c r="K40" s="13"/>
      <c r="L40" s="13"/>
      <c r="M40" s="14"/>
      <c r="N40" s="14"/>
      <c r="O40" s="19"/>
      <c r="P40" s="5"/>
    </row>
    <row r="41" spans="1:16">
      <c r="A41" s="226"/>
      <c r="B41" s="4"/>
      <c r="C41" s="6"/>
      <c r="D41" s="4"/>
      <c r="E41" s="4"/>
      <c r="F41" s="4"/>
      <c r="G41" s="227"/>
      <c r="H41" s="9"/>
      <c r="I41" s="8"/>
      <c r="J41" s="13"/>
      <c r="K41" s="13"/>
      <c r="L41" s="13"/>
      <c r="M41" s="17"/>
      <c r="N41" s="17"/>
      <c r="O41" s="37"/>
      <c r="P41" s="5"/>
    </row>
    <row r="42" spans="1:16" ht="14.25">
      <c r="A42" s="226"/>
      <c r="B42" s="4"/>
      <c r="C42" s="6"/>
      <c r="D42" s="1357" t="s">
        <v>35</v>
      </c>
      <c r="E42" s="1358"/>
      <c r="F42" s="1359"/>
      <c r="G42" s="239">
        <f>+G39+G30+G16</f>
        <v>639150</v>
      </c>
      <c r="H42" s="293">
        <v>183333</v>
      </c>
      <c r="I42" s="293">
        <f>G42/0.22</f>
        <v>2905227</v>
      </c>
      <c r="J42" s="13"/>
      <c r="K42" s="8"/>
      <c r="L42" s="8"/>
      <c r="M42" s="8"/>
      <c r="N42" s="8"/>
      <c r="O42" s="8"/>
      <c r="P42" s="5"/>
    </row>
    <row r="43" spans="1:16" ht="14.25">
      <c r="A43" s="240"/>
      <c r="B43" s="57"/>
      <c r="C43" s="58"/>
      <c r="D43" s="99"/>
      <c r="E43" s="99"/>
      <c r="F43" s="99"/>
      <c r="G43" s="251"/>
      <c r="H43" s="206"/>
      <c r="I43" s="8"/>
      <c r="J43" s="13"/>
      <c r="K43" s="8"/>
      <c r="L43" s="8"/>
      <c r="M43" s="8"/>
      <c r="N43" s="8"/>
      <c r="O43" s="8"/>
      <c r="P43" s="5"/>
    </row>
    <row r="44" spans="1:16" ht="14.25">
      <c r="A44" s="374"/>
      <c r="B44" s="375"/>
      <c r="C44" s="375"/>
      <c r="D44" s="99"/>
      <c r="E44" s="99"/>
      <c r="F44" s="99"/>
      <c r="G44" s="251"/>
      <c r="H44" s="9"/>
      <c r="I44" s="8"/>
      <c r="J44" s="13"/>
      <c r="K44" s="8"/>
      <c r="L44" s="8"/>
      <c r="M44" s="8"/>
      <c r="N44" s="8"/>
      <c r="O44" s="8"/>
      <c r="P44" s="5"/>
    </row>
    <row r="45" spans="1:16" ht="14.25">
      <c r="A45" s="373"/>
      <c r="B45" s="376"/>
      <c r="C45" s="376"/>
      <c r="D45" s="99"/>
      <c r="E45" s="99"/>
      <c r="F45" s="99"/>
      <c r="G45" s="251"/>
      <c r="H45" s="9"/>
      <c r="I45" s="8"/>
      <c r="J45" s="13"/>
      <c r="K45" s="8"/>
      <c r="L45" s="8"/>
      <c r="M45" s="8"/>
      <c r="N45" s="8"/>
      <c r="O45" s="8"/>
      <c r="P45" s="5"/>
    </row>
    <row r="46" spans="1:16" ht="14.25">
      <c r="A46" s="373"/>
      <c r="B46" s="376"/>
      <c r="C46" s="376"/>
      <c r="D46" s="44"/>
      <c r="E46" s="45"/>
      <c r="F46" s="45"/>
      <c r="G46" s="251"/>
      <c r="H46" s="9"/>
      <c r="I46" s="8"/>
      <c r="J46" s="13"/>
      <c r="K46" s="8"/>
      <c r="L46" s="8"/>
      <c r="M46" s="8"/>
      <c r="N46" s="8"/>
      <c r="O46" s="8"/>
      <c r="P46" s="5"/>
    </row>
    <row r="47" spans="1:16" ht="15" thickBot="1">
      <c r="A47" s="242"/>
      <c r="B47" s="243"/>
      <c r="C47" s="244"/>
      <c r="D47" s="245"/>
      <c r="E47" s="246"/>
      <c r="F47" s="246"/>
      <c r="G47" s="247"/>
      <c r="H47" s="9"/>
      <c r="I47" s="8"/>
      <c r="J47" s="13"/>
      <c r="K47" s="8"/>
      <c r="L47" s="8"/>
      <c r="M47" s="8"/>
      <c r="N47" s="8"/>
      <c r="O47" s="8"/>
      <c r="P47" s="5"/>
    </row>
    <row r="48" spans="1:16">
      <c r="I48" s="5"/>
      <c r="J48" s="5"/>
      <c r="K48" s="5"/>
      <c r="L48" s="5"/>
      <c r="M48" s="5"/>
      <c r="N48" s="5"/>
      <c r="O48" s="5"/>
      <c r="P48" s="5"/>
    </row>
    <row r="49" spans="9:16">
      <c r="I49" s="5"/>
      <c r="J49" s="5"/>
      <c r="K49" s="5"/>
      <c r="L49" s="5"/>
      <c r="M49" s="5"/>
      <c r="N49" s="5"/>
      <c r="O49" s="5"/>
      <c r="P49" s="5"/>
    </row>
  </sheetData>
  <mergeCells count="26">
    <mergeCell ref="A32:G32"/>
    <mergeCell ref="D42:F42"/>
    <mergeCell ref="A25:C25"/>
    <mergeCell ref="A26:C26"/>
    <mergeCell ref="A27:C27"/>
    <mergeCell ref="A28:C28"/>
    <mergeCell ref="A29:C29"/>
    <mergeCell ref="A30:C30"/>
    <mergeCell ref="A24:C24"/>
    <mergeCell ref="A11:C11"/>
    <mergeCell ref="A12:C12"/>
    <mergeCell ref="A13:C13"/>
    <mergeCell ref="A14:C14"/>
    <mergeCell ref="A15:C15"/>
    <mergeCell ref="A16:C16"/>
    <mergeCell ref="A18:G18"/>
    <mergeCell ref="A20:C20"/>
    <mergeCell ref="A21:C21"/>
    <mergeCell ref="A22:C22"/>
    <mergeCell ref="A23:C23"/>
    <mergeCell ref="A10:C10"/>
    <mergeCell ref="A1:G1"/>
    <mergeCell ref="A2:G2"/>
    <mergeCell ref="A3:G4"/>
    <mergeCell ref="B6:E6"/>
    <mergeCell ref="A8:G8"/>
  </mergeCells>
  <printOptions horizontalCentered="1" verticalCentered="1"/>
  <pageMargins left="0.74803149606299213" right="0.74803149606299213" top="0" bottom="0.98425196850393704" header="0" footer="0"/>
  <pageSetup scale="90" orientation="portrait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2"/>
  <dimension ref="A1:U49"/>
  <sheetViews>
    <sheetView view="pageBreakPreview" topLeftCell="A7" zoomScaleNormal="100" zoomScaleSheetLayoutView="100" workbookViewId="0">
      <selection activeCell="I7" sqref="I7"/>
    </sheetView>
  </sheetViews>
  <sheetFormatPr baseColWidth="10" defaultColWidth="10.7109375" defaultRowHeight="12.75"/>
  <cols>
    <col min="1" max="1" width="15.85546875" style="380" customWidth="1"/>
    <col min="2" max="2" width="14.85546875" style="380" customWidth="1"/>
    <col min="3" max="3" width="13.28515625" style="380" customWidth="1"/>
    <col min="4" max="4" width="11.42578125" style="380"/>
    <col min="5" max="5" width="13.42578125" style="380" customWidth="1"/>
    <col min="6" max="6" width="12.7109375" style="380" customWidth="1"/>
    <col min="7" max="7" width="14" style="380" customWidth="1"/>
    <col min="8" max="8" width="7.42578125" style="380" customWidth="1"/>
    <col min="9" max="256" width="11.42578125" style="380"/>
    <col min="257" max="257" width="15.85546875" style="380" customWidth="1"/>
    <col min="258" max="258" width="14.85546875" style="380" customWidth="1"/>
    <col min="259" max="259" width="13.28515625" style="380" customWidth="1"/>
    <col min="260" max="260" width="11.42578125" style="380"/>
    <col min="261" max="261" width="13.42578125" style="380" customWidth="1"/>
    <col min="262" max="262" width="12.7109375" style="380" customWidth="1"/>
    <col min="263" max="263" width="14" style="380" customWidth="1"/>
    <col min="264" max="264" width="7.42578125" style="380" customWidth="1"/>
    <col min="265" max="512" width="11.42578125" style="380"/>
    <col min="513" max="513" width="15.85546875" style="380" customWidth="1"/>
    <col min="514" max="514" width="14.85546875" style="380" customWidth="1"/>
    <col min="515" max="515" width="13.28515625" style="380" customWidth="1"/>
    <col min="516" max="516" width="11.42578125" style="380"/>
    <col min="517" max="517" width="13.42578125" style="380" customWidth="1"/>
    <col min="518" max="518" width="12.7109375" style="380" customWidth="1"/>
    <col min="519" max="519" width="14" style="380" customWidth="1"/>
    <col min="520" max="520" width="7.42578125" style="380" customWidth="1"/>
    <col min="521" max="768" width="11.42578125" style="380"/>
    <col min="769" max="769" width="15.85546875" style="380" customWidth="1"/>
    <col min="770" max="770" width="14.85546875" style="380" customWidth="1"/>
    <col min="771" max="771" width="13.28515625" style="380" customWidth="1"/>
    <col min="772" max="772" width="11.42578125" style="380"/>
    <col min="773" max="773" width="13.42578125" style="380" customWidth="1"/>
    <col min="774" max="774" width="12.7109375" style="380" customWidth="1"/>
    <col min="775" max="775" width="14" style="380" customWidth="1"/>
    <col min="776" max="776" width="7.42578125" style="380" customWidth="1"/>
    <col min="777" max="1024" width="11.42578125" style="380"/>
    <col min="1025" max="1025" width="15.85546875" style="380" customWidth="1"/>
    <col min="1026" max="1026" width="14.85546875" style="380" customWidth="1"/>
    <col min="1027" max="1027" width="13.28515625" style="380" customWidth="1"/>
    <col min="1028" max="1028" width="11.42578125" style="380"/>
    <col min="1029" max="1029" width="13.42578125" style="380" customWidth="1"/>
    <col min="1030" max="1030" width="12.7109375" style="380" customWidth="1"/>
    <col min="1031" max="1031" width="14" style="380" customWidth="1"/>
    <col min="1032" max="1032" width="7.42578125" style="380" customWidth="1"/>
    <col min="1033" max="1280" width="11.42578125" style="380"/>
    <col min="1281" max="1281" width="15.85546875" style="380" customWidth="1"/>
    <col min="1282" max="1282" width="14.85546875" style="380" customWidth="1"/>
    <col min="1283" max="1283" width="13.28515625" style="380" customWidth="1"/>
    <col min="1284" max="1284" width="11.42578125" style="380"/>
    <col min="1285" max="1285" width="13.42578125" style="380" customWidth="1"/>
    <col min="1286" max="1286" width="12.7109375" style="380" customWidth="1"/>
    <col min="1287" max="1287" width="14" style="380" customWidth="1"/>
    <col min="1288" max="1288" width="7.42578125" style="380" customWidth="1"/>
    <col min="1289" max="1536" width="11.42578125" style="380"/>
    <col min="1537" max="1537" width="15.85546875" style="380" customWidth="1"/>
    <col min="1538" max="1538" width="14.85546875" style="380" customWidth="1"/>
    <col min="1539" max="1539" width="13.28515625" style="380" customWidth="1"/>
    <col min="1540" max="1540" width="11.42578125" style="380"/>
    <col min="1541" max="1541" width="13.42578125" style="380" customWidth="1"/>
    <col min="1542" max="1542" width="12.7109375" style="380" customWidth="1"/>
    <col min="1543" max="1543" width="14" style="380" customWidth="1"/>
    <col min="1544" max="1544" width="7.42578125" style="380" customWidth="1"/>
    <col min="1545" max="1792" width="11.42578125" style="380"/>
    <col min="1793" max="1793" width="15.85546875" style="380" customWidth="1"/>
    <col min="1794" max="1794" width="14.85546875" style="380" customWidth="1"/>
    <col min="1795" max="1795" width="13.28515625" style="380" customWidth="1"/>
    <col min="1796" max="1796" width="11.42578125" style="380"/>
    <col min="1797" max="1797" width="13.42578125" style="380" customWidth="1"/>
    <col min="1798" max="1798" width="12.7109375" style="380" customWidth="1"/>
    <col min="1799" max="1799" width="14" style="380" customWidth="1"/>
    <col min="1800" max="1800" width="7.42578125" style="380" customWidth="1"/>
    <col min="1801" max="2048" width="11.42578125" style="380"/>
    <col min="2049" max="2049" width="15.85546875" style="380" customWidth="1"/>
    <col min="2050" max="2050" width="14.85546875" style="380" customWidth="1"/>
    <col min="2051" max="2051" width="13.28515625" style="380" customWidth="1"/>
    <col min="2052" max="2052" width="11.42578125" style="380"/>
    <col min="2053" max="2053" width="13.42578125" style="380" customWidth="1"/>
    <col min="2054" max="2054" width="12.7109375" style="380" customWidth="1"/>
    <col min="2055" max="2055" width="14" style="380" customWidth="1"/>
    <col min="2056" max="2056" width="7.42578125" style="380" customWidth="1"/>
    <col min="2057" max="2304" width="11.42578125" style="380"/>
    <col min="2305" max="2305" width="15.85546875" style="380" customWidth="1"/>
    <col min="2306" max="2306" width="14.85546875" style="380" customWidth="1"/>
    <col min="2307" max="2307" width="13.28515625" style="380" customWidth="1"/>
    <col min="2308" max="2308" width="11.42578125" style="380"/>
    <col min="2309" max="2309" width="13.42578125" style="380" customWidth="1"/>
    <col min="2310" max="2310" width="12.7109375" style="380" customWidth="1"/>
    <col min="2311" max="2311" width="14" style="380" customWidth="1"/>
    <col min="2312" max="2312" width="7.42578125" style="380" customWidth="1"/>
    <col min="2313" max="2560" width="11.42578125" style="380"/>
    <col min="2561" max="2561" width="15.85546875" style="380" customWidth="1"/>
    <col min="2562" max="2562" width="14.85546875" style="380" customWidth="1"/>
    <col min="2563" max="2563" width="13.28515625" style="380" customWidth="1"/>
    <col min="2564" max="2564" width="11.42578125" style="380"/>
    <col min="2565" max="2565" width="13.42578125" style="380" customWidth="1"/>
    <col min="2566" max="2566" width="12.7109375" style="380" customWidth="1"/>
    <col min="2567" max="2567" width="14" style="380" customWidth="1"/>
    <col min="2568" max="2568" width="7.42578125" style="380" customWidth="1"/>
    <col min="2569" max="2816" width="11.42578125" style="380"/>
    <col min="2817" max="2817" width="15.85546875" style="380" customWidth="1"/>
    <col min="2818" max="2818" width="14.85546875" style="380" customWidth="1"/>
    <col min="2819" max="2819" width="13.28515625" style="380" customWidth="1"/>
    <col min="2820" max="2820" width="11.42578125" style="380"/>
    <col min="2821" max="2821" width="13.42578125" style="380" customWidth="1"/>
    <col min="2822" max="2822" width="12.7109375" style="380" customWidth="1"/>
    <col min="2823" max="2823" width="14" style="380" customWidth="1"/>
    <col min="2824" max="2824" width="7.42578125" style="380" customWidth="1"/>
    <col min="2825" max="3072" width="11.42578125" style="380"/>
    <col min="3073" max="3073" width="15.85546875" style="380" customWidth="1"/>
    <col min="3074" max="3074" width="14.85546875" style="380" customWidth="1"/>
    <col min="3075" max="3075" width="13.28515625" style="380" customWidth="1"/>
    <col min="3076" max="3076" width="11.42578125" style="380"/>
    <col min="3077" max="3077" width="13.42578125" style="380" customWidth="1"/>
    <col min="3078" max="3078" width="12.7109375" style="380" customWidth="1"/>
    <col min="3079" max="3079" width="14" style="380" customWidth="1"/>
    <col min="3080" max="3080" width="7.42578125" style="380" customWidth="1"/>
    <col min="3081" max="3328" width="11.42578125" style="380"/>
    <col min="3329" max="3329" width="15.85546875" style="380" customWidth="1"/>
    <col min="3330" max="3330" width="14.85546875" style="380" customWidth="1"/>
    <col min="3331" max="3331" width="13.28515625" style="380" customWidth="1"/>
    <col min="3332" max="3332" width="11.42578125" style="380"/>
    <col min="3333" max="3333" width="13.42578125" style="380" customWidth="1"/>
    <col min="3334" max="3334" width="12.7109375" style="380" customWidth="1"/>
    <col min="3335" max="3335" width="14" style="380" customWidth="1"/>
    <col min="3336" max="3336" width="7.42578125" style="380" customWidth="1"/>
    <col min="3337" max="3584" width="11.42578125" style="380"/>
    <col min="3585" max="3585" width="15.85546875" style="380" customWidth="1"/>
    <col min="3586" max="3586" width="14.85546875" style="380" customWidth="1"/>
    <col min="3587" max="3587" width="13.28515625" style="380" customWidth="1"/>
    <col min="3588" max="3588" width="11.42578125" style="380"/>
    <col min="3589" max="3589" width="13.42578125" style="380" customWidth="1"/>
    <col min="3590" max="3590" width="12.7109375" style="380" customWidth="1"/>
    <col min="3591" max="3591" width="14" style="380" customWidth="1"/>
    <col min="3592" max="3592" width="7.42578125" style="380" customWidth="1"/>
    <col min="3593" max="3840" width="11.42578125" style="380"/>
    <col min="3841" max="3841" width="15.85546875" style="380" customWidth="1"/>
    <col min="3842" max="3842" width="14.85546875" style="380" customWidth="1"/>
    <col min="3843" max="3843" width="13.28515625" style="380" customWidth="1"/>
    <col min="3844" max="3844" width="11.42578125" style="380"/>
    <col min="3845" max="3845" width="13.42578125" style="380" customWidth="1"/>
    <col min="3846" max="3846" width="12.7109375" style="380" customWidth="1"/>
    <col min="3847" max="3847" width="14" style="380" customWidth="1"/>
    <col min="3848" max="3848" width="7.42578125" style="380" customWidth="1"/>
    <col min="3849" max="4096" width="11.42578125" style="380"/>
    <col min="4097" max="4097" width="15.85546875" style="380" customWidth="1"/>
    <col min="4098" max="4098" width="14.85546875" style="380" customWidth="1"/>
    <col min="4099" max="4099" width="13.28515625" style="380" customWidth="1"/>
    <col min="4100" max="4100" width="11.42578125" style="380"/>
    <col min="4101" max="4101" width="13.42578125" style="380" customWidth="1"/>
    <col min="4102" max="4102" width="12.7109375" style="380" customWidth="1"/>
    <col min="4103" max="4103" width="14" style="380" customWidth="1"/>
    <col min="4104" max="4104" width="7.42578125" style="380" customWidth="1"/>
    <col min="4105" max="4352" width="11.42578125" style="380"/>
    <col min="4353" max="4353" width="15.85546875" style="380" customWidth="1"/>
    <col min="4354" max="4354" width="14.85546875" style="380" customWidth="1"/>
    <col min="4355" max="4355" width="13.28515625" style="380" customWidth="1"/>
    <col min="4356" max="4356" width="11.42578125" style="380"/>
    <col min="4357" max="4357" width="13.42578125" style="380" customWidth="1"/>
    <col min="4358" max="4358" width="12.7109375" style="380" customWidth="1"/>
    <col min="4359" max="4359" width="14" style="380" customWidth="1"/>
    <col min="4360" max="4360" width="7.42578125" style="380" customWidth="1"/>
    <col min="4361" max="4608" width="11.42578125" style="380"/>
    <col min="4609" max="4609" width="15.85546875" style="380" customWidth="1"/>
    <col min="4610" max="4610" width="14.85546875" style="380" customWidth="1"/>
    <col min="4611" max="4611" width="13.28515625" style="380" customWidth="1"/>
    <col min="4612" max="4612" width="11.42578125" style="380"/>
    <col min="4613" max="4613" width="13.42578125" style="380" customWidth="1"/>
    <col min="4614" max="4614" width="12.7109375" style="380" customWidth="1"/>
    <col min="4615" max="4615" width="14" style="380" customWidth="1"/>
    <col min="4616" max="4616" width="7.42578125" style="380" customWidth="1"/>
    <col min="4617" max="4864" width="11.42578125" style="380"/>
    <col min="4865" max="4865" width="15.85546875" style="380" customWidth="1"/>
    <col min="4866" max="4866" width="14.85546875" style="380" customWidth="1"/>
    <col min="4867" max="4867" width="13.28515625" style="380" customWidth="1"/>
    <col min="4868" max="4868" width="11.42578125" style="380"/>
    <col min="4869" max="4869" width="13.42578125" style="380" customWidth="1"/>
    <col min="4870" max="4870" width="12.7109375" style="380" customWidth="1"/>
    <col min="4871" max="4871" width="14" style="380" customWidth="1"/>
    <col min="4872" max="4872" width="7.42578125" style="380" customWidth="1"/>
    <col min="4873" max="5120" width="11.42578125" style="380"/>
    <col min="5121" max="5121" width="15.85546875" style="380" customWidth="1"/>
    <col min="5122" max="5122" width="14.85546875" style="380" customWidth="1"/>
    <col min="5123" max="5123" width="13.28515625" style="380" customWidth="1"/>
    <col min="5124" max="5124" width="11.42578125" style="380"/>
    <col min="5125" max="5125" width="13.42578125" style="380" customWidth="1"/>
    <col min="5126" max="5126" width="12.7109375" style="380" customWidth="1"/>
    <col min="5127" max="5127" width="14" style="380" customWidth="1"/>
    <col min="5128" max="5128" width="7.42578125" style="380" customWidth="1"/>
    <col min="5129" max="5376" width="11.42578125" style="380"/>
    <col min="5377" max="5377" width="15.85546875" style="380" customWidth="1"/>
    <col min="5378" max="5378" width="14.85546875" style="380" customWidth="1"/>
    <col min="5379" max="5379" width="13.28515625" style="380" customWidth="1"/>
    <col min="5380" max="5380" width="11.42578125" style="380"/>
    <col min="5381" max="5381" width="13.42578125" style="380" customWidth="1"/>
    <col min="5382" max="5382" width="12.7109375" style="380" customWidth="1"/>
    <col min="5383" max="5383" width="14" style="380" customWidth="1"/>
    <col min="5384" max="5384" width="7.42578125" style="380" customWidth="1"/>
    <col min="5385" max="5632" width="11.42578125" style="380"/>
    <col min="5633" max="5633" width="15.85546875" style="380" customWidth="1"/>
    <col min="5634" max="5634" width="14.85546875" style="380" customWidth="1"/>
    <col min="5635" max="5635" width="13.28515625" style="380" customWidth="1"/>
    <col min="5636" max="5636" width="11.42578125" style="380"/>
    <col min="5637" max="5637" width="13.42578125" style="380" customWidth="1"/>
    <col min="5638" max="5638" width="12.7109375" style="380" customWidth="1"/>
    <col min="5639" max="5639" width="14" style="380" customWidth="1"/>
    <col min="5640" max="5640" width="7.42578125" style="380" customWidth="1"/>
    <col min="5641" max="5888" width="11.42578125" style="380"/>
    <col min="5889" max="5889" width="15.85546875" style="380" customWidth="1"/>
    <col min="5890" max="5890" width="14.85546875" style="380" customWidth="1"/>
    <col min="5891" max="5891" width="13.28515625" style="380" customWidth="1"/>
    <col min="5892" max="5892" width="11.42578125" style="380"/>
    <col min="5893" max="5893" width="13.42578125" style="380" customWidth="1"/>
    <col min="5894" max="5894" width="12.7109375" style="380" customWidth="1"/>
    <col min="5895" max="5895" width="14" style="380" customWidth="1"/>
    <col min="5896" max="5896" width="7.42578125" style="380" customWidth="1"/>
    <col min="5897" max="6144" width="11.42578125" style="380"/>
    <col min="6145" max="6145" width="15.85546875" style="380" customWidth="1"/>
    <col min="6146" max="6146" width="14.85546875" style="380" customWidth="1"/>
    <col min="6147" max="6147" width="13.28515625" style="380" customWidth="1"/>
    <col min="6148" max="6148" width="11.42578125" style="380"/>
    <col min="6149" max="6149" width="13.42578125" style="380" customWidth="1"/>
    <col min="6150" max="6150" width="12.7109375" style="380" customWidth="1"/>
    <col min="6151" max="6151" width="14" style="380" customWidth="1"/>
    <col min="6152" max="6152" width="7.42578125" style="380" customWidth="1"/>
    <col min="6153" max="6400" width="11.42578125" style="380"/>
    <col min="6401" max="6401" width="15.85546875" style="380" customWidth="1"/>
    <col min="6402" max="6402" width="14.85546875" style="380" customWidth="1"/>
    <col min="6403" max="6403" width="13.28515625" style="380" customWidth="1"/>
    <col min="6404" max="6404" width="11.42578125" style="380"/>
    <col min="6405" max="6405" width="13.42578125" style="380" customWidth="1"/>
    <col min="6406" max="6406" width="12.7109375" style="380" customWidth="1"/>
    <col min="6407" max="6407" width="14" style="380" customWidth="1"/>
    <col min="6408" max="6408" width="7.42578125" style="380" customWidth="1"/>
    <col min="6409" max="6656" width="11.42578125" style="380"/>
    <col min="6657" max="6657" width="15.85546875" style="380" customWidth="1"/>
    <col min="6658" max="6658" width="14.85546875" style="380" customWidth="1"/>
    <col min="6659" max="6659" width="13.28515625" style="380" customWidth="1"/>
    <col min="6660" max="6660" width="11.42578125" style="380"/>
    <col min="6661" max="6661" width="13.42578125" style="380" customWidth="1"/>
    <col min="6662" max="6662" width="12.7109375" style="380" customWidth="1"/>
    <col min="6663" max="6663" width="14" style="380" customWidth="1"/>
    <col min="6664" max="6664" width="7.42578125" style="380" customWidth="1"/>
    <col min="6665" max="6912" width="11.42578125" style="380"/>
    <col min="6913" max="6913" width="15.85546875" style="380" customWidth="1"/>
    <col min="6914" max="6914" width="14.85546875" style="380" customWidth="1"/>
    <col min="6915" max="6915" width="13.28515625" style="380" customWidth="1"/>
    <col min="6916" max="6916" width="11.42578125" style="380"/>
    <col min="6917" max="6917" width="13.42578125" style="380" customWidth="1"/>
    <col min="6918" max="6918" width="12.7109375" style="380" customWidth="1"/>
    <col min="6919" max="6919" width="14" style="380" customWidth="1"/>
    <col min="6920" max="6920" width="7.42578125" style="380" customWidth="1"/>
    <col min="6921" max="7168" width="11.42578125" style="380"/>
    <col min="7169" max="7169" width="15.85546875" style="380" customWidth="1"/>
    <col min="7170" max="7170" width="14.85546875" style="380" customWidth="1"/>
    <col min="7171" max="7171" width="13.28515625" style="380" customWidth="1"/>
    <col min="7172" max="7172" width="11.42578125" style="380"/>
    <col min="7173" max="7173" width="13.42578125" style="380" customWidth="1"/>
    <col min="7174" max="7174" width="12.7109375" style="380" customWidth="1"/>
    <col min="7175" max="7175" width="14" style="380" customWidth="1"/>
    <col min="7176" max="7176" width="7.42578125" style="380" customWidth="1"/>
    <col min="7177" max="7424" width="11.42578125" style="380"/>
    <col min="7425" max="7425" width="15.85546875" style="380" customWidth="1"/>
    <col min="7426" max="7426" width="14.85546875" style="380" customWidth="1"/>
    <col min="7427" max="7427" width="13.28515625" style="380" customWidth="1"/>
    <col min="7428" max="7428" width="11.42578125" style="380"/>
    <col min="7429" max="7429" width="13.42578125" style="380" customWidth="1"/>
    <col min="7430" max="7430" width="12.7109375" style="380" customWidth="1"/>
    <col min="7431" max="7431" width="14" style="380" customWidth="1"/>
    <col min="7432" max="7432" width="7.42578125" style="380" customWidth="1"/>
    <col min="7433" max="7680" width="11.42578125" style="380"/>
    <col min="7681" max="7681" width="15.85546875" style="380" customWidth="1"/>
    <col min="7682" max="7682" width="14.85546875" style="380" customWidth="1"/>
    <col min="7683" max="7683" width="13.28515625" style="380" customWidth="1"/>
    <col min="7684" max="7684" width="11.42578125" style="380"/>
    <col min="7685" max="7685" width="13.42578125" style="380" customWidth="1"/>
    <col min="7686" max="7686" width="12.7109375" style="380" customWidth="1"/>
    <col min="7687" max="7687" width="14" style="380" customWidth="1"/>
    <col min="7688" max="7688" width="7.42578125" style="380" customWidth="1"/>
    <col min="7689" max="7936" width="11.42578125" style="380"/>
    <col min="7937" max="7937" width="15.85546875" style="380" customWidth="1"/>
    <col min="7938" max="7938" width="14.85546875" style="380" customWidth="1"/>
    <col min="7939" max="7939" width="13.28515625" style="380" customWidth="1"/>
    <col min="7940" max="7940" width="11.42578125" style="380"/>
    <col min="7941" max="7941" width="13.42578125" style="380" customWidth="1"/>
    <col min="7942" max="7942" width="12.7109375" style="380" customWidth="1"/>
    <col min="7943" max="7943" width="14" style="380" customWidth="1"/>
    <col min="7944" max="7944" width="7.42578125" style="380" customWidth="1"/>
    <col min="7945" max="8192" width="11.42578125" style="380"/>
    <col min="8193" max="8193" width="15.85546875" style="380" customWidth="1"/>
    <col min="8194" max="8194" width="14.85546875" style="380" customWidth="1"/>
    <col min="8195" max="8195" width="13.28515625" style="380" customWidth="1"/>
    <col min="8196" max="8196" width="11.42578125" style="380"/>
    <col min="8197" max="8197" width="13.42578125" style="380" customWidth="1"/>
    <col min="8198" max="8198" width="12.7109375" style="380" customWidth="1"/>
    <col min="8199" max="8199" width="14" style="380" customWidth="1"/>
    <col min="8200" max="8200" width="7.42578125" style="380" customWidth="1"/>
    <col min="8201" max="8448" width="11.42578125" style="380"/>
    <col min="8449" max="8449" width="15.85546875" style="380" customWidth="1"/>
    <col min="8450" max="8450" width="14.85546875" style="380" customWidth="1"/>
    <col min="8451" max="8451" width="13.28515625" style="380" customWidth="1"/>
    <col min="8452" max="8452" width="11.42578125" style="380"/>
    <col min="8453" max="8453" width="13.42578125" style="380" customWidth="1"/>
    <col min="8454" max="8454" width="12.7109375" style="380" customWidth="1"/>
    <col min="8455" max="8455" width="14" style="380" customWidth="1"/>
    <col min="8456" max="8456" width="7.42578125" style="380" customWidth="1"/>
    <col min="8457" max="8704" width="11.42578125" style="380"/>
    <col min="8705" max="8705" width="15.85546875" style="380" customWidth="1"/>
    <col min="8706" max="8706" width="14.85546875" style="380" customWidth="1"/>
    <col min="8707" max="8707" width="13.28515625" style="380" customWidth="1"/>
    <col min="8708" max="8708" width="11.42578125" style="380"/>
    <col min="8709" max="8709" width="13.42578125" style="380" customWidth="1"/>
    <col min="8710" max="8710" width="12.7109375" style="380" customWidth="1"/>
    <col min="8711" max="8711" width="14" style="380" customWidth="1"/>
    <col min="8712" max="8712" width="7.42578125" style="380" customWidth="1"/>
    <col min="8713" max="8960" width="11.42578125" style="380"/>
    <col min="8961" max="8961" width="15.85546875" style="380" customWidth="1"/>
    <col min="8962" max="8962" width="14.85546875" style="380" customWidth="1"/>
    <col min="8963" max="8963" width="13.28515625" style="380" customWidth="1"/>
    <col min="8964" max="8964" width="11.42578125" style="380"/>
    <col min="8965" max="8965" width="13.42578125" style="380" customWidth="1"/>
    <col min="8966" max="8966" width="12.7109375" style="380" customWidth="1"/>
    <col min="8967" max="8967" width="14" style="380" customWidth="1"/>
    <col min="8968" max="8968" width="7.42578125" style="380" customWidth="1"/>
    <col min="8969" max="9216" width="11.42578125" style="380"/>
    <col min="9217" max="9217" width="15.85546875" style="380" customWidth="1"/>
    <col min="9218" max="9218" width="14.85546875" style="380" customWidth="1"/>
    <col min="9219" max="9219" width="13.28515625" style="380" customWidth="1"/>
    <col min="9220" max="9220" width="11.42578125" style="380"/>
    <col min="9221" max="9221" width="13.42578125" style="380" customWidth="1"/>
    <col min="9222" max="9222" width="12.7109375" style="380" customWidth="1"/>
    <col min="9223" max="9223" width="14" style="380" customWidth="1"/>
    <col min="9224" max="9224" width="7.42578125" style="380" customWidth="1"/>
    <col min="9225" max="9472" width="11.42578125" style="380"/>
    <col min="9473" max="9473" width="15.85546875" style="380" customWidth="1"/>
    <col min="9474" max="9474" width="14.85546875" style="380" customWidth="1"/>
    <col min="9475" max="9475" width="13.28515625" style="380" customWidth="1"/>
    <col min="9476" max="9476" width="11.42578125" style="380"/>
    <col min="9477" max="9477" width="13.42578125" style="380" customWidth="1"/>
    <col min="9478" max="9478" width="12.7109375" style="380" customWidth="1"/>
    <col min="9479" max="9479" width="14" style="380" customWidth="1"/>
    <col min="9480" max="9480" width="7.42578125" style="380" customWidth="1"/>
    <col min="9481" max="9728" width="11.42578125" style="380"/>
    <col min="9729" max="9729" width="15.85546875" style="380" customWidth="1"/>
    <col min="9730" max="9730" width="14.85546875" style="380" customWidth="1"/>
    <col min="9731" max="9731" width="13.28515625" style="380" customWidth="1"/>
    <col min="9732" max="9732" width="11.42578125" style="380"/>
    <col min="9733" max="9733" width="13.42578125" style="380" customWidth="1"/>
    <col min="9734" max="9734" width="12.7109375" style="380" customWidth="1"/>
    <col min="9735" max="9735" width="14" style="380" customWidth="1"/>
    <col min="9736" max="9736" width="7.42578125" style="380" customWidth="1"/>
    <col min="9737" max="9984" width="11.42578125" style="380"/>
    <col min="9985" max="9985" width="15.85546875" style="380" customWidth="1"/>
    <col min="9986" max="9986" width="14.85546875" style="380" customWidth="1"/>
    <col min="9987" max="9987" width="13.28515625" style="380" customWidth="1"/>
    <col min="9988" max="9988" width="11.42578125" style="380"/>
    <col min="9989" max="9989" width="13.42578125" style="380" customWidth="1"/>
    <col min="9990" max="9990" width="12.7109375" style="380" customWidth="1"/>
    <col min="9991" max="9991" width="14" style="380" customWidth="1"/>
    <col min="9992" max="9992" width="7.42578125" style="380" customWidth="1"/>
    <col min="9993" max="10240" width="11.42578125" style="380"/>
    <col min="10241" max="10241" width="15.85546875" style="380" customWidth="1"/>
    <col min="10242" max="10242" width="14.85546875" style="380" customWidth="1"/>
    <col min="10243" max="10243" width="13.28515625" style="380" customWidth="1"/>
    <col min="10244" max="10244" width="11.42578125" style="380"/>
    <col min="10245" max="10245" width="13.42578125" style="380" customWidth="1"/>
    <col min="10246" max="10246" width="12.7109375" style="380" customWidth="1"/>
    <col min="10247" max="10247" width="14" style="380" customWidth="1"/>
    <col min="10248" max="10248" width="7.42578125" style="380" customWidth="1"/>
    <col min="10249" max="10496" width="11.42578125" style="380"/>
    <col min="10497" max="10497" width="15.85546875" style="380" customWidth="1"/>
    <col min="10498" max="10498" width="14.85546875" style="380" customWidth="1"/>
    <col min="10499" max="10499" width="13.28515625" style="380" customWidth="1"/>
    <col min="10500" max="10500" width="11.42578125" style="380"/>
    <col min="10501" max="10501" width="13.42578125" style="380" customWidth="1"/>
    <col min="10502" max="10502" width="12.7109375" style="380" customWidth="1"/>
    <col min="10503" max="10503" width="14" style="380" customWidth="1"/>
    <col min="10504" max="10504" width="7.42578125" style="380" customWidth="1"/>
    <col min="10505" max="10752" width="11.42578125" style="380"/>
    <col min="10753" max="10753" width="15.85546875" style="380" customWidth="1"/>
    <col min="10754" max="10754" width="14.85546875" style="380" customWidth="1"/>
    <col min="10755" max="10755" width="13.28515625" style="380" customWidth="1"/>
    <col min="10756" max="10756" width="11.42578125" style="380"/>
    <col min="10757" max="10757" width="13.42578125" style="380" customWidth="1"/>
    <col min="10758" max="10758" width="12.7109375" style="380" customWidth="1"/>
    <col min="10759" max="10759" width="14" style="380" customWidth="1"/>
    <col min="10760" max="10760" width="7.42578125" style="380" customWidth="1"/>
    <col min="10761" max="11008" width="11.42578125" style="380"/>
    <col min="11009" max="11009" width="15.85546875" style="380" customWidth="1"/>
    <col min="11010" max="11010" width="14.85546875" style="380" customWidth="1"/>
    <col min="11011" max="11011" width="13.28515625" style="380" customWidth="1"/>
    <col min="11012" max="11012" width="11.42578125" style="380"/>
    <col min="11013" max="11013" width="13.42578125" style="380" customWidth="1"/>
    <col min="11014" max="11014" width="12.7109375" style="380" customWidth="1"/>
    <col min="11015" max="11015" width="14" style="380" customWidth="1"/>
    <col min="11016" max="11016" width="7.42578125" style="380" customWidth="1"/>
    <col min="11017" max="11264" width="11.42578125" style="380"/>
    <col min="11265" max="11265" width="15.85546875" style="380" customWidth="1"/>
    <col min="11266" max="11266" width="14.85546875" style="380" customWidth="1"/>
    <col min="11267" max="11267" width="13.28515625" style="380" customWidth="1"/>
    <col min="11268" max="11268" width="11.42578125" style="380"/>
    <col min="11269" max="11269" width="13.42578125" style="380" customWidth="1"/>
    <col min="11270" max="11270" width="12.7109375" style="380" customWidth="1"/>
    <col min="11271" max="11271" width="14" style="380" customWidth="1"/>
    <col min="11272" max="11272" width="7.42578125" style="380" customWidth="1"/>
    <col min="11273" max="11520" width="11.42578125" style="380"/>
    <col min="11521" max="11521" width="15.85546875" style="380" customWidth="1"/>
    <col min="11522" max="11522" width="14.85546875" style="380" customWidth="1"/>
    <col min="11523" max="11523" width="13.28515625" style="380" customWidth="1"/>
    <col min="11524" max="11524" width="11.42578125" style="380"/>
    <col min="11525" max="11525" width="13.42578125" style="380" customWidth="1"/>
    <col min="11526" max="11526" width="12.7109375" style="380" customWidth="1"/>
    <col min="11527" max="11527" width="14" style="380" customWidth="1"/>
    <col min="11528" max="11528" width="7.42578125" style="380" customWidth="1"/>
    <col min="11529" max="11776" width="11.42578125" style="380"/>
    <col min="11777" max="11777" width="15.85546875" style="380" customWidth="1"/>
    <col min="11778" max="11778" width="14.85546875" style="380" customWidth="1"/>
    <col min="11779" max="11779" width="13.28515625" style="380" customWidth="1"/>
    <col min="11780" max="11780" width="11.42578125" style="380"/>
    <col min="11781" max="11781" width="13.42578125" style="380" customWidth="1"/>
    <col min="11782" max="11782" width="12.7109375" style="380" customWidth="1"/>
    <col min="11783" max="11783" width="14" style="380" customWidth="1"/>
    <col min="11784" max="11784" width="7.42578125" style="380" customWidth="1"/>
    <col min="11785" max="12032" width="11.42578125" style="380"/>
    <col min="12033" max="12033" width="15.85546875" style="380" customWidth="1"/>
    <col min="12034" max="12034" width="14.85546875" style="380" customWidth="1"/>
    <col min="12035" max="12035" width="13.28515625" style="380" customWidth="1"/>
    <col min="12036" max="12036" width="11.42578125" style="380"/>
    <col min="12037" max="12037" width="13.42578125" style="380" customWidth="1"/>
    <col min="12038" max="12038" width="12.7109375" style="380" customWidth="1"/>
    <col min="12039" max="12039" width="14" style="380" customWidth="1"/>
    <col min="12040" max="12040" width="7.42578125" style="380" customWidth="1"/>
    <col min="12041" max="12288" width="11.42578125" style="380"/>
    <col min="12289" max="12289" width="15.85546875" style="380" customWidth="1"/>
    <col min="12290" max="12290" width="14.85546875" style="380" customWidth="1"/>
    <col min="12291" max="12291" width="13.28515625" style="380" customWidth="1"/>
    <col min="12292" max="12292" width="11.42578125" style="380"/>
    <col min="12293" max="12293" width="13.42578125" style="380" customWidth="1"/>
    <col min="12294" max="12294" width="12.7109375" style="380" customWidth="1"/>
    <col min="12295" max="12295" width="14" style="380" customWidth="1"/>
    <col min="12296" max="12296" width="7.42578125" style="380" customWidth="1"/>
    <col min="12297" max="12544" width="11.42578125" style="380"/>
    <col min="12545" max="12545" width="15.85546875" style="380" customWidth="1"/>
    <col min="12546" max="12546" width="14.85546875" style="380" customWidth="1"/>
    <col min="12547" max="12547" width="13.28515625" style="380" customWidth="1"/>
    <col min="12548" max="12548" width="11.42578125" style="380"/>
    <col min="12549" max="12549" width="13.42578125" style="380" customWidth="1"/>
    <col min="12550" max="12550" width="12.7109375" style="380" customWidth="1"/>
    <col min="12551" max="12551" width="14" style="380" customWidth="1"/>
    <col min="12552" max="12552" width="7.42578125" style="380" customWidth="1"/>
    <col min="12553" max="12800" width="11.42578125" style="380"/>
    <col min="12801" max="12801" width="15.85546875" style="380" customWidth="1"/>
    <col min="12802" max="12802" width="14.85546875" style="380" customWidth="1"/>
    <col min="12803" max="12803" width="13.28515625" style="380" customWidth="1"/>
    <col min="12804" max="12804" width="11.42578125" style="380"/>
    <col min="12805" max="12805" width="13.42578125" style="380" customWidth="1"/>
    <col min="12806" max="12806" width="12.7109375" style="380" customWidth="1"/>
    <col min="12807" max="12807" width="14" style="380" customWidth="1"/>
    <col min="12808" max="12808" width="7.42578125" style="380" customWidth="1"/>
    <col min="12809" max="13056" width="11.42578125" style="380"/>
    <col min="13057" max="13057" width="15.85546875" style="380" customWidth="1"/>
    <col min="13058" max="13058" width="14.85546875" style="380" customWidth="1"/>
    <col min="13059" max="13059" width="13.28515625" style="380" customWidth="1"/>
    <col min="13060" max="13060" width="11.42578125" style="380"/>
    <col min="13061" max="13061" width="13.42578125" style="380" customWidth="1"/>
    <col min="13062" max="13062" width="12.7109375" style="380" customWidth="1"/>
    <col min="13063" max="13063" width="14" style="380" customWidth="1"/>
    <col min="13064" max="13064" width="7.42578125" style="380" customWidth="1"/>
    <col min="13065" max="13312" width="11.42578125" style="380"/>
    <col min="13313" max="13313" width="15.85546875" style="380" customWidth="1"/>
    <col min="13314" max="13314" width="14.85546875" style="380" customWidth="1"/>
    <col min="13315" max="13315" width="13.28515625" style="380" customWidth="1"/>
    <col min="13316" max="13316" width="11.42578125" style="380"/>
    <col min="13317" max="13317" width="13.42578125" style="380" customWidth="1"/>
    <col min="13318" max="13318" width="12.7109375" style="380" customWidth="1"/>
    <col min="13319" max="13319" width="14" style="380" customWidth="1"/>
    <col min="13320" max="13320" width="7.42578125" style="380" customWidth="1"/>
    <col min="13321" max="13568" width="11.42578125" style="380"/>
    <col min="13569" max="13569" width="15.85546875" style="380" customWidth="1"/>
    <col min="13570" max="13570" width="14.85546875" style="380" customWidth="1"/>
    <col min="13571" max="13571" width="13.28515625" style="380" customWidth="1"/>
    <col min="13572" max="13572" width="11.42578125" style="380"/>
    <col min="13573" max="13573" width="13.42578125" style="380" customWidth="1"/>
    <col min="13574" max="13574" width="12.7109375" style="380" customWidth="1"/>
    <col min="13575" max="13575" width="14" style="380" customWidth="1"/>
    <col min="13576" max="13576" width="7.42578125" style="380" customWidth="1"/>
    <col min="13577" max="13824" width="11.42578125" style="380"/>
    <col min="13825" max="13825" width="15.85546875" style="380" customWidth="1"/>
    <col min="13826" max="13826" width="14.85546875" style="380" customWidth="1"/>
    <col min="13827" max="13827" width="13.28515625" style="380" customWidth="1"/>
    <col min="13828" max="13828" width="11.42578125" style="380"/>
    <col min="13829" max="13829" width="13.42578125" style="380" customWidth="1"/>
    <col min="13830" max="13830" width="12.7109375" style="380" customWidth="1"/>
    <col min="13831" max="13831" width="14" style="380" customWidth="1"/>
    <col min="13832" max="13832" width="7.42578125" style="380" customWidth="1"/>
    <col min="13833" max="14080" width="11.42578125" style="380"/>
    <col min="14081" max="14081" width="15.85546875" style="380" customWidth="1"/>
    <col min="14082" max="14082" width="14.85546875" style="380" customWidth="1"/>
    <col min="14083" max="14083" width="13.28515625" style="380" customWidth="1"/>
    <col min="14084" max="14084" width="11.42578125" style="380"/>
    <col min="14085" max="14085" width="13.42578125" style="380" customWidth="1"/>
    <col min="14086" max="14086" width="12.7109375" style="380" customWidth="1"/>
    <col min="14087" max="14087" width="14" style="380" customWidth="1"/>
    <col min="14088" max="14088" width="7.42578125" style="380" customWidth="1"/>
    <col min="14089" max="14336" width="11.42578125" style="380"/>
    <col min="14337" max="14337" width="15.85546875" style="380" customWidth="1"/>
    <col min="14338" max="14338" width="14.85546875" style="380" customWidth="1"/>
    <col min="14339" max="14339" width="13.28515625" style="380" customWidth="1"/>
    <col min="14340" max="14340" width="11.42578125" style="380"/>
    <col min="14341" max="14341" width="13.42578125" style="380" customWidth="1"/>
    <col min="14342" max="14342" width="12.7109375" style="380" customWidth="1"/>
    <col min="14343" max="14343" width="14" style="380" customWidth="1"/>
    <col min="14344" max="14344" width="7.42578125" style="380" customWidth="1"/>
    <col min="14345" max="14592" width="11.42578125" style="380"/>
    <col min="14593" max="14593" width="15.85546875" style="380" customWidth="1"/>
    <col min="14594" max="14594" width="14.85546875" style="380" customWidth="1"/>
    <col min="14595" max="14595" width="13.28515625" style="380" customWidth="1"/>
    <col min="14596" max="14596" width="11.42578125" style="380"/>
    <col min="14597" max="14597" width="13.42578125" style="380" customWidth="1"/>
    <col min="14598" max="14598" width="12.7109375" style="380" customWidth="1"/>
    <col min="14599" max="14599" width="14" style="380" customWidth="1"/>
    <col min="14600" max="14600" width="7.42578125" style="380" customWidth="1"/>
    <col min="14601" max="14848" width="11.42578125" style="380"/>
    <col min="14849" max="14849" width="15.85546875" style="380" customWidth="1"/>
    <col min="14850" max="14850" width="14.85546875" style="380" customWidth="1"/>
    <col min="14851" max="14851" width="13.28515625" style="380" customWidth="1"/>
    <col min="14852" max="14852" width="11.42578125" style="380"/>
    <col min="14853" max="14853" width="13.42578125" style="380" customWidth="1"/>
    <col min="14854" max="14854" width="12.7109375" style="380" customWidth="1"/>
    <col min="14855" max="14855" width="14" style="380" customWidth="1"/>
    <col min="14856" max="14856" width="7.42578125" style="380" customWidth="1"/>
    <col min="14857" max="15104" width="11.42578125" style="380"/>
    <col min="15105" max="15105" width="15.85546875" style="380" customWidth="1"/>
    <col min="15106" max="15106" width="14.85546875" style="380" customWidth="1"/>
    <col min="15107" max="15107" width="13.28515625" style="380" customWidth="1"/>
    <col min="15108" max="15108" width="11.42578125" style="380"/>
    <col min="15109" max="15109" width="13.42578125" style="380" customWidth="1"/>
    <col min="15110" max="15110" width="12.7109375" style="380" customWidth="1"/>
    <col min="15111" max="15111" width="14" style="380" customWidth="1"/>
    <col min="15112" max="15112" width="7.42578125" style="380" customWidth="1"/>
    <col min="15113" max="15360" width="11.42578125" style="380"/>
    <col min="15361" max="15361" width="15.85546875" style="380" customWidth="1"/>
    <col min="15362" max="15362" width="14.85546875" style="380" customWidth="1"/>
    <col min="15363" max="15363" width="13.28515625" style="380" customWidth="1"/>
    <col min="15364" max="15364" width="11.42578125" style="380"/>
    <col min="15365" max="15365" width="13.42578125" style="380" customWidth="1"/>
    <col min="15366" max="15366" width="12.7109375" style="380" customWidth="1"/>
    <col min="15367" max="15367" width="14" style="380" customWidth="1"/>
    <col min="15368" max="15368" width="7.42578125" style="380" customWidth="1"/>
    <col min="15369" max="15616" width="11.42578125" style="380"/>
    <col min="15617" max="15617" width="15.85546875" style="380" customWidth="1"/>
    <col min="15618" max="15618" width="14.85546875" style="380" customWidth="1"/>
    <col min="15619" max="15619" width="13.28515625" style="380" customWidth="1"/>
    <col min="15620" max="15620" width="11.42578125" style="380"/>
    <col min="15621" max="15621" width="13.42578125" style="380" customWidth="1"/>
    <col min="15622" max="15622" width="12.7109375" style="380" customWidth="1"/>
    <col min="15623" max="15623" width="14" style="380" customWidth="1"/>
    <col min="15624" max="15624" width="7.42578125" style="380" customWidth="1"/>
    <col min="15625" max="15872" width="11.42578125" style="380"/>
    <col min="15873" max="15873" width="15.85546875" style="380" customWidth="1"/>
    <col min="15874" max="15874" width="14.85546875" style="380" customWidth="1"/>
    <col min="15875" max="15875" width="13.28515625" style="380" customWidth="1"/>
    <col min="15876" max="15876" width="11.42578125" style="380"/>
    <col min="15877" max="15877" width="13.42578125" style="380" customWidth="1"/>
    <col min="15878" max="15878" width="12.7109375" style="380" customWidth="1"/>
    <col min="15879" max="15879" width="14" style="380" customWidth="1"/>
    <col min="15880" max="15880" width="7.42578125" style="380" customWidth="1"/>
    <col min="15881" max="16128" width="11.42578125" style="380"/>
    <col min="16129" max="16129" width="15.85546875" style="380" customWidth="1"/>
    <col min="16130" max="16130" width="14.85546875" style="380" customWidth="1"/>
    <col min="16131" max="16131" width="13.28515625" style="380" customWidth="1"/>
    <col min="16132" max="16132" width="11.42578125" style="380"/>
    <col min="16133" max="16133" width="13.42578125" style="380" customWidth="1"/>
    <col min="16134" max="16134" width="12.7109375" style="380" customWidth="1"/>
    <col min="16135" max="16135" width="14" style="380" customWidth="1"/>
    <col min="16136" max="16136" width="7.42578125" style="380" customWidth="1"/>
    <col min="16137" max="16384" width="11.42578125" style="380"/>
  </cols>
  <sheetData>
    <row r="1" spans="1:21" s="3" customFormat="1" ht="43.5" customHeight="1">
      <c r="A1" s="1346" t="str">
        <f>PPTO!D3</f>
        <v>PRESUPUESTO
MUNICIPIO EL BAGRE (ANTIOQUIA).</v>
      </c>
      <c r="B1" s="1347"/>
      <c r="C1" s="1347"/>
      <c r="D1" s="1347"/>
      <c r="E1" s="1347"/>
      <c r="F1" s="1347"/>
      <c r="G1" s="1348"/>
      <c r="H1" s="1"/>
      <c r="I1" s="2"/>
    </row>
    <row r="2" spans="1:21" s="3" customFormat="1" ht="18" customHeight="1">
      <c r="A2" s="1362" t="s">
        <v>16</v>
      </c>
      <c r="B2" s="1363"/>
      <c r="C2" s="1363"/>
      <c r="D2" s="1363"/>
      <c r="E2" s="1363"/>
      <c r="F2" s="1363"/>
      <c r="G2" s="1364"/>
      <c r="H2" s="1"/>
      <c r="I2" s="2"/>
    </row>
    <row r="3" spans="1:21" s="3" customFormat="1" ht="24.75" customHeight="1">
      <c r="A3" s="1367" t="str">
        <f>+PPTO!$D$5</f>
        <v>PROYECTO DE MEJORAMIENTO VIAL, ESPACIO PUBLICO Y OBRAS COMPLEMENTARIAS DE LA AVENIDA LA JUVENTUD Y TRAMOS ADYACENTES Y PRIORITARIOS DEL SECTOR URBANO EN EL MUNICIPIO EL BAGRE ANTIOQUIA.</v>
      </c>
      <c r="B3" s="1368"/>
      <c r="C3" s="1368"/>
      <c r="D3" s="1368"/>
      <c r="E3" s="1368"/>
      <c r="F3" s="1368"/>
      <c r="G3" s="1369"/>
      <c r="H3" s="1"/>
      <c r="I3" s="2"/>
    </row>
    <row r="4" spans="1:21" s="3" customFormat="1" ht="30" customHeight="1">
      <c r="A4" s="1370"/>
      <c r="B4" s="1368"/>
      <c r="C4" s="1368"/>
      <c r="D4" s="1368"/>
      <c r="E4" s="1368"/>
      <c r="F4" s="1368"/>
      <c r="G4" s="1369"/>
      <c r="H4" s="1"/>
      <c r="I4" s="2"/>
    </row>
    <row r="5" spans="1:21" s="3" customFormat="1" ht="6.75" customHeight="1">
      <c r="A5" s="222"/>
      <c r="B5" s="6"/>
      <c r="C5" s="24"/>
      <c r="D5" s="25"/>
      <c r="E5" s="6"/>
      <c r="F5" s="6"/>
      <c r="G5" s="223"/>
      <c r="H5" s="9"/>
    </row>
    <row r="6" spans="1:21" ht="52.5" customHeight="1">
      <c r="A6" s="368">
        <v>4.5999999999999996</v>
      </c>
      <c r="B6" s="1349" t="str">
        <f>VLOOKUP(A6,PPTO!D10:I137,2,FALSE)</f>
        <v>Anden en concreto de 3000 psi e=0.15 mts (incluye malla electrosoldada) Incluye linea de Losetas tipo Braille y rampas de acceso de Movilidad reducida.</v>
      </c>
      <c r="C6" s="1350"/>
      <c r="D6" s="1350"/>
      <c r="E6" s="1351"/>
      <c r="F6" s="192" t="s">
        <v>118</v>
      </c>
      <c r="G6" s="248" t="str">
        <f>VLOOKUP(A6,PPTO!D10:I137,3,FALSE)</f>
        <v>m2</v>
      </c>
      <c r="H6" s="382"/>
    </row>
    <row r="7" spans="1:21" ht="3.75" customHeight="1">
      <c r="A7" s="383"/>
      <c r="B7" s="384"/>
      <c r="C7" s="381"/>
      <c r="D7" s="384"/>
      <c r="E7" s="384"/>
      <c r="F7" s="384"/>
      <c r="G7" s="385"/>
      <c r="H7" s="382"/>
    </row>
    <row r="8" spans="1:21" ht="22.5" customHeight="1">
      <c r="A8" s="1408" t="s">
        <v>69</v>
      </c>
      <c r="B8" s="1409"/>
      <c r="C8" s="1409"/>
      <c r="D8" s="1409"/>
      <c r="E8" s="1409"/>
      <c r="F8" s="1409"/>
      <c r="G8" s="1410"/>
      <c r="H8" s="382"/>
    </row>
    <row r="9" spans="1:21" ht="4.5" customHeight="1">
      <c r="A9" s="383"/>
      <c r="B9" s="384"/>
      <c r="C9" s="381"/>
      <c r="D9" s="384"/>
      <c r="E9" s="384"/>
      <c r="F9" s="384"/>
      <c r="G9" s="385"/>
      <c r="H9" s="382"/>
      <c r="I9" s="386"/>
      <c r="J9" s="386"/>
      <c r="K9" s="386"/>
      <c r="L9" s="387"/>
      <c r="M9" s="386"/>
      <c r="N9" s="386"/>
      <c r="O9" s="386"/>
      <c r="P9" s="386"/>
    </row>
    <row r="10" spans="1:21">
      <c r="A10" s="1406" t="s">
        <v>17</v>
      </c>
      <c r="B10" s="1407"/>
      <c r="C10" s="1407"/>
      <c r="D10" s="388" t="s">
        <v>18</v>
      </c>
      <c r="E10" s="388" t="s">
        <v>19</v>
      </c>
      <c r="F10" s="388" t="s">
        <v>20</v>
      </c>
      <c r="G10" s="389" t="s">
        <v>21</v>
      </c>
      <c r="H10" s="390"/>
      <c r="I10" s="391"/>
      <c r="J10" s="392"/>
      <c r="K10" s="393"/>
      <c r="L10" s="393"/>
      <c r="M10" s="393"/>
      <c r="N10" s="393"/>
      <c r="O10" s="393"/>
      <c r="P10" s="386"/>
    </row>
    <row r="11" spans="1:21">
      <c r="A11" s="1387" t="s">
        <v>75</v>
      </c>
      <c r="B11" s="1388"/>
      <c r="C11" s="1388"/>
      <c r="D11" s="388"/>
      <c r="E11" s="394"/>
      <c r="F11" s="395"/>
      <c r="G11" s="396">
        <f>+G39*5%</f>
        <v>777</v>
      </c>
      <c r="H11" s="382"/>
      <c r="I11" s="393"/>
      <c r="J11" s="397"/>
      <c r="K11" s="393"/>
      <c r="L11" s="393"/>
      <c r="M11" s="393"/>
      <c r="N11" s="393"/>
      <c r="O11" s="393"/>
      <c r="P11" s="386"/>
    </row>
    <row r="12" spans="1:21">
      <c r="A12" s="1411" t="s">
        <v>242</v>
      </c>
      <c r="B12" s="1412"/>
      <c r="C12" s="1412"/>
      <c r="D12" s="394" t="s">
        <v>43</v>
      </c>
      <c r="E12" s="394">
        <v>3300</v>
      </c>
      <c r="F12" s="398">
        <f>+F35</f>
        <v>15</v>
      </c>
      <c r="G12" s="396">
        <f>+E12/F12</f>
        <v>220</v>
      </c>
      <c r="H12" s="382"/>
      <c r="I12" s="399"/>
      <c r="J12" s="400"/>
      <c r="K12" s="401"/>
      <c r="L12" s="401"/>
      <c r="M12" s="401"/>
      <c r="N12" s="401"/>
      <c r="O12" s="401"/>
      <c r="P12" s="386"/>
    </row>
    <row r="13" spans="1:21">
      <c r="A13" s="1411"/>
      <c r="B13" s="1412"/>
      <c r="C13" s="1412"/>
      <c r="D13" s="394"/>
      <c r="E13" s="394"/>
      <c r="F13" s="398"/>
      <c r="G13" s="396"/>
      <c r="H13" s="382"/>
      <c r="I13" s="400"/>
      <c r="J13" s="400"/>
      <c r="K13" s="400"/>
      <c r="L13" s="400"/>
      <c r="M13" s="400"/>
      <c r="N13" s="400"/>
      <c r="O13" s="400"/>
      <c r="P13" s="386"/>
    </row>
    <row r="14" spans="1:21">
      <c r="A14" s="1411"/>
      <c r="B14" s="1412"/>
      <c r="C14" s="1412"/>
      <c r="D14" s="394"/>
      <c r="E14" s="394"/>
      <c r="F14" s="398"/>
      <c r="G14" s="396"/>
      <c r="H14" s="382"/>
      <c r="I14" s="401"/>
      <c r="J14" s="402"/>
      <c r="K14" s="403"/>
      <c r="L14" s="402"/>
      <c r="M14" s="404"/>
      <c r="N14" s="404"/>
      <c r="O14" s="405"/>
      <c r="P14" s="386"/>
    </row>
    <row r="15" spans="1:21">
      <c r="A15" s="1411"/>
      <c r="B15" s="1412"/>
      <c r="C15" s="1412"/>
      <c r="D15" s="394"/>
      <c r="E15" s="394"/>
      <c r="F15" s="406"/>
      <c r="G15" s="396"/>
      <c r="H15" s="382"/>
      <c r="I15" s="401"/>
      <c r="J15" s="407"/>
      <c r="K15" s="403"/>
      <c r="L15" s="402"/>
      <c r="M15" s="404"/>
      <c r="N15" s="404"/>
      <c r="O15" s="405"/>
      <c r="P15" s="386"/>
      <c r="Q15" s="386"/>
      <c r="R15" s="386"/>
      <c r="S15" s="386"/>
      <c r="T15" s="386"/>
      <c r="U15" s="386"/>
    </row>
    <row r="16" spans="1:21">
      <c r="A16" s="1411"/>
      <c r="B16" s="1412"/>
      <c r="C16" s="1412"/>
      <c r="D16" s="408" t="s">
        <v>37</v>
      </c>
      <c r="E16" s="409"/>
      <c r="F16" s="410"/>
      <c r="G16" s="411">
        <f>SUM(G11:G15)</f>
        <v>997</v>
      </c>
      <c r="H16" s="382"/>
      <c r="I16" s="412"/>
      <c r="J16" s="412"/>
      <c r="K16" s="413"/>
      <c r="L16" s="414"/>
      <c r="M16" s="415"/>
      <c r="N16" s="415"/>
      <c r="O16" s="405"/>
      <c r="P16" s="386"/>
      <c r="Q16" s="386"/>
      <c r="R16" s="386"/>
      <c r="S16" s="386"/>
      <c r="T16" s="386"/>
      <c r="U16" s="386"/>
    </row>
    <row r="17" spans="1:21" ht="4.5" customHeight="1">
      <c r="A17" s="383"/>
      <c r="B17" s="384"/>
      <c r="C17" s="381"/>
      <c r="D17" s="384"/>
      <c r="E17" s="384"/>
      <c r="F17" s="384"/>
      <c r="G17" s="385"/>
      <c r="H17" s="382"/>
      <c r="I17" s="412"/>
      <c r="J17" s="412"/>
      <c r="K17" s="413"/>
      <c r="L17" s="414"/>
      <c r="M17" s="415"/>
      <c r="N17" s="415"/>
      <c r="O17" s="405"/>
      <c r="P17" s="386"/>
      <c r="Q17" s="386"/>
      <c r="R17" s="386"/>
      <c r="S17" s="386"/>
      <c r="T17" s="386"/>
      <c r="U17" s="386"/>
    </row>
    <row r="18" spans="1:21" ht="22.5" customHeight="1">
      <c r="A18" s="1408" t="s">
        <v>70</v>
      </c>
      <c r="B18" s="1409"/>
      <c r="C18" s="1409"/>
      <c r="D18" s="1409"/>
      <c r="E18" s="1409"/>
      <c r="F18" s="1409"/>
      <c r="G18" s="1410"/>
      <c r="H18" s="382"/>
    </row>
    <row r="19" spans="1:21" ht="4.5" customHeight="1">
      <c r="A19" s="383"/>
      <c r="B19" s="384"/>
      <c r="C19" s="381"/>
      <c r="D19" s="384"/>
      <c r="E19" s="384"/>
      <c r="F19" s="416"/>
      <c r="G19" s="385"/>
      <c r="H19" s="382"/>
      <c r="I19" s="412"/>
      <c r="J19" s="412"/>
      <c r="K19" s="413"/>
      <c r="L19" s="417"/>
      <c r="M19" s="415"/>
      <c r="N19" s="415"/>
      <c r="O19" s="401"/>
      <c r="P19" s="386"/>
      <c r="Q19" s="386"/>
      <c r="R19" s="386"/>
      <c r="S19" s="386"/>
      <c r="T19" s="386"/>
      <c r="U19" s="386"/>
    </row>
    <row r="20" spans="1:21">
      <c r="A20" s="1406" t="s">
        <v>17</v>
      </c>
      <c r="B20" s="1407"/>
      <c r="C20" s="1407"/>
      <c r="D20" s="388" t="s">
        <v>3</v>
      </c>
      <c r="E20" s="388" t="s">
        <v>4</v>
      </c>
      <c r="F20" s="388" t="s">
        <v>25</v>
      </c>
      <c r="G20" s="389" t="s">
        <v>21</v>
      </c>
      <c r="H20" s="390"/>
      <c r="I20" s="412"/>
      <c r="J20" s="412"/>
      <c r="K20" s="413"/>
      <c r="L20" s="417"/>
      <c r="M20" s="415"/>
      <c r="N20" s="415"/>
      <c r="O20" s="401"/>
      <c r="P20" s="386"/>
      <c r="Q20" s="386"/>
      <c r="R20" s="386"/>
      <c r="S20" s="386"/>
      <c r="T20" s="386"/>
      <c r="U20" s="386"/>
    </row>
    <row r="21" spans="1:21">
      <c r="A21" s="1413" t="s">
        <v>109</v>
      </c>
      <c r="B21" s="1414"/>
      <c r="C21" s="1414"/>
      <c r="D21" s="418" t="s">
        <v>44</v>
      </c>
      <c r="E21" s="419">
        <v>0.15</v>
      </c>
      <c r="F21" s="420">
        <f>'CONC 3000 PSI'!G43</f>
        <v>360849</v>
      </c>
      <c r="G21" s="421">
        <f>ROUND(F21*E21,0)</f>
        <v>54127</v>
      </c>
      <c r="H21" s="382"/>
      <c r="I21" s="412"/>
      <c r="J21" s="412"/>
      <c r="K21" s="413"/>
      <c r="L21" s="417"/>
      <c r="M21" s="415"/>
      <c r="N21" s="415"/>
      <c r="O21" s="400"/>
      <c r="P21" s="386"/>
      <c r="Q21" s="386"/>
      <c r="R21" s="386"/>
      <c r="S21" s="386"/>
      <c r="T21" s="386"/>
      <c r="U21" s="386"/>
    </row>
    <row r="22" spans="1:21">
      <c r="A22" s="1434" t="s">
        <v>707</v>
      </c>
      <c r="B22" s="1414"/>
      <c r="C22" s="1414"/>
      <c r="D22" s="422" t="s">
        <v>72</v>
      </c>
      <c r="E22" s="423">
        <v>2</v>
      </c>
      <c r="F22" s="424">
        <f>65000/(6*2.4)</f>
        <v>4514</v>
      </c>
      <c r="G22" s="421">
        <f>ROUND(F22*E22,0)</f>
        <v>9028</v>
      </c>
      <c r="H22" s="382">
        <f>92400</f>
        <v>92400</v>
      </c>
      <c r="I22" s="425">
        <f>6*2.35</f>
        <v>14.1</v>
      </c>
      <c r="J22" s="425">
        <f>H22/I22</f>
        <v>6553.19</v>
      </c>
      <c r="K22" s="426"/>
      <c r="L22" s="417"/>
      <c r="M22" s="415"/>
      <c r="N22" s="415"/>
      <c r="O22" s="404"/>
      <c r="P22" s="386"/>
      <c r="Q22" s="386"/>
      <c r="R22" s="386"/>
      <c r="S22" s="386"/>
      <c r="T22" s="386"/>
      <c r="U22" s="386"/>
    </row>
    <row r="23" spans="1:21">
      <c r="A23" s="1387" t="s">
        <v>706</v>
      </c>
      <c r="B23" s="1388"/>
      <c r="C23" s="1388"/>
      <c r="D23" s="418" t="s">
        <v>7</v>
      </c>
      <c r="E23" s="427">
        <f>3/2.2</f>
        <v>1.36</v>
      </c>
      <c r="F23" s="424">
        <v>7000</v>
      </c>
      <c r="G23" s="421">
        <f>ROUND(F23*E23,0)</f>
        <v>9520</v>
      </c>
      <c r="H23" s="382"/>
      <c r="I23" s="425"/>
      <c r="J23" s="425"/>
      <c r="K23" s="426"/>
      <c r="L23" s="417"/>
      <c r="M23" s="415"/>
      <c r="N23" s="415"/>
      <c r="O23" s="404"/>
      <c r="P23" s="386"/>
      <c r="Q23" s="386"/>
      <c r="R23" s="386"/>
      <c r="S23" s="386"/>
      <c r="T23" s="386"/>
      <c r="U23" s="386"/>
    </row>
    <row r="24" spans="1:21">
      <c r="A24" s="1387" t="s">
        <v>260</v>
      </c>
      <c r="B24" s="1388"/>
      <c r="C24" s="1388"/>
      <c r="D24" s="422" t="s">
        <v>44</v>
      </c>
      <c r="E24" s="423">
        <f>E23*0.01*0.4</f>
        <v>5.0000000000000001E-3</v>
      </c>
      <c r="F24" s="424">
        <f>'MORTERO DE PEGA'!G43</f>
        <v>334386</v>
      </c>
      <c r="G24" s="421">
        <f>ROUND(F24*E24,0)</f>
        <v>1672</v>
      </c>
      <c r="H24" s="382"/>
      <c r="I24" s="425"/>
      <c r="J24" s="428"/>
      <c r="K24" s="426"/>
      <c r="L24" s="400"/>
      <c r="M24" s="402"/>
      <c r="N24" s="402"/>
      <c r="O24" s="404"/>
      <c r="P24" s="386"/>
      <c r="Q24" s="386"/>
      <c r="R24" s="386"/>
      <c r="S24" s="386"/>
      <c r="T24" s="386"/>
      <c r="U24" s="386"/>
    </row>
    <row r="25" spans="1:21">
      <c r="A25" s="1387"/>
      <c r="B25" s="1388"/>
      <c r="C25" s="1388"/>
      <c r="D25" s="422"/>
      <c r="E25" s="427"/>
      <c r="F25" s="424"/>
      <c r="G25" s="421"/>
      <c r="H25" s="382"/>
      <c r="I25" s="425"/>
      <c r="J25" s="429"/>
      <c r="K25" s="426"/>
      <c r="L25" s="400"/>
      <c r="M25" s="402"/>
      <c r="N25" s="402"/>
      <c r="O25" s="404"/>
      <c r="P25" s="386"/>
      <c r="Q25" s="386"/>
      <c r="R25" s="386"/>
      <c r="S25" s="386"/>
      <c r="T25" s="386"/>
      <c r="U25" s="386"/>
    </row>
    <row r="26" spans="1:21">
      <c r="A26" s="1387"/>
      <c r="B26" s="1388"/>
      <c r="C26" s="1388"/>
      <c r="D26" s="418"/>
      <c r="E26" s="427"/>
      <c r="F26" s="424"/>
      <c r="G26" s="421"/>
      <c r="H26" s="382"/>
      <c r="I26" s="425"/>
      <c r="J26" s="429"/>
      <c r="K26" s="426"/>
      <c r="L26" s="400"/>
      <c r="M26" s="402"/>
      <c r="N26" s="402"/>
      <c r="O26" s="404"/>
      <c r="P26" s="386"/>
      <c r="Q26" s="386"/>
      <c r="R26" s="386"/>
      <c r="S26" s="386"/>
      <c r="T26" s="386"/>
      <c r="U26" s="386"/>
    </row>
    <row r="27" spans="1:21">
      <c r="A27" s="1387"/>
      <c r="B27" s="1388"/>
      <c r="C27" s="1388" t="s">
        <v>50</v>
      </c>
      <c r="D27" s="418"/>
      <c r="E27" s="427"/>
      <c r="F27" s="424" t="s">
        <v>243</v>
      </c>
      <c r="G27" s="421">
        <f>+G21*0.05</f>
        <v>2706</v>
      </c>
      <c r="H27" s="382"/>
      <c r="I27" s="425"/>
      <c r="J27" s="429"/>
      <c r="K27" s="426"/>
      <c r="L27" s="400"/>
      <c r="M27" s="402"/>
      <c r="N27" s="402"/>
      <c r="O27" s="404"/>
      <c r="P27" s="386"/>
      <c r="Q27" s="386"/>
      <c r="R27" s="386"/>
      <c r="S27" s="386"/>
      <c r="T27" s="386"/>
      <c r="U27" s="386"/>
    </row>
    <row r="28" spans="1:21">
      <c r="A28" s="1387"/>
      <c r="B28" s="1388"/>
      <c r="C28" s="1388"/>
      <c r="D28" s="418"/>
      <c r="E28" s="427"/>
      <c r="F28" s="394"/>
      <c r="G28" s="421"/>
      <c r="H28" s="382"/>
      <c r="I28" s="430"/>
      <c r="J28" s="430"/>
      <c r="K28" s="426"/>
      <c r="L28" s="400"/>
      <c r="M28" s="402"/>
      <c r="N28" s="402"/>
      <c r="O28" s="404"/>
      <c r="P28" s="386"/>
      <c r="Q28" s="386"/>
      <c r="R28" s="386"/>
      <c r="S28" s="386"/>
      <c r="T28" s="386"/>
      <c r="U28" s="386"/>
    </row>
    <row r="29" spans="1:21">
      <c r="A29" s="1387"/>
      <c r="B29" s="1388"/>
      <c r="C29" s="1388"/>
      <c r="D29" s="431"/>
      <c r="E29" s="431"/>
      <c r="F29" s="394"/>
      <c r="G29" s="421"/>
      <c r="H29" s="382"/>
      <c r="I29" s="432"/>
      <c r="J29" s="432"/>
      <c r="K29" s="432"/>
      <c r="L29" s="400"/>
      <c r="M29" s="402"/>
      <c r="N29" s="402"/>
      <c r="O29" s="404"/>
      <c r="P29" s="386"/>
      <c r="Q29" s="386"/>
      <c r="R29" s="386"/>
      <c r="S29" s="386"/>
      <c r="T29" s="386"/>
      <c r="U29" s="386"/>
    </row>
    <row r="30" spans="1:21">
      <c r="A30" s="1387"/>
      <c r="B30" s="1388"/>
      <c r="C30" s="1388"/>
      <c r="D30" s="408" t="s">
        <v>28</v>
      </c>
      <c r="E30" s="409"/>
      <c r="F30" s="410"/>
      <c r="G30" s="411">
        <f>SUM(G21:G29)</f>
        <v>77053</v>
      </c>
      <c r="H30" s="382"/>
      <c r="I30" s="401"/>
      <c r="J30" s="400"/>
      <c r="K30" s="401"/>
      <c r="L30" s="400"/>
      <c r="M30" s="402"/>
      <c r="N30" s="402"/>
      <c r="O30" s="404"/>
      <c r="P30" s="386"/>
    </row>
    <row r="31" spans="1:21" ht="3.75" customHeight="1">
      <c r="A31" s="383"/>
      <c r="B31" s="384"/>
      <c r="C31" s="381"/>
      <c r="D31" s="384"/>
      <c r="E31" s="384"/>
      <c r="F31" s="384"/>
      <c r="G31" s="385"/>
      <c r="H31" s="382"/>
      <c r="I31" s="401"/>
      <c r="J31" s="400"/>
      <c r="K31" s="433"/>
      <c r="L31" s="400"/>
      <c r="M31" s="407"/>
      <c r="N31" s="407"/>
      <c r="O31" s="404"/>
      <c r="P31" s="386"/>
    </row>
    <row r="32" spans="1:21" ht="22.5" customHeight="1">
      <c r="A32" s="1408" t="s">
        <v>71</v>
      </c>
      <c r="B32" s="1409"/>
      <c r="C32" s="1409"/>
      <c r="D32" s="1409"/>
      <c r="E32" s="1409"/>
      <c r="F32" s="1409"/>
      <c r="G32" s="1410"/>
      <c r="H32" s="382"/>
    </row>
    <row r="33" spans="1:16" ht="3.75" customHeight="1">
      <c r="A33" s="383"/>
      <c r="B33" s="384"/>
      <c r="C33" s="381"/>
      <c r="D33" s="384"/>
      <c r="E33" s="384"/>
      <c r="F33" s="384"/>
      <c r="G33" s="385"/>
      <c r="H33" s="382"/>
      <c r="I33" s="401"/>
      <c r="J33" s="400"/>
      <c r="K33" s="401"/>
      <c r="L33" s="401"/>
      <c r="M33" s="401"/>
      <c r="N33" s="401"/>
      <c r="O33" s="404"/>
      <c r="P33" s="386"/>
    </row>
    <row r="34" spans="1:16">
      <c r="A34" s="434" t="s">
        <v>5</v>
      </c>
      <c r="B34" s="435" t="s">
        <v>29</v>
      </c>
      <c r="C34" s="435" t="s">
        <v>30</v>
      </c>
      <c r="D34" s="435" t="s">
        <v>31</v>
      </c>
      <c r="E34" s="435" t="s">
        <v>32</v>
      </c>
      <c r="F34" s="435" t="s">
        <v>20</v>
      </c>
      <c r="G34" s="389" t="s">
        <v>33</v>
      </c>
      <c r="H34" s="390"/>
      <c r="I34" s="401"/>
      <c r="J34" s="400"/>
      <c r="K34" s="401"/>
      <c r="L34" s="401"/>
      <c r="M34" s="401"/>
      <c r="N34" s="401"/>
      <c r="O34" s="404"/>
      <c r="P34" s="386"/>
    </row>
    <row r="35" spans="1:16">
      <c r="A35" s="436" t="s">
        <v>41</v>
      </c>
      <c r="B35" s="437">
        <f>BOF</f>
        <v>51749</v>
      </c>
      <c r="C35" s="438">
        <f>ffpp</f>
        <v>0.64539999999999997</v>
      </c>
      <c r="D35" s="439">
        <v>1</v>
      </c>
      <c r="E35" s="440">
        <f>OF</f>
        <v>88696</v>
      </c>
      <c r="F35" s="441">
        <v>15</v>
      </c>
      <c r="G35" s="231">
        <f>ROUND(+D35*E35/F35,0)</f>
        <v>5913</v>
      </c>
      <c r="H35" s="382"/>
      <c r="I35" s="399"/>
      <c r="J35" s="400"/>
      <c r="K35" s="401"/>
      <c r="L35" s="401"/>
      <c r="M35" s="401"/>
      <c r="N35" s="401"/>
      <c r="O35" s="404"/>
      <c r="P35" s="386"/>
    </row>
    <row r="36" spans="1:16">
      <c r="A36" s="436" t="s">
        <v>38</v>
      </c>
      <c r="B36" s="437">
        <f>BOB</f>
        <v>41749</v>
      </c>
      <c r="C36" s="438">
        <f>ffpp</f>
        <v>0.64539999999999997</v>
      </c>
      <c r="D36" s="439">
        <v>2</v>
      </c>
      <c r="E36" s="440">
        <f>OB</f>
        <v>72242</v>
      </c>
      <c r="F36" s="441">
        <f>+F35</f>
        <v>15</v>
      </c>
      <c r="G36" s="231">
        <f>ROUND(+D36*E36/F36,0)</f>
        <v>9632</v>
      </c>
      <c r="H36" s="382"/>
      <c r="I36" s="401"/>
      <c r="J36" s="401"/>
      <c r="K36" s="400"/>
      <c r="L36" s="400"/>
      <c r="M36" s="400"/>
      <c r="N36" s="400"/>
      <c r="O36" s="400"/>
      <c r="P36" s="386"/>
    </row>
    <row r="37" spans="1:16">
      <c r="A37" s="442"/>
      <c r="B37" s="409"/>
      <c r="C37" s="961"/>
      <c r="D37" s="409"/>
      <c r="E37" s="409"/>
      <c r="F37" s="409"/>
      <c r="G37" s="443"/>
      <c r="H37" s="382"/>
      <c r="I37" s="401"/>
      <c r="J37" s="400"/>
      <c r="K37" s="400"/>
      <c r="L37" s="400"/>
      <c r="M37" s="407"/>
      <c r="N37" s="407"/>
      <c r="O37" s="444"/>
      <c r="P37" s="386"/>
    </row>
    <row r="38" spans="1:16">
      <c r="A38" s="436"/>
      <c r="B38" s="441"/>
      <c r="C38" s="438"/>
      <c r="D38" s="441"/>
      <c r="E38" s="445"/>
      <c r="F38" s="445"/>
      <c r="G38" s="446"/>
      <c r="H38" s="382"/>
      <c r="I38" s="401"/>
      <c r="J38" s="400"/>
      <c r="K38" s="400"/>
      <c r="L38" s="400"/>
      <c r="M38" s="407"/>
      <c r="N38" s="407"/>
      <c r="O38" s="444"/>
      <c r="P38" s="386"/>
    </row>
    <row r="39" spans="1:16">
      <c r="A39" s="447"/>
      <c r="B39" s="448"/>
      <c r="C39" s="448"/>
      <c r="D39" s="448" t="s">
        <v>34</v>
      </c>
      <c r="E39" s="448"/>
      <c r="F39" s="448"/>
      <c r="G39" s="449">
        <f>SUM(G35:G38)</f>
        <v>15545</v>
      </c>
      <c r="H39" s="382"/>
      <c r="I39" s="401"/>
      <c r="J39" s="400"/>
      <c r="K39" s="400"/>
      <c r="L39" s="400"/>
      <c r="M39" s="402"/>
      <c r="N39" s="402"/>
      <c r="O39" s="404"/>
      <c r="P39" s="386"/>
    </row>
    <row r="40" spans="1:16">
      <c r="A40" s="383"/>
      <c r="B40" s="384"/>
      <c r="C40" s="381"/>
      <c r="D40" s="384"/>
      <c r="E40" s="384"/>
      <c r="F40" s="384"/>
      <c r="G40" s="385"/>
      <c r="H40" s="382"/>
      <c r="I40" s="401"/>
      <c r="J40" s="400"/>
      <c r="K40" s="400"/>
      <c r="L40" s="400"/>
      <c r="M40" s="402"/>
      <c r="N40" s="402"/>
      <c r="O40" s="405"/>
      <c r="P40" s="386"/>
    </row>
    <row r="41" spans="1:16">
      <c r="A41" s="383"/>
      <c r="B41" s="384"/>
      <c r="C41" s="381"/>
      <c r="D41" s="384"/>
      <c r="E41" s="384"/>
      <c r="F41" s="384"/>
      <c r="G41" s="385"/>
      <c r="H41" s="382"/>
      <c r="I41" s="401"/>
      <c r="J41" s="400"/>
      <c r="K41" s="400"/>
      <c r="L41" s="400"/>
      <c r="M41" s="450"/>
      <c r="N41" s="450"/>
      <c r="O41" s="451"/>
      <c r="P41" s="386"/>
    </row>
    <row r="42" spans="1:16" ht="14.25">
      <c r="A42" s="383"/>
      <c r="B42" s="384"/>
      <c r="C42" s="381"/>
      <c r="D42" s="1415" t="s">
        <v>35</v>
      </c>
      <c r="E42" s="1416"/>
      <c r="F42" s="1417"/>
      <c r="G42" s="452">
        <f>+G39+G30+G16</f>
        <v>93595</v>
      </c>
      <c r="H42" s="382"/>
      <c r="I42" s="401"/>
      <c r="J42" s="400"/>
      <c r="K42" s="401"/>
      <c r="L42" s="401"/>
      <c r="M42" s="401"/>
      <c r="N42" s="401"/>
      <c r="O42" s="401"/>
      <c r="P42" s="386"/>
    </row>
    <row r="43" spans="1:16" ht="14.25">
      <c r="A43" s="453"/>
      <c r="B43" s="454"/>
      <c r="C43" s="455"/>
      <c r="D43" s="456"/>
      <c r="E43" s="456"/>
      <c r="F43" s="456"/>
      <c r="G43" s="457"/>
      <c r="H43" s="382"/>
      <c r="I43" s="401"/>
      <c r="J43" s="400"/>
      <c r="K43" s="401"/>
      <c r="L43" s="401"/>
      <c r="M43" s="401"/>
      <c r="N43" s="401"/>
      <c r="O43" s="401"/>
      <c r="P43" s="386"/>
    </row>
    <row r="44" spans="1:16" ht="14.25">
      <c r="A44" s="374"/>
      <c r="B44" s="375"/>
      <c r="C44" s="375"/>
      <c r="D44" s="456"/>
      <c r="E44" s="456"/>
      <c r="F44" s="456"/>
      <c r="G44" s="457"/>
      <c r="H44" s="382"/>
      <c r="I44" s="401"/>
      <c r="J44" s="400"/>
      <c r="K44" s="401"/>
      <c r="L44" s="401"/>
      <c r="M44" s="401"/>
      <c r="N44" s="401"/>
      <c r="O44" s="401"/>
      <c r="P44" s="386"/>
    </row>
    <row r="45" spans="1:16" ht="14.25">
      <c r="A45" s="373"/>
      <c r="B45" s="376"/>
      <c r="C45" s="376"/>
      <c r="D45" s="456"/>
      <c r="E45" s="456"/>
      <c r="F45" s="456"/>
      <c r="G45" s="457"/>
      <c r="H45" s="382"/>
      <c r="I45" s="401"/>
      <c r="J45" s="400"/>
      <c r="K45" s="401"/>
      <c r="L45" s="401"/>
      <c r="M45" s="401"/>
      <c r="N45" s="401"/>
      <c r="O45" s="401"/>
      <c r="P45" s="386"/>
    </row>
    <row r="46" spans="1:16" ht="14.25">
      <c r="A46" s="373"/>
      <c r="B46" s="376"/>
      <c r="C46" s="376"/>
      <c r="D46" s="458"/>
      <c r="E46" s="459"/>
      <c r="F46" s="459"/>
      <c r="G46" s="457"/>
      <c r="H46" s="382"/>
      <c r="I46" s="401"/>
      <c r="J46" s="400"/>
      <c r="K46" s="401"/>
      <c r="L46" s="401"/>
      <c r="M46" s="401"/>
      <c r="N46" s="401"/>
      <c r="O46" s="401"/>
      <c r="P46" s="386"/>
    </row>
    <row r="47" spans="1:16" ht="15" thickBot="1">
      <c r="A47" s="460"/>
      <c r="B47" s="461"/>
      <c r="C47" s="462"/>
      <c r="D47" s="463"/>
      <c r="E47" s="464"/>
      <c r="F47" s="464"/>
      <c r="G47" s="465"/>
      <c r="H47" s="382"/>
      <c r="I47" s="401"/>
      <c r="J47" s="400"/>
      <c r="K47" s="401"/>
      <c r="L47" s="401"/>
      <c r="M47" s="401"/>
      <c r="N47" s="401"/>
      <c r="O47" s="401"/>
      <c r="P47" s="386"/>
    </row>
    <row r="48" spans="1:16">
      <c r="I48" s="386"/>
      <c r="J48" s="386"/>
      <c r="K48" s="386"/>
      <c r="L48" s="386"/>
      <c r="M48" s="386"/>
      <c r="N48" s="386"/>
      <c r="O48" s="386"/>
      <c r="P48" s="386"/>
    </row>
    <row r="49" spans="9:16">
      <c r="I49" s="386"/>
      <c r="J49" s="386"/>
      <c r="K49" s="386"/>
      <c r="L49" s="386"/>
      <c r="M49" s="386"/>
      <c r="N49" s="386"/>
      <c r="O49" s="386"/>
      <c r="P49" s="386"/>
    </row>
  </sheetData>
  <mergeCells count="26">
    <mergeCell ref="A32:G32"/>
    <mergeCell ref="D42:F42"/>
    <mergeCell ref="A25:C25"/>
    <mergeCell ref="A26:C26"/>
    <mergeCell ref="A27:C27"/>
    <mergeCell ref="A28:C28"/>
    <mergeCell ref="A29:C29"/>
    <mergeCell ref="A30:C30"/>
    <mergeCell ref="A24:C24"/>
    <mergeCell ref="A11:C11"/>
    <mergeCell ref="A12:C12"/>
    <mergeCell ref="A13:C13"/>
    <mergeCell ref="A14:C14"/>
    <mergeCell ref="A15:C15"/>
    <mergeCell ref="A16:C16"/>
    <mergeCell ref="A18:G18"/>
    <mergeCell ref="A20:C20"/>
    <mergeCell ref="A21:C21"/>
    <mergeCell ref="A22:C22"/>
    <mergeCell ref="A23:C23"/>
    <mergeCell ref="A2:G2"/>
    <mergeCell ref="B6:E6"/>
    <mergeCell ref="A8:G8"/>
    <mergeCell ref="A10:C10"/>
    <mergeCell ref="A1:G1"/>
    <mergeCell ref="A3:G4"/>
  </mergeCells>
  <printOptions horizontalCentered="1" verticalCentered="1"/>
  <pageMargins left="0.74803149606299213" right="0.74803149606299213" top="0" bottom="0.98425196850393704" header="0" footer="0"/>
  <pageSetup scale="90" orientation="portrait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3"/>
  <dimension ref="A1:U49"/>
  <sheetViews>
    <sheetView view="pageBreakPreview" topLeftCell="A17" zoomScaleNormal="100" zoomScaleSheetLayoutView="100" workbookViewId="0">
      <selection activeCell="I7" sqref="I7"/>
    </sheetView>
  </sheetViews>
  <sheetFormatPr baseColWidth="10" defaultColWidth="10.7109375" defaultRowHeight="12.75"/>
  <cols>
    <col min="1" max="1" width="15.85546875" style="380" customWidth="1"/>
    <col min="2" max="2" width="14.85546875" style="380" customWidth="1"/>
    <col min="3" max="3" width="13.28515625" style="380" customWidth="1"/>
    <col min="4" max="4" width="11.42578125" style="380"/>
    <col min="5" max="5" width="13.42578125" style="380" customWidth="1"/>
    <col min="6" max="6" width="12.7109375" style="380" customWidth="1"/>
    <col min="7" max="7" width="14" style="380" customWidth="1"/>
    <col min="8" max="8" width="7.42578125" style="380" customWidth="1"/>
    <col min="9" max="256" width="11.42578125" style="380"/>
    <col min="257" max="257" width="15.85546875" style="380" customWidth="1"/>
    <col min="258" max="258" width="14.85546875" style="380" customWidth="1"/>
    <col min="259" max="259" width="13.28515625" style="380" customWidth="1"/>
    <col min="260" max="260" width="11.42578125" style="380"/>
    <col min="261" max="261" width="13.42578125" style="380" customWidth="1"/>
    <col min="262" max="262" width="12.7109375" style="380" customWidth="1"/>
    <col min="263" max="263" width="14" style="380" customWidth="1"/>
    <col min="264" max="264" width="7.42578125" style="380" customWidth="1"/>
    <col min="265" max="512" width="11.42578125" style="380"/>
    <col min="513" max="513" width="15.85546875" style="380" customWidth="1"/>
    <col min="514" max="514" width="14.85546875" style="380" customWidth="1"/>
    <col min="515" max="515" width="13.28515625" style="380" customWidth="1"/>
    <col min="516" max="516" width="11.42578125" style="380"/>
    <col min="517" max="517" width="13.42578125" style="380" customWidth="1"/>
    <col min="518" max="518" width="12.7109375" style="380" customWidth="1"/>
    <col min="519" max="519" width="14" style="380" customWidth="1"/>
    <col min="520" max="520" width="7.42578125" style="380" customWidth="1"/>
    <col min="521" max="768" width="11.42578125" style="380"/>
    <col min="769" max="769" width="15.85546875" style="380" customWidth="1"/>
    <col min="770" max="770" width="14.85546875" style="380" customWidth="1"/>
    <col min="771" max="771" width="13.28515625" style="380" customWidth="1"/>
    <col min="772" max="772" width="11.42578125" style="380"/>
    <col min="773" max="773" width="13.42578125" style="380" customWidth="1"/>
    <col min="774" max="774" width="12.7109375" style="380" customWidth="1"/>
    <col min="775" max="775" width="14" style="380" customWidth="1"/>
    <col min="776" max="776" width="7.42578125" style="380" customWidth="1"/>
    <col min="777" max="1024" width="11.42578125" style="380"/>
    <col min="1025" max="1025" width="15.85546875" style="380" customWidth="1"/>
    <col min="1026" max="1026" width="14.85546875" style="380" customWidth="1"/>
    <col min="1027" max="1027" width="13.28515625" style="380" customWidth="1"/>
    <col min="1028" max="1028" width="11.42578125" style="380"/>
    <col min="1029" max="1029" width="13.42578125" style="380" customWidth="1"/>
    <col min="1030" max="1030" width="12.7109375" style="380" customWidth="1"/>
    <col min="1031" max="1031" width="14" style="380" customWidth="1"/>
    <col min="1032" max="1032" width="7.42578125" style="380" customWidth="1"/>
    <col min="1033" max="1280" width="11.42578125" style="380"/>
    <col min="1281" max="1281" width="15.85546875" style="380" customWidth="1"/>
    <col min="1282" max="1282" width="14.85546875" style="380" customWidth="1"/>
    <col min="1283" max="1283" width="13.28515625" style="380" customWidth="1"/>
    <col min="1284" max="1284" width="11.42578125" style="380"/>
    <col min="1285" max="1285" width="13.42578125" style="380" customWidth="1"/>
    <col min="1286" max="1286" width="12.7109375" style="380" customWidth="1"/>
    <col min="1287" max="1287" width="14" style="380" customWidth="1"/>
    <col min="1288" max="1288" width="7.42578125" style="380" customWidth="1"/>
    <col min="1289" max="1536" width="11.42578125" style="380"/>
    <col min="1537" max="1537" width="15.85546875" style="380" customWidth="1"/>
    <col min="1538" max="1538" width="14.85546875" style="380" customWidth="1"/>
    <col min="1539" max="1539" width="13.28515625" style="380" customWidth="1"/>
    <col min="1540" max="1540" width="11.42578125" style="380"/>
    <col min="1541" max="1541" width="13.42578125" style="380" customWidth="1"/>
    <col min="1542" max="1542" width="12.7109375" style="380" customWidth="1"/>
    <col min="1543" max="1543" width="14" style="380" customWidth="1"/>
    <col min="1544" max="1544" width="7.42578125" style="380" customWidth="1"/>
    <col min="1545" max="1792" width="11.42578125" style="380"/>
    <col min="1793" max="1793" width="15.85546875" style="380" customWidth="1"/>
    <col min="1794" max="1794" width="14.85546875" style="380" customWidth="1"/>
    <col min="1795" max="1795" width="13.28515625" style="380" customWidth="1"/>
    <col min="1796" max="1796" width="11.42578125" style="380"/>
    <col min="1797" max="1797" width="13.42578125" style="380" customWidth="1"/>
    <col min="1798" max="1798" width="12.7109375" style="380" customWidth="1"/>
    <col min="1799" max="1799" width="14" style="380" customWidth="1"/>
    <col min="1800" max="1800" width="7.42578125" style="380" customWidth="1"/>
    <col min="1801" max="2048" width="11.42578125" style="380"/>
    <col min="2049" max="2049" width="15.85546875" style="380" customWidth="1"/>
    <col min="2050" max="2050" width="14.85546875" style="380" customWidth="1"/>
    <col min="2051" max="2051" width="13.28515625" style="380" customWidth="1"/>
    <col min="2052" max="2052" width="11.42578125" style="380"/>
    <col min="2053" max="2053" width="13.42578125" style="380" customWidth="1"/>
    <col min="2054" max="2054" width="12.7109375" style="380" customWidth="1"/>
    <col min="2055" max="2055" width="14" style="380" customWidth="1"/>
    <col min="2056" max="2056" width="7.42578125" style="380" customWidth="1"/>
    <col min="2057" max="2304" width="11.42578125" style="380"/>
    <col min="2305" max="2305" width="15.85546875" style="380" customWidth="1"/>
    <col min="2306" max="2306" width="14.85546875" style="380" customWidth="1"/>
    <col min="2307" max="2307" width="13.28515625" style="380" customWidth="1"/>
    <col min="2308" max="2308" width="11.42578125" style="380"/>
    <col min="2309" max="2309" width="13.42578125" style="380" customWidth="1"/>
    <col min="2310" max="2310" width="12.7109375" style="380" customWidth="1"/>
    <col min="2311" max="2311" width="14" style="380" customWidth="1"/>
    <col min="2312" max="2312" width="7.42578125" style="380" customWidth="1"/>
    <col min="2313" max="2560" width="11.42578125" style="380"/>
    <col min="2561" max="2561" width="15.85546875" style="380" customWidth="1"/>
    <col min="2562" max="2562" width="14.85546875" style="380" customWidth="1"/>
    <col min="2563" max="2563" width="13.28515625" style="380" customWidth="1"/>
    <col min="2564" max="2564" width="11.42578125" style="380"/>
    <col min="2565" max="2565" width="13.42578125" style="380" customWidth="1"/>
    <col min="2566" max="2566" width="12.7109375" style="380" customWidth="1"/>
    <col min="2567" max="2567" width="14" style="380" customWidth="1"/>
    <col min="2568" max="2568" width="7.42578125" style="380" customWidth="1"/>
    <col min="2569" max="2816" width="11.42578125" style="380"/>
    <col min="2817" max="2817" width="15.85546875" style="380" customWidth="1"/>
    <col min="2818" max="2818" width="14.85546875" style="380" customWidth="1"/>
    <col min="2819" max="2819" width="13.28515625" style="380" customWidth="1"/>
    <col min="2820" max="2820" width="11.42578125" style="380"/>
    <col min="2821" max="2821" width="13.42578125" style="380" customWidth="1"/>
    <col min="2822" max="2822" width="12.7109375" style="380" customWidth="1"/>
    <col min="2823" max="2823" width="14" style="380" customWidth="1"/>
    <col min="2824" max="2824" width="7.42578125" style="380" customWidth="1"/>
    <col min="2825" max="3072" width="11.42578125" style="380"/>
    <col min="3073" max="3073" width="15.85546875" style="380" customWidth="1"/>
    <col min="3074" max="3074" width="14.85546875" style="380" customWidth="1"/>
    <col min="3075" max="3075" width="13.28515625" style="380" customWidth="1"/>
    <col min="3076" max="3076" width="11.42578125" style="380"/>
    <col min="3077" max="3077" width="13.42578125" style="380" customWidth="1"/>
    <col min="3078" max="3078" width="12.7109375" style="380" customWidth="1"/>
    <col min="3079" max="3079" width="14" style="380" customWidth="1"/>
    <col min="3080" max="3080" width="7.42578125" style="380" customWidth="1"/>
    <col min="3081" max="3328" width="11.42578125" style="380"/>
    <col min="3329" max="3329" width="15.85546875" style="380" customWidth="1"/>
    <col min="3330" max="3330" width="14.85546875" style="380" customWidth="1"/>
    <col min="3331" max="3331" width="13.28515625" style="380" customWidth="1"/>
    <col min="3332" max="3332" width="11.42578125" style="380"/>
    <col min="3333" max="3333" width="13.42578125" style="380" customWidth="1"/>
    <col min="3334" max="3334" width="12.7109375" style="380" customWidth="1"/>
    <col min="3335" max="3335" width="14" style="380" customWidth="1"/>
    <col min="3336" max="3336" width="7.42578125" style="380" customWidth="1"/>
    <col min="3337" max="3584" width="11.42578125" style="380"/>
    <col min="3585" max="3585" width="15.85546875" style="380" customWidth="1"/>
    <col min="3586" max="3586" width="14.85546875" style="380" customWidth="1"/>
    <col min="3587" max="3587" width="13.28515625" style="380" customWidth="1"/>
    <col min="3588" max="3588" width="11.42578125" style="380"/>
    <col min="3589" max="3589" width="13.42578125" style="380" customWidth="1"/>
    <col min="3590" max="3590" width="12.7109375" style="380" customWidth="1"/>
    <col min="3591" max="3591" width="14" style="380" customWidth="1"/>
    <col min="3592" max="3592" width="7.42578125" style="380" customWidth="1"/>
    <col min="3593" max="3840" width="11.42578125" style="380"/>
    <col min="3841" max="3841" width="15.85546875" style="380" customWidth="1"/>
    <col min="3842" max="3842" width="14.85546875" style="380" customWidth="1"/>
    <col min="3843" max="3843" width="13.28515625" style="380" customWidth="1"/>
    <col min="3844" max="3844" width="11.42578125" style="380"/>
    <col min="3845" max="3845" width="13.42578125" style="380" customWidth="1"/>
    <col min="3846" max="3846" width="12.7109375" style="380" customWidth="1"/>
    <col min="3847" max="3847" width="14" style="380" customWidth="1"/>
    <col min="3848" max="3848" width="7.42578125" style="380" customWidth="1"/>
    <col min="3849" max="4096" width="11.42578125" style="380"/>
    <col min="4097" max="4097" width="15.85546875" style="380" customWidth="1"/>
    <col min="4098" max="4098" width="14.85546875" style="380" customWidth="1"/>
    <col min="4099" max="4099" width="13.28515625" style="380" customWidth="1"/>
    <col min="4100" max="4100" width="11.42578125" style="380"/>
    <col min="4101" max="4101" width="13.42578125" style="380" customWidth="1"/>
    <col min="4102" max="4102" width="12.7109375" style="380" customWidth="1"/>
    <col min="4103" max="4103" width="14" style="380" customWidth="1"/>
    <col min="4104" max="4104" width="7.42578125" style="380" customWidth="1"/>
    <col min="4105" max="4352" width="11.42578125" style="380"/>
    <col min="4353" max="4353" width="15.85546875" style="380" customWidth="1"/>
    <col min="4354" max="4354" width="14.85546875" style="380" customWidth="1"/>
    <col min="4355" max="4355" width="13.28515625" style="380" customWidth="1"/>
    <col min="4356" max="4356" width="11.42578125" style="380"/>
    <col min="4357" max="4357" width="13.42578125" style="380" customWidth="1"/>
    <col min="4358" max="4358" width="12.7109375" style="380" customWidth="1"/>
    <col min="4359" max="4359" width="14" style="380" customWidth="1"/>
    <col min="4360" max="4360" width="7.42578125" style="380" customWidth="1"/>
    <col min="4361" max="4608" width="11.42578125" style="380"/>
    <col min="4609" max="4609" width="15.85546875" style="380" customWidth="1"/>
    <col min="4610" max="4610" width="14.85546875" style="380" customWidth="1"/>
    <col min="4611" max="4611" width="13.28515625" style="380" customWidth="1"/>
    <col min="4612" max="4612" width="11.42578125" style="380"/>
    <col min="4613" max="4613" width="13.42578125" style="380" customWidth="1"/>
    <col min="4614" max="4614" width="12.7109375" style="380" customWidth="1"/>
    <col min="4615" max="4615" width="14" style="380" customWidth="1"/>
    <col min="4616" max="4616" width="7.42578125" style="380" customWidth="1"/>
    <col min="4617" max="4864" width="11.42578125" style="380"/>
    <col min="4865" max="4865" width="15.85546875" style="380" customWidth="1"/>
    <col min="4866" max="4866" width="14.85546875" style="380" customWidth="1"/>
    <col min="4867" max="4867" width="13.28515625" style="380" customWidth="1"/>
    <col min="4868" max="4868" width="11.42578125" style="380"/>
    <col min="4869" max="4869" width="13.42578125" style="380" customWidth="1"/>
    <col min="4870" max="4870" width="12.7109375" style="380" customWidth="1"/>
    <col min="4871" max="4871" width="14" style="380" customWidth="1"/>
    <col min="4872" max="4872" width="7.42578125" style="380" customWidth="1"/>
    <col min="4873" max="5120" width="11.42578125" style="380"/>
    <col min="5121" max="5121" width="15.85546875" style="380" customWidth="1"/>
    <col min="5122" max="5122" width="14.85546875" style="380" customWidth="1"/>
    <col min="5123" max="5123" width="13.28515625" style="380" customWidth="1"/>
    <col min="5124" max="5124" width="11.42578125" style="380"/>
    <col min="5125" max="5125" width="13.42578125" style="380" customWidth="1"/>
    <col min="5126" max="5126" width="12.7109375" style="380" customWidth="1"/>
    <col min="5127" max="5127" width="14" style="380" customWidth="1"/>
    <col min="5128" max="5128" width="7.42578125" style="380" customWidth="1"/>
    <col min="5129" max="5376" width="11.42578125" style="380"/>
    <col min="5377" max="5377" width="15.85546875" style="380" customWidth="1"/>
    <col min="5378" max="5378" width="14.85546875" style="380" customWidth="1"/>
    <col min="5379" max="5379" width="13.28515625" style="380" customWidth="1"/>
    <col min="5380" max="5380" width="11.42578125" style="380"/>
    <col min="5381" max="5381" width="13.42578125" style="380" customWidth="1"/>
    <col min="5382" max="5382" width="12.7109375" style="380" customWidth="1"/>
    <col min="5383" max="5383" width="14" style="380" customWidth="1"/>
    <col min="5384" max="5384" width="7.42578125" style="380" customWidth="1"/>
    <col min="5385" max="5632" width="11.42578125" style="380"/>
    <col min="5633" max="5633" width="15.85546875" style="380" customWidth="1"/>
    <col min="5634" max="5634" width="14.85546875" style="380" customWidth="1"/>
    <col min="5635" max="5635" width="13.28515625" style="380" customWidth="1"/>
    <col min="5636" max="5636" width="11.42578125" style="380"/>
    <col min="5637" max="5637" width="13.42578125" style="380" customWidth="1"/>
    <col min="5638" max="5638" width="12.7109375" style="380" customWidth="1"/>
    <col min="5639" max="5639" width="14" style="380" customWidth="1"/>
    <col min="5640" max="5640" width="7.42578125" style="380" customWidth="1"/>
    <col min="5641" max="5888" width="11.42578125" style="380"/>
    <col min="5889" max="5889" width="15.85546875" style="380" customWidth="1"/>
    <col min="5890" max="5890" width="14.85546875" style="380" customWidth="1"/>
    <col min="5891" max="5891" width="13.28515625" style="380" customWidth="1"/>
    <col min="5892" max="5892" width="11.42578125" style="380"/>
    <col min="5893" max="5893" width="13.42578125" style="380" customWidth="1"/>
    <col min="5894" max="5894" width="12.7109375" style="380" customWidth="1"/>
    <col min="5895" max="5895" width="14" style="380" customWidth="1"/>
    <col min="5896" max="5896" width="7.42578125" style="380" customWidth="1"/>
    <col min="5897" max="6144" width="11.42578125" style="380"/>
    <col min="6145" max="6145" width="15.85546875" style="380" customWidth="1"/>
    <col min="6146" max="6146" width="14.85546875" style="380" customWidth="1"/>
    <col min="6147" max="6147" width="13.28515625" style="380" customWidth="1"/>
    <col min="6148" max="6148" width="11.42578125" style="380"/>
    <col min="6149" max="6149" width="13.42578125" style="380" customWidth="1"/>
    <col min="6150" max="6150" width="12.7109375" style="380" customWidth="1"/>
    <col min="6151" max="6151" width="14" style="380" customWidth="1"/>
    <col min="6152" max="6152" width="7.42578125" style="380" customWidth="1"/>
    <col min="6153" max="6400" width="11.42578125" style="380"/>
    <col min="6401" max="6401" width="15.85546875" style="380" customWidth="1"/>
    <col min="6402" max="6402" width="14.85546875" style="380" customWidth="1"/>
    <col min="6403" max="6403" width="13.28515625" style="380" customWidth="1"/>
    <col min="6404" max="6404" width="11.42578125" style="380"/>
    <col min="6405" max="6405" width="13.42578125" style="380" customWidth="1"/>
    <col min="6406" max="6406" width="12.7109375" style="380" customWidth="1"/>
    <col min="6407" max="6407" width="14" style="380" customWidth="1"/>
    <col min="6408" max="6408" width="7.42578125" style="380" customWidth="1"/>
    <col min="6409" max="6656" width="11.42578125" style="380"/>
    <col min="6657" max="6657" width="15.85546875" style="380" customWidth="1"/>
    <col min="6658" max="6658" width="14.85546875" style="380" customWidth="1"/>
    <col min="6659" max="6659" width="13.28515625" style="380" customWidth="1"/>
    <col min="6660" max="6660" width="11.42578125" style="380"/>
    <col min="6661" max="6661" width="13.42578125" style="380" customWidth="1"/>
    <col min="6662" max="6662" width="12.7109375" style="380" customWidth="1"/>
    <col min="6663" max="6663" width="14" style="380" customWidth="1"/>
    <col min="6664" max="6664" width="7.42578125" style="380" customWidth="1"/>
    <col min="6665" max="6912" width="11.42578125" style="380"/>
    <col min="6913" max="6913" width="15.85546875" style="380" customWidth="1"/>
    <col min="6914" max="6914" width="14.85546875" style="380" customWidth="1"/>
    <col min="6915" max="6915" width="13.28515625" style="380" customWidth="1"/>
    <col min="6916" max="6916" width="11.42578125" style="380"/>
    <col min="6917" max="6917" width="13.42578125" style="380" customWidth="1"/>
    <col min="6918" max="6918" width="12.7109375" style="380" customWidth="1"/>
    <col min="6919" max="6919" width="14" style="380" customWidth="1"/>
    <col min="6920" max="6920" width="7.42578125" style="380" customWidth="1"/>
    <col min="6921" max="7168" width="11.42578125" style="380"/>
    <col min="7169" max="7169" width="15.85546875" style="380" customWidth="1"/>
    <col min="7170" max="7170" width="14.85546875" style="380" customWidth="1"/>
    <col min="7171" max="7171" width="13.28515625" style="380" customWidth="1"/>
    <col min="7172" max="7172" width="11.42578125" style="380"/>
    <col min="7173" max="7173" width="13.42578125" style="380" customWidth="1"/>
    <col min="7174" max="7174" width="12.7109375" style="380" customWidth="1"/>
    <col min="7175" max="7175" width="14" style="380" customWidth="1"/>
    <col min="7176" max="7176" width="7.42578125" style="380" customWidth="1"/>
    <col min="7177" max="7424" width="11.42578125" style="380"/>
    <col min="7425" max="7425" width="15.85546875" style="380" customWidth="1"/>
    <col min="7426" max="7426" width="14.85546875" style="380" customWidth="1"/>
    <col min="7427" max="7427" width="13.28515625" style="380" customWidth="1"/>
    <col min="7428" max="7428" width="11.42578125" style="380"/>
    <col min="7429" max="7429" width="13.42578125" style="380" customWidth="1"/>
    <col min="7430" max="7430" width="12.7109375" style="380" customWidth="1"/>
    <col min="7431" max="7431" width="14" style="380" customWidth="1"/>
    <col min="7432" max="7432" width="7.42578125" style="380" customWidth="1"/>
    <col min="7433" max="7680" width="11.42578125" style="380"/>
    <col min="7681" max="7681" width="15.85546875" style="380" customWidth="1"/>
    <col min="7682" max="7682" width="14.85546875" style="380" customWidth="1"/>
    <col min="7683" max="7683" width="13.28515625" style="380" customWidth="1"/>
    <col min="7684" max="7684" width="11.42578125" style="380"/>
    <col min="7685" max="7685" width="13.42578125" style="380" customWidth="1"/>
    <col min="7686" max="7686" width="12.7109375" style="380" customWidth="1"/>
    <col min="7687" max="7687" width="14" style="380" customWidth="1"/>
    <col min="7688" max="7688" width="7.42578125" style="380" customWidth="1"/>
    <col min="7689" max="7936" width="11.42578125" style="380"/>
    <col min="7937" max="7937" width="15.85546875" style="380" customWidth="1"/>
    <col min="7938" max="7938" width="14.85546875" style="380" customWidth="1"/>
    <col min="7939" max="7939" width="13.28515625" style="380" customWidth="1"/>
    <col min="7940" max="7940" width="11.42578125" style="380"/>
    <col min="7941" max="7941" width="13.42578125" style="380" customWidth="1"/>
    <col min="7942" max="7942" width="12.7109375" style="380" customWidth="1"/>
    <col min="7943" max="7943" width="14" style="380" customWidth="1"/>
    <col min="7944" max="7944" width="7.42578125" style="380" customWidth="1"/>
    <col min="7945" max="8192" width="11.42578125" style="380"/>
    <col min="8193" max="8193" width="15.85546875" style="380" customWidth="1"/>
    <col min="8194" max="8194" width="14.85546875" style="380" customWidth="1"/>
    <col min="8195" max="8195" width="13.28515625" style="380" customWidth="1"/>
    <col min="8196" max="8196" width="11.42578125" style="380"/>
    <col min="8197" max="8197" width="13.42578125" style="380" customWidth="1"/>
    <col min="8198" max="8198" width="12.7109375" style="380" customWidth="1"/>
    <col min="8199" max="8199" width="14" style="380" customWidth="1"/>
    <col min="8200" max="8200" width="7.42578125" style="380" customWidth="1"/>
    <col min="8201" max="8448" width="11.42578125" style="380"/>
    <col min="8449" max="8449" width="15.85546875" style="380" customWidth="1"/>
    <col min="8450" max="8450" width="14.85546875" style="380" customWidth="1"/>
    <col min="8451" max="8451" width="13.28515625" style="380" customWidth="1"/>
    <col min="8452" max="8452" width="11.42578125" style="380"/>
    <col min="8453" max="8453" width="13.42578125" style="380" customWidth="1"/>
    <col min="8454" max="8454" width="12.7109375" style="380" customWidth="1"/>
    <col min="8455" max="8455" width="14" style="380" customWidth="1"/>
    <col min="8456" max="8456" width="7.42578125" style="380" customWidth="1"/>
    <col min="8457" max="8704" width="11.42578125" style="380"/>
    <col min="8705" max="8705" width="15.85546875" style="380" customWidth="1"/>
    <col min="8706" max="8706" width="14.85546875" style="380" customWidth="1"/>
    <col min="8707" max="8707" width="13.28515625" style="380" customWidth="1"/>
    <col min="8708" max="8708" width="11.42578125" style="380"/>
    <col min="8709" max="8709" width="13.42578125" style="380" customWidth="1"/>
    <col min="8710" max="8710" width="12.7109375" style="380" customWidth="1"/>
    <col min="8711" max="8711" width="14" style="380" customWidth="1"/>
    <col min="8712" max="8712" width="7.42578125" style="380" customWidth="1"/>
    <col min="8713" max="8960" width="11.42578125" style="380"/>
    <col min="8961" max="8961" width="15.85546875" style="380" customWidth="1"/>
    <col min="8962" max="8962" width="14.85546875" style="380" customWidth="1"/>
    <col min="8963" max="8963" width="13.28515625" style="380" customWidth="1"/>
    <col min="8964" max="8964" width="11.42578125" style="380"/>
    <col min="8965" max="8965" width="13.42578125" style="380" customWidth="1"/>
    <col min="8966" max="8966" width="12.7109375" style="380" customWidth="1"/>
    <col min="8967" max="8967" width="14" style="380" customWidth="1"/>
    <col min="8968" max="8968" width="7.42578125" style="380" customWidth="1"/>
    <col min="8969" max="9216" width="11.42578125" style="380"/>
    <col min="9217" max="9217" width="15.85546875" style="380" customWidth="1"/>
    <col min="9218" max="9218" width="14.85546875" style="380" customWidth="1"/>
    <col min="9219" max="9219" width="13.28515625" style="380" customWidth="1"/>
    <col min="9220" max="9220" width="11.42578125" style="380"/>
    <col min="9221" max="9221" width="13.42578125" style="380" customWidth="1"/>
    <col min="9222" max="9222" width="12.7109375" style="380" customWidth="1"/>
    <col min="9223" max="9223" width="14" style="380" customWidth="1"/>
    <col min="9224" max="9224" width="7.42578125" style="380" customWidth="1"/>
    <col min="9225" max="9472" width="11.42578125" style="380"/>
    <col min="9473" max="9473" width="15.85546875" style="380" customWidth="1"/>
    <col min="9474" max="9474" width="14.85546875" style="380" customWidth="1"/>
    <col min="9475" max="9475" width="13.28515625" style="380" customWidth="1"/>
    <col min="9476" max="9476" width="11.42578125" style="380"/>
    <col min="9477" max="9477" width="13.42578125" style="380" customWidth="1"/>
    <col min="9478" max="9478" width="12.7109375" style="380" customWidth="1"/>
    <col min="9479" max="9479" width="14" style="380" customWidth="1"/>
    <col min="9480" max="9480" width="7.42578125" style="380" customWidth="1"/>
    <col min="9481" max="9728" width="11.42578125" style="380"/>
    <col min="9729" max="9729" width="15.85546875" style="380" customWidth="1"/>
    <col min="9730" max="9730" width="14.85546875" style="380" customWidth="1"/>
    <col min="9731" max="9731" width="13.28515625" style="380" customWidth="1"/>
    <col min="9732" max="9732" width="11.42578125" style="380"/>
    <col min="9733" max="9733" width="13.42578125" style="380" customWidth="1"/>
    <col min="9734" max="9734" width="12.7109375" style="380" customWidth="1"/>
    <col min="9735" max="9735" width="14" style="380" customWidth="1"/>
    <col min="9736" max="9736" width="7.42578125" style="380" customWidth="1"/>
    <col min="9737" max="9984" width="11.42578125" style="380"/>
    <col min="9985" max="9985" width="15.85546875" style="380" customWidth="1"/>
    <col min="9986" max="9986" width="14.85546875" style="380" customWidth="1"/>
    <col min="9987" max="9987" width="13.28515625" style="380" customWidth="1"/>
    <col min="9988" max="9988" width="11.42578125" style="380"/>
    <col min="9989" max="9989" width="13.42578125" style="380" customWidth="1"/>
    <col min="9990" max="9990" width="12.7109375" style="380" customWidth="1"/>
    <col min="9991" max="9991" width="14" style="380" customWidth="1"/>
    <col min="9992" max="9992" width="7.42578125" style="380" customWidth="1"/>
    <col min="9993" max="10240" width="11.42578125" style="380"/>
    <col min="10241" max="10241" width="15.85546875" style="380" customWidth="1"/>
    <col min="10242" max="10242" width="14.85546875" style="380" customWidth="1"/>
    <col min="10243" max="10243" width="13.28515625" style="380" customWidth="1"/>
    <col min="10244" max="10244" width="11.42578125" style="380"/>
    <col min="10245" max="10245" width="13.42578125" style="380" customWidth="1"/>
    <col min="10246" max="10246" width="12.7109375" style="380" customWidth="1"/>
    <col min="10247" max="10247" width="14" style="380" customWidth="1"/>
    <col min="10248" max="10248" width="7.42578125" style="380" customWidth="1"/>
    <col min="10249" max="10496" width="11.42578125" style="380"/>
    <col min="10497" max="10497" width="15.85546875" style="380" customWidth="1"/>
    <col min="10498" max="10498" width="14.85546875" style="380" customWidth="1"/>
    <col min="10499" max="10499" width="13.28515625" style="380" customWidth="1"/>
    <col min="10500" max="10500" width="11.42578125" style="380"/>
    <col min="10501" max="10501" width="13.42578125" style="380" customWidth="1"/>
    <col min="10502" max="10502" width="12.7109375" style="380" customWidth="1"/>
    <col min="10503" max="10503" width="14" style="380" customWidth="1"/>
    <col min="10504" max="10504" width="7.42578125" style="380" customWidth="1"/>
    <col min="10505" max="10752" width="11.42578125" style="380"/>
    <col min="10753" max="10753" width="15.85546875" style="380" customWidth="1"/>
    <col min="10754" max="10754" width="14.85546875" style="380" customWidth="1"/>
    <col min="10755" max="10755" width="13.28515625" style="380" customWidth="1"/>
    <col min="10756" max="10756" width="11.42578125" style="380"/>
    <col min="10757" max="10757" width="13.42578125" style="380" customWidth="1"/>
    <col min="10758" max="10758" width="12.7109375" style="380" customWidth="1"/>
    <col min="10759" max="10759" width="14" style="380" customWidth="1"/>
    <col min="10760" max="10760" width="7.42578125" style="380" customWidth="1"/>
    <col min="10761" max="11008" width="11.42578125" style="380"/>
    <col min="11009" max="11009" width="15.85546875" style="380" customWidth="1"/>
    <col min="11010" max="11010" width="14.85546875" style="380" customWidth="1"/>
    <col min="11011" max="11011" width="13.28515625" style="380" customWidth="1"/>
    <col min="11012" max="11012" width="11.42578125" style="380"/>
    <col min="11013" max="11013" width="13.42578125" style="380" customWidth="1"/>
    <col min="11014" max="11014" width="12.7109375" style="380" customWidth="1"/>
    <col min="11015" max="11015" width="14" style="380" customWidth="1"/>
    <col min="11016" max="11016" width="7.42578125" style="380" customWidth="1"/>
    <col min="11017" max="11264" width="11.42578125" style="380"/>
    <col min="11265" max="11265" width="15.85546875" style="380" customWidth="1"/>
    <col min="11266" max="11266" width="14.85546875" style="380" customWidth="1"/>
    <col min="11267" max="11267" width="13.28515625" style="380" customWidth="1"/>
    <col min="11268" max="11268" width="11.42578125" style="380"/>
    <col min="11269" max="11269" width="13.42578125" style="380" customWidth="1"/>
    <col min="11270" max="11270" width="12.7109375" style="380" customWidth="1"/>
    <col min="11271" max="11271" width="14" style="380" customWidth="1"/>
    <col min="11272" max="11272" width="7.42578125" style="380" customWidth="1"/>
    <col min="11273" max="11520" width="11.42578125" style="380"/>
    <col min="11521" max="11521" width="15.85546875" style="380" customWidth="1"/>
    <col min="11522" max="11522" width="14.85546875" style="380" customWidth="1"/>
    <col min="11523" max="11523" width="13.28515625" style="380" customWidth="1"/>
    <col min="11524" max="11524" width="11.42578125" style="380"/>
    <col min="11525" max="11525" width="13.42578125" style="380" customWidth="1"/>
    <col min="11526" max="11526" width="12.7109375" style="380" customWidth="1"/>
    <col min="11527" max="11527" width="14" style="380" customWidth="1"/>
    <col min="11528" max="11528" width="7.42578125" style="380" customWidth="1"/>
    <col min="11529" max="11776" width="11.42578125" style="380"/>
    <col min="11777" max="11777" width="15.85546875" style="380" customWidth="1"/>
    <col min="11778" max="11778" width="14.85546875" style="380" customWidth="1"/>
    <col min="11779" max="11779" width="13.28515625" style="380" customWidth="1"/>
    <col min="11780" max="11780" width="11.42578125" style="380"/>
    <col min="11781" max="11781" width="13.42578125" style="380" customWidth="1"/>
    <col min="11782" max="11782" width="12.7109375" style="380" customWidth="1"/>
    <col min="11783" max="11783" width="14" style="380" customWidth="1"/>
    <col min="11784" max="11784" width="7.42578125" style="380" customWidth="1"/>
    <col min="11785" max="12032" width="11.42578125" style="380"/>
    <col min="12033" max="12033" width="15.85546875" style="380" customWidth="1"/>
    <col min="12034" max="12034" width="14.85546875" style="380" customWidth="1"/>
    <col min="12035" max="12035" width="13.28515625" style="380" customWidth="1"/>
    <col min="12036" max="12036" width="11.42578125" style="380"/>
    <col min="12037" max="12037" width="13.42578125" style="380" customWidth="1"/>
    <col min="12038" max="12038" width="12.7109375" style="380" customWidth="1"/>
    <col min="12039" max="12039" width="14" style="380" customWidth="1"/>
    <col min="12040" max="12040" width="7.42578125" style="380" customWidth="1"/>
    <col min="12041" max="12288" width="11.42578125" style="380"/>
    <col min="12289" max="12289" width="15.85546875" style="380" customWidth="1"/>
    <col min="12290" max="12290" width="14.85546875" style="380" customWidth="1"/>
    <col min="12291" max="12291" width="13.28515625" style="380" customWidth="1"/>
    <col min="12292" max="12292" width="11.42578125" style="380"/>
    <col min="12293" max="12293" width="13.42578125" style="380" customWidth="1"/>
    <col min="12294" max="12294" width="12.7109375" style="380" customWidth="1"/>
    <col min="12295" max="12295" width="14" style="380" customWidth="1"/>
    <col min="12296" max="12296" width="7.42578125" style="380" customWidth="1"/>
    <col min="12297" max="12544" width="11.42578125" style="380"/>
    <col min="12545" max="12545" width="15.85546875" style="380" customWidth="1"/>
    <col min="12546" max="12546" width="14.85546875" style="380" customWidth="1"/>
    <col min="12547" max="12547" width="13.28515625" style="380" customWidth="1"/>
    <col min="12548" max="12548" width="11.42578125" style="380"/>
    <col min="12549" max="12549" width="13.42578125" style="380" customWidth="1"/>
    <col min="12550" max="12550" width="12.7109375" style="380" customWidth="1"/>
    <col min="12551" max="12551" width="14" style="380" customWidth="1"/>
    <col min="12552" max="12552" width="7.42578125" style="380" customWidth="1"/>
    <col min="12553" max="12800" width="11.42578125" style="380"/>
    <col min="12801" max="12801" width="15.85546875" style="380" customWidth="1"/>
    <col min="12802" max="12802" width="14.85546875" style="380" customWidth="1"/>
    <col min="12803" max="12803" width="13.28515625" style="380" customWidth="1"/>
    <col min="12804" max="12804" width="11.42578125" style="380"/>
    <col min="12805" max="12805" width="13.42578125" style="380" customWidth="1"/>
    <col min="12806" max="12806" width="12.7109375" style="380" customWidth="1"/>
    <col min="12807" max="12807" width="14" style="380" customWidth="1"/>
    <col min="12808" max="12808" width="7.42578125" style="380" customWidth="1"/>
    <col min="12809" max="13056" width="11.42578125" style="380"/>
    <col min="13057" max="13057" width="15.85546875" style="380" customWidth="1"/>
    <col min="13058" max="13058" width="14.85546875" style="380" customWidth="1"/>
    <col min="13059" max="13059" width="13.28515625" style="380" customWidth="1"/>
    <col min="13060" max="13060" width="11.42578125" style="380"/>
    <col min="13061" max="13061" width="13.42578125" style="380" customWidth="1"/>
    <col min="13062" max="13062" width="12.7109375" style="380" customWidth="1"/>
    <col min="13063" max="13063" width="14" style="380" customWidth="1"/>
    <col min="13064" max="13064" width="7.42578125" style="380" customWidth="1"/>
    <col min="13065" max="13312" width="11.42578125" style="380"/>
    <col min="13313" max="13313" width="15.85546875" style="380" customWidth="1"/>
    <col min="13314" max="13314" width="14.85546875" style="380" customWidth="1"/>
    <col min="13315" max="13315" width="13.28515625" style="380" customWidth="1"/>
    <col min="13316" max="13316" width="11.42578125" style="380"/>
    <col min="13317" max="13317" width="13.42578125" style="380" customWidth="1"/>
    <col min="13318" max="13318" width="12.7109375" style="380" customWidth="1"/>
    <col min="13319" max="13319" width="14" style="380" customWidth="1"/>
    <col min="13320" max="13320" width="7.42578125" style="380" customWidth="1"/>
    <col min="13321" max="13568" width="11.42578125" style="380"/>
    <col min="13569" max="13569" width="15.85546875" style="380" customWidth="1"/>
    <col min="13570" max="13570" width="14.85546875" style="380" customWidth="1"/>
    <col min="13571" max="13571" width="13.28515625" style="380" customWidth="1"/>
    <col min="13572" max="13572" width="11.42578125" style="380"/>
    <col min="13573" max="13573" width="13.42578125" style="380" customWidth="1"/>
    <col min="13574" max="13574" width="12.7109375" style="380" customWidth="1"/>
    <col min="13575" max="13575" width="14" style="380" customWidth="1"/>
    <col min="13576" max="13576" width="7.42578125" style="380" customWidth="1"/>
    <col min="13577" max="13824" width="11.42578125" style="380"/>
    <col min="13825" max="13825" width="15.85546875" style="380" customWidth="1"/>
    <col min="13826" max="13826" width="14.85546875" style="380" customWidth="1"/>
    <col min="13827" max="13827" width="13.28515625" style="380" customWidth="1"/>
    <col min="13828" max="13828" width="11.42578125" style="380"/>
    <col min="13829" max="13829" width="13.42578125" style="380" customWidth="1"/>
    <col min="13830" max="13830" width="12.7109375" style="380" customWidth="1"/>
    <col min="13831" max="13831" width="14" style="380" customWidth="1"/>
    <col min="13832" max="13832" width="7.42578125" style="380" customWidth="1"/>
    <col min="13833" max="14080" width="11.42578125" style="380"/>
    <col min="14081" max="14081" width="15.85546875" style="380" customWidth="1"/>
    <col min="14082" max="14082" width="14.85546875" style="380" customWidth="1"/>
    <col min="14083" max="14083" width="13.28515625" style="380" customWidth="1"/>
    <col min="14084" max="14084" width="11.42578125" style="380"/>
    <col min="14085" max="14085" width="13.42578125" style="380" customWidth="1"/>
    <col min="14086" max="14086" width="12.7109375" style="380" customWidth="1"/>
    <col min="14087" max="14087" width="14" style="380" customWidth="1"/>
    <col min="14088" max="14088" width="7.42578125" style="380" customWidth="1"/>
    <col min="14089" max="14336" width="11.42578125" style="380"/>
    <col min="14337" max="14337" width="15.85546875" style="380" customWidth="1"/>
    <col min="14338" max="14338" width="14.85546875" style="380" customWidth="1"/>
    <col min="14339" max="14339" width="13.28515625" style="380" customWidth="1"/>
    <col min="14340" max="14340" width="11.42578125" style="380"/>
    <col min="14341" max="14341" width="13.42578125" style="380" customWidth="1"/>
    <col min="14342" max="14342" width="12.7109375" style="380" customWidth="1"/>
    <col min="14343" max="14343" width="14" style="380" customWidth="1"/>
    <col min="14344" max="14344" width="7.42578125" style="380" customWidth="1"/>
    <col min="14345" max="14592" width="11.42578125" style="380"/>
    <col min="14593" max="14593" width="15.85546875" style="380" customWidth="1"/>
    <col min="14594" max="14594" width="14.85546875" style="380" customWidth="1"/>
    <col min="14595" max="14595" width="13.28515625" style="380" customWidth="1"/>
    <col min="14596" max="14596" width="11.42578125" style="380"/>
    <col min="14597" max="14597" width="13.42578125" style="380" customWidth="1"/>
    <col min="14598" max="14598" width="12.7109375" style="380" customWidth="1"/>
    <col min="14599" max="14599" width="14" style="380" customWidth="1"/>
    <col min="14600" max="14600" width="7.42578125" style="380" customWidth="1"/>
    <col min="14601" max="14848" width="11.42578125" style="380"/>
    <col min="14849" max="14849" width="15.85546875" style="380" customWidth="1"/>
    <col min="14850" max="14850" width="14.85546875" style="380" customWidth="1"/>
    <col min="14851" max="14851" width="13.28515625" style="380" customWidth="1"/>
    <col min="14852" max="14852" width="11.42578125" style="380"/>
    <col min="14853" max="14853" width="13.42578125" style="380" customWidth="1"/>
    <col min="14854" max="14854" width="12.7109375" style="380" customWidth="1"/>
    <col min="14855" max="14855" width="14" style="380" customWidth="1"/>
    <col min="14856" max="14856" width="7.42578125" style="380" customWidth="1"/>
    <col min="14857" max="15104" width="11.42578125" style="380"/>
    <col min="15105" max="15105" width="15.85546875" style="380" customWidth="1"/>
    <col min="15106" max="15106" width="14.85546875" style="380" customWidth="1"/>
    <col min="15107" max="15107" width="13.28515625" style="380" customWidth="1"/>
    <col min="15108" max="15108" width="11.42578125" style="380"/>
    <col min="15109" max="15109" width="13.42578125" style="380" customWidth="1"/>
    <col min="15110" max="15110" width="12.7109375" style="380" customWidth="1"/>
    <col min="15111" max="15111" width="14" style="380" customWidth="1"/>
    <col min="15112" max="15112" width="7.42578125" style="380" customWidth="1"/>
    <col min="15113" max="15360" width="11.42578125" style="380"/>
    <col min="15361" max="15361" width="15.85546875" style="380" customWidth="1"/>
    <col min="15362" max="15362" width="14.85546875" style="380" customWidth="1"/>
    <col min="15363" max="15363" width="13.28515625" style="380" customWidth="1"/>
    <col min="15364" max="15364" width="11.42578125" style="380"/>
    <col min="15365" max="15365" width="13.42578125" style="380" customWidth="1"/>
    <col min="15366" max="15366" width="12.7109375" style="380" customWidth="1"/>
    <col min="15367" max="15367" width="14" style="380" customWidth="1"/>
    <col min="15368" max="15368" width="7.42578125" style="380" customWidth="1"/>
    <col min="15369" max="15616" width="11.42578125" style="380"/>
    <col min="15617" max="15617" width="15.85546875" style="380" customWidth="1"/>
    <col min="15618" max="15618" width="14.85546875" style="380" customWidth="1"/>
    <col min="15619" max="15619" width="13.28515625" style="380" customWidth="1"/>
    <col min="15620" max="15620" width="11.42578125" style="380"/>
    <col min="15621" max="15621" width="13.42578125" style="380" customWidth="1"/>
    <col min="15622" max="15622" width="12.7109375" style="380" customWidth="1"/>
    <col min="15623" max="15623" width="14" style="380" customWidth="1"/>
    <col min="15624" max="15624" width="7.42578125" style="380" customWidth="1"/>
    <col min="15625" max="15872" width="11.42578125" style="380"/>
    <col min="15873" max="15873" width="15.85546875" style="380" customWidth="1"/>
    <col min="15874" max="15874" width="14.85546875" style="380" customWidth="1"/>
    <col min="15875" max="15875" width="13.28515625" style="380" customWidth="1"/>
    <col min="15876" max="15876" width="11.42578125" style="380"/>
    <col min="15877" max="15877" width="13.42578125" style="380" customWidth="1"/>
    <col min="15878" max="15878" width="12.7109375" style="380" customWidth="1"/>
    <col min="15879" max="15879" width="14" style="380" customWidth="1"/>
    <col min="15880" max="15880" width="7.42578125" style="380" customWidth="1"/>
    <col min="15881" max="16128" width="11.42578125" style="380"/>
    <col min="16129" max="16129" width="15.85546875" style="380" customWidth="1"/>
    <col min="16130" max="16130" width="14.85546875" style="380" customWidth="1"/>
    <col min="16131" max="16131" width="13.28515625" style="380" customWidth="1"/>
    <col min="16132" max="16132" width="11.42578125" style="380"/>
    <col min="16133" max="16133" width="13.42578125" style="380" customWidth="1"/>
    <col min="16134" max="16134" width="12.7109375" style="380" customWidth="1"/>
    <col min="16135" max="16135" width="14" style="380" customWidth="1"/>
    <col min="16136" max="16136" width="7.42578125" style="380" customWidth="1"/>
    <col min="16137" max="16384" width="11.42578125" style="380"/>
  </cols>
  <sheetData>
    <row r="1" spans="1:21" s="3" customFormat="1" ht="20.25">
      <c r="A1" s="1346" t="str">
        <f>PPTO!D3</f>
        <v>PRESUPUESTO
MUNICIPIO EL BAGRE (ANTIOQUIA).</v>
      </c>
      <c r="B1" s="1347"/>
      <c r="C1" s="1347"/>
      <c r="D1" s="1347"/>
      <c r="E1" s="1347"/>
      <c r="F1" s="1347"/>
      <c r="G1" s="1348"/>
      <c r="H1" s="1"/>
      <c r="I1" s="2"/>
    </row>
    <row r="2" spans="1:21" s="3" customFormat="1" ht="18" customHeight="1">
      <c r="A2" s="1362" t="s">
        <v>16</v>
      </c>
      <c r="B2" s="1363"/>
      <c r="C2" s="1363"/>
      <c r="D2" s="1363"/>
      <c r="E2" s="1363"/>
      <c r="F2" s="1363"/>
      <c r="G2" s="1364"/>
      <c r="H2" s="1"/>
      <c r="I2" s="2"/>
    </row>
    <row r="3" spans="1:21" s="3" customFormat="1" ht="24.75" customHeight="1">
      <c r="A3" s="1367" t="str">
        <f>+PPTO!$D$5</f>
        <v>PROYECTO DE MEJORAMIENTO VIAL, ESPACIO PUBLICO Y OBRAS COMPLEMENTARIAS DE LA AVENIDA LA JUVENTUD Y TRAMOS ADYACENTES Y PRIORITARIOS DEL SECTOR URBANO EN EL MUNICIPIO EL BAGRE ANTIOQUIA.</v>
      </c>
      <c r="B3" s="1368"/>
      <c r="C3" s="1368"/>
      <c r="D3" s="1368"/>
      <c r="E3" s="1368"/>
      <c r="F3" s="1368"/>
      <c r="G3" s="1369"/>
      <c r="H3" s="1"/>
      <c r="I3" s="2"/>
    </row>
    <row r="4" spans="1:21" s="3" customFormat="1" ht="14.25" customHeight="1">
      <c r="A4" s="1370"/>
      <c r="B4" s="1368"/>
      <c r="C4" s="1368"/>
      <c r="D4" s="1368"/>
      <c r="E4" s="1368"/>
      <c r="F4" s="1368"/>
      <c r="G4" s="1369"/>
      <c r="H4" s="1"/>
      <c r="I4" s="2"/>
    </row>
    <row r="5" spans="1:21" s="3" customFormat="1" ht="6.75" customHeight="1">
      <c r="A5" s="222"/>
      <c r="B5" s="6"/>
      <c r="C5" s="24"/>
      <c r="D5" s="25"/>
      <c r="E5" s="6"/>
      <c r="F5" s="6"/>
      <c r="G5" s="223"/>
      <c r="H5" s="9"/>
    </row>
    <row r="6" spans="1:21" ht="32.25" customHeight="1">
      <c r="A6" s="368">
        <v>4.7</v>
      </c>
      <c r="B6" s="1349" t="str">
        <f>VLOOKUP(A6,PPTO!D10:I137,2,FALSE)</f>
        <v>Concreto (3000 PSI) para atraque de accesorios de 2" hasta 10" con sikaset L y plastocrete DM</v>
      </c>
      <c r="C6" s="1350"/>
      <c r="D6" s="1350"/>
      <c r="E6" s="1351"/>
      <c r="F6" s="192" t="s">
        <v>118</v>
      </c>
      <c r="G6" s="248" t="str">
        <f>VLOOKUP(A6,PPTO!D10:I137,3,FALSE)</f>
        <v>UND</v>
      </c>
      <c r="H6" s="382"/>
    </row>
    <row r="7" spans="1:21" ht="3.75" customHeight="1">
      <c r="A7" s="383"/>
      <c r="B7" s="384"/>
      <c r="C7" s="381"/>
      <c r="D7" s="384"/>
      <c r="E7" s="384"/>
      <c r="F7" s="384"/>
      <c r="G7" s="385"/>
      <c r="H7" s="382"/>
    </row>
    <row r="8" spans="1:21">
      <c r="A8" s="1408" t="s">
        <v>69</v>
      </c>
      <c r="B8" s="1409"/>
      <c r="C8" s="1409"/>
      <c r="D8" s="1409"/>
      <c r="E8" s="1409"/>
      <c r="F8" s="1409"/>
      <c r="G8" s="1410"/>
      <c r="H8" s="382"/>
    </row>
    <row r="9" spans="1:21" ht="4.5" customHeight="1">
      <c r="A9" s="383"/>
      <c r="B9" s="384"/>
      <c r="C9" s="381"/>
      <c r="D9" s="384"/>
      <c r="E9" s="384"/>
      <c r="F9" s="384"/>
      <c r="G9" s="385"/>
      <c r="H9" s="382"/>
      <c r="I9" s="386"/>
      <c r="J9" s="386"/>
      <c r="K9" s="386"/>
      <c r="L9" s="387"/>
      <c r="M9" s="386"/>
      <c r="N9" s="386"/>
      <c r="O9" s="386"/>
      <c r="P9" s="386"/>
    </row>
    <row r="10" spans="1:21">
      <c r="A10" s="1406" t="s">
        <v>17</v>
      </c>
      <c r="B10" s="1407"/>
      <c r="C10" s="1407"/>
      <c r="D10" s="388" t="s">
        <v>18</v>
      </c>
      <c r="E10" s="388" t="s">
        <v>19</v>
      </c>
      <c r="F10" s="388" t="s">
        <v>20</v>
      </c>
      <c r="G10" s="389" t="s">
        <v>21</v>
      </c>
      <c r="H10" s="390"/>
      <c r="I10" s="391"/>
      <c r="J10" s="392"/>
      <c r="K10" s="393"/>
      <c r="L10" s="393"/>
      <c r="M10" s="393"/>
      <c r="N10" s="393"/>
      <c r="O10" s="393"/>
      <c r="P10" s="386"/>
    </row>
    <row r="11" spans="1:21">
      <c r="A11" s="1387" t="s">
        <v>75</v>
      </c>
      <c r="B11" s="1388"/>
      <c r="C11" s="1388"/>
      <c r="D11" s="388"/>
      <c r="E11" s="394"/>
      <c r="F11" s="395"/>
      <c r="G11" s="396">
        <f>+G39*5%</f>
        <v>1609</v>
      </c>
      <c r="H11" s="382"/>
      <c r="I11" s="393"/>
      <c r="J11" s="397"/>
      <c r="K11" s="393"/>
      <c r="L11" s="393"/>
      <c r="M11" s="393"/>
      <c r="N11" s="393"/>
      <c r="O11" s="393"/>
      <c r="P11" s="386"/>
    </row>
    <row r="12" spans="1:21">
      <c r="A12" s="1411"/>
      <c r="B12" s="1412"/>
      <c r="C12" s="1412"/>
      <c r="D12" s="394"/>
      <c r="E12" s="394"/>
      <c r="F12" s="398"/>
      <c r="G12" s="396"/>
      <c r="H12" s="382"/>
      <c r="I12" s="399"/>
      <c r="J12" s="400"/>
      <c r="K12" s="401"/>
      <c r="L12" s="401"/>
      <c r="M12" s="401"/>
      <c r="N12" s="401"/>
      <c r="O12" s="401"/>
      <c r="P12" s="386"/>
    </row>
    <row r="13" spans="1:21">
      <c r="A13" s="1411"/>
      <c r="B13" s="1412"/>
      <c r="C13" s="1412"/>
      <c r="D13" s="394"/>
      <c r="E13" s="394"/>
      <c r="F13" s="398"/>
      <c r="G13" s="396"/>
      <c r="H13" s="382"/>
      <c r="I13" s="400"/>
      <c r="J13" s="400"/>
      <c r="K13" s="400"/>
      <c r="L13" s="400"/>
      <c r="M13" s="400"/>
      <c r="N13" s="400"/>
      <c r="O13" s="400"/>
      <c r="P13" s="386"/>
    </row>
    <row r="14" spans="1:21">
      <c r="A14" s="1411"/>
      <c r="B14" s="1412"/>
      <c r="C14" s="1412"/>
      <c r="D14" s="394"/>
      <c r="E14" s="394"/>
      <c r="F14" s="398"/>
      <c r="G14" s="396"/>
      <c r="H14" s="382"/>
      <c r="I14" s="401"/>
      <c r="J14" s="402"/>
      <c r="K14" s="403"/>
      <c r="L14" s="402"/>
      <c r="M14" s="404"/>
      <c r="N14" s="404"/>
      <c r="O14" s="405"/>
      <c r="P14" s="386"/>
    </row>
    <row r="15" spans="1:21">
      <c r="A15" s="1411"/>
      <c r="B15" s="1412"/>
      <c r="C15" s="1412"/>
      <c r="D15" s="394"/>
      <c r="E15" s="394"/>
      <c r="F15" s="406"/>
      <c r="G15" s="396"/>
      <c r="H15" s="382"/>
      <c r="I15" s="401"/>
      <c r="J15" s="407"/>
      <c r="K15" s="403"/>
      <c r="L15" s="402"/>
      <c r="M15" s="404"/>
      <c r="N15" s="404"/>
      <c r="O15" s="405"/>
      <c r="P15" s="386"/>
      <c r="Q15" s="386"/>
      <c r="R15" s="386"/>
      <c r="S15" s="386"/>
      <c r="T15" s="386"/>
      <c r="U15" s="386"/>
    </row>
    <row r="16" spans="1:21">
      <c r="A16" s="1411"/>
      <c r="B16" s="1412"/>
      <c r="C16" s="1412"/>
      <c r="D16" s="408" t="s">
        <v>37</v>
      </c>
      <c r="E16" s="409"/>
      <c r="F16" s="410"/>
      <c r="G16" s="411">
        <f>SUM(G11:G15)</f>
        <v>1609</v>
      </c>
      <c r="H16" s="382"/>
      <c r="I16" s="412"/>
      <c r="J16" s="412"/>
      <c r="K16" s="413"/>
      <c r="L16" s="414"/>
      <c r="M16" s="415"/>
      <c r="N16" s="415"/>
      <c r="O16" s="405"/>
      <c r="P16" s="386"/>
      <c r="Q16" s="386"/>
      <c r="R16" s="386"/>
      <c r="S16" s="386"/>
      <c r="T16" s="386"/>
      <c r="U16" s="386"/>
    </row>
    <row r="17" spans="1:21" ht="4.5" customHeight="1">
      <c r="A17" s="383"/>
      <c r="B17" s="384"/>
      <c r="C17" s="381"/>
      <c r="D17" s="384"/>
      <c r="E17" s="384"/>
      <c r="F17" s="384"/>
      <c r="G17" s="385"/>
      <c r="H17" s="382"/>
      <c r="I17" s="412"/>
      <c r="J17" s="412"/>
      <c r="K17" s="413"/>
      <c r="L17" s="414"/>
      <c r="M17" s="415"/>
      <c r="N17" s="415"/>
      <c r="O17" s="405"/>
      <c r="P17" s="386"/>
      <c r="Q17" s="386"/>
      <c r="R17" s="386"/>
      <c r="S17" s="386"/>
      <c r="T17" s="386"/>
      <c r="U17" s="386"/>
    </row>
    <row r="18" spans="1:21">
      <c r="A18" s="1408" t="s">
        <v>70</v>
      </c>
      <c r="B18" s="1409"/>
      <c r="C18" s="1409"/>
      <c r="D18" s="1409"/>
      <c r="E18" s="1409"/>
      <c r="F18" s="1409"/>
      <c r="G18" s="1410"/>
      <c r="H18" s="382"/>
    </row>
    <row r="19" spans="1:21" ht="4.5" customHeight="1">
      <c r="A19" s="383"/>
      <c r="B19" s="384"/>
      <c r="C19" s="381"/>
      <c r="D19" s="384"/>
      <c r="E19" s="384"/>
      <c r="F19" s="416"/>
      <c r="G19" s="385"/>
      <c r="H19" s="382"/>
      <c r="I19" s="412"/>
      <c r="J19" s="412"/>
      <c r="K19" s="413"/>
      <c r="L19" s="417"/>
      <c r="M19" s="415"/>
      <c r="N19" s="415"/>
      <c r="O19" s="401"/>
      <c r="P19" s="386"/>
      <c r="Q19" s="386"/>
      <c r="R19" s="386"/>
      <c r="S19" s="386"/>
      <c r="T19" s="386"/>
      <c r="U19" s="386"/>
    </row>
    <row r="20" spans="1:21">
      <c r="A20" s="1406" t="s">
        <v>17</v>
      </c>
      <c r="B20" s="1407"/>
      <c r="C20" s="1407"/>
      <c r="D20" s="388" t="s">
        <v>3</v>
      </c>
      <c r="E20" s="388" t="s">
        <v>4</v>
      </c>
      <c r="F20" s="388" t="s">
        <v>25</v>
      </c>
      <c r="G20" s="389" t="s">
        <v>21</v>
      </c>
      <c r="H20" s="390"/>
      <c r="I20" s="412"/>
      <c r="J20" s="412"/>
      <c r="K20" s="413"/>
      <c r="L20" s="417"/>
      <c r="M20" s="415"/>
      <c r="N20" s="415"/>
      <c r="O20" s="401"/>
      <c r="P20" s="386"/>
      <c r="Q20" s="386"/>
      <c r="R20" s="386"/>
      <c r="S20" s="386"/>
      <c r="T20" s="386"/>
      <c r="U20" s="386"/>
    </row>
    <row r="21" spans="1:21">
      <c r="A21" s="1413" t="s">
        <v>109</v>
      </c>
      <c r="B21" s="1414"/>
      <c r="C21" s="1414"/>
      <c r="D21" s="418" t="s">
        <v>44</v>
      </c>
      <c r="E21" s="419">
        <f>0.3*0.4*0.5</f>
        <v>0.06</v>
      </c>
      <c r="F21" s="420">
        <v>374906</v>
      </c>
      <c r="G21" s="421">
        <f>ROUND(F21*E21,0)</f>
        <v>22494</v>
      </c>
      <c r="H21" s="382"/>
      <c r="I21" s="412"/>
      <c r="J21" s="412"/>
      <c r="K21" s="413"/>
      <c r="L21" s="417"/>
      <c r="M21" s="415"/>
      <c r="N21" s="415"/>
      <c r="O21" s="400"/>
      <c r="P21" s="386"/>
      <c r="Q21" s="386"/>
      <c r="R21" s="386"/>
      <c r="S21" s="386"/>
      <c r="T21" s="386"/>
      <c r="U21" s="386"/>
    </row>
    <row r="22" spans="1:21">
      <c r="A22" s="494" t="s">
        <v>314</v>
      </c>
      <c r="B22" s="495"/>
      <c r="C22" s="496"/>
      <c r="D22" s="467" t="s">
        <v>0</v>
      </c>
      <c r="E22" s="423">
        <v>1</v>
      </c>
      <c r="F22" s="424">
        <v>4000</v>
      </c>
      <c r="G22" s="421">
        <f t="shared" ref="G22:G24" si="0">ROUND(F22*E22,0)</f>
        <v>4000</v>
      </c>
      <c r="H22" s="382"/>
      <c r="I22" s="425"/>
      <c r="J22" s="425"/>
      <c r="K22" s="426"/>
      <c r="L22" s="417"/>
      <c r="M22" s="415"/>
      <c r="N22" s="415"/>
      <c r="O22" s="404"/>
      <c r="P22" s="386"/>
      <c r="Q22" s="386"/>
      <c r="R22" s="386"/>
      <c r="S22" s="386"/>
      <c r="T22" s="386"/>
      <c r="U22" s="386"/>
    </row>
    <row r="23" spans="1:21">
      <c r="A23" s="494" t="s">
        <v>315</v>
      </c>
      <c r="B23" s="495"/>
      <c r="C23" s="496"/>
      <c r="D23" s="467" t="s">
        <v>316</v>
      </c>
      <c r="E23" s="423">
        <v>2.5</v>
      </c>
      <c r="F23" s="424">
        <v>6426</v>
      </c>
      <c r="G23" s="421">
        <f t="shared" si="0"/>
        <v>16065</v>
      </c>
      <c r="H23" s="382"/>
      <c r="I23" s="425"/>
      <c r="J23" s="425"/>
      <c r="K23" s="426"/>
      <c r="L23" s="417"/>
      <c r="M23" s="415"/>
      <c r="N23" s="415"/>
      <c r="O23" s="404"/>
      <c r="P23" s="386"/>
      <c r="Q23" s="386"/>
      <c r="R23" s="386"/>
      <c r="S23" s="386"/>
      <c r="T23" s="386"/>
      <c r="U23" s="386"/>
    </row>
    <row r="24" spans="1:21">
      <c r="A24" s="494" t="s">
        <v>317</v>
      </c>
      <c r="B24" s="495"/>
      <c r="C24" s="496"/>
      <c r="D24" s="467" t="s">
        <v>7</v>
      </c>
      <c r="E24" s="423">
        <v>0.16</v>
      </c>
      <c r="F24" s="424">
        <v>54086</v>
      </c>
      <c r="G24" s="421">
        <f t="shared" si="0"/>
        <v>8654</v>
      </c>
      <c r="H24" s="382"/>
      <c r="I24" s="425"/>
      <c r="J24" s="428"/>
      <c r="K24" s="426"/>
      <c r="L24" s="400"/>
      <c r="M24" s="402"/>
      <c r="N24" s="402"/>
      <c r="O24" s="404"/>
      <c r="P24" s="386"/>
      <c r="Q24" s="386"/>
      <c r="R24" s="386"/>
      <c r="S24" s="386"/>
      <c r="T24" s="386"/>
      <c r="U24" s="386"/>
    </row>
    <row r="25" spans="1:21">
      <c r="A25" s="494"/>
      <c r="B25" s="495"/>
      <c r="C25" s="496"/>
      <c r="D25" s="467"/>
      <c r="E25" s="423"/>
      <c r="F25" s="424"/>
      <c r="G25" s="421"/>
      <c r="H25" s="382"/>
      <c r="I25" s="425"/>
      <c r="J25" s="429"/>
      <c r="K25" s="426"/>
      <c r="L25" s="400"/>
      <c r="M25" s="402"/>
      <c r="N25" s="402"/>
      <c r="O25" s="404"/>
      <c r="P25" s="386"/>
      <c r="Q25" s="386"/>
      <c r="R25" s="386"/>
      <c r="S25" s="386"/>
      <c r="T25" s="386"/>
      <c r="U25" s="386"/>
    </row>
    <row r="26" spans="1:21">
      <c r="A26" s="1434"/>
      <c r="B26" s="1414"/>
      <c r="C26" s="1414"/>
      <c r="D26" s="467"/>
      <c r="E26" s="423"/>
      <c r="F26" s="424"/>
      <c r="G26" s="421"/>
      <c r="H26" s="382"/>
      <c r="I26" s="425"/>
      <c r="J26" s="429"/>
      <c r="K26" s="426"/>
      <c r="L26" s="400"/>
      <c r="M26" s="402"/>
      <c r="N26" s="402"/>
      <c r="O26" s="404"/>
      <c r="P26" s="386"/>
      <c r="Q26" s="386"/>
      <c r="R26" s="386"/>
      <c r="S26" s="386"/>
      <c r="T26" s="386"/>
      <c r="U26" s="386"/>
    </row>
    <row r="27" spans="1:21">
      <c r="A27" s="1387"/>
      <c r="B27" s="1388"/>
      <c r="C27" s="1388" t="s">
        <v>50</v>
      </c>
      <c r="D27" s="418"/>
      <c r="E27" s="427"/>
      <c r="F27" s="424" t="s">
        <v>243</v>
      </c>
      <c r="G27" s="421">
        <f>+G21*0.05</f>
        <v>1125</v>
      </c>
      <c r="H27" s="382"/>
      <c r="I27" s="425"/>
      <c r="J27" s="429"/>
      <c r="K27" s="426"/>
      <c r="L27" s="400"/>
      <c r="M27" s="402"/>
      <c r="N27" s="402"/>
      <c r="O27" s="404"/>
      <c r="P27" s="386"/>
      <c r="Q27" s="386"/>
      <c r="R27" s="386"/>
      <c r="S27" s="386"/>
      <c r="T27" s="386"/>
      <c r="U27" s="386"/>
    </row>
    <row r="28" spans="1:21">
      <c r="A28" s="1387"/>
      <c r="B28" s="1388"/>
      <c r="C28" s="1388"/>
      <c r="D28" s="418"/>
      <c r="E28" s="427"/>
      <c r="F28" s="394"/>
      <c r="G28" s="421"/>
      <c r="H28" s="382"/>
      <c r="I28" s="424"/>
      <c r="J28" s="430"/>
      <c r="K28" s="426"/>
      <c r="L28" s="400"/>
      <c r="M28" s="402"/>
      <c r="N28" s="402"/>
      <c r="O28" s="404"/>
      <c r="P28" s="386"/>
      <c r="Q28" s="386"/>
      <c r="R28" s="386"/>
      <c r="S28" s="386"/>
      <c r="T28" s="386"/>
      <c r="U28" s="386"/>
    </row>
    <row r="29" spans="1:21">
      <c r="A29" s="1387"/>
      <c r="B29" s="1388"/>
      <c r="C29" s="1388"/>
      <c r="D29" s="431"/>
      <c r="E29" s="431"/>
      <c r="F29" s="394"/>
      <c r="G29" s="421"/>
      <c r="H29" s="382"/>
      <c r="I29" s="432"/>
      <c r="J29" s="432"/>
      <c r="K29" s="432"/>
      <c r="L29" s="400"/>
      <c r="M29" s="402"/>
      <c r="N29" s="402"/>
      <c r="O29" s="404"/>
      <c r="P29" s="386"/>
      <c r="Q29" s="386"/>
      <c r="R29" s="386"/>
      <c r="S29" s="386"/>
      <c r="T29" s="386"/>
      <c r="U29" s="386"/>
    </row>
    <row r="30" spans="1:21">
      <c r="A30" s="1387"/>
      <c r="B30" s="1388"/>
      <c r="C30" s="1388"/>
      <c r="D30" s="408" t="s">
        <v>28</v>
      </c>
      <c r="E30" s="409"/>
      <c r="F30" s="410"/>
      <c r="G30" s="411">
        <f>SUM(G21:G29)</f>
        <v>52338</v>
      </c>
      <c r="H30" s="382"/>
      <c r="I30" s="401"/>
      <c r="J30" s="400"/>
      <c r="K30" s="401"/>
      <c r="L30" s="400"/>
      <c r="M30" s="402"/>
      <c r="N30" s="402"/>
      <c r="O30" s="404"/>
      <c r="P30" s="386"/>
    </row>
    <row r="31" spans="1:21" ht="3.75" customHeight="1">
      <c r="A31" s="383"/>
      <c r="B31" s="384"/>
      <c r="C31" s="381"/>
      <c r="D31" s="384"/>
      <c r="E31" s="384"/>
      <c r="F31" s="384"/>
      <c r="G31" s="385"/>
      <c r="H31" s="382"/>
      <c r="I31" s="401"/>
      <c r="J31" s="400"/>
      <c r="K31" s="433"/>
      <c r="L31" s="400"/>
      <c r="M31" s="407"/>
      <c r="N31" s="407"/>
      <c r="O31" s="404"/>
      <c r="P31" s="386"/>
    </row>
    <row r="32" spans="1:21">
      <c r="A32" s="1408" t="s">
        <v>71</v>
      </c>
      <c r="B32" s="1409"/>
      <c r="C32" s="1409"/>
      <c r="D32" s="1409"/>
      <c r="E32" s="1409"/>
      <c r="F32" s="1409"/>
      <c r="G32" s="1410"/>
      <c r="H32" s="382"/>
    </row>
    <row r="33" spans="1:16" ht="3.75" customHeight="1">
      <c r="A33" s="383"/>
      <c r="B33" s="384"/>
      <c r="C33" s="381"/>
      <c r="D33" s="384"/>
      <c r="E33" s="384"/>
      <c r="F33" s="384"/>
      <c r="G33" s="385"/>
      <c r="H33" s="382"/>
      <c r="I33" s="401"/>
      <c r="J33" s="400"/>
      <c r="K33" s="401"/>
      <c r="L33" s="401"/>
      <c r="M33" s="401"/>
      <c r="N33" s="401"/>
      <c r="O33" s="404"/>
      <c r="P33" s="386"/>
    </row>
    <row r="34" spans="1:16">
      <c r="A34" s="434" t="s">
        <v>5</v>
      </c>
      <c r="B34" s="435" t="s">
        <v>29</v>
      </c>
      <c r="C34" s="435" t="s">
        <v>30</v>
      </c>
      <c r="D34" s="435" t="s">
        <v>31</v>
      </c>
      <c r="E34" s="435" t="s">
        <v>32</v>
      </c>
      <c r="F34" s="435" t="s">
        <v>20</v>
      </c>
      <c r="G34" s="389" t="s">
        <v>33</v>
      </c>
      <c r="H34" s="390"/>
      <c r="I34" s="401"/>
      <c r="J34" s="400"/>
      <c r="K34" s="401"/>
      <c r="L34" s="401"/>
      <c r="M34" s="401"/>
      <c r="N34" s="401"/>
      <c r="O34" s="404"/>
      <c r="P34" s="386"/>
    </row>
    <row r="35" spans="1:16">
      <c r="A35" s="436" t="s">
        <v>41</v>
      </c>
      <c r="B35" s="437">
        <f>BOF</f>
        <v>51749</v>
      </c>
      <c r="C35" s="438">
        <f>ffpp</f>
        <v>0.64539999999999997</v>
      </c>
      <c r="D35" s="439">
        <v>1</v>
      </c>
      <c r="E35" s="440">
        <f>OF</f>
        <v>88696</v>
      </c>
      <c r="F35" s="441">
        <v>5</v>
      </c>
      <c r="G35" s="231">
        <f>ROUND(+D35*E35/F35,0)</f>
        <v>17739</v>
      </c>
      <c r="H35" s="382"/>
      <c r="I35" s="399"/>
      <c r="J35" s="400"/>
      <c r="K35" s="401"/>
      <c r="L35" s="401"/>
      <c r="M35" s="401"/>
      <c r="N35" s="401"/>
      <c r="O35" s="404"/>
      <c r="P35" s="386"/>
    </row>
    <row r="36" spans="1:16">
      <c r="A36" s="436" t="s">
        <v>38</v>
      </c>
      <c r="B36" s="437">
        <f>BOB</f>
        <v>41749</v>
      </c>
      <c r="C36" s="438">
        <f>ffpp</f>
        <v>0.64539999999999997</v>
      </c>
      <c r="D36" s="439">
        <v>1</v>
      </c>
      <c r="E36" s="440">
        <f>OB</f>
        <v>72242</v>
      </c>
      <c r="F36" s="441">
        <f>+F35</f>
        <v>5</v>
      </c>
      <c r="G36" s="231">
        <f>ROUND(+D36*E36/F36,0)</f>
        <v>14448</v>
      </c>
      <c r="H36" s="382"/>
      <c r="I36" s="401"/>
      <c r="J36" s="401"/>
      <c r="K36" s="400"/>
      <c r="L36" s="400"/>
      <c r="M36" s="400"/>
      <c r="N36" s="400"/>
      <c r="O36" s="400"/>
      <c r="P36" s="386"/>
    </row>
    <row r="37" spans="1:16">
      <c r="A37" s="442"/>
      <c r="B37" s="409"/>
      <c r="C37" s="961"/>
      <c r="D37" s="409"/>
      <c r="E37" s="409"/>
      <c r="F37" s="409"/>
      <c r="G37" s="443"/>
      <c r="H37" s="382"/>
      <c r="I37" s="401"/>
      <c r="J37" s="400"/>
      <c r="K37" s="400"/>
      <c r="L37" s="400"/>
      <c r="M37" s="407"/>
      <c r="N37" s="407"/>
      <c r="O37" s="444"/>
      <c r="P37" s="386"/>
    </row>
    <row r="38" spans="1:16">
      <c r="A38" s="436"/>
      <c r="B38" s="441"/>
      <c r="C38" s="438"/>
      <c r="D38" s="441"/>
      <c r="E38" s="445"/>
      <c r="F38" s="445"/>
      <c r="G38" s="446"/>
      <c r="H38" s="382"/>
      <c r="I38" s="401"/>
      <c r="J38" s="400"/>
      <c r="K38" s="400"/>
      <c r="L38" s="400"/>
      <c r="M38" s="407"/>
      <c r="N38" s="407"/>
      <c r="O38" s="444"/>
      <c r="P38" s="386"/>
    </row>
    <row r="39" spans="1:16">
      <c r="A39" s="447"/>
      <c r="B39" s="448"/>
      <c r="C39" s="448"/>
      <c r="D39" s="448" t="s">
        <v>34</v>
      </c>
      <c r="E39" s="448"/>
      <c r="F39" s="448"/>
      <c r="G39" s="449">
        <f>SUM(G35:G38)</f>
        <v>32187</v>
      </c>
      <c r="H39" s="382"/>
      <c r="I39" s="401"/>
      <c r="J39" s="400"/>
      <c r="K39" s="400"/>
      <c r="L39" s="400"/>
      <c r="M39" s="402"/>
      <c r="N39" s="402"/>
      <c r="O39" s="404"/>
      <c r="P39" s="386"/>
    </row>
    <row r="40" spans="1:16">
      <c r="A40" s="383"/>
      <c r="B40" s="384"/>
      <c r="C40" s="381"/>
      <c r="D40" s="384"/>
      <c r="E40" s="384"/>
      <c r="F40" s="384"/>
      <c r="G40" s="385"/>
      <c r="H40" s="382"/>
      <c r="I40" s="401"/>
      <c r="J40" s="400"/>
      <c r="K40" s="400"/>
      <c r="L40" s="400"/>
      <c r="M40" s="402"/>
      <c r="N40" s="402"/>
      <c r="O40" s="405"/>
      <c r="P40" s="386"/>
    </row>
    <row r="41" spans="1:16">
      <c r="A41" s="383"/>
      <c r="B41" s="384"/>
      <c r="C41" s="381"/>
      <c r="D41" s="384"/>
      <c r="E41" s="384"/>
      <c r="F41" s="384"/>
      <c r="G41" s="385"/>
      <c r="H41" s="382"/>
      <c r="I41" s="401"/>
      <c r="J41" s="400"/>
      <c r="K41" s="400"/>
      <c r="L41" s="400"/>
      <c r="M41" s="450"/>
      <c r="N41" s="450"/>
      <c r="O41" s="451"/>
      <c r="P41" s="386"/>
    </row>
    <row r="42" spans="1:16" ht="14.25">
      <c r="A42" s="383"/>
      <c r="B42" s="384"/>
      <c r="C42" s="381"/>
      <c r="D42" s="1415" t="s">
        <v>35</v>
      </c>
      <c r="E42" s="1416"/>
      <c r="F42" s="1417"/>
      <c r="G42" s="452">
        <f>+G39+G30+G16</f>
        <v>86134</v>
      </c>
      <c r="H42" s="382"/>
      <c r="I42" s="401"/>
      <c r="J42" s="400"/>
      <c r="K42" s="401"/>
      <c r="L42" s="401"/>
      <c r="M42" s="401"/>
      <c r="N42" s="401"/>
      <c r="O42" s="401"/>
      <c r="P42" s="386"/>
    </row>
    <row r="43" spans="1:16" ht="14.25">
      <c r="A43" s="453"/>
      <c r="B43" s="454"/>
      <c r="C43" s="455"/>
      <c r="D43" s="456"/>
      <c r="E43" s="456"/>
      <c r="F43" s="456"/>
      <c r="G43" s="457"/>
      <c r="H43" s="382"/>
      <c r="I43" s="401"/>
      <c r="J43" s="400"/>
      <c r="K43" s="401"/>
      <c r="L43" s="401"/>
      <c r="M43" s="401"/>
      <c r="N43" s="401"/>
      <c r="O43" s="401"/>
      <c r="P43" s="386"/>
    </row>
    <row r="44" spans="1:16" ht="14.25">
      <c r="A44" s="374"/>
      <c r="B44" s="375"/>
      <c r="C44" s="375"/>
      <c r="D44" s="456"/>
      <c r="E44" s="456"/>
      <c r="F44" s="456"/>
      <c r="G44" s="457"/>
      <c r="H44" s="382"/>
      <c r="I44" s="401"/>
      <c r="J44" s="400"/>
      <c r="K44" s="401"/>
      <c r="L44" s="401"/>
      <c r="M44" s="401"/>
      <c r="N44" s="401"/>
      <c r="O44" s="401"/>
      <c r="P44" s="386"/>
    </row>
    <row r="45" spans="1:16" ht="14.25">
      <c r="A45" s="373"/>
      <c r="B45" s="376"/>
      <c r="C45" s="376"/>
      <c r="D45" s="456"/>
      <c r="E45" s="456"/>
      <c r="F45" s="456"/>
      <c r="G45" s="457"/>
      <c r="H45" s="382"/>
      <c r="I45" s="401"/>
      <c r="J45" s="400"/>
      <c r="K45" s="401"/>
      <c r="L45" s="401"/>
      <c r="M45" s="401"/>
      <c r="N45" s="401"/>
      <c r="O45" s="401"/>
      <c r="P45" s="386"/>
    </row>
    <row r="46" spans="1:16" ht="14.25">
      <c r="A46" s="373"/>
      <c r="B46" s="376"/>
      <c r="C46" s="376"/>
      <c r="D46" s="458"/>
      <c r="E46" s="459"/>
      <c r="F46" s="459"/>
      <c r="G46" s="457"/>
      <c r="H46" s="382"/>
      <c r="I46" s="401"/>
      <c r="J46" s="400"/>
      <c r="K46" s="401"/>
      <c r="L46" s="401"/>
      <c r="M46" s="401"/>
      <c r="N46" s="401"/>
      <c r="O46" s="401"/>
      <c r="P46" s="386"/>
    </row>
    <row r="47" spans="1:16" ht="15" thickBot="1">
      <c r="A47" s="460"/>
      <c r="B47" s="461"/>
      <c r="C47" s="462"/>
      <c r="D47" s="463"/>
      <c r="E47" s="464"/>
      <c r="F47" s="464"/>
      <c r="G47" s="465"/>
      <c r="H47" s="382"/>
      <c r="I47" s="401"/>
      <c r="J47" s="400"/>
      <c r="K47" s="401"/>
      <c r="L47" s="401"/>
      <c r="M47" s="401"/>
      <c r="N47" s="401"/>
      <c r="O47" s="401"/>
      <c r="P47" s="386"/>
    </row>
    <row r="48" spans="1:16">
      <c r="I48" s="386"/>
      <c r="J48" s="386"/>
      <c r="K48" s="386"/>
      <c r="L48" s="386"/>
      <c r="M48" s="386"/>
      <c r="N48" s="386"/>
      <c r="O48" s="386"/>
      <c r="P48" s="386"/>
    </row>
    <row r="49" spans="9:16">
      <c r="I49" s="386"/>
      <c r="J49" s="386"/>
      <c r="K49" s="386"/>
      <c r="L49" s="386"/>
      <c r="M49" s="386"/>
      <c r="N49" s="386"/>
      <c r="O49" s="386"/>
      <c r="P49" s="386"/>
    </row>
  </sheetData>
  <mergeCells count="22">
    <mergeCell ref="A10:C10"/>
    <mergeCell ref="A1:G1"/>
    <mergeCell ref="A2:G2"/>
    <mergeCell ref="A3:G4"/>
    <mergeCell ref="B6:E6"/>
    <mergeCell ref="A8:G8"/>
    <mergeCell ref="A18:G18"/>
    <mergeCell ref="A20:C20"/>
    <mergeCell ref="A21:C21"/>
    <mergeCell ref="A11:C11"/>
    <mergeCell ref="A12:C12"/>
    <mergeCell ref="A13:C13"/>
    <mergeCell ref="A14:C14"/>
    <mergeCell ref="A15:C15"/>
    <mergeCell ref="A16:C16"/>
    <mergeCell ref="A32:G32"/>
    <mergeCell ref="D42:F42"/>
    <mergeCell ref="A26:C26"/>
    <mergeCell ref="A27:C27"/>
    <mergeCell ref="A28:C28"/>
    <mergeCell ref="A29:C29"/>
    <mergeCell ref="A30:C30"/>
  </mergeCells>
  <printOptions horizontalCentered="1" verticalCentered="1"/>
  <pageMargins left="0.74803149606299213" right="0.74803149606299213" top="0" bottom="0.98425196850393704" header="0" footer="0"/>
  <pageSetup scale="90" orientation="portrait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4"/>
  <dimension ref="A1:U49"/>
  <sheetViews>
    <sheetView view="pageBreakPreview" topLeftCell="A20" zoomScaleNormal="100" zoomScaleSheetLayoutView="100" workbookViewId="0">
      <selection activeCell="I7" sqref="I7"/>
    </sheetView>
  </sheetViews>
  <sheetFormatPr baseColWidth="10" defaultColWidth="10.7109375" defaultRowHeight="12.75"/>
  <cols>
    <col min="1" max="1" width="15.85546875" style="380" customWidth="1"/>
    <col min="2" max="2" width="14.85546875" style="380" customWidth="1"/>
    <col min="3" max="3" width="13.28515625" style="380" customWidth="1"/>
    <col min="4" max="4" width="11.42578125" style="380"/>
    <col min="5" max="5" width="13.42578125" style="380" customWidth="1"/>
    <col min="6" max="6" width="12.7109375" style="380" customWidth="1"/>
    <col min="7" max="7" width="14" style="380" customWidth="1"/>
    <col min="8" max="8" width="7.42578125" style="380" customWidth="1"/>
    <col min="9" max="256" width="11.42578125" style="380"/>
    <col min="257" max="257" width="15.85546875" style="380" customWidth="1"/>
    <col min="258" max="258" width="14.85546875" style="380" customWidth="1"/>
    <col min="259" max="259" width="13.28515625" style="380" customWidth="1"/>
    <col min="260" max="260" width="11.42578125" style="380"/>
    <col min="261" max="261" width="13.42578125" style="380" customWidth="1"/>
    <col min="262" max="262" width="12.7109375" style="380" customWidth="1"/>
    <col min="263" max="263" width="14" style="380" customWidth="1"/>
    <col min="264" max="264" width="7.42578125" style="380" customWidth="1"/>
    <col min="265" max="512" width="11.42578125" style="380"/>
    <col min="513" max="513" width="15.85546875" style="380" customWidth="1"/>
    <col min="514" max="514" width="14.85546875" style="380" customWidth="1"/>
    <col min="515" max="515" width="13.28515625" style="380" customWidth="1"/>
    <col min="516" max="516" width="11.42578125" style="380"/>
    <col min="517" max="517" width="13.42578125" style="380" customWidth="1"/>
    <col min="518" max="518" width="12.7109375" style="380" customWidth="1"/>
    <col min="519" max="519" width="14" style="380" customWidth="1"/>
    <col min="520" max="520" width="7.42578125" style="380" customWidth="1"/>
    <col min="521" max="768" width="11.42578125" style="380"/>
    <col min="769" max="769" width="15.85546875" style="380" customWidth="1"/>
    <col min="770" max="770" width="14.85546875" style="380" customWidth="1"/>
    <col min="771" max="771" width="13.28515625" style="380" customWidth="1"/>
    <col min="772" max="772" width="11.42578125" style="380"/>
    <col min="773" max="773" width="13.42578125" style="380" customWidth="1"/>
    <col min="774" max="774" width="12.7109375" style="380" customWidth="1"/>
    <col min="775" max="775" width="14" style="380" customWidth="1"/>
    <col min="776" max="776" width="7.42578125" style="380" customWidth="1"/>
    <col min="777" max="1024" width="11.42578125" style="380"/>
    <col min="1025" max="1025" width="15.85546875" style="380" customWidth="1"/>
    <col min="1026" max="1026" width="14.85546875" style="380" customWidth="1"/>
    <col min="1027" max="1027" width="13.28515625" style="380" customWidth="1"/>
    <col min="1028" max="1028" width="11.42578125" style="380"/>
    <col min="1029" max="1029" width="13.42578125" style="380" customWidth="1"/>
    <col min="1030" max="1030" width="12.7109375" style="380" customWidth="1"/>
    <col min="1031" max="1031" width="14" style="380" customWidth="1"/>
    <col min="1032" max="1032" width="7.42578125" style="380" customWidth="1"/>
    <col min="1033" max="1280" width="11.42578125" style="380"/>
    <col min="1281" max="1281" width="15.85546875" style="380" customWidth="1"/>
    <col min="1282" max="1282" width="14.85546875" style="380" customWidth="1"/>
    <col min="1283" max="1283" width="13.28515625" style="380" customWidth="1"/>
    <col min="1284" max="1284" width="11.42578125" style="380"/>
    <col min="1285" max="1285" width="13.42578125" style="380" customWidth="1"/>
    <col min="1286" max="1286" width="12.7109375" style="380" customWidth="1"/>
    <col min="1287" max="1287" width="14" style="380" customWidth="1"/>
    <col min="1288" max="1288" width="7.42578125" style="380" customWidth="1"/>
    <col min="1289" max="1536" width="11.42578125" style="380"/>
    <col min="1537" max="1537" width="15.85546875" style="380" customWidth="1"/>
    <col min="1538" max="1538" width="14.85546875" style="380" customWidth="1"/>
    <col min="1539" max="1539" width="13.28515625" style="380" customWidth="1"/>
    <col min="1540" max="1540" width="11.42578125" style="380"/>
    <col min="1541" max="1541" width="13.42578125" style="380" customWidth="1"/>
    <col min="1542" max="1542" width="12.7109375" style="380" customWidth="1"/>
    <col min="1543" max="1543" width="14" style="380" customWidth="1"/>
    <col min="1544" max="1544" width="7.42578125" style="380" customWidth="1"/>
    <col min="1545" max="1792" width="11.42578125" style="380"/>
    <col min="1793" max="1793" width="15.85546875" style="380" customWidth="1"/>
    <col min="1794" max="1794" width="14.85546875" style="380" customWidth="1"/>
    <col min="1795" max="1795" width="13.28515625" style="380" customWidth="1"/>
    <col min="1796" max="1796" width="11.42578125" style="380"/>
    <col min="1797" max="1797" width="13.42578125" style="380" customWidth="1"/>
    <col min="1798" max="1798" width="12.7109375" style="380" customWidth="1"/>
    <col min="1799" max="1799" width="14" style="380" customWidth="1"/>
    <col min="1800" max="1800" width="7.42578125" style="380" customWidth="1"/>
    <col min="1801" max="2048" width="11.42578125" style="380"/>
    <col min="2049" max="2049" width="15.85546875" style="380" customWidth="1"/>
    <col min="2050" max="2050" width="14.85546875" style="380" customWidth="1"/>
    <col min="2051" max="2051" width="13.28515625" style="380" customWidth="1"/>
    <col min="2052" max="2052" width="11.42578125" style="380"/>
    <col min="2053" max="2053" width="13.42578125" style="380" customWidth="1"/>
    <col min="2054" max="2054" width="12.7109375" style="380" customWidth="1"/>
    <col min="2055" max="2055" width="14" style="380" customWidth="1"/>
    <col min="2056" max="2056" width="7.42578125" style="380" customWidth="1"/>
    <col min="2057" max="2304" width="11.42578125" style="380"/>
    <col min="2305" max="2305" width="15.85546875" style="380" customWidth="1"/>
    <col min="2306" max="2306" width="14.85546875" style="380" customWidth="1"/>
    <col min="2307" max="2307" width="13.28515625" style="380" customWidth="1"/>
    <col min="2308" max="2308" width="11.42578125" style="380"/>
    <col min="2309" max="2309" width="13.42578125" style="380" customWidth="1"/>
    <col min="2310" max="2310" width="12.7109375" style="380" customWidth="1"/>
    <col min="2311" max="2311" width="14" style="380" customWidth="1"/>
    <col min="2312" max="2312" width="7.42578125" style="380" customWidth="1"/>
    <col min="2313" max="2560" width="11.42578125" style="380"/>
    <col min="2561" max="2561" width="15.85546875" style="380" customWidth="1"/>
    <col min="2562" max="2562" width="14.85546875" style="380" customWidth="1"/>
    <col min="2563" max="2563" width="13.28515625" style="380" customWidth="1"/>
    <col min="2564" max="2564" width="11.42578125" style="380"/>
    <col min="2565" max="2565" width="13.42578125" style="380" customWidth="1"/>
    <col min="2566" max="2566" width="12.7109375" style="380" customWidth="1"/>
    <col min="2567" max="2567" width="14" style="380" customWidth="1"/>
    <col min="2568" max="2568" width="7.42578125" style="380" customWidth="1"/>
    <col min="2569" max="2816" width="11.42578125" style="380"/>
    <col min="2817" max="2817" width="15.85546875" style="380" customWidth="1"/>
    <col min="2818" max="2818" width="14.85546875" style="380" customWidth="1"/>
    <col min="2819" max="2819" width="13.28515625" style="380" customWidth="1"/>
    <col min="2820" max="2820" width="11.42578125" style="380"/>
    <col min="2821" max="2821" width="13.42578125" style="380" customWidth="1"/>
    <col min="2822" max="2822" width="12.7109375" style="380" customWidth="1"/>
    <col min="2823" max="2823" width="14" style="380" customWidth="1"/>
    <col min="2824" max="2824" width="7.42578125" style="380" customWidth="1"/>
    <col min="2825" max="3072" width="11.42578125" style="380"/>
    <col min="3073" max="3073" width="15.85546875" style="380" customWidth="1"/>
    <col min="3074" max="3074" width="14.85546875" style="380" customWidth="1"/>
    <col min="3075" max="3075" width="13.28515625" style="380" customWidth="1"/>
    <col min="3076" max="3076" width="11.42578125" style="380"/>
    <col min="3077" max="3077" width="13.42578125" style="380" customWidth="1"/>
    <col min="3078" max="3078" width="12.7109375" style="380" customWidth="1"/>
    <col min="3079" max="3079" width="14" style="380" customWidth="1"/>
    <col min="3080" max="3080" width="7.42578125" style="380" customWidth="1"/>
    <col min="3081" max="3328" width="11.42578125" style="380"/>
    <col min="3329" max="3329" width="15.85546875" style="380" customWidth="1"/>
    <col min="3330" max="3330" width="14.85546875" style="380" customWidth="1"/>
    <col min="3331" max="3331" width="13.28515625" style="380" customWidth="1"/>
    <col min="3332" max="3332" width="11.42578125" style="380"/>
    <col min="3333" max="3333" width="13.42578125" style="380" customWidth="1"/>
    <col min="3334" max="3334" width="12.7109375" style="380" customWidth="1"/>
    <col min="3335" max="3335" width="14" style="380" customWidth="1"/>
    <col min="3336" max="3336" width="7.42578125" style="380" customWidth="1"/>
    <col min="3337" max="3584" width="11.42578125" style="380"/>
    <col min="3585" max="3585" width="15.85546875" style="380" customWidth="1"/>
    <col min="3586" max="3586" width="14.85546875" style="380" customWidth="1"/>
    <col min="3587" max="3587" width="13.28515625" style="380" customWidth="1"/>
    <col min="3588" max="3588" width="11.42578125" style="380"/>
    <col min="3589" max="3589" width="13.42578125" style="380" customWidth="1"/>
    <col min="3590" max="3590" width="12.7109375" style="380" customWidth="1"/>
    <col min="3591" max="3591" width="14" style="380" customWidth="1"/>
    <col min="3592" max="3592" width="7.42578125" style="380" customWidth="1"/>
    <col min="3593" max="3840" width="11.42578125" style="380"/>
    <col min="3841" max="3841" width="15.85546875" style="380" customWidth="1"/>
    <col min="3842" max="3842" width="14.85546875" style="380" customWidth="1"/>
    <col min="3843" max="3843" width="13.28515625" style="380" customWidth="1"/>
    <col min="3844" max="3844" width="11.42578125" style="380"/>
    <col min="3845" max="3845" width="13.42578125" style="380" customWidth="1"/>
    <col min="3846" max="3846" width="12.7109375" style="380" customWidth="1"/>
    <col min="3847" max="3847" width="14" style="380" customWidth="1"/>
    <col min="3848" max="3848" width="7.42578125" style="380" customWidth="1"/>
    <col min="3849" max="4096" width="11.42578125" style="380"/>
    <col min="4097" max="4097" width="15.85546875" style="380" customWidth="1"/>
    <col min="4098" max="4098" width="14.85546875" style="380" customWidth="1"/>
    <col min="4099" max="4099" width="13.28515625" style="380" customWidth="1"/>
    <col min="4100" max="4100" width="11.42578125" style="380"/>
    <col min="4101" max="4101" width="13.42578125" style="380" customWidth="1"/>
    <col min="4102" max="4102" width="12.7109375" style="380" customWidth="1"/>
    <col min="4103" max="4103" width="14" style="380" customWidth="1"/>
    <col min="4104" max="4104" width="7.42578125" style="380" customWidth="1"/>
    <col min="4105" max="4352" width="11.42578125" style="380"/>
    <col min="4353" max="4353" width="15.85546875" style="380" customWidth="1"/>
    <col min="4354" max="4354" width="14.85546875" style="380" customWidth="1"/>
    <col min="4355" max="4355" width="13.28515625" style="380" customWidth="1"/>
    <col min="4356" max="4356" width="11.42578125" style="380"/>
    <col min="4357" max="4357" width="13.42578125" style="380" customWidth="1"/>
    <col min="4358" max="4358" width="12.7109375" style="380" customWidth="1"/>
    <col min="4359" max="4359" width="14" style="380" customWidth="1"/>
    <col min="4360" max="4360" width="7.42578125" style="380" customWidth="1"/>
    <col min="4361" max="4608" width="11.42578125" style="380"/>
    <col min="4609" max="4609" width="15.85546875" style="380" customWidth="1"/>
    <col min="4610" max="4610" width="14.85546875" style="380" customWidth="1"/>
    <col min="4611" max="4611" width="13.28515625" style="380" customWidth="1"/>
    <col min="4612" max="4612" width="11.42578125" style="380"/>
    <col min="4613" max="4613" width="13.42578125" style="380" customWidth="1"/>
    <col min="4614" max="4614" width="12.7109375" style="380" customWidth="1"/>
    <col min="4615" max="4615" width="14" style="380" customWidth="1"/>
    <col min="4616" max="4616" width="7.42578125" style="380" customWidth="1"/>
    <col min="4617" max="4864" width="11.42578125" style="380"/>
    <col min="4865" max="4865" width="15.85546875" style="380" customWidth="1"/>
    <col min="4866" max="4866" width="14.85546875" style="380" customWidth="1"/>
    <col min="4867" max="4867" width="13.28515625" style="380" customWidth="1"/>
    <col min="4868" max="4868" width="11.42578125" style="380"/>
    <col min="4869" max="4869" width="13.42578125" style="380" customWidth="1"/>
    <col min="4870" max="4870" width="12.7109375" style="380" customWidth="1"/>
    <col min="4871" max="4871" width="14" style="380" customWidth="1"/>
    <col min="4872" max="4872" width="7.42578125" style="380" customWidth="1"/>
    <col min="4873" max="5120" width="11.42578125" style="380"/>
    <col min="5121" max="5121" width="15.85546875" style="380" customWidth="1"/>
    <col min="5122" max="5122" width="14.85546875" style="380" customWidth="1"/>
    <col min="5123" max="5123" width="13.28515625" style="380" customWidth="1"/>
    <col min="5124" max="5124" width="11.42578125" style="380"/>
    <col min="5125" max="5125" width="13.42578125" style="380" customWidth="1"/>
    <col min="5126" max="5126" width="12.7109375" style="380" customWidth="1"/>
    <col min="5127" max="5127" width="14" style="380" customWidth="1"/>
    <col min="5128" max="5128" width="7.42578125" style="380" customWidth="1"/>
    <col min="5129" max="5376" width="11.42578125" style="380"/>
    <col min="5377" max="5377" width="15.85546875" style="380" customWidth="1"/>
    <col min="5378" max="5378" width="14.85546875" style="380" customWidth="1"/>
    <col min="5379" max="5379" width="13.28515625" style="380" customWidth="1"/>
    <col min="5380" max="5380" width="11.42578125" style="380"/>
    <col min="5381" max="5381" width="13.42578125" style="380" customWidth="1"/>
    <col min="5382" max="5382" width="12.7109375" style="380" customWidth="1"/>
    <col min="5383" max="5383" width="14" style="380" customWidth="1"/>
    <col min="5384" max="5384" width="7.42578125" style="380" customWidth="1"/>
    <col min="5385" max="5632" width="11.42578125" style="380"/>
    <col min="5633" max="5633" width="15.85546875" style="380" customWidth="1"/>
    <col min="5634" max="5634" width="14.85546875" style="380" customWidth="1"/>
    <col min="5635" max="5635" width="13.28515625" style="380" customWidth="1"/>
    <col min="5636" max="5636" width="11.42578125" style="380"/>
    <col min="5637" max="5637" width="13.42578125" style="380" customWidth="1"/>
    <col min="5638" max="5638" width="12.7109375" style="380" customWidth="1"/>
    <col min="5639" max="5639" width="14" style="380" customWidth="1"/>
    <col min="5640" max="5640" width="7.42578125" style="380" customWidth="1"/>
    <col min="5641" max="5888" width="11.42578125" style="380"/>
    <col min="5889" max="5889" width="15.85546875" style="380" customWidth="1"/>
    <col min="5890" max="5890" width="14.85546875" style="380" customWidth="1"/>
    <col min="5891" max="5891" width="13.28515625" style="380" customWidth="1"/>
    <col min="5892" max="5892" width="11.42578125" style="380"/>
    <col min="5893" max="5893" width="13.42578125" style="380" customWidth="1"/>
    <col min="5894" max="5894" width="12.7109375" style="380" customWidth="1"/>
    <col min="5895" max="5895" width="14" style="380" customWidth="1"/>
    <col min="5896" max="5896" width="7.42578125" style="380" customWidth="1"/>
    <col min="5897" max="6144" width="11.42578125" style="380"/>
    <col min="6145" max="6145" width="15.85546875" style="380" customWidth="1"/>
    <col min="6146" max="6146" width="14.85546875" style="380" customWidth="1"/>
    <col min="6147" max="6147" width="13.28515625" style="380" customWidth="1"/>
    <col min="6148" max="6148" width="11.42578125" style="380"/>
    <col min="6149" max="6149" width="13.42578125" style="380" customWidth="1"/>
    <col min="6150" max="6150" width="12.7109375" style="380" customWidth="1"/>
    <col min="6151" max="6151" width="14" style="380" customWidth="1"/>
    <col min="6152" max="6152" width="7.42578125" style="380" customWidth="1"/>
    <col min="6153" max="6400" width="11.42578125" style="380"/>
    <col min="6401" max="6401" width="15.85546875" style="380" customWidth="1"/>
    <col min="6402" max="6402" width="14.85546875" style="380" customWidth="1"/>
    <col min="6403" max="6403" width="13.28515625" style="380" customWidth="1"/>
    <col min="6404" max="6404" width="11.42578125" style="380"/>
    <col min="6405" max="6405" width="13.42578125" style="380" customWidth="1"/>
    <col min="6406" max="6406" width="12.7109375" style="380" customWidth="1"/>
    <col min="6407" max="6407" width="14" style="380" customWidth="1"/>
    <col min="6408" max="6408" width="7.42578125" style="380" customWidth="1"/>
    <col min="6409" max="6656" width="11.42578125" style="380"/>
    <col min="6657" max="6657" width="15.85546875" style="380" customWidth="1"/>
    <col min="6658" max="6658" width="14.85546875" style="380" customWidth="1"/>
    <col min="6659" max="6659" width="13.28515625" style="380" customWidth="1"/>
    <col min="6660" max="6660" width="11.42578125" style="380"/>
    <col min="6661" max="6661" width="13.42578125" style="380" customWidth="1"/>
    <col min="6662" max="6662" width="12.7109375" style="380" customWidth="1"/>
    <col min="6663" max="6663" width="14" style="380" customWidth="1"/>
    <col min="6664" max="6664" width="7.42578125" style="380" customWidth="1"/>
    <col min="6665" max="6912" width="11.42578125" style="380"/>
    <col min="6913" max="6913" width="15.85546875" style="380" customWidth="1"/>
    <col min="6914" max="6914" width="14.85546875" style="380" customWidth="1"/>
    <col min="6915" max="6915" width="13.28515625" style="380" customWidth="1"/>
    <col min="6916" max="6916" width="11.42578125" style="380"/>
    <col min="6917" max="6917" width="13.42578125" style="380" customWidth="1"/>
    <col min="6918" max="6918" width="12.7109375" style="380" customWidth="1"/>
    <col min="6919" max="6919" width="14" style="380" customWidth="1"/>
    <col min="6920" max="6920" width="7.42578125" style="380" customWidth="1"/>
    <col min="6921" max="7168" width="11.42578125" style="380"/>
    <col min="7169" max="7169" width="15.85546875" style="380" customWidth="1"/>
    <col min="7170" max="7170" width="14.85546875" style="380" customWidth="1"/>
    <col min="7171" max="7171" width="13.28515625" style="380" customWidth="1"/>
    <col min="7172" max="7172" width="11.42578125" style="380"/>
    <col min="7173" max="7173" width="13.42578125" style="380" customWidth="1"/>
    <col min="7174" max="7174" width="12.7109375" style="380" customWidth="1"/>
    <col min="7175" max="7175" width="14" style="380" customWidth="1"/>
    <col min="7176" max="7176" width="7.42578125" style="380" customWidth="1"/>
    <col min="7177" max="7424" width="11.42578125" style="380"/>
    <col min="7425" max="7425" width="15.85546875" style="380" customWidth="1"/>
    <col min="7426" max="7426" width="14.85546875" style="380" customWidth="1"/>
    <col min="7427" max="7427" width="13.28515625" style="380" customWidth="1"/>
    <col min="7428" max="7428" width="11.42578125" style="380"/>
    <col min="7429" max="7429" width="13.42578125" style="380" customWidth="1"/>
    <col min="7430" max="7430" width="12.7109375" style="380" customWidth="1"/>
    <col min="7431" max="7431" width="14" style="380" customWidth="1"/>
    <col min="7432" max="7432" width="7.42578125" style="380" customWidth="1"/>
    <col min="7433" max="7680" width="11.42578125" style="380"/>
    <col min="7681" max="7681" width="15.85546875" style="380" customWidth="1"/>
    <col min="7682" max="7682" width="14.85546875" style="380" customWidth="1"/>
    <col min="7683" max="7683" width="13.28515625" style="380" customWidth="1"/>
    <col min="7684" max="7684" width="11.42578125" style="380"/>
    <col min="7685" max="7685" width="13.42578125" style="380" customWidth="1"/>
    <col min="7686" max="7686" width="12.7109375" style="380" customWidth="1"/>
    <col min="7687" max="7687" width="14" style="380" customWidth="1"/>
    <col min="7688" max="7688" width="7.42578125" style="380" customWidth="1"/>
    <col min="7689" max="7936" width="11.42578125" style="380"/>
    <col min="7937" max="7937" width="15.85546875" style="380" customWidth="1"/>
    <col min="7938" max="7938" width="14.85546875" style="380" customWidth="1"/>
    <col min="7939" max="7939" width="13.28515625" style="380" customWidth="1"/>
    <col min="7940" max="7940" width="11.42578125" style="380"/>
    <col min="7941" max="7941" width="13.42578125" style="380" customWidth="1"/>
    <col min="7942" max="7942" width="12.7109375" style="380" customWidth="1"/>
    <col min="7943" max="7943" width="14" style="380" customWidth="1"/>
    <col min="7944" max="7944" width="7.42578125" style="380" customWidth="1"/>
    <col min="7945" max="8192" width="11.42578125" style="380"/>
    <col min="8193" max="8193" width="15.85546875" style="380" customWidth="1"/>
    <col min="8194" max="8194" width="14.85546875" style="380" customWidth="1"/>
    <col min="8195" max="8195" width="13.28515625" style="380" customWidth="1"/>
    <col min="8196" max="8196" width="11.42578125" style="380"/>
    <col min="8197" max="8197" width="13.42578125" style="380" customWidth="1"/>
    <col min="8198" max="8198" width="12.7109375" style="380" customWidth="1"/>
    <col min="8199" max="8199" width="14" style="380" customWidth="1"/>
    <col min="8200" max="8200" width="7.42578125" style="380" customWidth="1"/>
    <col min="8201" max="8448" width="11.42578125" style="380"/>
    <col min="8449" max="8449" width="15.85546875" style="380" customWidth="1"/>
    <col min="8450" max="8450" width="14.85546875" style="380" customWidth="1"/>
    <col min="8451" max="8451" width="13.28515625" style="380" customWidth="1"/>
    <col min="8452" max="8452" width="11.42578125" style="380"/>
    <col min="8453" max="8453" width="13.42578125" style="380" customWidth="1"/>
    <col min="8454" max="8454" width="12.7109375" style="380" customWidth="1"/>
    <col min="8455" max="8455" width="14" style="380" customWidth="1"/>
    <col min="8456" max="8456" width="7.42578125" style="380" customWidth="1"/>
    <col min="8457" max="8704" width="11.42578125" style="380"/>
    <col min="8705" max="8705" width="15.85546875" style="380" customWidth="1"/>
    <col min="8706" max="8706" width="14.85546875" style="380" customWidth="1"/>
    <col min="8707" max="8707" width="13.28515625" style="380" customWidth="1"/>
    <col min="8708" max="8708" width="11.42578125" style="380"/>
    <col min="8709" max="8709" width="13.42578125" style="380" customWidth="1"/>
    <col min="8710" max="8710" width="12.7109375" style="380" customWidth="1"/>
    <col min="8711" max="8711" width="14" style="380" customWidth="1"/>
    <col min="8712" max="8712" width="7.42578125" style="380" customWidth="1"/>
    <col min="8713" max="8960" width="11.42578125" style="380"/>
    <col min="8961" max="8961" width="15.85546875" style="380" customWidth="1"/>
    <col min="8962" max="8962" width="14.85546875" style="380" customWidth="1"/>
    <col min="8963" max="8963" width="13.28515625" style="380" customWidth="1"/>
    <col min="8964" max="8964" width="11.42578125" style="380"/>
    <col min="8965" max="8965" width="13.42578125" style="380" customWidth="1"/>
    <col min="8966" max="8966" width="12.7109375" style="380" customWidth="1"/>
    <col min="8967" max="8967" width="14" style="380" customWidth="1"/>
    <col min="8968" max="8968" width="7.42578125" style="380" customWidth="1"/>
    <col min="8969" max="9216" width="11.42578125" style="380"/>
    <col min="9217" max="9217" width="15.85546875" style="380" customWidth="1"/>
    <col min="9218" max="9218" width="14.85546875" style="380" customWidth="1"/>
    <col min="9219" max="9219" width="13.28515625" style="380" customWidth="1"/>
    <col min="9220" max="9220" width="11.42578125" style="380"/>
    <col min="9221" max="9221" width="13.42578125" style="380" customWidth="1"/>
    <col min="9222" max="9222" width="12.7109375" style="380" customWidth="1"/>
    <col min="9223" max="9223" width="14" style="380" customWidth="1"/>
    <col min="9224" max="9224" width="7.42578125" style="380" customWidth="1"/>
    <col min="9225" max="9472" width="11.42578125" style="380"/>
    <col min="9473" max="9473" width="15.85546875" style="380" customWidth="1"/>
    <col min="9474" max="9474" width="14.85546875" style="380" customWidth="1"/>
    <col min="9475" max="9475" width="13.28515625" style="380" customWidth="1"/>
    <col min="9476" max="9476" width="11.42578125" style="380"/>
    <col min="9477" max="9477" width="13.42578125" style="380" customWidth="1"/>
    <col min="9478" max="9478" width="12.7109375" style="380" customWidth="1"/>
    <col min="9479" max="9479" width="14" style="380" customWidth="1"/>
    <col min="9480" max="9480" width="7.42578125" style="380" customWidth="1"/>
    <col min="9481" max="9728" width="11.42578125" style="380"/>
    <col min="9729" max="9729" width="15.85546875" style="380" customWidth="1"/>
    <col min="9730" max="9730" width="14.85546875" style="380" customWidth="1"/>
    <col min="9731" max="9731" width="13.28515625" style="380" customWidth="1"/>
    <col min="9732" max="9732" width="11.42578125" style="380"/>
    <col min="9733" max="9733" width="13.42578125" style="380" customWidth="1"/>
    <col min="9734" max="9734" width="12.7109375" style="380" customWidth="1"/>
    <col min="9735" max="9735" width="14" style="380" customWidth="1"/>
    <col min="9736" max="9736" width="7.42578125" style="380" customWidth="1"/>
    <col min="9737" max="9984" width="11.42578125" style="380"/>
    <col min="9985" max="9985" width="15.85546875" style="380" customWidth="1"/>
    <col min="9986" max="9986" width="14.85546875" style="380" customWidth="1"/>
    <col min="9987" max="9987" width="13.28515625" style="380" customWidth="1"/>
    <col min="9988" max="9988" width="11.42578125" style="380"/>
    <col min="9989" max="9989" width="13.42578125" style="380" customWidth="1"/>
    <col min="9990" max="9990" width="12.7109375" style="380" customWidth="1"/>
    <col min="9991" max="9991" width="14" style="380" customWidth="1"/>
    <col min="9992" max="9992" width="7.42578125" style="380" customWidth="1"/>
    <col min="9993" max="10240" width="11.42578125" style="380"/>
    <col min="10241" max="10241" width="15.85546875" style="380" customWidth="1"/>
    <col min="10242" max="10242" width="14.85546875" style="380" customWidth="1"/>
    <col min="10243" max="10243" width="13.28515625" style="380" customWidth="1"/>
    <col min="10244" max="10244" width="11.42578125" style="380"/>
    <col min="10245" max="10245" width="13.42578125" style="380" customWidth="1"/>
    <col min="10246" max="10246" width="12.7109375" style="380" customWidth="1"/>
    <col min="10247" max="10247" width="14" style="380" customWidth="1"/>
    <col min="10248" max="10248" width="7.42578125" style="380" customWidth="1"/>
    <col min="10249" max="10496" width="11.42578125" style="380"/>
    <col min="10497" max="10497" width="15.85546875" style="380" customWidth="1"/>
    <col min="10498" max="10498" width="14.85546875" style="380" customWidth="1"/>
    <col min="10499" max="10499" width="13.28515625" style="380" customWidth="1"/>
    <col min="10500" max="10500" width="11.42578125" style="380"/>
    <col min="10501" max="10501" width="13.42578125" style="380" customWidth="1"/>
    <col min="10502" max="10502" width="12.7109375" style="380" customWidth="1"/>
    <col min="10503" max="10503" width="14" style="380" customWidth="1"/>
    <col min="10504" max="10504" width="7.42578125" style="380" customWidth="1"/>
    <col min="10505" max="10752" width="11.42578125" style="380"/>
    <col min="10753" max="10753" width="15.85546875" style="380" customWidth="1"/>
    <col min="10754" max="10754" width="14.85546875" style="380" customWidth="1"/>
    <col min="10755" max="10755" width="13.28515625" style="380" customWidth="1"/>
    <col min="10756" max="10756" width="11.42578125" style="380"/>
    <col min="10757" max="10757" width="13.42578125" style="380" customWidth="1"/>
    <col min="10758" max="10758" width="12.7109375" style="380" customWidth="1"/>
    <col min="10759" max="10759" width="14" style="380" customWidth="1"/>
    <col min="10760" max="10760" width="7.42578125" style="380" customWidth="1"/>
    <col min="10761" max="11008" width="11.42578125" style="380"/>
    <col min="11009" max="11009" width="15.85546875" style="380" customWidth="1"/>
    <col min="11010" max="11010" width="14.85546875" style="380" customWidth="1"/>
    <col min="11011" max="11011" width="13.28515625" style="380" customWidth="1"/>
    <col min="11012" max="11012" width="11.42578125" style="380"/>
    <col min="11013" max="11013" width="13.42578125" style="380" customWidth="1"/>
    <col min="11014" max="11014" width="12.7109375" style="380" customWidth="1"/>
    <col min="11015" max="11015" width="14" style="380" customWidth="1"/>
    <col min="11016" max="11016" width="7.42578125" style="380" customWidth="1"/>
    <col min="11017" max="11264" width="11.42578125" style="380"/>
    <col min="11265" max="11265" width="15.85546875" style="380" customWidth="1"/>
    <col min="11266" max="11266" width="14.85546875" style="380" customWidth="1"/>
    <col min="11267" max="11267" width="13.28515625" style="380" customWidth="1"/>
    <col min="11268" max="11268" width="11.42578125" style="380"/>
    <col min="11269" max="11269" width="13.42578125" style="380" customWidth="1"/>
    <col min="11270" max="11270" width="12.7109375" style="380" customWidth="1"/>
    <col min="11271" max="11271" width="14" style="380" customWidth="1"/>
    <col min="11272" max="11272" width="7.42578125" style="380" customWidth="1"/>
    <col min="11273" max="11520" width="11.42578125" style="380"/>
    <col min="11521" max="11521" width="15.85546875" style="380" customWidth="1"/>
    <col min="11522" max="11522" width="14.85546875" style="380" customWidth="1"/>
    <col min="11523" max="11523" width="13.28515625" style="380" customWidth="1"/>
    <col min="11524" max="11524" width="11.42578125" style="380"/>
    <col min="11525" max="11525" width="13.42578125" style="380" customWidth="1"/>
    <col min="11526" max="11526" width="12.7109375" style="380" customWidth="1"/>
    <col min="11527" max="11527" width="14" style="380" customWidth="1"/>
    <col min="11528" max="11528" width="7.42578125" style="380" customWidth="1"/>
    <col min="11529" max="11776" width="11.42578125" style="380"/>
    <col min="11777" max="11777" width="15.85546875" style="380" customWidth="1"/>
    <col min="11778" max="11778" width="14.85546875" style="380" customWidth="1"/>
    <col min="11779" max="11779" width="13.28515625" style="380" customWidth="1"/>
    <col min="11780" max="11780" width="11.42578125" style="380"/>
    <col min="11781" max="11781" width="13.42578125" style="380" customWidth="1"/>
    <col min="11782" max="11782" width="12.7109375" style="380" customWidth="1"/>
    <col min="11783" max="11783" width="14" style="380" customWidth="1"/>
    <col min="11784" max="11784" width="7.42578125" style="380" customWidth="1"/>
    <col min="11785" max="12032" width="11.42578125" style="380"/>
    <col min="12033" max="12033" width="15.85546875" style="380" customWidth="1"/>
    <col min="12034" max="12034" width="14.85546875" style="380" customWidth="1"/>
    <col min="12035" max="12035" width="13.28515625" style="380" customWidth="1"/>
    <col min="12036" max="12036" width="11.42578125" style="380"/>
    <col min="12037" max="12037" width="13.42578125" style="380" customWidth="1"/>
    <col min="12038" max="12038" width="12.7109375" style="380" customWidth="1"/>
    <col min="12039" max="12039" width="14" style="380" customWidth="1"/>
    <col min="12040" max="12040" width="7.42578125" style="380" customWidth="1"/>
    <col min="12041" max="12288" width="11.42578125" style="380"/>
    <col min="12289" max="12289" width="15.85546875" style="380" customWidth="1"/>
    <col min="12290" max="12290" width="14.85546875" style="380" customWidth="1"/>
    <col min="12291" max="12291" width="13.28515625" style="380" customWidth="1"/>
    <col min="12292" max="12292" width="11.42578125" style="380"/>
    <col min="12293" max="12293" width="13.42578125" style="380" customWidth="1"/>
    <col min="12294" max="12294" width="12.7109375" style="380" customWidth="1"/>
    <col min="12295" max="12295" width="14" style="380" customWidth="1"/>
    <col min="12296" max="12296" width="7.42578125" style="380" customWidth="1"/>
    <col min="12297" max="12544" width="11.42578125" style="380"/>
    <col min="12545" max="12545" width="15.85546875" style="380" customWidth="1"/>
    <col min="12546" max="12546" width="14.85546875" style="380" customWidth="1"/>
    <col min="12547" max="12547" width="13.28515625" style="380" customWidth="1"/>
    <col min="12548" max="12548" width="11.42578125" style="380"/>
    <col min="12549" max="12549" width="13.42578125" style="380" customWidth="1"/>
    <col min="12550" max="12550" width="12.7109375" style="380" customWidth="1"/>
    <col min="12551" max="12551" width="14" style="380" customWidth="1"/>
    <col min="12552" max="12552" width="7.42578125" style="380" customWidth="1"/>
    <col min="12553" max="12800" width="11.42578125" style="380"/>
    <col min="12801" max="12801" width="15.85546875" style="380" customWidth="1"/>
    <col min="12802" max="12802" width="14.85546875" style="380" customWidth="1"/>
    <col min="12803" max="12803" width="13.28515625" style="380" customWidth="1"/>
    <col min="12804" max="12804" width="11.42578125" style="380"/>
    <col min="12805" max="12805" width="13.42578125" style="380" customWidth="1"/>
    <col min="12806" max="12806" width="12.7109375" style="380" customWidth="1"/>
    <col min="12807" max="12807" width="14" style="380" customWidth="1"/>
    <col min="12808" max="12808" width="7.42578125" style="380" customWidth="1"/>
    <col min="12809" max="13056" width="11.42578125" style="380"/>
    <col min="13057" max="13057" width="15.85546875" style="380" customWidth="1"/>
    <col min="13058" max="13058" width="14.85546875" style="380" customWidth="1"/>
    <col min="13059" max="13059" width="13.28515625" style="380" customWidth="1"/>
    <col min="13060" max="13060" width="11.42578125" style="380"/>
    <col min="13061" max="13061" width="13.42578125" style="380" customWidth="1"/>
    <col min="13062" max="13062" width="12.7109375" style="380" customWidth="1"/>
    <col min="13063" max="13063" width="14" style="380" customWidth="1"/>
    <col min="13064" max="13064" width="7.42578125" style="380" customWidth="1"/>
    <col min="13065" max="13312" width="11.42578125" style="380"/>
    <col min="13313" max="13313" width="15.85546875" style="380" customWidth="1"/>
    <col min="13314" max="13314" width="14.85546875" style="380" customWidth="1"/>
    <col min="13315" max="13315" width="13.28515625" style="380" customWidth="1"/>
    <col min="13316" max="13316" width="11.42578125" style="380"/>
    <col min="13317" max="13317" width="13.42578125" style="380" customWidth="1"/>
    <col min="13318" max="13318" width="12.7109375" style="380" customWidth="1"/>
    <col min="13319" max="13319" width="14" style="380" customWidth="1"/>
    <col min="13320" max="13320" width="7.42578125" style="380" customWidth="1"/>
    <col min="13321" max="13568" width="11.42578125" style="380"/>
    <col min="13569" max="13569" width="15.85546875" style="380" customWidth="1"/>
    <col min="13570" max="13570" width="14.85546875" style="380" customWidth="1"/>
    <col min="13571" max="13571" width="13.28515625" style="380" customWidth="1"/>
    <col min="13572" max="13572" width="11.42578125" style="380"/>
    <col min="13573" max="13573" width="13.42578125" style="380" customWidth="1"/>
    <col min="13574" max="13574" width="12.7109375" style="380" customWidth="1"/>
    <col min="13575" max="13575" width="14" style="380" customWidth="1"/>
    <col min="13576" max="13576" width="7.42578125" style="380" customWidth="1"/>
    <col min="13577" max="13824" width="11.42578125" style="380"/>
    <col min="13825" max="13825" width="15.85546875" style="380" customWidth="1"/>
    <col min="13826" max="13826" width="14.85546875" style="380" customWidth="1"/>
    <col min="13827" max="13827" width="13.28515625" style="380" customWidth="1"/>
    <col min="13828" max="13828" width="11.42578125" style="380"/>
    <col min="13829" max="13829" width="13.42578125" style="380" customWidth="1"/>
    <col min="13830" max="13830" width="12.7109375" style="380" customWidth="1"/>
    <col min="13831" max="13831" width="14" style="380" customWidth="1"/>
    <col min="13832" max="13832" width="7.42578125" style="380" customWidth="1"/>
    <col min="13833" max="14080" width="11.42578125" style="380"/>
    <col min="14081" max="14081" width="15.85546875" style="380" customWidth="1"/>
    <col min="14082" max="14082" width="14.85546875" style="380" customWidth="1"/>
    <col min="14083" max="14083" width="13.28515625" style="380" customWidth="1"/>
    <col min="14084" max="14084" width="11.42578125" style="380"/>
    <col min="14085" max="14085" width="13.42578125" style="380" customWidth="1"/>
    <col min="14086" max="14086" width="12.7109375" style="380" customWidth="1"/>
    <col min="14087" max="14087" width="14" style="380" customWidth="1"/>
    <col min="14088" max="14088" width="7.42578125" style="380" customWidth="1"/>
    <col min="14089" max="14336" width="11.42578125" style="380"/>
    <col min="14337" max="14337" width="15.85546875" style="380" customWidth="1"/>
    <col min="14338" max="14338" width="14.85546875" style="380" customWidth="1"/>
    <col min="14339" max="14339" width="13.28515625" style="380" customWidth="1"/>
    <col min="14340" max="14340" width="11.42578125" style="380"/>
    <col min="14341" max="14341" width="13.42578125" style="380" customWidth="1"/>
    <col min="14342" max="14342" width="12.7109375" style="380" customWidth="1"/>
    <col min="14343" max="14343" width="14" style="380" customWidth="1"/>
    <col min="14344" max="14344" width="7.42578125" style="380" customWidth="1"/>
    <col min="14345" max="14592" width="11.42578125" style="380"/>
    <col min="14593" max="14593" width="15.85546875" style="380" customWidth="1"/>
    <col min="14594" max="14594" width="14.85546875" style="380" customWidth="1"/>
    <col min="14595" max="14595" width="13.28515625" style="380" customWidth="1"/>
    <col min="14596" max="14596" width="11.42578125" style="380"/>
    <col min="14597" max="14597" width="13.42578125" style="380" customWidth="1"/>
    <col min="14598" max="14598" width="12.7109375" style="380" customWidth="1"/>
    <col min="14599" max="14599" width="14" style="380" customWidth="1"/>
    <col min="14600" max="14600" width="7.42578125" style="380" customWidth="1"/>
    <col min="14601" max="14848" width="11.42578125" style="380"/>
    <col min="14849" max="14849" width="15.85546875" style="380" customWidth="1"/>
    <col min="14850" max="14850" width="14.85546875" style="380" customWidth="1"/>
    <col min="14851" max="14851" width="13.28515625" style="380" customWidth="1"/>
    <col min="14852" max="14852" width="11.42578125" style="380"/>
    <col min="14853" max="14853" width="13.42578125" style="380" customWidth="1"/>
    <col min="14854" max="14854" width="12.7109375" style="380" customWidth="1"/>
    <col min="14855" max="14855" width="14" style="380" customWidth="1"/>
    <col min="14856" max="14856" width="7.42578125" style="380" customWidth="1"/>
    <col min="14857" max="15104" width="11.42578125" style="380"/>
    <col min="15105" max="15105" width="15.85546875" style="380" customWidth="1"/>
    <col min="15106" max="15106" width="14.85546875" style="380" customWidth="1"/>
    <col min="15107" max="15107" width="13.28515625" style="380" customWidth="1"/>
    <col min="15108" max="15108" width="11.42578125" style="380"/>
    <col min="15109" max="15109" width="13.42578125" style="380" customWidth="1"/>
    <col min="15110" max="15110" width="12.7109375" style="380" customWidth="1"/>
    <col min="15111" max="15111" width="14" style="380" customWidth="1"/>
    <col min="15112" max="15112" width="7.42578125" style="380" customWidth="1"/>
    <col min="15113" max="15360" width="11.42578125" style="380"/>
    <col min="15361" max="15361" width="15.85546875" style="380" customWidth="1"/>
    <col min="15362" max="15362" width="14.85546875" style="380" customWidth="1"/>
    <col min="15363" max="15363" width="13.28515625" style="380" customWidth="1"/>
    <col min="15364" max="15364" width="11.42578125" style="380"/>
    <col min="15365" max="15365" width="13.42578125" style="380" customWidth="1"/>
    <col min="15366" max="15366" width="12.7109375" style="380" customWidth="1"/>
    <col min="15367" max="15367" width="14" style="380" customWidth="1"/>
    <col min="15368" max="15368" width="7.42578125" style="380" customWidth="1"/>
    <col min="15369" max="15616" width="11.42578125" style="380"/>
    <col min="15617" max="15617" width="15.85546875" style="380" customWidth="1"/>
    <col min="15618" max="15618" width="14.85546875" style="380" customWidth="1"/>
    <col min="15619" max="15619" width="13.28515625" style="380" customWidth="1"/>
    <col min="15620" max="15620" width="11.42578125" style="380"/>
    <col min="15621" max="15621" width="13.42578125" style="380" customWidth="1"/>
    <col min="15622" max="15622" width="12.7109375" style="380" customWidth="1"/>
    <col min="15623" max="15623" width="14" style="380" customWidth="1"/>
    <col min="15624" max="15624" width="7.42578125" style="380" customWidth="1"/>
    <col min="15625" max="15872" width="11.42578125" style="380"/>
    <col min="15873" max="15873" width="15.85546875" style="380" customWidth="1"/>
    <col min="15874" max="15874" width="14.85546875" style="380" customWidth="1"/>
    <col min="15875" max="15875" width="13.28515625" style="380" customWidth="1"/>
    <col min="15876" max="15876" width="11.42578125" style="380"/>
    <col min="15877" max="15877" width="13.42578125" style="380" customWidth="1"/>
    <col min="15878" max="15878" width="12.7109375" style="380" customWidth="1"/>
    <col min="15879" max="15879" width="14" style="380" customWidth="1"/>
    <col min="15880" max="15880" width="7.42578125" style="380" customWidth="1"/>
    <col min="15881" max="16128" width="11.42578125" style="380"/>
    <col min="16129" max="16129" width="15.85546875" style="380" customWidth="1"/>
    <col min="16130" max="16130" width="14.85546875" style="380" customWidth="1"/>
    <col min="16131" max="16131" width="13.28515625" style="380" customWidth="1"/>
    <col min="16132" max="16132" width="11.42578125" style="380"/>
    <col min="16133" max="16133" width="13.42578125" style="380" customWidth="1"/>
    <col min="16134" max="16134" width="12.7109375" style="380" customWidth="1"/>
    <col min="16135" max="16135" width="14" style="380" customWidth="1"/>
    <col min="16136" max="16136" width="7.42578125" style="380" customWidth="1"/>
    <col min="16137" max="16384" width="11.42578125" style="380"/>
  </cols>
  <sheetData>
    <row r="1" spans="1:21" s="3" customFormat="1" ht="43.5" customHeight="1">
      <c r="A1" s="1346" t="str">
        <f>PPTO!D3</f>
        <v>PRESUPUESTO
MUNICIPIO EL BAGRE (ANTIOQUIA).</v>
      </c>
      <c r="B1" s="1347"/>
      <c r="C1" s="1347"/>
      <c r="D1" s="1347"/>
      <c r="E1" s="1347"/>
      <c r="F1" s="1347"/>
      <c r="G1" s="1348"/>
      <c r="H1" s="1"/>
      <c r="I1" s="2"/>
    </row>
    <row r="2" spans="1:21" s="3" customFormat="1" ht="18" customHeight="1">
      <c r="A2" s="1362" t="s">
        <v>16</v>
      </c>
      <c r="B2" s="1363"/>
      <c r="C2" s="1363"/>
      <c r="D2" s="1363"/>
      <c r="E2" s="1363"/>
      <c r="F2" s="1363"/>
      <c r="G2" s="1364"/>
      <c r="H2" s="1"/>
      <c r="I2" s="2"/>
    </row>
    <row r="3" spans="1:21" s="3" customFormat="1" ht="24.75" customHeight="1">
      <c r="A3" s="1367" t="str">
        <f>+PPTO!$D$5</f>
        <v>PROYECTO DE MEJORAMIENTO VIAL, ESPACIO PUBLICO Y OBRAS COMPLEMENTARIAS DE LA AVENIDA LA JUVENTUD Y TRAMOS ADYACENTES Y PRIORITARIOS DEL SECTOR URBANO EN EL MUNICIPIO EL BAGRE ANTIOQUIA.</v>
      </c>
      <c r="B3" s="1368"/>
      <c r="C3" s="1368"/>
      <c r="D3" s="1368"/>
      <c r="E3" s="1368"/>
      <c r="F3" s="1368"/>
      <c r="G3" s="1369"/>
      <c r="H3" s="1"/>
      <c r="I3" s="2"/>
    </row>
    <row r="4" spans="1:21" s="3" customFormat="1" ht="30" customHeight="1">
      <c r="A4" s="1370"/>
      <c r="B4" s="1368"/>
      <c r="C4" s="1368"/>
      <c r="D4" s="1368"/>
      <c r="E4" s="1368"/>
      <c r="F4" s="1368"/>
      <c r="G4" s="1369"/>
      <c r="H4" s="1"/>
      <c r="I4" s="2"/>
    </row>
    <row r="5" spans="1:21" s="3" customFormat="1" ht="6.75" customHeight="1">
      <c r="A5" s="222"/>
      <c r="B5" s="6"/>
      <c r="C5" s="24"/>
      <c r="D5" s="25"/>
      <c r="E5" s="6"/>
      <c r="F5" s="6"/>
      <c r="G5" s="223"/>
      <c r="H5" s="9"/>
    </row>
    <row r="6" spans="1:21" ht="52.5" customHeight="1">
      <c r="A6" s="368">
        <v>4.8</v>
      </c>
      <c r="B6" s="1349" t="str">
        <f>VLOOKUP(A6,PPTO!D10:I137,2,FALSE)</f>
        <v>Concreto (3000 PSI) para atraque de accesorios de 10" hasta 20" con sikaset L y plastocrete DM</v>
      </c>
      <c r="C6" s="1350"/>
      <c r="D6" s="1350"/>
      <c r="E6" s="1351"/>
      <c r="F6" s="192" t="s">
        <v>118</v>
      </c>
      <c r="G6" s="248" t="str">
        <f>VLOOKUP(A6,PPTO!D10:I137,3,FALSE)</f>
        <v>UND</v>
      </c>
      <c r="H6" s="382"/>
    </row>
    <row r="7" spans="1:21" ht="3.75" customHeight="1">
      <c r="A7" s="383"/>
      <c r="B7" s="384"/>
      <c r="C7" s="381"/>
      <c r="D7" s="384"/>
      <c r="E7" s="384"/>
      <c r="F7" s="384"/>
      <c r="G7" s="385"/>
      <c r="H7" s="382"/>
    </row>
    <row r="8" spans="1:21" ht="22.5" customHeight="1">
      <c r="A8" s="1408" t="s">
        <v>69</v>
      </c>
      <c r="B8" s="1409"/>
      <c r="C8" s="1409"/>
      <c r="D8" s="1409"/>
      <c r="E8" s="1409"/>
      <c r="F8" s="1409"/>
      <c r="G8" s="1410"/>
      <c r="H8" s="382"/>
    </row>
    <row r="9" spans="1:21" ht="4.5" customHeight="1">
      <c r="A9" s="383"/>
      <c r="B9" s="384"/>
      <c r="C9" s="381"/>
      <c r="D9" s="384"/>
      <c r="E9" s="384"/>
      <c r="F9" s="384"/>
      <c r="G9" s="385"/>
      <c r="H9" s="382"/>
      <c r="I9" s="386"/>
      <c r="J9" s="386"/>
      <c r="K9" s="386"/>
      <c r="L9" s="387"/>
      <c r="M9" s="386"/>
      <c r="N9" s="386"/>
      <c r="O9" s="386"/>
      <c r="P9" s="386"/>
    </row>
    <row r="10" spans="1:21">
      <c r="A10" s="1406" t="s">
        <v>17</v>
      </c>
      <c r="B10" s="1407"/>
      <c r="C10" s="1407"/>
      <c r="D10" s="388" t="s">
        <v>18</v>
      </c>
      <c r="E10" s="388" t="s">
        <v>19</v>
      </c>
      <c r="F10" s="388" t="s">
        <v>20</v>
      </c>
      <c r="G10" s="389" t="s">
        <v>21</v>
      </c>
      <c r="H10" s="390"/>
      <c r="I10" s="391"/>
      <c r="J10" s="392"/>
      <c r="K10" s="393"/>
      <c r="L10" s="393"/>
      <c r="M10" s="393"/>
      <c r="N10" s="393"/>
      <c r="O10" s="393"/>
      <c r="P10" s="386"/>
    </row>
    <row r="11" spans="1:21">
      <c r="A11" s="1387" t="s">
        <v>75</v>
      </c>
      <c r="B11" s="1388"/>
      <c r="C11" s="1388"/>
      <c r="D11" s="388"/>
      <c r="E11" s="394"/>
      <c r="F11" s="395"/>
      <c r="G11" s="396">
        <f>+G39*5%</f>
        <v>3886</v>
      </c>
      <c r="H11" s="382"/>
      <c r="I11" s="393"/>
      <c r="J11" s="397"/>
      <c r="K11" s="393"/>
      <c r="L11" s="393"/>
      <c r="M11" s="393"/>
      <c r="N11" s="393"/>
      <c r="O11" s="393"/>
      <c r="P11" s="386"/>
    </row>
    <row r="12" spans="1:21">
      <c r="A12" s="1411"/>
      <c r="B12" s="1412"/>
      <c r="C12" s="1412"/>
      <c r="D12" s="394"/>
      <c r="E12" s="394"/>
      <c r="F12" s="398"/>
      <c r="G12" s="396"/>
      <c r="H12" s="382"/>
      <c r="I12" s="399"/>
      <c r="J12" s="400"/>
      <c r="K12" s="401"/>
      <c r="L12" s="401"/>
      <c r="M12" s="401"/>
      <c r="N12" s="401"/>
      <c r="O12" s="401"/>
      <c r="P12" s="386"/>
    </row>
    <row r="13" spans="1:21">
      <c r="A13" s="1411"/>
      <c r="B13" s="1412"/>
      <c r="C13" s="1412"/>
      <c r="D13" s="394"/>
      <c r="E13" s="394"/>
      <c r="F13" s="398"/>
      <c r="G13" s="396"/>
      <c r="H13" s="382"/>
      <c r="I13" s="400"/>
      <c r="J13" s="400"/>
      <c r="K13" s="400"/>
      <c r="L13" s="400"/>
      <c r="M13" s="400"/>
      <c r="N13" s="400"/>
      <c r="O13" s="400"/>
      <c r="P13" s="386"/>
    </row>
    <row r="14" spans="1:21">
      <c r="A14" s="1411"/>
      <c r="B14" s="1412"/>
      <c r="C14" s="1412"/>
      <c r="D14" s="394"/>
      <c r="E14" s="394"/>
      <c r="F14" s="398"/>
      <c r="G14" s="396"/>
      <c r="H14" s="382"/>
      <c r="I14" s="401"/>
      <c r="J14" s="402"/>
      <c r="K14" s="403"/>
      <c r="L14" s="402"/>
      <c r="M14" s="404"/>
      <c r="N14" s="404"/>
      <c r="O14" s="405"/>
      <c r="P14" s="386"/>
    </row>
    <row r="15" spans="1:21">
      <c r="A15" s="1411"/>
      <c r="B15" s="1412"/>
      <c r="C15" s="1412"/>
      <c r="D15" s="394"/>
      <c r="E15" s="394"/>
      <c r="F15" s="406"/>
      <c r="G15" s="396"/>
      <c r="H15" s="382"/>
      <c r="I15" s="401"/>
      <c r="J15" s="407"/>
      <c r="K15" s="403"/>
      <c r="L15" s="402"/>
      <c r="M15" s="404"/>
      <c r="N15" s="404"/>
      <c r="O15" s="405"/>
      <c r="P15" s="386"/>
      <c r="Q15" s="386"/>
      <c r="R15" s="386"/>
      <c r="S15" s="386"/>
      <c r="T15" s="386"/>
      <c r="U15" s="386"/>
    </row>
    <row r="16" spans="1:21">
      <c r="A16" s="1411"/>
      <c r="B16" s="1412"/>
      <c r="C16" s="1412"/>
      <c r="D16" s="408" t="s">
        <v>37</v>
      </c>
      <c r="E16" s="409"/>
      <c r="F16" s="410"/>
      <c r="G16" s="411">
        <f>SUM(G11:G15)</f>
        <v>3886</v>
      </c>
      <c r="H16" s="382"/>
      <c r="I16" s="412"/>
      <c r="J16" s="412"/>
      <c r="K16" s="413"/>
      <c r="L16" s="414"/>
      <c r="M16" s="415"/>
      <c r="N16" s="415"/>
      <c r="O16" s="405"/>
      <c r="P16" s="386"/>
      <c r="Q16" s="386"/>
      <c r="R16" s="386"/>
      <c r="S16" s="386"/>
      <c r="T16" s="386"/>
      <c r="U16" s="386"/>
    </row>
    <row r="17" spans="1:21" ht="4.5" customHeight="1">
      <c r="A17" s="383"/>
      <c r="B17" s="384"/>
      <c r="C17" s="381"/>
      <c r="D17" s="384"/>
      <c r="E17" s="384"/>
      <c r="F17" s="384"/>
      <c r="G17" s="385"/>
      <c r="H17" s="382"/>
      <c r="I17" s="412"/>
      <c r="J17" s="412"/>
      <c r="K17" s="413"/>
      <c r="L17" s="414"/>
      <c r="M17" s="415"/>
      <c r="N17" s="415"/>
      <c r="O17" s="405"/>
      <c r="P17" s="386"/>
      <c r="Q17" s="386"/>
      <c r="R17" s="386"/>
      <c r="S17" s="386"/>
      <c r="T17" s="386"/>
      <c r="U17" s="386"/>
    </row>
    <row r="18" spans="1:21" ht="22.5" customHeight="1">
      <c r="A18" s="1408" t="s">
        <v>70</v>
      </c>
      <c r="B18" s="1409"/>
      <c r="C18" s="1409"/>
      <c r="D18" s="1409"/>
      <c r="E18" s="1409"/>
      <c r="F18" s="1409"/>
      <c r="G18" s="1410"/>
      <c r="H18" s="382"/>
    </row>
    <row r="19" spans="1:21" ht="4.5" customHeight="1">
      <c r="A19" s="383"/>
      <c r="B19" s="384"/>
      <c r="C19" s="381"/>
      <c r="D19" s="384"/>
      <c r="E19" s="384"/>
      <c r="F19" s="416"/>
      <c r="G19" s="385"/>
      <c r="H19" s="382"/>
      <c r="I19" s="412"/>
      <c r="J19" s="412"/>
      <c r="K19" s="413"/>
      <c r="L19" s="417"/>
      <c r="M19" s="415"/>
      <c r="N19" s="415"/>
      <c r="O19" s="401"/>
      <c r="P19" s="386"/>
      <c r="Q19" s="386"/>
      <c r="R19" s="386"/>
      <c r="S19" s="386"/>
      <c r="T19" s="386"/>
      <c r="U19" s="386"/>
    </row>
    <row r="20" spans="1:21">
      <c r="A20" s="1406" t="s">
        <v>17</v>
      </c>
      <c r="B20" s="1407"/>
      <c r="C20" s="1407"/>
      <c r="D20" s="388" t="s">
        <v>3</v>
      </c>
      <c r="E20" s="388" t="s">
        <v>4</v>
      </c>
      <c r="F20" s="388" t="s">
        <v>25</v>
      </c>
      <c r="G20" s="389" t="s">
        <v>21</v>
      </c>
      <c r="H20" s="390"/>
      <c r="I20" s="412"/>
      <c r="J20" s="412"/>
      <c r="K20" s="413"/>
      <c r="L20" s="417"/>
      <c r="M20" s="415"/>
      <c r="N20" s="415"/>
      <c r="O20" s="401"/>
      <c r="P20" s="386"/>
      <c r="Q20" s="386"/>
      <c r="R20" s="386"/>
      <c r="S20" s="386"/>
      <c r="T20" s="386"/>
      <c r="U20" s="386"/>
    </row>
    <row r="21" spans="1:21">
      <c r="A21" s="1413" t="s">
        <v>109</v>
      </c>
      <c r="B21" s="1414"/>
      <c r="C21" s="1414"/>
      <c r="D21" s="418" t="s">
        <v>44</v>
      </c>
      <c r="E21" s="419">
        <f>0.5*0.5*0.5</f>
        <v>0.125</v>
      </c>
      <c r="F21" s="420">
        <v>374906</v>
      </c>
      <c r="G21" s="421">
        <f>ROUND(F21*E21,0)</f>
        <v>46863</v>
      </c>
      <c r="H21" s="382"/>
      <c r="I21" s="412"/>
      <c r="J21" s="412"/>
      <c r="K21" s="413"/>
      <c r="L21" s="417"/>
      <c r="M21" s="415"/>
      <c r="N21" s="415"/>
      <c r="O21" s="400"/>
      <c r="P21" s="386"/>
      <c r="Q21" s="386"/>
      <c r="R21" s="386"/>
      <c r="S21" s="386"/>
      <c r="T21" s="386"/>
      <c r="U21" s="386"/>
    </row>
    <row r="22" spans="1:21">
      <c r="A22" s="494" t="s">
        <v>314</v>
      </c>
      <c r="B22" s="495"/>
      <c r="C22" s="496"/>
      <c r="D22" s="467" t="s">
        <v>0</v>
      </c>
      <c r="E22" s="423">
        <v>1</v>
      </c>
      <c r="F22" s="424">
        <v>21000</v>
      </c>
      <c r="G22" s="421">
        <f t="shared" ref="G22:G24" si="0">ROUND(F22*E22,0)</f>
        <v>21000</v>
      </c>
      <c r="H22" s="382"/>
      <c r="I22" s="425"/>
      <c r="J22" s="425"/>
      <c r="K22" s="426"/>
      <c r="L22" s="417"/>
      <c r="M22" s="415"/>
      <c r="N22" s="415"/>
      <c r="O22" s="404"/>
      <c r="P22" s="386"/>
      <c r="Q22" s="386"/>
      <c r="R22" s="386"/>
      <c r="S22" s="386"/>
      <c r="T22" s="386"/>
      <c r="U22" s="386"/>
    </row>
    <row r="23" spans="1:21">
      <c r="A23" s="494" t="s">
        <v>315</v>
      </c>
      <c r="B23" s="495"/>
      <c r="C23" s="496"/>
      <c r="D23" s="467" t="s">
        <v>316</v>
      </c>
      <c r="E23" s="423">
        <v>6.3</v>
      </c>
      <c r="F23" s="424">
        <v>6426</v>
      </c>
      <c r="G23" s="421">
        <f t="shared" si="0"/>
        <v>40484</v>
      </c>
      <c r="H23" s="382"/>
      <c r="I23" s="425"/>
      <c r="J23" s="425"/>
      <c r="K23" s="426"/>
      <c r="L23" s="417"/>
      <c r="M23" s="415"/>
      <c r="N23" s="415"/>
      <c r="O23" s="404"/>
      <c r="P23" s="386"/>
      <c r="Q23" s="386"/>
      <c r="R23" s="386"/>
      <c r="S23" s="386"/>
      <c r="T23" s="386"/>
      <c r="U23" s="386"/>
    </row>
    <row r="24" spans="1:21">
      <c r="A24" s="494" t="s">
        <v>317</v>
      </c>
      <c r="B24" s="495"/>
      <c r="C24" s="496"/>
      <c r="D24" s="467" t="s">
        <v>7</v>
      </c>
      <c r="E24" s="423">
        <v>0.23</v>
      </c>
      <c r="F24" s="424">
        <v>54086</v>
      </c>
      <c r="G24" s="421">
        <f t="shared" si="0"/>
        <v>12440</v>
      </c>
      <c r="H24" s="382"/>
      <c r="I24" s="425"/>
      <c r="J24" s="428"/>
      <c r="K24" s="426"/>
      <c r="L24" s="400"/>
      <c r="M24" s="402"/>
      <c r="N24" s="402"/>
      <c r="O24" s="404"/>
      <c r="P24" s="386"/>
      <c r="Q24" s="386"/>
      <c r="R24" s="386"/>
      <c r="S24" s="386"/>
      <c r="T24" s="386"/>
      <c r="U24" s="386"/>
    </row>
    <row r="25" spans="1:21">
      <c r="A25" s="494"/>
      <c r="B25" s="495"/>
      <c r="C25" s="496"/>
      <c r="D25" s="467"/>
      <c r="E25" s="423"/>
      <c r="F25" s="424"/>
      <c r="G25" s="421"/>
      <c r="H25" s="382"/>
      <c r="I25" s="425"/>
      <c r="J25" s="429"/>
      <c r="K25" s="426"/>
      <c r="L25" s="400"/>
      <c r="M25" s="402"/>
      <c r="N25" s="402"/>
      <c r="O25" s="404"/>
      <c r="P25" s="386"/>
      <c r="Q25" s="386"/>
      <c r="R25" s="386"/>
      <c r="S25" s="386"/>
      <c r="T25" s="386"/>
      <c r="U25" s="386"/>
    </row>
    <row r="26" spans="1:21">
      <c r="A26" s="1434"/>
      <c r="B26" s="1414"/>
      <c r="C26" s="1414"/>
      <c r="D26" s="467"/>
      <c r="E26" s="423"/>
      <c r="F26" s="424"/>
      <c r="G26" s="421"/>
      <c r="H26" s="382"/>
      <c r="I26" s="425"/>
      <c r="J26" s="429"/>
      <c r="K26" s="426"/>
      <c r="L26" s="400"/>
      <c r="M26" s="402"/>
      <c r="N26" s="402"/>
      <c r="O26" s="404"/>
      <c r="P26" s="386"/>
      <c r="Q26" s="386"/>
      <c r="R26" s="386"/>
      <c r="S26" s="386"/>
      <c r="T26" s="386"/>
      <c r="U26" s="386"/>
    </row>
    <row r="27" spans="1:21">
      <c r="A27" s="1387"/>
      <c r="B27" s="1388"/>
      <c r="C27" s="1388" t="s">
        <v>50</v>
      </c>
      <c r="D27" s="418"/>
      <c r="E27" s="427"/>
      <c r="F27" s="424" t="s">
        <v>243</v>
      </c>
      <c r="G27" s="421">
        <f>+G21*0.05</f>
        <v>2343</v>
      </c>
      <c r="H27" s="382"/>
      <c r="I27" s="425"/>
      <c r="J27" s="429"/>
      <c r="K27" s="426"/>
      <c r="L27" s="400"/>
      <c r="M27" s="402"/>
      <c r="N27" s="402"/>
      <c r="O27" s="404"/>
      <c r="P27" s="386"/>
      <c r="Q27" s="386"/>
      <c r="R27" s="386"/>
      <c r="S27" s="386"/>
      <c r="T27" s="386"/>
      <c r="U27" s="386"/>
    </row>
    <row r="28" spans="1:21">
      <c r="A28" s="1387"/>
      <c r="B28" s="1388"/>
      <c r="C28" s="1388"/>
      <c r="D28" s="418"/>
      <c r="E28" s="427"/>
      <c r="F28" s="394"/>
      <c r="G28" s="421"/>
      <c r="H28" s="382"/>
      <c r="I28" s="424"/>
      <c r="J28" s="430"/>
      <c r="K28" s="426"/>
      <c r="L28" s="400"/>
      <c r="M28" s="402"/>
      <c r="N28" s="402"/>
      <c r="O28" s="404"/>
      <c r="P28" s="386"/>
      <c r="Q28" s="386"/>
      <c r="R28" s="386"/>
      <c r="S28" s="386"/>
      <c r="T28" s="386"/>
      <c r="U28" s="386"/>
    </row>
    <row r="29" spans="1:21">
      <c r="A29" s="1387"/>
      <c r="B29" s="1388"/>
      <c r="C29" s="1388"/>
      <c r="D29" s="431"/>
      <c r="E29" s="431"/>
      <c r="F29" s="394"/>
      <c r="G29" s="421"/>
      <c r="H29" s="382"/>
      <c r="I29" s="432"/>
      <c r="J29" s="432"/>
      <c r="K29" s="432"/>
      <c r="L29" s="400"/>
      <c r="M29" s="402"/>
      <c r="N29" s="402"/>
      <c r="O29" s="404"/>
      <c r="P29" s="386"/>
      <c r="Q29" s="386"/>
      <c r="R29" s="386"/>
      <c r="S29" s="386"/>
      <c r="T29" s="386"/>
      <c r="U29" s="386"/>
    </row>
    <row r="30" spans="1:21">
      <c r="A30" s="1387"/>
      <c r="B30" s="1388"/>
      <c r="C30" s="1388"/>
      <c r="D30" s="408" t="s">
        <v>28</v>
      </c>
      <c r="E30" s="409"/>
      <c r="F30" s="410"/>
      <c r="G30" s="411">
        <f>SUM(G21:G29)</f>
        <v>123130</v>
      </c>
      <c r="H30" s="382"/>
      <c r="I30" s="401"/>
      <c r="J30" s="400"/>
      <c r="K30" s="401"/>
      <c r="L30" s="400"/>
      <c r="M30" s="402"/>
      <c r="N30" s="402"/>
      <c r="O30" s="404"/>
      <c r="P30" s="386"/>
    </row>
    <row r="31" spans="1:21" ht="3.75" customHeight="1">
      <c r="A31" s="383"/>
      <c r="B31" s="384"/>
      <c r="C31" s="381"/>
      <c r="D31" s="384"/>
      <c r="E31" s="384"/>
      <c r="F31" s="384"/>
      <c r="G31" s="385"/>
      <c r="H31" s="382"/>
      <c r="I31" s="401"/>
      <c r="J31" s="400"/>
      <c r="K31" s="433"/>
      <c r="L31" s="400"/>
      <c r="M31" s="407"/>
      <c r="N31" s="407"/>
      <c r="O31" s="404"/>
      <c r="P31" s="386"/>
    </row>
    <row r="32" spans="1:21" ht="22.5" customHeight="1">
      <c r="A32" s="1408" t="s">
        <v>71</v>
      </c>
      <c r="B32" s="1409"/>
      <c r="C32" s="1409"/>
      <c r="D32" s="1409"/>
      <c r="E32" s="1409"/>
      <c r="F32" s="1409"/>
      <c r="G32" s="1410"/>
      <c r="H32" s="382"/>
    </row>
    <row r="33" spans="1:16" ht="3.75" customHeight="1">
      <c r="A33" s="383"/>
      <c r="B33" s="384"/>
      <c r="C33" s="381"/>
      <c r="D33" s="384"/>
      <c r="E33" s="384"/>
      <c r="F33" s="384"/>
      <c r="G33" s="385"/>
      <c r="H33" s="382"/>
      <c r="I33" s="401"/>
      <c r="J33" s="400"/>
      <c r="K33" s="401"/>
      <c r="L33" s="401"/>
      <c r="M33" s="401"/>
      <c r="N33" s="401"/>
      <c r="O33" s="404"/>
      <c r="P33" s="386"/>
    </row>
    <row r="34" spans="1:16">
      <c r="A34" s="434" t="s">
        <v>5</v>
      </c>
      <c r="B34" s="435" t="s">
        <v>29</v>
      </c>
      <c r="C34" s="435" t="s">
        <v>30</v>
      </c>
      <c r="D34" s="435" t="s">
        <v>31</v>
      </c>
      <c r="E34" s="435" t="s">
        <v>32</v>
      </c>
      <c r="F34" s="435" t="s">
        <v>20</v>
      </c>
      <c r="G34" s="389" t="s">
        <v>33</v>
      </c>
      <c r="H34" s="390"/>
      <c r="I34" s="401"/>
      <c r="J34" s="400"/>
      <c r="K34" s="401"/>
      <c r="L34" s="401"/>
      <c r="M34" s="401"/>
      <c r="N34" s="401"/>
      <c r="O34" s="404"/>
      <c r="P34" s="386"/>
    </row>
    <row r="35" spans="1:16">
      <c r="A35" s="436" t="s">
        <v>41</v>
      </c>
      <c r="B35" s="437">
        <f>BOF</f>
        <v>51749</v>
      </c>
      <c r="C35" s="438">
        <f>ffpp</f>
        <v>0.64539999999999997</v>
      </c>
      <c r="D35" s="439">
        <v>1</v>
      </c>
      <c r="E35" s="440">
        <f>OF</f>
        <v>88696</v>
      </c>
      <c r="F35" s="441">
        <v>3</v>
      </c>
      <c r="G35" s="231">
        <f>ROUND(+D35*E35/F35,0)</f>
        <v>29565</v>
      </c>
      <c r="H35" s="382"/>
      <c r="I35" s="399"/>
      <c r="J35" s="400"/>
      <c r="K35" s="401"/>
      <c r="L35" s="401"/>
      <c r="M35" s="401"/>
      <c r="N35" s="401"/>
      <c r="O35" s="404"/>
      <c r="P35" s="386"/>
    </row>
    <row r="36" spans="1:16">
      <c r="A36" s="436" t="s">
        <v>38</v>
      </c>
      <c r="B36" s="437">
        <f>BOB</f>
        <v>41749</v>
      </c>
      <c r="C36" s="438">
        <f>ffpp</f>
        <v>0.64539999999999997</v>
      </c>
      <c r="D36" s="439">
        <v>2</v>
      </c>
      <c r="E36" s="440">
        <f>OB</f>
        <v>72242</v>
      </c>
      <c r="F36" s="441">
        <f>+F35</f>
        <v>3</v>
      </c>
      <c r="G36" s="231">
        <f>ROUND(+D36*E36/F36,0)</f>
        <v>48161</v>
      </c>
      <c r="H36" s="382"/>
      <c r="I36" s="401"/>
      <c r="J36" s="401"/>
      <c r="K36" s="400"/>
      <c r="L36" s="400"/>
      <c r="M36" s="400"/>
      <c r="N36" s="400"/>
      <c r="O36" s="400"/>
      <c r="P36" s="386"/>
    </row>
    <row r="37" spans="1:16">
      <c r="A37" s="442"/>
      <c r="B37" s="409"/>
      <c r="C37" s="961"/>
      <c r="D37" s="409"/>
      <c r="E37" s="409"/>
      <c r="F37" s="409"/>
      <c r="G37" s="443"/>
      <c r="H37" s="382"/>
      <c r="I37" s="401"/>
      <c r="J37" s="400"/>
      <c r="K37" s="400"/>
      <c r="L37" s="400"/>
      <c r="M37" s="407"/>
      <c r="N37" s="407"/>
      <c r="O37" s="444"/>
      <c r="P37" s="386"/>
    </row>
    <row r="38" spans="1:16">
      <c r="A38" s="436"/>
      <c r="B38" s="441"/>
      <c r="C38" s="438"/>
      <c r="D38" s="441"/>
      <c r="E38" s="445"/>
      <c r="F38" s="445"/>
      <c r="G38" s="446"/>
      <c r="H38" s="382"/>
      <c r="I38" s="401"/>
      <c r="J38" s="400"/>
      <c r="K38" s="400"/>
      <c r="L38" s="400"/>
      <c r="M38" s="407"/>
      <c r="N38" s="407"/>
      <c r="O38" s="444"/>
      <c r="P38" s="386"/>
    </row>
    <row r="39" spans="1:16">
      <c r="A39" s="447"/>
      <c r="B39" s="448"/>
      <c r="C39" s="448"/>
      <c r="D39" s="448" t="s">
        <v>34</v>
      </c>
      <c r="E39" s="448"/>
      <c r="F39" s="448"/>
      <c r="G39" s="449">
        <f>SUM(G35:G38)</f>
        <v>77726</v>
      </c>
      <c r="H39" s="382"/>
      <c r="I39" s="401"/>
      <c r="J39" s="400"/>
      <c r="K39" s="400"/>
      <c r="L39" s="400"/>
      <c r="M39" s="402"/>
      <c r="N39" s="402"/>
      <c r="O39" s="404"/>
      <c r="P39" s="386"/>
    </row>
    <row r="40" spans="1:16">
      <c r="A40" s="383"/>
      <c r="B40" s="384"/>
      <c r="C40" s="381"/>
      <c r="D40" s="384"/>
      <c r="E40" s="384"/>
      <c r="F40" s="384"/>
      <c r="G40" s="385"/>
      <c r="H40" s="382"/>
      <c r="I40" s="401"/>
      <c r="J40" s="400"/>
      <c r="K40" s="400"/>
      <c r="L40" s="400"/>
      <c r="M40" s="402"/>
      <c r="N40" s="402"/>
      <c r="O40" s="405"/>
      <c r="P40" s="386"/>
    </row>
    <row r="41" spans="1:16">
      <c r="A41" s="383"/>
      <c r="B41" s="384"/>
      <c r="C41" s="381"/>
      <c r="D41" s="384"/>
      <c r="E41" s="384"/>
      <c r="F41" s="384"/>
      <c r="G41" s="385"/>
      <c r="H41" s="382"/>
      <c r="I41" s="401"/>
      <c r="J41" s="400"/>
      <c r="K41" s="400"/>
      <c r="L41" s="400"/>
      <c r="M41" s="450"/>
      <c r="N41" s="450"/>
      <c r="O41" s="451"/>
      <c r="P41" s="386"/>
    </row>
    <row r="42" spans="1:16" ht="14.25">
      <c r="A42" s="383"/>
      <c r="B42" s="384"/>
      <c r="C42" s="381"/>
      <c r="D42" s="1415" t="s">
        <v>35</v>
      </c>
      <c r="E42" s="1416"/>
      <c r="F42" s="1417"/>
      <c r="G42" s="452">
        <f>+G39+G30+G16</f>
        <v>204742</v>
      </c>
      <c r="H42" s="382"/>
      <c r="I42" s="401"/>
      <c r="J42" s="400"/>
      <c r="K42" s="401"/>
      <c r="L42" s="401"/>
      <c r="M42" s="401"/>
      <c r="N42" s="401"/>
      <c r="O42" s="401"/>
      <c r="P42" s="386"/>
    </row>
    <row r="43" spans="1:16" ht="14.25">
      <c r="A43" s="453"/>
      <c r="B43" s="454"/>
      <c r="C43" s="455"/>
      <c r="D43" s="456"/>
      <c r="E43" s="456"/>
      <c r="F43" s="456"/>
      <c r="G43" s="457"/>
      <c r="H43" s="382"/>
      <c r="I43" s="401"/>
      <c r="J43" s="400"/>
      <c r="K43" s="401"/>
      <c r="L43" s="401"/>
      <c r="M43" s="401"/>
      <c r="N43" s="401"/>
      <c r="O43" s="401"/>
      <c r="P43" s="386"/>
    </row>
    <row r="44" spans="1:16" ht="14.25">
      <c r="A44" s="374"/>
      <c r="B44" s="375"/>
      <c r="C44" s="375"/>
      <c r="D44" s="456"/>
      <c r="E44" s="456"/>
      <c r="F44" s="456"/>
      <c r="G44" s="457"/>
      <c r="H44" s="382"/>
      <c r="I44" s="401"/>
      <c r="J44" s="400"/>
      <c r="K44" s="401"/>
      <c r="L44" s="401"/>
      <c r="M44" s="401"/>
      <c r="N44" s="401"/>
      <c r="O44" s="401"/>
      <c r="P44" s="386"/>
    </row>
    <row r="45" spans="1:16" ht="14.25">
      <c r="A45" s="373"/>
      <c r="B45" s="376"/>
      <c r="C45" s="376"/>
      <c r="D45" s="456"/>
      <c r="E45" s="456"/>
      <c r="F45" s="456"/>
      <c r="G45" s="457"/>
      <c r="H45" s="382"/>
      <c r="I45" s="401"/>
      <c r="J45" s="400"/>
      <c r="K45" s="401"/>
      <c r="L45" s="401"/>
      <c r="M45" s="401"/>
      <c r="N45" s="401"/>
      <c r="O45" s="401"/>
      <c r="P45" s="386"/>
    </row>
    <row r="46" spans="1:16" ht="14.25">
      <c r="A46" s="373"/>
      <c r="B46" s="376"/>
      <c r="C46" s="376"/>
      <c r="D46" s="458"/>
      <c r="E46" s="459"/>
      <c r="F46" s="459"/>
      <c r="G46" s="457"/>
      <c r="H46" s="382"/>
      <c r="I46" s="401"/>
      <c r="J46" s="400"/>
      <c r="K46" s="401"/>
      <c r="L46" s="401"/>
      <c r="M46" s="401"/>
      <c r="N46" s="401"/>
      <c r="O46" s="401"/>
      <c r="P46" s="386"/>
    </row>
    <row r="47" spans="1:16" ht="15" thickBot="1">
      <c r="A47" s="460"/>
      <c r="B47" s="461"/>
      <c r="C47" s="462"/>
      <c r="D47" s="463"/>
      <c r="E47" s="464"/>
      <c r="F47" s="464"/>
      <c r="G47" s="465"/>
      <c r="H47" s="382"/>
      <c r="I47" s="401"/>
      <c r="J47" s="400"/>
      <c r="K47" s="401"/>
      <c r="L47" s="401"/>
      <c r="M47" s="401"/>
      <c r="N47" s="401"/>
      <c r="O47" s="401"/>
      <c r="P47" s="386"/>
    </row>
    <row r="48" spans="1:16">
      <c r="I48" s="386"/>
      <c r="J48" s="386"/>
      <c r="K48" s="386"/>
      <c r="L48" s="386"/>
      <c r="M48" s="386"/>
      <c r="N48" s="386"/>
      <c r="O48" s="386"/>
      <c r="P48" s="386"/>
    </row>
    <row r="49" spans="9:16">
      <c r="I49" s="386"/>
      <c r="J49" s="386"/>
      <c r="K49" s="386"/>
      <c r="L49" s="386"/>
      <c r="M49" s="386"/>
      <c r="N49" s="386"/>
      <c r="O49" s="386"/>
      <c r="P49" s="386"/>
    </row>
  </sheetData>
  <mergeCells count="22">
    <mergeCell ref="A16:C16"/>
    <mergeCell ref="A1:G1"/>
    <mergeCell ref="A2:G2"/>
    <mergeCell ref="A3:G4"/>
    <mergeCell ref="B6:E6"/>
    <mergeCell ref="A8:G8"/>
    <mergeCell ref="A10:C10"/>
    <mergeCell ref="A11:C11"/>
    <mergeCell ref="A12:C12"/>
    <mergeCell ref="A13:C13"/>
    <mergeCell ref="A14:C14"/>
    <mergeCell ref="A15:C15"/>
    <mergeCell ref="A29:C29"/>
    <mergeCell ref="A30:C30"/>
    <mergeCell ref="A32:G32"/>
    <mergeCell ref="D42:F42"/>
    <mergeCell ref="A18:G18"/>
    <mergeCell ref="A20:C20"/>
    <mergeCell ref="A21:C21"/>
    <mergeCell ref="A26:C26"/>
    <mergeCell ref="A27:C27"/>
    <mergeCell ref="A28:C28"/>
  </mergeCells>
  <printOptions horizontalCentered="1" verticalCentered="1"/>
  <pageMargins left="0.74803149606299213" right="0.74803149606299213" top="0" bottom="0.98425196850393704" header="0" footer="0"/>
  <pageSetup scale="90" orientation="portrait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7"/>
  <dimension ref="A1:U49"/>
  <sheetViews>
    <sheetView view="pageBreakPreview" topLeftCell="A13" zoomScaleNormal="100" zoomScaleSheetLayoutView="100" workbookViewId="0">
      <selection activeCell="I7" sqref="I7"/>
    </sheetView>
  </sheetViews>
  <sheetFormatPr baseColWidth="10" defaultColWidth="10.7109375" defaultRowHeight="12.75"/>
  <cols>
    <col min="1" max="1" width="15.85546875" style="3" customWidth="1"/>
    <col min="2" max="2" width="14.85546875" style="3" customWidth="1"/>
    <col min="3" max="3" width="13.28515625" style="3" customWidth="1"/>
    <col min="4" max="4" width="11.42578125" style="3"/>
    <col min="5" max="5" width="13.42578125" style="3" customWidth="1"/>
    <col min="6" max="6" width="12.7109375" style="3" customWidth="1"/>
    <col min="7" max="7" width="14" style="3" customWidth="1"/>
    <col min="8" max="8" width="7.42578125" style="3" customWidth="1"/>
    <col min="9" max="256" width="11.42578125" style="3"/>
    <col min="257" max="257" width="15.85546875" style="3" customWidth="1"/>
    <col min="258" max="258" width="14.85546875" style="3" customWidth="1"/>
    <col min="259" max="259" width="13.28515625" style="3" customWidth="1"/>
    <col min="260" max="260" width="11.42578125" style="3"/>
    <col min="261" max="261" width="13.42578125" style="3" customWidth="1"/>
    <col min="262" max="262" width="12.7109375" style="3" customWidth="1"/>
    <col min="263" max="263" width="14" style="3" customWidth="1"/>
    <col min="264" max="264" width="7.42578125" style="3" customWidth="1"/>
    <col min="265" max="512" width="11.42578125" style="3"/>
    <col min="513" max="513" width="15.85546875" style="3" customWidth="1"/>
    <col min="514" max="514" width="14.85546875" style="3" customWidth="1"/>
    <col min="515" max="515" width="13.28515625" style="3" customWidth="1"/>
    <col min="516" max="516" width="11.42578125" style="3"/>
    <col min="517" max="517" width="13.42578125" style="3" customWidth="1"/>
    <col min="518" max="518" width="12.7109375" style="3" customWidth="1"/>
    <col min="519" max="519" width="14" style="3" customWidth="1"/>
    <col min="520" max="520" width="7.42578125" style="3" customWidth="1"/>
    <col min="521" max="768" width="11.42578125" style="3"/>
    <col min="769" max="769" width="15.85546875" style="3" customWidth="1"/>
    <col min="770" max="770" width="14.85546875" style="3" customWidth="1"/>
    <col min="771" max="771" width="13.28515625" style="3" customWidth="1"/>
    <col min="772" max="772" width="11.42578125" style="3"/>
    <col min="773" max="773" width="13.42578125" style="3" customWidth="1"/>
    <col min="774" max="774" width="12.7109375" style="3" customWidth="1"/>
    <col min="775" max="775" width="14" style="3" customWidth="1"/>
    <col min="776" max="776" width="7.42578125" style="3" customWidth="1"/>
    <col min="777" max="1024" width="11.42578125" style="3"/>
    <col min="1025" max="1025" width="15.85546875" style="3" customWidth="1"/>
    <col min="1026" max="1026" width="14.85546875" style="3" customWidth="1"/>
    <col min="1027" max="1027" width="13.28515625" style="3" customWidth="1"/>
    <col min="1028" max="1028" width="11.42578125" style="3"/>
    <col min="1029" max="1029" width="13.42578125" style="3" customWidth="1"/>
    <col min="1030" max="1030" width="12.7109375" style="3" customWidth="1"/>
    <col min="1031" max="1031" width="14" style="3" customWidth="1"/>
    <col min="1032" max="1032" width="7.42578125" style="3" customWidth="1"/>
    <col min="1033" max="1280" width="11.42578125" style="3"/>
    <col min="1281" max="1281" width="15.85546875" style="3" customWidth="1"/>
    <col min="1282" max="1282" width="14.85546875" style="3" customWidth="1"/>
    <col min="1283" max="1283" width="13.28515625" style="3" customWidth="1"/>
    <col min="1284" max="1284" width="11.42578125" style="3"/>
    <col min="1285" max="1285" width="13.42578125" style="3" customWidth="1"/>
    <col min="1286" max="1286" width="12.7109375" style="3" customWidth="1"/>
    <col min="1287" max="1287" width="14" style="3" customWidth="1"/>
    <col min="1288" max="1288" width="7.42578125" style="3" customWidth="1"/>
    <col min="1289" max="1536" width="11.42578125" style="3"/>
    <col min="1537" max="1537" width="15.85546875" style="3" customWidth="1"/>
    <col min="1538" max="1538" width="14.85546875" style="3" customWidth="1"/>
    <col min="1539" max="1539" width="13.28515625" style="3" customWidth="1"/>
    <col min="1540" max="1540" width="11.42578125" style="3"/>
    <col min="1541" max="1541" width="13.42578125" style="3" customWidth="1"/>
    <col min="1542" max="1542" width="12.7109375" style="3" customWidth="1"/>
    <col min="1543" max="1543" width="14" style="3" customWidth="1"/>
    <col min="1544" max="1544" width="7.42578125" style="3" customWidth="1"/>
    <col min="1545" max="1792" width="11.42578125" style="3"/>
    <col min="1793" max="1793" width="15.85546875" style="3" customWidth="1"/>
    <col min="1794" max="1794" width="14.85546875" style="3" customWidth="1"/>
    <col min="1795" max="1795" width="13.28515625" style="3" customWidth="1"/>
    <col min="1796" max="1796" width="11.42578125" style="3"/>
    <col min="1797" max="1797" width="13.42578125" style="3" customWidth="1"/>
    <col min="1798" max="1798" width="12.7109375" style="3" customWidth="1"/>
    <col min="1799" max="1799" width="14" style="3" customWidth="1"/>
    <col min="1800" max="1800" width="7.42578125" style="3" customWidth="1"/>
    <col min="1801" max="2048" width="11.42578125" style="3"/>
    <col min="2049" max="2049" width="15.85546875" style="3" customWidth="1"/>
    <col min="2050" max="2050" width="14.85546875" style="3" customWidth="1"/>
    <col min="2051" max="2051" width="13.28515625" style="3" customWidth="1"/>
    <col min="2052" max="2052" width="11.42578125" style="3"/>
    <col min="2053" max="2053" width="13.42578125" style="3" customWidth="1"/>
    <col min="2054" max="2054" width="12.7109375" style="3" customWidth="1"/>
    <col min="2055" max="2055" width="14" style="3" customWidth="1"/>
    <col min="2056" max="2056" width="7.42578125" style="3" customWidth="1"/>
    <col min="2057" max="2304" width="11.42578125" style="3"/>
    <col min="2305" max="2305" width="15.85546875" style="3" customWidth="1"/>
    <col min="2306" max="2306" width="14.85546875" style="3" customWidth="1"/>
    <col min="2307" max="2307" width="13.28515625" style="3" customWidth="1"/>
    <col min="2308" max="2308" width="11.42578125" style="3"/>
    <col min="2309" max="2309" width="13.42578125" style="3" customWidth="1"/>
    <col min="2310" max="2310" width="12.7109375" style="3" customWidth="1"/>
    <col min="2311" max="2311" width="14" style="3" customWidth="1"/>
    <col min="2312" max="2312" width="7.42578125" style="3" customWidth="1"/>
    <col min="2313" max="2560" width="11.42578125" style="3"/>
    <col min="2561" max="2561" width="15.85546875" style="3" customWidth="1"/>
    <col min="2562" max="2562" width="14.85546875" style="3" customWidth="1"/>
    <col min="2563" max="2563" width="13.28515625" style="3" customWidth="1"/>
    <col min="2564" max="2564" width="11.42578125" style="3"/>
    <col min="2565" max="2565" width="13.42578125" style="3" customWidth="1"/>
    <col min="2566" max="2566" width="12.7109375" style="3" customWidth="1"/>
    <col min="2567" max="2567" width="14" style="3" customWidth="1"/>
    <col min="2568" max="2568" width="7.42578125" style="3" customWidth="1"/>
    <col min="2569" max="2816" width="11.42578125" style="3"/>
    <col min="2817" max="2817" width="15.85546875" style="3" customWidth="1"/>
    <col min="2818" max="2818" width="14.85546875" style="3" customWidth="1"/>
    <col min="2819" max="2819" width="13.28515625" style="3" customWidth="1"/>
    <col min="2820" max="2820" width="11.42578125" style="3"/>
    <col min="2821" max="2821" width="13.42578125" style="3" customWidth="1"/>
    <col min="2822" max="2822" width="12.7109375" style="3" customWidth="1"/>
    <col min="2823" max="2823" width="14" style="3" customWidth="1"/>
    <col min="2824" max="2824" width="7.42578125" style="3" customWidth="1"/>
    <col min="2825" max="3072" width="11.42578125" style="3"/>
    <col min="3073" max="3073" width="15.85546875" style="3" customWidth="1"/>
    <col min="3074" max="3074" width="14.85546875" style="3" customWidth="1"/>
    <col min="3075" max="3075" width="13.28515625" style="3" customWidth="1"/>
    <col min="3076" max="3076" width="11.42578125" style="3"/>
    <col min="3077" max="3077" width="13.42578125" style="3" customWidth="1"/>
    <col min="3078" max="3078" width="12.7109375" style="3" customWidth="1"/>
    <col min="3079" max="3079" width="14" style="3" customWidth="1"/>
    <col min="3080" max="3080" width="7.42578125" style="3" customWidth="1"/>
    <col min="3081" max="3328" width="11.42578125" style="3"/>
    <col min="3329" max="3329" width="15.85546875" style="3" customWidth="1"/>
    <col min="3330" max="3330" width="14.85546875" style="3" customWidth="1"/>
    <col min="3331" max="3331" width="13.28515625" style="3" customWidth="1"/>
    <col min="3332" max="3332" width="11.42578125" style="3"/>
    <col min="3333" max="3333" width="13.42578125" style="3" customWidth="1"/>
    <col min="3334" max="3334" width="12.7109375" style="3" customWidth="1"/>
    <col min="3335" max="3335" width="14" style="3" customWidth="1"/>
    <col min="3336" max="3336" width="7.42578125" style="3" customWidth="1"/>
    <col min="3337" max="3584" width="11.42578125" style="3"/>
    <col min="3585" max="3585" width="15.85546875" style="3" customWidth="1"/>
    <col min="3586" max="3586" width="14.85546875" style="3" customWidth="1"/>
    <col min="3587" max="3587" width="13.28515625" style="3" customWidth="1"/>
    <col min="3588" max="3588" width="11.42578125" style="3"/>
    <col min="3589" max="3589" width="13.42578125" style="3" customWidth="1"/>
    <col min="3590" max="3590" width="12.7109375" style="3" customWidth="1"/>
    <col min="3591" max="3591" width="14" style="3" customWidth="1"/>
    <col min="3592" max="3592" width="7.42578125" style="3" customWidth="1"/>
    <col min="3593" max="3840" width="11.42578125" style="3"/>
    <col min="3841" max="3841" width="15.85546875" style="3" customWidth="1"/>
    <col min="3842" max="3842" width="14.85546875" style="3" customWidth="1"/>
    <col min="3843" max="3843" width="13.28515625" style="3" customWidth="1"/>
    <col min="3844" max="3844" width="11.42578125" style="3"/>
    <col min="3845" max="3845" width="13.42578125" style="3" customWidth="1"/>
    <col min="3846" max="3846" width="12.7109375" style="3" customWidth="1"/>
    <col min="3847" max="3847" width="14" style="3" customWidth="1"/>
    <col min="3848" max="3848" width="7.42578125" style="3" customWidth="1"/>
    <col min="3849" max="4096" width="11.42578125" style="3"/>
    <col min="4097" max="4097" width="15.85546875" style="3" customWidth="1"/>
    <col min="4098" max="4098" width="14.85546875" style="3" customWidth="1"/>
    <col min="4099" max="4099" width="13.28515625" style="3" customWidth="1"/>
    <col min="4100" max="4100" width="11.42578125" style="3"/>
    <col min="4101" max="4101" width="13.42578125" style="3" customWidth="1"/>
    <col min="4102" max="4102" width="12.7109375" style="3" customWidth="1"/>
    <col min="4103" max="4103" width="14" style="3" customWidth="1"/>
    <col min="4104" max="4104" width="7.42578125" style="3" customWidth="1"/>
    <col min="4105" max="4352" width="11.42578125" style="3"/>
    <col min="4353" max="4353" width="15.85546875" style="3" customWidth="1"/>
    <col min="4354" max="4354" width="14.85546875" style="3" customWidth="1"/>
    <col min="4355" max="4355" width="13.28515625" style="3" customWidth="1"/>
    <col min="4356" max="4356" width="11.42578125" style="3"/>
    <col min="4357" max="4357" width="13.42578125" style="3" customWidth="1"/>
    <col min="4358" max="4358" width="12.7109375" style="3" customWidth="1"/>
    <col min="4359" max="4359" width="14" style="3" customWidth="1"/>
    <col min="4360" max="4360" width="7.42578125" style="3" customWidth="1"/>
    <col min="4361" max="4608" width="11.42578125" style="3"/>
    <col min="4609" max="4609" width="15.85546875" style="3" customWidth="1"/>
    <col min="4610" max="4610" width="14.85546875" style="3" customWidth="1"/>
    <col min="4611" max="4611" width="13.28515625" style="3" customWidth="1"/>
    <col min="4612" max="4612" width="11.42578125" style="3"/>
    <col min="4613" max="4613" width="13.42578125" style="3" customWidth="1"/>
    <col min="4614" max="4614" width="12.7109375" style="3" customWidth="1"/>
    <col min="4615" max="4615" width="14" style="3" customWidth="1"/>
    <col min="4616" max="4616" width="7.42578125" style="3" customWidth="1"/>
    <col min="4617" max="4864" width="11.42578125" style="3"/>
    <col min="4865" max="4865" width="15.85546875" style="3" customWidth="1"/>
    <col min="4866" max="4866" width="14.85546875" style="3" customWidth="1"/>
    <col min="4867" max="4867" width="13.28515625" style="3" customWidth="1"/>
    <col min="4868" max="4868" width="11.42578125" style="3"/>
    <col min="4869" max="4869" width="13.42578125" style="3" customWidth="1"/>
    <col min="4870" max="4870" width="12.7109375" style="3" customWidth="1"/>
    <col min="4871" max="4871" width="14" style="3" customWidth="1"/>
    <col min="4872" max="4872" width="7.42578125" style="3" customWidth="1"/>
    <col min="4873" max="5120" width="11.42578125" style="3"/>
    <col min="5121" max="5121" width="15.85546875" style="3" customWidth="1"/>
    <col min="5122" max="5122" width="14.85546875" style="3" customWidth="1"/>
    <col min="5123" max="5123" width="13.28515625" style="3" customWidth="1"/>
    <col min="5124" max="5124" width="11.42578125" style="3"/>
    <col min="5125" max="5125" width="13.42578125" style="3" customWidth="1"/>
    <col min="5126" max="5126" width="12.7109375" style="3" customWidth="1"/>
    <col min="5127" max="5127" width="14" style="3" customWidth="1"/>
    <col min="5128" max="5128" width="7.42578125" style="3" customWidth="1"/>
    <col min="5129" max="5376" width="11.42578125" style="3"/>
    <col min="5377" max="5377" width="15.85546875" style="3" customWidth="1"/>
    <col min="5378" max="5378" width="14.85546875" style="3" customWidth="1"/>
    <col min="5379" max="5379" width="13.28515625" style="3" customWidth="1"/>
    <col min="5380" max="5380" width="11.42578125" style="3"/>
    <col min="5381" max="5381" width="13.42578125" style="3" customWidth="1"/>
    <col min="5382" max="5382" width="12.7109375" style="3" customWidth="1"/>
    <col min="5383" max="5383" width="14" style="3" customWidth="1"/>
    <col min="5384" max="5384" width="7.42578125" style="3" customWidth="1"/>
    <col min="5385" max="5632" width="11.42578125" style="3"/>
    <col min="5633" max="5633" width="15.85546875" style="3" customWidth="1"/>
    <col min="5634" max="5634" width="14.85546875" style="3" customWidth="1"/>
    <col min="5635" max="5635" width="13.28515625" style="3" customWidth="1"/>
    <col min="5636" max="5636" width="11.42578125" style="3"/>
    <col min="5637" max="5637" width="13.42578125" style="3" customWidth="1"/>
    <col min="5638" max="5638" width="12.7109375" style="3" customWidth="1"/>
    <col min="5639" max="5639" width="14" style="3" customWidth="1"/>
    <col min="5640" max="5640" width="7.42578125" style="3" customWidth="1"/>
    <col min="5641" max="5888" width="11.42578125" style="3"/>
    <col min="5889" max="5889" width="15.85546875" style="3" customWidth="1"/>
    <col min="5890" max="5890" width="14.85546875" style="3" customWidth="1"/>
    <col min="5891" max="5891" width="13.28515625" style="3" customWidth="1"/>
    <col min="5892" max="5892" width="11.42578125" style="3"/>
    <col min="5893" max="5893" width="13.42578125" style="3" customWidth="1"/>
    <col min="5894" max="5894" width="12.7109375" style="3" customWidth="1"/>
    <col min="5895" max="5895" width="14" style="3" customWidth="1"/>
    <col min="5896" max="5896" width="7.42578125" style="3" customWidth="1"/>
    <col min="5897" max="6144" width="11.42578125" style="3"/>
    <col min="6145" max="6145" width="15.85546875" style="3" customWidth="1"/>
    <col min="6146" max="6146" width="14.85546875" style="3" customWidth="1"/>
    <col min="6147" max="6147" width="13.28515625" style="3" customWidth="1"/>
    <col min="6148" max="6148" width="11.42578125" style="3"/>
    <col min="6149" max="6149" width="13.42578125" style="3" customWidth="1"/>
    <col min="6150" max="6150" width="12.7109375" style="3" customWidth="1"/>
    <col min="6151" max="6151" width="14" style="3" customWidth="1"/>
    <col min="6152" max="6152" width="7.42578125" style="3" customWidth="1"/>
    <col min="6153" max="6400" width="11.42578125" style="3"/>
    <col min="6401" max="6401" width="15.85546875" style="3" customWidth="1"/>
    <col min="6402" max="6402" width="14.85546875" style="3" customWidth="1"/>
    <col min="6403" max="6403" width="13.28515625" style="3" customWidth="1"/>
    <col min="6404" max="6404" width="11.42578125" style="3"/>
    <col min="6405" max="6405" width="13.42578125" style="3" customWidth="1"/>
    <col min="6406" max="6406" width="12.7109375" style="3" customWidth="1"/>
    <col min="6407" max="6407" width="14" style="3" customWidth="1"/>
    <col min="6408" max="6408" width="7.42578125" style="3" customWidth="1"/>
    <col min="6409" max="6656" width="11.42578125" style="3"/>
    <col min="6657" max="6657" width="15.85546875" style="3" customWidth="1"/>
    <col min="6658" max="6658" width="14.85546875" style="3" customWidth="1"/>
    <col min="6659" max="6659" width="13.28515625" style="3" customWidth="1"/>
    <col min="6660" max="6660" width="11.42578125" style="3"/>
    <col min="6661" max="6661" width="13.42578125" style="3" customWidth="1"/>
    <col min="6662" max="6662" width="12.7109375" style="3" customWidth="1"/>
    <col min="6663" max="6663" width="14" style="3" customWidth="1"/>
    <col min="6664" max="6664" width="7.42578125" style="3" customWidth="1"/>
    <col min="6665" max="6912" width="11.42578125" style="3"/>
    <col min="6913" max="6913" width="15.85546875" style="3" customWidth="1"/>
    <col min="6914" max="6914" width="14.85546875" style="3" customWidth="1"/>
    <col min="6915" max="6915" width="13.28515625" style="3" customWidth="1"/>
    <col min="6916" max="6916" width="11.42578125" style="3"/>
    <col min="6917" max="6917" width="13.42578125" style="3" customWidth="1"/>
    <col min="6918" max="6918" width="12.7109375" style="3" customWidth="1"/>
    <col min="6919" max="6919" width="14" style="3" customWidth="1"/>
    <col min="6920" max="6920" width="7.42578125" style="3" customWidth="1"/>
    <col min="6921" max="7168" width="11.42578125" style="3"/>
    <col min="7169" max="7169" width="15.85546875" style="3" customWidth="1"/>
    <col min="7170" max="7170" width="14.85546875" style="3" customWidth="1"/>
    <col min="7171" max="7171" width="13.28515625" style="3" customWidth="1"/>
    <col min="7172" max="7172" width="11.42578125" style="3"/>
    <col min="7173" max="7173" width="13.42578125" style="3" customWidth="1"/>
    <col min="7174" max="7174" width="12.7109375" style="3" customWidth="1"/>
    <col min="7175" max="7175" width="14" style="3" customWidth="1"/>
    <col min="7176" max="7176" width="7.42578125" style="3" customWidth="1"/>
    <col min="7177" max="7424" width="11.42578125" style="3"/>
    <col min="7425" max="7425" width="15.85546875" style="3" customWidth="1"/>
    <col min="7426" max="7426" width="14.85546875" style="3" customWidth="1"/>
    <col min="7427" max="7427" width="13.28515625" style="3" customWidth="1"/>
    <col min="7428" max="7428" width="11.42578125" style="3"/>
    <col min="7429" max="7429" width="13.42578125" style="3" customWidth="1"/>
    <col min="7430" max="7430" width="12.7109375" style="3" customWidth="1"/>
    <col min="7431" max="7431" width="14" style="3" customWidth="1"/>
    <col min="7432" max="7432" width="7.42578125" style="3" customWidth="1"/>
    <col min="7433" max="7680" width="11.42578125" style="3"/>
    <col min="7681" max="7681" width="15.85546875" style="3" customWidth="1"/>
    <col min="7682" max="7682" width="14.85546875" style="3" customWidth="1"/>
    <col min="7683" max="7683" width="13.28515625" style="3" customWidth="1"/>
    <col min="7684" max="7684" width="11.42578125" style="3"/>
    <col min="7685" max="7685" width="13.42578125" style="3" customWidth="1"/>
    <col min="7686" max="7686" width="12.7109375" style="3" customWidth="1"/>
    <col min="7687" max="7687" width="14" style="3" customWidth="1"/>
    <col min="7688" max="7688" width="7.42578125" style="3" customWidth="1"/>
    <col min="7689" max="7936" width="11.42578125" style="3"/>
    <col min="7937" max="7937" width="15.85546875" style="3" customWidth="1"/>
    <col min="7938" max="7938" width="14.85546875" style="3" customWidth="1"/>
    <col min="7939" max="7939" width="13.28515625" style="3" customWidth="1"/>
    <col min="7940" max="7940" width="11.42578125" style="3"/>
    <col min="7941" max="7941" width="13.42578125" style="3" customWidth="1"/>
    <col min="7942" max="7942" width="12.7109375" style="3" customWidth="1"/>
    <col min="7943" max="7943" width="14" style="3" customWidth="1"/>
    <col min="7944" max="7944" width="7.42578125" style="3" customWidth="1"/>
    <col min="7945" max="8192" width="11.42578125" style="3"/>
    <col min="8193" max="8193" width="15.85546875" style="3" customWidth="1"/>
    <col min="8194" max="8194" width="14.85546875" style="3" customWidth="1"/>
    <col min="8195" max="8195" width="13.28515625" style="3" customWidth="1"/>
    <col min="8196" max="8196" width="11.42578125" style="3"/>
    <col min="8197" max="8197" width="13.42578125" style="3" customWidth="1"/>
    <col min="8198" max="8198" width="12.7109375" style="3" customWidth="1"/>
    <col min="8199" max="8199" width="14" style="3" customWidth="1"/>
    <col min="8200" max="8200" width="7.42578125" style="3" customWidth="1"/>
    <col min="8201" max="8448" width="11.42578125" style="3"/>
    <col min="8449" max="8449" width="15.85546875" style="3" customWidth="1"/>
    <col min="8450" max="8450" width="14.85546875" style="3" customWidth="1"/>
    <col min="8451" max="8451" width="13.28515625" style="3" customWidth="1"/>
    <col min="8452" max="8452" width="11.42578125" style="3"/>
    <col min="8453" max="8453" width="13.42578125" style="3" customWidth="1"/>
    <col min="8454" max="8454" width="12.7109375" style="3" customWidth="1"/>
    <col min="8455" max="8455" width="14" style="3" customWidth="1"/>
    <col min="8456" max="8456" width="7.42578125" style="3" customWidth="1"/>
    <col min="8457" max="8704" width="11.42578125" style="3"/>
    <col min="8705" max="8705" width="15.85546875" style="3" customWidth="1"/>
    <col min="8706" max="8706" width="14.85546875" style="3" customWidth="1"/>
    <col min="8707" max="8707" width="13.28515625" style="3" customWidth="1"/>
    <col min="8708" max="8708" width="11.42578125" style="3"/>
    <col min="8709" max="8709" width="13.42578125" style="3" customWidth="1"/>
    <col min="8710" max="8710" width="12.7109375" style="3" customWidth="1"/>
    <col min="8711" max="8711" width="14" style="3" customWidth="1"/>
    <col min="8712" max="8712" width="7.42578125" style="3" customWidth="1"/>
    <col min="8713" max="8960" width="11.42578125" style="3"/>
    <col min="8961" max="8961" width="15.85546875" style="3" customWidth="1"/>
    <col min="8962" max="8962" width="14.85546875" style="3" customWidth="1"/>
    <col min="8963" max="8963" width="13.28515625" style="3" customWidth="1"/>
    <col min="8964" max="8964" width="11.42578125" style="3"/>
    <col min="8965" max="8965" width="13.42578125" style="3" customWidth="1"/>
    <col min="8966" max="8966" width="12.7109375" style="3" customWidth="1"/>
    <col min="8967" max="8967" width="14" style="3" customWidth="1"/>
    <col min="8968" max="8968" width="7.42578125" style="3" customWidth="1"/>
    <col min="8969" max="9216" width="11.42578125" style="3"/>
    <col min="9217" max="9217" width="15.85546875" style="3" customWidth="1"/>
    <col min="9218" max="9218" width="14.85546875" style="3" customWidth="1"/>
    <col min="9219" max="9219" width="13.28515625" style="3" customWidth="1"/>
    <col min="9220" max="9220" width="11.42578125" style="3"/>
    <col min="9221" max="9221" width="13.42578125" style="3" customWidth="1"/>
    <col min="9222" max="9222" width="12.7109375" style="3" customWidth="1"/>
    <col min="9223" max="9223" width="14" style="3" customWidth="1"/>
    <col min="9224" max="9224" width="7.42578125" style="3" customWidth="1"/>
    <col min="9225" max="9472" width="11.42578125" style="3"/>
    <col min="9473" max="9473" width="15.85546875" style="3" customWidth="1"/>
    <col min="9474" max="9474" width="14.85546875" style="3" customWidth="1"/>
    <col min="9475" max="9475" width="13.28515625" style="3" customWidth="1"/>
    <col min="9476" max="9476" width="11.42578125" style="3"/>
    <col min="9477" max="9477" width="13.42578125" style="3" customWidth="1"/>
    <col min="9478" max="9478" width="12.7109375" style="3" customWidth="1"/>
    <col min="9479" max="9479" width="14" style="3" customWidth="1"/>
    <col min="9480" max="9480" width="7.42578125" style="3" customWidth="1"/>
    <col min="9481" max="9728" width="11.42578125" style="3"/>
    <col min="9729" max="9729" width="15.85546875" style="3" customWidth="1"/>
    <col min="9730" max="9730" width="14.85546875" style="3" customWidth="1"/>
    <col min="9731" max="9731" width="13.28515625" style="3" customWidth="1"/>
    <col min="9732" max="9732" width="11.42578125" style="3"/>
    <col min="9733" max="9733" width="13.42578125" style="3" customWidth="1"/>
    <col min="9734" max="9734" width="12.7109375" style="3" customWidth="1"/>
    <col min="9735" max="9735" width="14" style="3" customWidth="1"/>
    <col min="9736" max="9736" width="7.42578125" style="3" customWidth="1"/>
    <col min="9737" max="9984" width="11.42578125" style="3"/>
    <col min="9985" max="9985" width="15.85546875" style="3" customWidth="1"/>
    <col min="9986" max="9986" width="14.85546875" style="3" customWidth="1"/>
    <col min="9987" max="9987" width="13.28515625" style="3" customWidth="1"/>
    <col min="9988" max="9988" width="11.42578125" style="3"/>
    <col min="9989" max="9989" width="13.42578125" style="3" customWidth="1"/>
    <col min="9990" max="9990" width="12.7109375" style="3" customWidth="1"/>
    <col min="9991" max="9991" width="14" style="3" customWidth="1"/>
    <col min="9992" max="9992" width="7.42578125" style="3" customWidth="1"/>
    <col min="9993" max="10240" width="11.42578125" style="3"/>
    <col min="10241" max="10241" width="15.85546875" style="3" customWidth="1"/>
    <col min="10242" max="10242" width="14.85546875" style="3" customWidth="1"/>
    <col min="10243" max="10243" width="13.28515625" style="3" customWidth="1"/>
    <col min="10244" max="10244" width="11.42578125" style="3"/>
    <col min="10245" max="10245" width="13.42578125" style="3" customWidth="1"/>
    <col min="10246" max="10246" width="12.7109375" style="3" customWidth="1"/>
    <col min="10247" max="10247" width="14" style="3" customWidth="1"/>
    <col min="10248" max="10248" width="7.42578125" style="3" customWidth="1"/>
    <col min="10249" max="10496" width="11.42578125" style="3"/>
    <col min="10497" max="10497" width="15.85546875" style="3" customWidth="1"/>
    <col min="10498" max="10498" width="14.85546875" style="3" customWidth="1"/>
    <col min="10499" max="10499" width="13.28515625" style="3" customWidth="1"/>
    <col min="10500" max="10500" width="11.42578125" style="3"/>
    <col min="10501" max="10501" width="13.42578125" style="3" customWidth="1"/>
    <col min="10502" max="10502" width="12.7109375" style="3" customWidth="1"/>
    <col min="10503" max="10503" width="14" style="3" customWidth="1"/>
    <col min="10504" max="10504" width="7.42578125" style="3" customWidth="1"/>
    <col min="10505" max="10752" width="11.42578125" style="3"/>
    <col min="10753" max="10753" width="15.85546875" style="3" customWidth="1"/>
    <col min="10754" max="10754" width="14.85546875" style="3" customWidth="1"/>
    <col min="10755" max="10755" width="13.28515625" style="3" customWidth="1"/>
    <col min="10756" max="10756" width="11.42578125" style="3"/>
    <col min="10757" max="10757" width="13.42578125" style="3" customWidth="1"/>
    <col min="10758" max="10758" width="12.7109375" style="3" customWidth="1"/>
    <col min="10759" max="10759" width="14" style="3" customWidth="1"/>
    <col min="10760" max="10760" width="7.42578125" style="3" customWidth="1"/>
    <col min="10761" max="11008" width="11.42578125" style="3"/>
    <col min="11009" max="11009" width="15.85546875" style="3" customWidth="1"/>
    <col min="11010" max="11010" width="14.85546875" style="3" customWidth="1"/>
    <col min="11011" max="11011" width="13.28515625" style="3" customWidth="1"/>
    <col min="11012" max="11012" width="11.42578125" style="3"/>
    <col min="11013" max="11013" width="13.42578125" style="3" customWidth="1"/>
    <col min="11014" max="11014" width="12.7109375" style="3" customWidth="1"/>
    <col min="11015" max="11015" width="14" style="3" customWidth="1"/>
    <col min="11016" max="11016" width="7.42578125" style="3" customWidth="1"/>
    <col min="11017" max="11264" width="11.42578125" style="3"/>
    <col min="11265" max="11265" width="15.85546875" style="3" customWidth="1"/>
    <col min="11266" max="11266" width="14.85546875" style="3" customWidth="1"/>
    <col min="11267" max="11267" width="13.28515625" style="3" customWidth="1"/>
    <col min="11268" max="11268" width="11.42578125" style="3"/>
    <col min="11269" max="11269" width="13.42578125" style="3" customWidth="1"/>
    <col min="11270" max="11270" width="12.7109375" style="3" customWidth="1"/>
    <col min="11271" max="11271" width="14" style="3" customWidth="1"/>
    <col min="11272" max="11272" width="7.42578125" style="3" customWidth="1"/>
    <col min="11273" max="11520" width="11.42578125" style="3"/>
    <col min="11521" max="11521" width="15.85546875" style="3" customWidth="1"/>
    <col min="11522" max="11522" width="14.85546875" style="3" customWidth="1"/>
    <col min="11523" max="11523" width="13.28515625" style="3" customWidth="1"/>
    <col min="11524" max="11524" width="11.42578125" style="3"/>
    <col min="11525" max="11525" width="13.42578125" style="3" customWidth="1"/>
    <col min="11526" max="11526" width="12.7109375" style="3" customWidth="1"/>
    <col min="11527" max="11527" width="14" style="3" customWidth="1"/>
    <col min="11528" max="11528" width="7.42578125" style="3" customWidth="1"/>
    <col min="11529" max="11776" width="11.42578125" style="3"/>
    <col min="11777" max="11777" width="15.85546875" style="3" customWidth="1"/>
    <col min="11778" max="11778" width="14.85546875" style="3" customWidth="1"/>
    <col min="11779" max="11779" width="13.28515625" style="3" customWidth="1"/>
    <col min="11780" max="11780" width="11.42578125" style="3"/>
    <col min="11781" max="11781" width="13.42578125" style="3" customWidth="1"/>
    <col min="11782" max="11782" width="12.7109375" style="3" customWidth="1"/>
    <col min="11783" max="11783" width="14" style="3" customWidth="1"/>
    <col min="11784" max="11784" width="7.42578125" style="3" customWidth="1"/>
    <col min="11785" max="12032" width="11.42578125" style="3"/>
    <col min="12033" max="12033" width="15.85546875" style="3" customWidth="1"/>
    <col min="12034" max="12034" width="14.85546875" style="3" customWidth="1"/>
    <col min="12035" max="12035" width="13.28515625" style="3" customWidth="1"/>
    <col min="12036" max="12036" width="11.42578125" style="3"/>
    <col min="12037" max="12037" width="13.42578125" style="3" customWidth="1"/>
    <col min="12038" max="12038" width="12.7109375" style="3" customWidth="1"/>
    <col min="12039" max="12039" width="14" style="3" customWidth="1"/>
    <col min="12040" max="12040" width="7.42578125" style="3" customWidth="1"/>
    <col min="12041" max="12288" width="11.42578125" style="3"/>
    <col min="12289" max="12289" width="15.85546875" style="3" customWidth="1"/>
    <col min="12290" max="12290" width="14.85546875" style="3" customWidth="1"/>
    <col min="12291" max="12291" width="13.28515625" style="3" customWidth="1"/>
    <col min="12292" max="12292" width="11.42578125" style="3"/>
    <col min="12293" max="12293" width="13.42578125" style="3" customWidth="1"/>
    <col min="12294" max="12294" width="12.7109375" style="3" customWidth="1"/>
    <col min="12295" max="12295" width="14" style="3" customWidth="1"/>
    <col min="12296" max="12296" width="7.42578125" style="3" customWidth="1"/>
    <col min="12297" max="12544" width="11.42578125" style="3"/>
    <col min="12545" max="12545" width="15.85546875" style="3" customWidth="1"/>
    <col min="12546" max="12546" width="14.85546875" style="3" customWidth="1"/>
    <col min="12547" max="12547" width="13.28515625" style="3" customWidth="1"/>
    <col min="12548" max="12548" width="11.42578125" style="3"/>
    <col min="12549" max="12549" width="13.42578125" style="3" customWidth="1"/>
    <col min="12550" max="12550" width="12.7109375" style="3" customWidth="1"/>
    <col min="12551" max="12551" width="14" style="3" customWidth="1"/>
    <col min="12552" max="12552" width="7.42578125" style="3" customWidth="1"/>
    <col min="12553" max="12800" width="11.42578125" style="3"/>
    <col min="12801" max="12801" width="15.85546875" style="3" customWidth="1"/>
    <col min="12802" max="12802" width="14.85546875" style="3" customWidth="1"/>
    <col min="12803" max="12803" width="13.28515625" style="3" customWidth="1"/>
    <col min="12804" max="12804" width="11.42578125" style="3"/>
    <col min="12805" max="12805" width="13.42578125" style="3" customWidth="1"/>
    <col min="12806" max="12806" width="12.7109375" style="3" customWidth="1"/>
    <col min="12807" max="12807" width="14" style="3" customWidth="1"/>
    <col min="12808" max="12808" width="7.42578125" style="3" customWidth="1"/>
    <col min="12809" max="13056" width="11.42578125" style="3"/>
    <col min="13057" max="13057" width="15.85546875" style="3" customWidth="1"/>
    <col min="13058" max="13058" width="14.85546875" style="3" customWidth="1"/>
    <col min="13059" max="13059" width="13.28515625" style="3" customWidth="1"/>
    <col min="13060" max="13060" width="11.42578125" style="3"/>
    <col min="13061" max="13061" width="13.42578125" style="3" customWidth="1"/>
    <col min="13062" max="13062" width="12.7109375" style="3" customWidth="1"/>
    <col min="13063" max="13063" width="14" style="3" customWidth="1"/>
    <col min="13064" max="13064" width="7.42578125" style="3" customWidth="1"/>
    <col min="13065" max="13312" width="11.42578125" style="3"/>
    <col min="13313" max="13313" width="15.85546875" style="3" customWidth="1"/>
    <col min="13314" max="13314" width="14.85546875" style="3" customWidth="1"/>
    <col min="13315" max="13315" width="13.28515625" style="3" customWidth="1"/>
    <col min="13316" max="13316" width="11.42578125" style="3"/>
    <col min="13317" max="13317" width="13.42578125" style="3" customWidth="1"/>
    <col min="13318" max="13318" width="12.7109375" style="3" customWidth="1"/>
    <col min="13319" max="13319" width="14" style="3" customWidth="1"/>
    <col min="13320" max="13320" width="7.42578125" style="3" customWidth="1"/>
    <col min="13321" max="13568" width="11.42578125" style="3"/>
    <col min="13569" max="13569" width="15.85546875" style="3" customWidth="1"/>
    <col min="13570" max="13570" width="14.85546875" style="3" customWidth="1"/>
    <col min="13571" max="13571" width="13.28515625" style="3" customWidth="1"/>
    <col min="13572" max="13572" width="11.42578125" style="3"/>
    <col min="13573" max="13573" width="13.42578125" style="3" customWidth="1"/>
    <col min="13574" max="13574" width="12.7109375" style="3" customWidth="1"/>
    <col min="13575" max="13575" width="14" style="3" customWidth="1"/>
    <col min="13576" max="13576" width="7.42578125" style="3" customWidth="1"/>
    <col min="13577" max="13824" width="11.42578125" style="3"/>
    <col min="13825" max="13825" width="15.85546875" style="3" customWidth="1"/>
    <col min="13826" max="13826" width="14.85546875" style="3" customWidth="1"/>
    <col min="13827" max="13827" width="13.28515625" style="3" customWidth="1"/>
    <col min="13828" max="13828" width="11.42578125" style="3"/>
    <col min="13829" max="13829" width="13.42578125" style="3" customWidth="1"/>
    <col min="13830" max="13830" width="12.7109375" style="3" customWidth="1"/>
    <col min="13831" max="13831" width="14" style="3" customWidth="1"/>
    <col min="13832" max="13832" width="7.42578125" style="3" customWidth="1"/>
    <col min="13833" max="14080" width="11.42578125" style="3"/>
    <col min="14081" max="14081" width="15.85546875" style="3" customWidth="1"/>
    <col min="14082" max="14082" width="14.85546875" style="3" customWidth="1"/>
    <col min="14083" max="14083" width="13.28515625" style="3" customWidth="1"/>
    <col min="14084" max="14084" width="11.42578125" style="3"/>
    <col min="14085" max="14085" width="13.42578125" style="3" customWidth="1"/>
    <col min="14086" max="14086" width="12.7109375" style="3" customWidth="1"/>
    <col min="14087" max="14087" width="14" style="3" customWidth="1"/>
    <col min="14088" max="14088" width="7.42578125" style="3" customWidth="1"/>
    <col min="14089" max="14336" width="11.42578125" style="3"/>
    <col min="14337" max="14337" width="15.85546875" style="3" customWidth="1"/>
    <col min="14338" max="14338" width="14.85546875" style="3" customWidth="1"/>
    <col min="14339" max="14339" width="13.28515625" style="3" customWidth="1"/>
    <col min="14340" max="14340" width="11.42578125" style="3"/>
    <col min="14341" max="14341" width="13.42578125" style="3" customWidth="1"/>
    <col min="14342" max="14342" width="12.7109375" style="3" customWidth="1"/>
    <col min="14343" max="14343" width="14" style="3" customWidth="1"/>
    <col min="14344" max="14344" width="7.42578125" style="3" customWidth="1"/>
    <col min="14345" max="14592" width="11.42578125" style="3"/>
    <col min="14593" max="14593" width="15.85546875" style="3" customWidth="1"/>
    <col min="14594" max="14594" width="14.85546875" style="3" customWidth="1"/>
    <col min="14595" max="14595" width="13.28515625" style="3" customWidth="1"/>
    <col min="14596" max="14596" width="11.42578125" style="3"/>
    <col min="14597" max="14597" width="13.42578125" style="3" customWidth="1"/>
    <col min="14598" max="14598" width="12.7109375" style="3" customWidth="1"/>
    <col min="14599" max="14599" width="14" style="3" customWidth="1"/>
    <col min="14600" max="14600" width="7.42578125" style="3" customWidth="1"/>
    <col min="14601" max="14848" width="11.42578125" style="3"/>
    <col min="14849" max="14849" width="15.85546875" style="3" customWidth="1"/>
    <col min="14850" max="14850" width="14.85546875" style="3" customWidth="1"/>
    <col min="14851" max="14851" width="13.28515625" style="3" customWidth="1"/>
    <col min="14852" max="14852" width="11.42578125" style="3"/>
    <col min="14853" max="14853" width="13.42578125" style="3" customWidth="1"/>
    <col min="14854" max="14854" width="12.7109375" style="3" customWidth="1"/>
    <col min="14855" max="14855" width="14" style="3" customWidth="1"/>
    <col min="14856" max="14856" width="7.42578125" style="3" customWidth="1"/>
    <col min="14857" max="15104" width="11.42578125" style="3"/>
    <col min="15105" max="15105" width="15.85546875" style="3" customWidth="1"/>
    <col min="15106" max="15106" width="14.85546875" style="3" customWidth="1"/>
    <col min="15107" max="15107" width="13.28515625" style="3" customWidth="1"/>
    <col min="15108" max="15108" width="11.42578125" style="3"/>
    <col min="15109" max="15109" width="13.42578125" style="3" customWidth="1"/>
    <col min="15110" max="15110" width="12.7109375" style="3" customWidth="1"/>
    <col min="15111" max="15111" width="14" style="3" customWidth="1"/>
    <col min="15112" max="15112" width="7.42578125" style="3" customWidth="1"/>
    <col min="15113" max="15360" width="11.42578125" style="3"/>
    <col min="15361" max="15361" width="15.85546875" style="3" customWidth="1"/>
    <col min="15362" max="15362" width="14.85546875" style="3" customWidth="1"/>
    <col min="15363" max="15363" width="13.28515625" style="3" customWidth="1"/>
    <col min="15364" max="15364" width="11.42578125" style="3"/>
    <col min="15365" max="15365" width="13.42578125" style="3" customWidth="1"/>
    <col min="15366" max="15366" width="12.7109375" style="3" customWidth="1"/>
    <col min="15367" max="15367" width="14" style="3" customWidth="1"/>
    <col min="15368" max="15368" width="7.42578125" style="3" customWidth="1"/>
    <col min="15369" max="15616" width="11.42578125" style="3"/>
    <col min="15617" max="15617" width="15.85546875" style="3" customWidth="1"/>
    <col min="15618" max="15618" width="14.85546875" style="3" customWidth="1"/>
    <col min="15619" max="15619" width="13.28515625" style="3" customWidth="1"/>
    <col min="15620" max="15620" width="11.42578125" style="3"/>
    <col min="15621" max="15621" width="13.42578125" style="3" customWidth="1"/>
    <col min="15622" max="15622" width="12.7109375" style="3" customWidth="1"/>
    <col min="15623" max="15623" width="14" style="3" customWidth="1"/>
    <col min="15624" max="15624" width="7.42578125" style="3" customWidth="1"/>
    <col min="15625" max="15872" width="11.42578125" style="3"/>
    <col min="15873" max="15873" width="15.85546875" style="3" customWidth="1"/>
    <col min="15874" max="15874" width="14.85546875" style="3" customWidth="1"/>
    <col min="15875" max="15875" width="13.28515625" style="3" customWidth="1"/>
    <col min="15876" max="15876" width="11.42578125" style="3"/>
    <col min="15877" max="15877" width="13.42578125" style="3" customWidth="1"/>
    <col min="15878" max="15878" width="12.7109375" style="3" customWidth="1"/>
    <col min="15879" max="15879" width="14" style="3" customWidth="1"/>
    <col min="15880" max="15880" width="7.42578125" style="3" customWidth="1"/>
    <col min="15881" max="16128" width="11.42578125" style="3"/>
    <col min="16129" max="16129" width="15.85546875" style="3" customWidth="1"/>
    <col min="16130" max="16130" width="14.85546875" style="3" customWidth="1"/>
    <col min="16131" max="16131" width="13.28515625" style="3" customWidth="1"/>
    <col min="16132" max="16132" width="11.42578125" style="3"/>
    <col min="16133" max="16133" width="13.42578125" style="3" customWidth="1"/>
    <col min="16134" max="16134" width="12.7109375" style="3" customWidth="1"/>
    <col min="16135" max="16135" width="14" style="3" customWidth="1"/>
    <col min="16136" max="16136" width="7.42578125" style="3" customWidth="1"/>
    <col min="16137" max="16384" width="11.42578125" style="3"/>
  </cols>
  <sheetData>
    <row r="1" spans="1:21" ht="48" customHeight="1">
      <c r="A1" s="1346" t="str">
        <f>PPTO!D3</f>
        <v>PRESUPUESTO
MUNICIPIO EL BAGRE (ANTIOQUIA).</v>
      </c>
      <c r="B1" s="1347"/>
      <c r="C1" s="1347"/>
      <c r="D1" s="1347"/>
      <c r="E1" s="1347"/>
      <c r="F1" s="1347"/>
      <c r="G1" s="1348"/>
      <c r="H1" s="1"/>
      <c r="I1" s="2"/>
    </row>
    <row r="2" spans="1:21" ht="18" customHeight="1">
      <c r="A2" s="1362" t="s">
        <v>16</v>
      </c>
      <c r="B2" s="1363"/>
      <c r="C2" s="1363"/>
      <c r="D2" s="1363"/>
      <c r="E2" s="1363"/>
      <c r="F2" s="1363"/>
      <c r="G2" s="1364"/>
      <c r="H2" s="1"/>
      <c r="I2" s="2"/>
    </row>
    <row r="3" spans="1:21" ht="27.75" customHeight="1">
      <c r="A3" s="1367" t="str">
        <f>+PPTO!$D$5</f>
        <v>PROYECTO DE MEJORAMIENTO VIAL, ESPACIO PUBLICO Y OBRAS COMPLEMENTARIAS DE LA AVENIDA LA JUVENTUD Y TRAMOS ADYACENTES Y PRIORITARIOS DEL SECTOR URBANO EN EL MUNICIPIO EL BAGRE ANTIOQUIA.</v>
      </c>
      <c r="B3" s="1368"/>
      <c r="C3" s="1368"/>
      <c r="D3" s="1368"/>
      <c r="E3" s="1368"/>
      <c r="F3" s="1368"/>
      <c r="G3" s="1369"/>
      <c r="H3" s="1"/>
      <c r="I3" s="2"/>
    </row>
    <row r="4" spans="1:21" ht="30" customHeight="1">
      <c r="A4" s="1370"/>
      <c r="B4" s="1368"/>
      <c r="C4" s="1368"/>
      <c r="D4" s="1368"/>
      <c r="E4" s="1368"/>
      <c r="F4" s="1368"/>
      <c r="G4" s="1369"/>
      <c r="H4" s="1"/>
      <c r="I4" s="2"/>
    </row>
    <row r="5" spans="1:21" ht="6.75" customHeight="1">
      <c r="A5" s="222"/>
      <c r="B5" s="6"/>
      <c r="C5" s="24"/>
      <c r="D5" s="25"/>
      <c r="E5" s="6"/>
      <c r="F5" s="6"/>
      <c r="G5" s="223"/>
      <c r="H5" s="9"/>
    </row>
    <row r="6" spans="1:21" ht="52.5" customHeight="1">
      <c r="A6" s="368">
        <v>4.9000000000000004</v>
      </c>
      <c r="B6" s="1349" t="str">
        <f>VLOOKUP(A6,PPTO!D10:I137,2,FALSE)</f>
        <v xml:space="preserve">Acero de refuerzo 60000 psi </v>
      </c>
      <c r="C6" s="1350"/>
      <c r="D6" s="1350"/>
      <c r="E6" s="1351"/>
      <c r="F6" s="192" t="s">
        <v>118</v>
      </c>
      <c r="G6" s="248" t="str">
        <f>VLOOKUP(A6,PPTO!D10:I137,3,FALSE)</f>
        <v>kg</v>
      </c>
      <c r="H6" s="9"/>
    </row>
    <row r="7" spans="1:21" ht="3.75" customHeight="1">
      <c r="A7" s="226"/>
      <c r="B7" s="4"/>
      <c r="C7" s="6"/>
      <c r="D7" s="4"/>
      <c r="E7" s="4"/>
      <c r="F7" s="4"/>
      <c r="G7" s="227"/>
      <c r="H7" s="9"/>
    </row>
    <row r="8" spans="1:21" ht="22.5" customHeight="1">
      <c r="A8" s="1354" t="s">
        <v>69</v>
      </c>
      <c r="B8" s="1355"/>
      <c r="C8" s="1355"/>
      <c r="D8" s="1355"/>
      <c r="E8" s="1355"/>
      <c r="F8" s="1355"/>
      <c r="G8" s="1356"/>
      <c r="H8" s="9"/>
    </row>
    <row r="9" spans="1:21" ht="4.5" customHeight="1">
      <c r="A9" s="226"/>
      <c r="B9" s="4"/>
      <c r="C9" s="6"/>
      <c r="D9" s="4"/>
      <c r="E9" s="4"/>
      <c r="F9" s="4"/>
      <c r="G9" s="227"/>
      <c r="H9" s="9"/>
      <c r="I9" s="5"/>
      <c r="J9" s="5"/>
      <c r="K9" s="5"/>
      <c r="L9" s="26"/>
      <c r="M9" s="5"/>
      <c r="N9" s="5"/>
      <c r="O9" s="5"/>
      <c r="P9" s="5"/>
    </row>
    <row r="10" spans="1:21">
      <c r="A10" s="1373" t="s">
        <v>17</v>
      </c>
      <c r="B10" s="1374"/>
      <c r="C10" s="1374"/>
      <c r="D10" s="220" t="s">
        <v>18</v>
      </c>
      <c r="E10" s="220" t="s">
        <v>19</v>
      </c>
      <c r="F10" s="220" t="s">
        <v>20</v>
      </c>
      <c r="G10" s="228" t="s">
        <v>21</v>
      </c>
      <c r="H10" s="27"/>
      <c r="I10" s="28"/>
      <c r="J10" s="29"/>
      <c r="K10" s="30"/>
      <c r="L10" s="30"/>
      <c r="M10" s="30"/>
      <c r="N10" s="30"/>
      <c r="O10" s="30"/>
      <c r="P10" s="5"/>
    </row>
    <row r="11" spans="1:21">
      <c r="A11" s="1352" t="s">
        <v>75</v>
      </c>
      <c r="B11" s="1353"/>
      <c r="C11" s="1353"/>
      <c r="D11" s="220"/>
      <c r="E11" s="83"/>
      <c r="F11" s="97"/>
      <c r="G11" s="229">
        <f>+G39*5%</f>
        <v>40</v>
      </c>
      <c r="H11" s="9"/>
      <c r="I11" s="30"/>
      <c r="J11" s="31"/>
      <c r="K11" s="30"/>
      <c r="L11" s="30"/>
      <c r="M11" s="30"/>
      <c r="N11" s="30"/>
      <c r="O11" s="30"/>
      <c r="P11" s="5"/>
    </row>
    <row r="12" spans="1:21">
      <c r="A12" s="1371"/>
      <c r="B12" s="1372"/>
      <c r="C12" s="1372"/>
      <c r="D12" s="83"/>
      <c r="E12" s="83"/>
      <c r="F12" s="98"/>
      <c r="G12" s="229"/>
      <c r="H12" s="9"/>
      <c r="I12" s="16"/>
      <c r="J12" s="13"/>
      <c r="K12" s="8"/>
      <c r="L12" s="8"/>
      <c r="M12" s="8"/>
      <c r="N12" s="8"/>
      <c r="O12" s="8"/>
      <c r="P12" s="5"/>
    </row>
    <row r="13" spans="1:21">
      <c r="A13" s="1371"/>
      <c r="B13" s="1372"/>
      <c r="C13" s="1372"/>
      <c r="D13" s="83"/>
      <c r="E13" s="83"/>
      <c r="F13" s="93"/>
      <c r="G13" s="229"/>
      <c r="H13" s="9"/>
      <c r="I13" s="13"/>
      <c r="J13" s="13"/>
      <c r="K13" s="13"/>
      <c r="L13" s="13"/>
      <c r="M13" s="13"/>
      <c r="N13" s="13"/>
      <c r="O13" s="13"/>
      <c r="P13" s="5"/>
    </row>
    <row r="14" spans="1:21">
      <c r="A14" s="1371"/>
      <c r="B14" s="1372"/>
      <c r="C14" s="1372"/>
      <c r="D14" s="83"/>
      <c r="E14" s="83"/>
      <c r="F14" s="97"/>
      <c r="G14" s="229"/>
      <c r="H14" s="9"/>
      <c r="I14" s="8"/>
      <c r="J14" s="14"/>
      <c r="K14" s="32"/>
      <c r="L14" s="14"/>
      <c r="M14" s="15"/>
      <c r="N14" s="15"/>
      <c r="O14" s="19"/>
      <c r="P14" s="5"/>
    </row>
    <row r="15" spans="1:21">
      <c r="A15" s="1371"/>
      <c r="B15" s="1372"/>
      <c r="C15" s="1372"/>
      <c r="D15" s="83"/>
      <c r="E15" s="83"/>
      <c r="F15" s="98"/>
      <c r="G15" s="229"/>
      <c r="H15" s="9"/>
      <c r="I15" s="8"/>
      <c r="J15" s="33"/>
      <c r="K15" s="32"/>
      <c r="L15" s="14"/>
      <c r="M15" s="15"/>
      <c r="N15" s="15"/>
      <c r="O15" s="19"/>
      <c r="P15" s="5"/>
      <c r="Q15" s="5"/>
      <c r="R15" s="5"/>
      <c r="S15" s="5"/>
      <c r="T15" s="5"/>
      <c r="U15" s="5"/>
    </row>
    <row r="16" spans="1:21">
      <c r="A16" s="1371"/>
      <c r="B16" s="1372"/>
      <c r="C16" s="1372"/>
      <c r="D16" s="85" t="s">
        <v>37</v>
      </c>
      <c r="E16" s="50"/>
      <c r="F16" s="49"/>
      <c r="G16" s="230">
        <f>SUM(G11:G15)</f>
        <v>40</v>
      </c>
      <c r="H16" s="9"/>
      <c r="I16" s="34"/>
      <c r="J16" s="34"/>
      <c r="K16" s="35"/>
      <c r="L16" s="36"/>
      <c r="M16" s="7"/>
      <c r="N16" s="7"/>
      <c r="O16" s="19"/>
      <c r="P16" s="5"/>
      <c r="Q16" s="5"/>
      <c r="R16" s="5"/>
      <c r="S16" s="5"/>
      <c r="T16" s="5"/>
      <c r="U16" s="5"/>
    </row>
    <row r="17" spans="1:21" ht="4.5" customHeight="1">
      <c r="A17" s="226"/>
      <c r="B17" s="4"/>
      <c r="C17" s="6"/>
      <c r="D17" s="4"/>
      <c r="E17" s="4"/>
      <c r="F17" s="4"/>
      <c r="G17" s="227"/>
      <c r="H17" s="9"/>
      <c r="I17" s="34"/>
      <c r="J17" s="34"/>
      <c r="K17" s="35"/>
      <c r="L17" s="36"/>
      <c r="M17" s="7"/>
      <c r="N17" s="7"/>
      <c r="O17" s="19"/>
      <c r="P17" s="5"/>
      <c r="Q17" s="5"/>
      <c r="R17" s="5"/>
      <c r="S17" s="5"/>
      <c r="T17" s="5"/>
      <c r="U17" s="5"/>
    </row>
    <row r="18" spans="1:21" ht="22.5" customHeight="1">
      <c r="A18" s="1354" t="s">
        <v>70</v>
      </c>
      <c r="B18" s="1355"/>
      <c r="C18" s="1355"/>
      <c r="D18" s="1355"/>
      <c r="E18" s="1355"/>
      <c r="F18" s="1355"/>
      <c r="G18" s="1356"/>
      <c r="H18" s="9"/>
    </row>
    <row r="19" spans="1:21" ht="4.5" customHeight="1">
      <c r="A19" s="226"/>
      <c r="B19" s="4"/>
      <c r="C19" s="6"/>
      <c r="D19" s="4"/>
      <c r="E19" s="4"/>
      <c r="F19" s="38"/>
      <c r="G19" s="227"/>
      <c r="H19" s="9"/>
      <c r="I19" s="34"/>
      <c r="J19" s="34"/>
      <c r="K19" s="35"/>
      <c r="L19" s="39"/>
      <c r="M19" s="7"/>
      <c r="N19" s="7"/>
      <c r="O19" s="8"/>
      <c r="P19" s="5"/>
      <c r="Q19" s="5"/>
      <c r="R19" s="5"/>
      <c r="S19" s="5"/>
      <c r="T19" s="5"/>
      <c r="U19" s="5"/>
    </row>
    <row r="20" spans="1:21">
      <c r="A20" s="1373" t="s">
        <v>17</v>
      </c>
      <c r="B20" s="1374"/>
      <c r="C20" s="1374"/>
      <c r="D20" s="220" t="s">
        <v>3</v>
      </c>
      <c r="E20" s="220" t="s">
        <v>4</v>
      </c>
      <c r="F20" s="220" t="s">
        <v>25</v>
      </c>
      <c r="G20" s="228" t="s">
        <v>21</v>
      </c>
      <c r="H20" s="27"/>
      <c r="I20" s="34"/>
      <c r="J20" s="34"/>
      <c r="K20" s="35"/>
      <c r="L20" s="39"/>
      <c r="M20" s="7"/>
      <c r="N20" s="7"/>
      <c r="O20" s="8"/>
      <c r="P20" s="5"/>
      <c r="Q20" s="5"/>
      <c r="R20" s="5"/>
      <c r="S20" s="5"/>
      <c r="T20" s="5"/>
      <c r="U20" s="5"/>
    </row>
    <row r="21" spans="1:21">
      <c r="A21" s="1382" t="s">
        <v>52</v>
      </c>
      <c r="B21" s="1383"/>
      <c r="C21" s="1383"/>
      <c r="D21" s="79" t="s">
        <v>53</v>
      </c>
      <c r="E21" s="82">
        <v>1</v>
      </c>
      <c r="F21" s="87">
        <f>PPTO!I144</f>
        <v>6000</v>
      </c>
      <c r="G21" s="231">
        <f>ROUND(F21*E21,0)</f>
        <v>6000</v>
      </c>
      <c r="H21" s="9"/>
      <c r="I21" s="34"/>
      <c r="J21" s="34"/>
      <c r="K21" s="35"/>
      <c r="L21" s="39"/>
      <c r="M21" s="7"/>
      <c r="N21" s="7"/>
      <c r="O21" s="13"/>
      <c r="P21" s="5"/>
      <c r="Q21" s="5"/>
      <c r="R21" s="5"/>
      <c r="S21" s="5"/>
      <c r="T21" s="5"/>
      <c r="U21" s="5"/>
    </row>
    <row r="22" spans="1:21">
      <c r="A22" s="1382" t="s">
        <v>54</v>
      </c>
      <c r="B22" s="1383"/>
      <c r="C22" s="1383"/>
      <c r="D22" s="81" t="s">
        <v>53</v>
      </c>
      <c r="E22" s="82">
        <f>1/50</f>
        <v>0.02</v>
      </c>
      <c r="F22" s="78">
        <v>5500</v>
      </c>
      <c r="G22" s="231">
        <f>ROUND(F22*E22,0)</f>
        <v>110</v>
      </c>
      <c r="H22" s="9"/>
      <c r="I22" s="10"/>
      <c r="J22" s="10"/>
      <c r="K22" s="12"/>
      <c r="L22" s="39"/>
      <c r="M22" s="7"/>
      <c r="N22" s="7"/>
      <c r="O22" s="15"/>
      <c r="P22" s="5"/>
      <c r="Q22" s="5"/>
      <c r="R22" s="5"/>
      <c r="S22" s="5"/>
      <c r="T22" s="5"/>
      <c r="U22" s="5"/>
    </row>
    <row r="23" spans="1:21">
      <c r="A23" s="1352"/>
      <c r="B23" s="1353"/>
      <c r="C23" s="1353"/>
      <c r="D23" s="79"/>
      <c r="E23" s="82"/>
      <c r="F23" s="78"/>
      <c r="G23" s="231"/>
      <c r="H23" s="9"/>
      <c r="I23" s="10"/>
      <c r="J23" s="10"/>
      <c r="K23" s="12"/>
      <c r="L23" s="39"/>
      <c r="M23" s="7"/>
      <c r="N23" s="7"/>
      <c r="O23" s="15"/>
      <c r="P23" s="5"/>
      <c r="Q23" s="5"/>
      <c r="R23" s="5"/>
      <c r="S23" s="5"/>
      <c r="T23" s="5"/>
      <c r="U23" s="5"/>
    </row>
    <row r="24" spans="1:21">
      <c r="A24" s="1352"/>
      <c r="B24" s="1353"/>
      <c r="C24" s="1353"/>
      <c r="D24" s="81"/>
      <c r="E24" s="89"/>
      <c r="F24" s="78"/>
      <c r="G24" s="231"/>
      <c r="H24" s="9"/>
      <c r="I24" s="10"/>
      <c r="J24" s="40"/>
      <c r="K24" s="12"/>
      <c r="L24" s="13"/>
      <c r="M24" s="14"/>
      <c r="N24" s="14"/>
      <c r="O24" s="15"/>
      <c r="P24" s="5"/>
      <c r="Q24" s="5"/>
      <c r="R24" s="5"/>
      <c r="S24" s="5"/>
      <c r="T24" s="5"/>
      <c r="U24" s="5"/>
    </row>
    <row r="25" spans="1:21">
      <c r="A25" s="1352"/>
      <c r="B25" s="1353"/>
      <c r="C25" s="1353"/>
      <c r="D25" s="81"/>
      <c r="E25" s="82"/>
      <c r="F25" s="83"/>
      <c r="G25" s="231"/>
      <c r="H25" s="9"/>
      <c r="I25" s="10"/>
      <c r="J25" s="11"/>
      <c r="K25" s="12"/>
      <c r="L25" s="13"/>
      <c r="M25" s="14"/>
      <c r="N25" s="14"/>
      <c r="O25" s="15"/>
      <c r="P25" s="5"/>
      <c r="Q25" s="5"/>
      <c r="R25" s="5"/>
      <c r="S25" s="5"/>
      <c r="T25" s="5"/>
      <c r="U25" s="5"/>
    </row>
    <row r="26" spans="1:21">
      <c r="A26" s="1352"/>
      <c r="B26" s="1353"/>
      <c r="C26" s="1353"/>
      <c r="D26" s="79"/>
      <c r="E26" s="82"/>
      <c r="F26" s="83"/>
      <c r="G26" s="231"/>
      <c r="H26" s="9"/>
      <c r="I26" s="10"/>
      <c r="J26" s="11"/>
      <c r="K26" s="12"/>
      <c r="L26" s="13"/>
      <c r="M26" s="14"/>
      <c r="N26" s="14"/>
      <c r="O26" s="15"/>
      <c r="P26" s="5"/>
      <c r="Q26" s="5"/>
      <c r="R26" s="5"/>
      <c r="S26" s="5"/>
      <c r="T26" s="5"/>
      <c r="U26" s="5"/>
    </row>
    <row r="27" spans="1:21">
      <c r="A27" s="1352"/>
      <c r="B27" s="1353"/>
      <c r="C27" s="1353" t="s">
        <v>50</v>
      </c>
      <c r="D27" s="79"/>
      <c r="E27" s="82"/>
      <c r="F27" s="83"/>
      <c r="G27" s="231">
        <f>+(G21+G22)*5%</f>
        <v>306</v>
      </c>
      <c r="H27" s="9"/>
      <c r="I27" s="10"/>
      <c r="J27" s="11"/>
      <c r="K27" s="12"/>
      <c r="L27" s="13"/>
      <c r="M27" s="14"/>
      <c r="N27" s="14"/>
      <c r="O27" s="15"/>
      <c r="P27" s="5"/>
      <c r="Q27" s="5"/>
      <c r="R27" s="5"/>
      <c r="S27" s="5"/>
      <c r="T27" s="5"/>
      <c r="U27" s="5"/>
    </row>
    <row r="28" spans="1:21">
      <c r="A28" s="1352"/>
      <c r="B28" s="1353"/>
      <c r="C28" s="1353"/>
      <c r="D28" s="79"/>
      <c r="E28" s="82"/>
      <c r="F28" s="83"/>
      <c r="G28" s="231"/>
      <c r="H28" s="9"/>
      <c r="I28" s="41"/>
      <c r="J28" s="41"/>
      <c r="K28" s="12"/>
      <c r="L28" s="13"/>
      <c r="M28" s="14"/>
      <c r="N28" s="14"/>
      <c r="O28" s="15"/>
      <c r="P28" s="5"/>
      <c r="Q28" s="5"/>
      <c r="R28" s="5"/>
      <c r="S28" s="5"/>
      <c r="T28" s="5"/>
      <c r="U28" s="5"/>
    </row>
    <row r="29" spans="1:21">
      <c r="A29" s="1352"/>
      <c r="B29" s="1353"/>
      <c r="C29" s="1353"/>
      <c r="D29" s="84"/>
      <c r="E29" s="84"/>
      <c r="F29" s="83"/>
      <c r="G29" s="231"/>
      <c r="H29" s="9"/>
      <c r="I29" s="42"/>
      <c r="J29" s="42"/>
      <c r="K29" s="42"/>
      <c r="L29" s="13"/>
      <c r="M29" s="14"/>
      <c r="N29" s="14"/>
      <c r="O29" s="15"/>
      <c r="P29" s="5"/>
      <c r="Q29" s="5"/>
      <c r="R29" s="5"/>
      <c r="S29" s="5"/>
      <c r="T29" s="5"/>
      <c r="U29" s="5"/>
    </row>
    <row r="30" spans="1:21">
      <c r="A30" s="1352"/>
      <c r="B30" s="1353"/>
      <c r="C30" s="1353"/>
      <c r="D30" s="85" t="s">
        <v>28</v>
      </c>
      <c r="E30" s="50"/>
      <c r="F30" s="49"/>
      <c r="G30" s="230">
        <f>SUM(G21:G29)</f>
        <v>6416</v>
      </c>
      <c r="H30" s="9"/>
      <c r="I30" s="8"/>
      <c r="J30" s="13"/>
      <c r="K30" s="8"/>
      <c r="L30" s="13"/>
      <c r="M30" s="14"/>
      <c r="N30" s="14"/>
      <c r="O30" s="15"/>
      <c r="P30" s="5"/>
    </row>
    <row r="31" spans="1:21" ht="3.75" customHeight="1">
      <c r="A31" s="226"/>
      <c r="B31" s="4"/>
      <c r="C31" s="6"/>
      <c r="D31" s="4"/>
      <c r="E31" s="4"/>
      <c r="F31" s="4"/>
      <c r="G31" s="227"/>
      <c r="H31" s="9"/>
      <c r="I31" s="8"/>
      <c r="J31" s="13"/>
      <c r="K31" s="18"/>
      <c r="L31" s="13"/>
      <c r="M31" s="33"/>
      <c r="N31" s="33"/>
      <c r="O31" s="15"/>
      <c r="P31" s="5"/>
    </row>
    <row r="32" spans="1:21" ht="22.5" customHeight="1">
      <c r="A32" s="1354" t="s">
        <v>71</v>
      </c>
      <c r="B32" s="1355"/>
      <c r="C32" s="1355"/>
      <c r="D32" s="1355"/>
      <c r="E32" s="1355"/>
      <c r="F32" s="1355"/>
      <c r="G32" s="1356"/>
      <c r="H32" s="9"/>
    </row>
    <row r="33" spans="1:16" ht="3.75" customHeight="1">
      <c r="A33" s="226"/>
      <c r="B33" s="4"/>
      <c r="C33" s="6"/>
      <c r="D33" s="4"/>
      <c r="E33" s="4"/>
      <c r="F33" s="4"/>
      <c r="G33" s="227"/>
      <c r="H33" s="9"/>
      <c r="I33" s="8"/>
      <c r="J33" s="13"/>
      <c r="K33" s="8"/>
      <c r="L33" s="8"/>
      <c r="M33" s="8"/>
      <c r="N33" s="8"/>
      <c r="O33" s="15"/>
      <c r="P33" s="5"/>
    </row>
    <row r="34" spans="1:16">
      <c r="A34" s="232" t="s">
        <v>5</v>
      </c>
      <c r="B34" s="60" t="s">
        <v>29</v>
      </c>
      <c r="C34" s="60" t="s">
        <v>30</v>
      </c>
      <c r="D34" s="60" t="s">
        <v>31</v>
      </c>
      <c r="E34" s="60" t="s">
        <v>32</v>
      </c>
      <c r="F34" s="60" t="s">
        <v>20</v>
      </c>
      <c r="G34" s="228" t="s">
        <v>33</v>
      </c>
      <c r="H34" s="27"/>
      <c r="I34" s="8"/>
      <c r="J34" s="13"/>
      <c r="K34" s="8"/>
      <c r="L34" s="8"/>
      <c r="M34" s="8"/>
      <c r="N34" s="8"/>
      <c r="O34" s="15"/>
      <c r="P34" s="5"/>
    </row>
    <row r="35" spans="1:16">
      <c r="A35" s="233" t="s">
        <v>41</v>
      </c>
      <c r="B35" s="63">
        <f>BOF</f>
        <v>51749</v>
      </c>
      <c r="C35" s="68">
        <f>ffpp</f>
        <v>0.64539999999999997</v>
      </c>
      <c r="D35" s="72">
        <v>1</v>
      </c>
      <c r="E35" s="66">
        <f>OF</f>
        <v>88696</v>
      </c>
      <c r="F35" s="69">
        <v>200</v>
      </c>
      <c r="G35" s="231">
        <f>ROUND(+D35*E35/F35,0)</f>
        <v>443</v>
      </c>
      <c r="H35" s="9"/>
      <c r="I35" s="16"/>
      <c r="J35" s="13"/>
      <c r="K35" s="8"/>
      <c r="L35" s="8"/>
      <c r="M35" s="8"/>
      <c r="N35" s="8"/>
      <c r="O35" s="15"/>
      <c r="P35" s="5"/>
    </row>
    <row r="36" spans="1:16">
      <c r="A36" s="233" t="s">
        <v>38</v>
      </c>
      <c r="B36" s="63">
        <f>BOB</f>
        <v>41749</v>
      </c>
      <c r="C36" s="68">
        <f>ffpp</f>
        <v>0.64539999999999997</v>
      </c>
      <c r="D36" s="72">
        <v>1</v>
      </c>
      <c r="E36" s="66">
        <f>OB</f>
        <v>72242</v>
      </c>
      <c r="F36" s="69">
        <f>+F35</f>
        <v>200</v>
      </c>
      <c r="G36" s="231">
        <f>ROUND(+D36*E36/F36,0)</f>
        <v>361</v>
      </c>
      <c r="H36" s="9"/>
      <c r="I36" s="16"/>
      <c r="J36" s="13"/>
      <c r="K36" s="8"/>
      <c r="L36" s="8"/>
      <c r="M36" s="8"/>
      <c r="N36" s="8"/>
      <c r="O36" s="15"/>
      <c r="P36" s="5"/>
    </row>
    <row r="37" spans="1:16">
      <c r="A37" s="234"/>
      <c r="B37" s="50"/>
      <c r="C37" s="961"/>
      <c r="D37" s="50"/>
      <c r="E37" s="50"/>
      <c r="F37" s="50"/>
      <c r="G37" s="235"/>
      <c r="H37" s="9"/>
      <c r="I37" s="8"/>
      <c r="J37" s="8"/>
      <c r="K37" s="13"/>
      <c r="L37" s="13"/>
      <c r="M37" s="13"/>
      <c r="N37" s="13"/>
      <c r="O37" s="13"/>
      <c r="P37" s="5"/>
    </row>
    <row r="38" spans="1:16">
      <c r="A38" s="233"/>
      <c r="B38" s="65"/>
      <c r="C38" s="68"/>
      <c r="D38" s="65"/>
      <c r="E38" s="69"/>
      <c r="F38" s="69"/>
      <c r="G38" s="236"/>
      <c r="H38" s="9"/>
      <c r="I38" s="8"/>
      <c r="J38" s="13"/>
      <c r="K38" s="13"/>
      <c r="L38" s="13"/>
      <c r="M38" s="33"/>
      <c r="N38" s="33"/>
      <c r="O38" s="43"/>
      <c r="P38" s="5"/>
    </row>
    <row r="39" spans="1:16">
      <c r="A39" s="249"/>
      <c r="B39" s="71"/>
      <c r="C39" s="71"/>
      <c r="D39" s="71" t="s">
        <v>34</v>
      </c>
      <c r="E39" s="71"/>
      <c r="F39" s="71"/>
      <c r="G39" s="250">
        <f>SUM(G35:G38)</f>
        <v>804</v>
      </c>
      <c r="H39" s="9"/>
      <c r="I39" s="8"/>
      <c r="J39" s="13"/>
      <c r="K39" s="13"/>
      <c r="L39" s="13"/>
      <c r="M39" s="14"/>
      <c r="N39" s="14"/>
      <c r="O39" s="15"/>
      <c r="P39" s="5"/>
    </row>
    <row r="40" spans="1:16">
      <c r="A40" s="226"/>
      <c r="B40" s="4"/>
      <c r="C40" s="6"/>
      <c r="D40" s="4"/>
      <c r="E40" s="4"/>
      <c r="F40" s="4"/>
      <c r="G40" s="227"/>
      <c r="H40" s="9"/>
      <c r="I40" s="8"/>
      <c r="J40" s="13"/>
      <c r="K40" s="13"/>
      <c r="L40" s="13"/>
      <c r="M40" s="14"/>
      <c r="N40" s="14"/>
      <c r="O40" s="19"/>
      <c r="P40" s="5"/>
    </row>
    <row r="41" spans="1:16">
      <c r="A41" s="226"/>
      <c r="B41" s="4"/>
      <c r="C41" s="6"/>
      <c r="D41" s="4"/>
      <c r="E41" s="4"/>
      <c r="F41" s="4"/>
      <c r="G41" s="227"/>
      <c r="H41" s="9"/>
      <c r="I41" s="8"/>
      <c r="J41" s="13"/>
      <c r="K41" s="13"/>
      <c r="L41" s="13"/>
      <c r="M41" s="17"/>
      <c r="N41" s="17"/>
      <c r="O41" s="37"/>
      <c r="P41" s="5"/>
    </row>
    <row r="42" spans="1:16" ht="14.25">
      <c r="A42" s="226"/>
      <c r="B42" s="4"/>
      <c r="C42" s="6"/>
      <c r="D42" s="1357" t="s">
        <v>35</v>
      </c>
      <c r="E42" s="1358"/>
      <c r="F42" s="1359"/>
      <c r="G42" s="239">
        <f>+G39+G30+G16</f>
        <v>7260</v>
      </c>
      <c r="H42" s="9"/>
      <c r="I42" s="8"/>
      <c r="J42" s="13"/>
      <c r="K42" s="8"/>
      <c r="L42" s="8"/>
      <c r="M42" s="8"/>
      <c r="N42" s="8"/>
      <c r="O42" s="8"/>
      <c r="P42" s="5"/>
    </row>
    <row r="43" spans="1:16" ht="14.25">
      <c r="A43" s="240"/>
      <c r="B43" s="57"/>
      <c r="C43" s="58"/>
      <c r="D43" s="99"/>
      <c r="E43" s="99"/>
      <c r="F43" s="99"/>
      <c r="G43" s="251"/>
      <c r="H43" s="9"/>
      <c r="I43" s="8"/>
      <c r="J43" s="13"/>
      <c r="K43" s="8"/>
      <c r="L43" s="8"/>
      <c r="M43" s="8"/>
      <c r="N43" s="8"/>
      <c r="O43" s="8"/>
      <c r="P43" s="5"/>
    </row>
    <row r="44" spans="1:16" ht="14.25">
      <c r="A44" s="374"/>
      <c r="B44" s="375"/>
      <c r="C44" s="375"/>
      <c r="D44" s="99"/>
      <c r="E44" s="99"/>
      <c r="F44" s="99"/>
      <c r="G44" s="251"/>
      <c r="H44" s="9"/>
      <c r="I44" s="8"/>
      <c r="J44" s="13"/>
      <c r="K44" s="8"/>
      <c r="L44" s="8"/>
      <c r="M44" s="8"/>
      <c r="N44" s="8"/>
      <c r="O44" s="8"/>
      <c r="P44" s="5"/>
    </row>
    <row r="45" spans="1:16" ht="14.25">
      <c r="A45" s="373"/>
      <c r="B45" s="376"/>
      <c r="C45" s="376"/>
      <c r="D45" s="99"/>
      <c r="E45" s="99"/>
      <c r="F45" s="99"/>
      <c r="G45" s="251"/>
      <c r="H45" s="9"/>
      <c r="I45" s="8"/>
      <c r="J45" s="13"/>
      <c r="K45" s="8"/>
      <c r="L45" s="8"/>
      <c r="M45" s="8"/>
      <c r="N45" s="8"/>
      <c r="O45" s="8"/>
      <c r="P45" s="5"/>
    </row>
    <row r="46" spans="1:16" ht="14.25">
      <c r="A46" s="373"/>
      <c r="B46" s="376"/>
      <c r="C46" s="376"/>
      <c r="D46" s="44"/>
      <c r="E46" s="45"/>
      <c r="F46" s="45"/>
      <c r="G46" s="251"/>
      <c r="H46" s="9"/>
      <c r="I46" s="8"/>
      <c r="J46" s="13"/>
      <c r="K46" s="8"/>
      <c r="L46" s="8"/>
      <c r="M46" s="8"/>
      <c r="N46" s="8"/>
      <c r="O46" s="8"/>
      <c r="P46" s="5"/>
    </row>
    <row r="47" spans="1:16" ht="15" thickBot="1">
      <c r="A47" s="242"/>
      <c r="B47" s="243"/>
      <c r="C47" s="244"/>
      <c r="D47" s="245"/>
      <c r="E47" s="246"/>
      <c r="F47" s="246"/>
      <c r="G47" s="247"/>
      <c r="H47" s="9"/>
      <c r="I47" s="8"/>
      <c r="J47" s="13"/>
      <c r="K47" s="8"/>
      <c r="L47" s="8"/>
      <c r="M47" s="8"/>
      <c r="N47" s="8"/>
      <c r="O47" s="8"/>
      <c r="P47" s="5"/>
    </row>
    <row r="48" spans="1:16">
      <c r="I48" s="5"/>
      <c r="J48" s="5"/>
      <c r="K48" s="5"/>
      <c r="L48" s="5"/>
      <c r="M48" s="5"/>
      <c r="N48" s="5"/>
      <c r="O48" s="5"/>
      <c r="P48" s="5"/>
    </row>
    <row r="49" spans="9:16">
      <c r="I49" s="5"/>
      <c r="J49" s="5"/>
      <c r="K49" s="5"/>
      <c r="L49" s="5"/>
      <c r="M49" s="5"/>
      <c r="N49" s="5"/>
      <c r="O49" s="5"/>
      <c r="P49" s="5"/>
    </row>
  </sheetData>
  <mergeCells count="26">
    <mergeCell ref="A14:C14"/>
    <mergeCell ref="A15:C15"/>
    <mergeCell ref="A20:C20"/>
    <mergeCell ref="A16:C16"/>
    <mergeCell ref="A18:G18"/>
    <mergeCell ref="A11:C11"/>
    <mergeCell ref="A12:C12"/>
    <mergeCell ref="A13:C13"/>
    <mergeCell ref="A8:G8"/>
    <mergeCell ref="B6:E6"/>
    <mergeCell ref="A1:G1"/>
    <mergeCell ref="A30:C30"/>
    <mergeCell ref="A32:G32"/>
    <mergeCell ref="D42:F42"/>
    <mergeCell ref="A29:C29"/>
    <mergeCell ref="A22:C22"/>
    <mergeCell ref="A23:C23"/>
    <mergeCell ref="A24:C24"/>
    <mergeCell ref="A25:C25"/>
    <mergeCell ref="A26:C26"/>
    <mergeCell ref="A28:C28"/>
    <mergeCell ref="A27:C27"/>
    <mergeCell ref="A2:G2"/>
    <mergeCell ref="A21:C21"/>
    <mergeCell ref="A3:G4"/>
    <mergeCell ref="A10:C10"/>
  </mergeCells>
  <printOptions horizontalCentered="1" verticalCentered="1"/>
  <pageMargins left="0.74803149606299213" right="0.74803149606299213" top="0" bottom="0.98425196850393704" header="0" footer="0"/>
  <pageSetup scale="90" orientation="portrait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5"/>
  <dimension ref="A1:U49"/>
  <sheetViews>
    <sheetView view="pageBreakPreview" topLeftCell="A13" zoomScaleNormal="100" zoomScaleSheetLayoutView="100" workbookViewId="0">
      <selection activeCell="I7" sqref="I7"/>
    </sheetView>
  </sheetViews>
  <sheetFormatPr baseColWidth="10" defaultColWidth="10.7109375" defaultRowHeight="12.75"/>
  <cols>
    <col min="1" max="1" width="15.85546875" style="380" customWidth="1"/>
    <col min="2" max="2" width="14.85546875" style="380" customWidth="1"/>
    <col min="3" max="3" width="13.28515625" style="380" customWidth="1"/>
    <col min="4" max="4" width="11.42578125" style="380"/>
    <col min="5" max="5" width="13.42578125" style="380" customWidth="1"/>
    <col min="6" max="6" width="12.7109375" style="380" customWidth="1"/>
    <col min="7" max="7" width="14" style="380" customWidth="1"/>
    <col min="8" max="8" width="7.42578125" style="380" customWidth="1"/>
    <col min="9" max="256" width="11.42578125" style="380"/>
    <col min="257" max="257" width="15.85546875" style="380" customWidth="1"/>
    <col min="258" max="258" width="14.85546875" style="380" customWidth="1"/>
    <col min="259" max="259" width="13.28515625" style="380" customWidth="1"/>
    <col min="260" max="260" width="11.42578125" style="380"/>
    <col min="261" max="261" width="13.42578125" style="380" customWidth="1"/>
    <col min="262" max="262" width="12.7109375" style="380" customWidth="1"/>
    <col min="263" max="263" width="14" style="380" customWidth="1"/>
    <col min="264" max="264" width="7.42578125" style="380" customWidth="1"/>
    <col min="265" max="512" width="11.42578125" style="380"/>
    <col min="513" max="513" width="15.85546875" style="380" customWidth="1"/>
    <col min="514" max="514" width="14.85546875" style="380" customWidth="1"/>
    <col min="515" max="515" width="13.28515625" style="380" customWidth="1"/>
    <col min="516" max="516" width="11.42578125" style="380"/>
    <col min="517" max="517" width="13.42578125" style="380" customWidth="1"/>
    <col min="518" max="518" width="12.7109375" style="380" customWidth="1"/>
    <col min="519" max="519" width="14" style="380" customWidth="1"/>
    <col min="520" max="520" width="7.42578125" style="380" customWidth="1"/>
    <col min="521" max="768" width="11.42578125" style="380"/>
    <col min="769" max="769" width="15.85546875" style="380" customWidth="1"/>
    <col min="770" max="770" width="14.85546875" style="380" customWidth="1"/>
    <col min="771" max="771" width="13.28515625" style="380" customWidth="1"/>
    <col min="772" max="772" width="11.42578125" style="380"/>
    <col min="773" max="773" width="13.42578125" style="380" customWidth="1"/>
    <col min="774" max="774" width="12.7109375" style="380" customWidth="1"/>
    <col min="775" max="775" width="14" style="380" customWidth="1"/>
    <col min="776" max="776" width="7.42578125" style="380" customWidth="1"/>
    <col min="777" max="1024" width="11.42578125" style="380"/>
    <col min="1025" max="1025" width="15.85546875" style="380" customWidth="1"/>
    <col min="1026" max="1026" width="14.85546875" style="380" customWidth="1"/>
    <col min="1027" max="1027" width="13.28515625" style="380" customWidth="1"/>
    <col min="1028" max="1028" width="11.42578125" style="380"/>
    <col min="1029" max="1029" width="13.42578125" style="380" customWidth="1"/>
    <col min="1030" max="1030" width="12.7109375" style="380" customWidth="1"/>
    <col min="1031" max="1031" width="14" style="380" customWidth="1"/>
    <col min="1032" max="1032" width="7.42578125" style="380" customWidth="1"/>
    <col min="1033" max="1280" width="11.42578125" style="380"/>
    <col min="1281" max="1281" width="15.85546875" style="380" customWidth="1"/>
    <col min="1282" max="1282" width="14.85546875" style="380" customWidth="1"/>
    <col min="1283" max="1283" width="13.28515625" style="380" customWidth="1"/>
    <col min="1284" max="1284" width="11.42578125" style="380"/>
    <col min="1285" max="1285" width="13.42578125" style="380" customWidth="1"/>
    <col min="1286" max="1286" width="12.7109375" style="380" customWidth="1"/>
    <col min="1287" max="1287" width="14" style="380" customWidth="1"/>
    <col min="1288" max="1288" width="7.42578125" style="380" customWidth="1"/>
    <col min="1289" max="1536" width="11.42578125" style="380"/>
    <col min="1537" max="1537" width="15.85546875" style="380" customWidth="1"/>
    <col min="1538" max="1538" width="14.85546875" style="380" customWidth="1"/>
    <col min="1539" max="1539" width="13.28515625" style="380" customWidth="1"/>
    <col min="1540" max="1540" width="11.42578125" style="380"/>
    <col min="1541" max="1541" width="13.42578125" style="380" customWidth="1"/>
    <col min="1542" max="1542" width="12.7109375" style="380" customWidth="1"/>
    <col min="1543" max="1543" width="14" style="380" customWidth="1"/>
    <col min="1544" max="1544" width="7.42578125" style="380" customWidth="1"/>
    <col min="1545" max="1792" width="11.42578125" style="380"/>
    <col min="1793" max="1793" width="15.85546875" style="380" customWidth="1"/>
    <col min="1794" max="1794" width="14.85546875" style="380" customWidth="1"/>
    <col min="1795" max="1795" width="13.28515625" style="380" customWidth="1"/>
    <col min="1796" max="1796" width="11.42578125" style="380"/>
    <col min="1797" max="1797" width="13.42578125" style="380" customWidth="1"/>
    <col min="1798" max="1798" width="12.7109375" style="380" customWidth="1"/>
    <col min="1799" max="1799" width="14" style="380" customWidth="1"/>
    <col min="1800" max="1800" width="7.42578125" style="380" customWidth="1"/>
    <col min="1801" max="2048" width="11.42578125" style="380"/>
    <col min="2049" max="2049" width="15.85546875" style="380" customWidth="1"/>
    <col min="2050" max="2050" width="14.85546875" style="380" customWidth="1"/>
    <col min="2051" max="2051" width="13.28515625" style="380" customWidth="1"/>
    <col min="2052" max="2052" width="11.42578125" style="380"/>
    <col min="2053" max="2053" width="13.42578125" style="380" customWidth="1"/>
    <col min="2054" max="2054" width="12.7109375" style="380" customWidth="1"/>
    <col min="2055" max="2055" width="14" style="380" customWidth="1"/>
    <col min="2056" max="2056" width="7.42578125" style="380" customWidth="1"/>
    <col min="2057" max="2304" width="11.42578125" style="380"/>
    <col min="2305" max="2305" width="15.85546875" style="380" customWidth="1"/>
    <col min="2306" max="2306" width="14.85546875" style="380" customWidth="1"/>
    <col min="2307" max="2307" width="13.28515625" style="380" customWidth="1"/>
    <col min="2308" max="2308" width="11.42578125" style="380"/>
    <col min="2309" max="2309" width="13.42578125" style="380" customWidth="1"/>
    <col min="2310" max="2310" width="12.7109375" style="380" customWidth="1"/>
    <col min="2311" max="2311" width="14" style="380" customWidth="1"/>
    <col min="2312" max="2312" width="7.42578125" style="380" customWidth="1"/>
    <col min="2313" max="2560" width="11.42578125" style="380"/>
    <col min="2561" max="2561" width="15.85546875" style="380" customWidth="1"/>
    <col min="2562" max="2562" width="14.85546875" style="380" customWidth="1"/>
    <col min="2563" max="2563" width="13.28515625" style="380" customWidth="1"/>
    <col min="2564" max="2564" width="11.42578125" style="380"/>
    <col min="2565" max="2565" width="13.42578125" style="380" customWidth="1"/>
    <col min="2566" max="2566" width="12.7109375" style="380" customWidth="1"/>
    <col min="2567" max="2567" width="14" style="380" customWidth="1"/>
    <col min="2568" max="2568" width="7.42578125" style="380" customWidth="1"/>
    <col min="2569" max="2816" width="11.42578125" style="380"/>
    <col min="2817" max="2817" width="15.85546875" style="380" customWidth="1"/>
    <col min="2818" max="2818" width="14.85546875" style="380" customWidth="1"/>
    <col min="2819" max="2819" width="13.28515625" style="380" customWidth="1"/>
    <col min="2820" max="2820" width="11.42578125" style="380"/>
    <col min="2821" max="2821" width="13.42578125" style="380" customWidth="1"/>
    <col min="2822" max="2822" width="12.7109375" style="380" customWidth="1"/>
    <col min="2823" max="2823" width="14" style="380" customWidth="1"/>
    <col min="2824" max="2824" width="7.42578125" style="380" customWidth="1"/>
    <col min="2825" max="3072" width="11.42578125" style="380"/>
    <col min="3073" max="3073" width="15.85546875" style="380" customWidth="1"/>
    <col min="3074" max="3074" width="14.85546875" style="380" customWidth="1"/>
    <col min="3075" max="3075" width="13.28515625" style="380" customWidth="1"/>
    <col min="3076" max="3076" width="11.42578125" style="380"/>
    <col min="3077" max="3077" width="13.42578125" style="380" customWidth="1"/>
    <col min="3078" max="3078" width="12.7109375" style="380" customWidth="1"/>
    <col min="3079" max="3079" width="14" style="380" customWidth="1"/>
    <col min="3080" max="3080" width="7.42578125" style="380" customWidth="1"/>
    <col min="3081" max="3328" width="11.42578125" style="380"/>
    <col min="3329" max="3329" width="15.85546875" style="380" customWidth="1"/>
    <col min="3330" max="3330" width="14.85546875" style="380" customWidth="1"/>
    <col min="3331" max="3331" width="13.28515625" style="380" customWidth="1"/>
    <col min="3332" max="3332" width="11.42578125" style="380"/>
    <col min="3333" max="3333" width="13.42578125" style="380" customWidth="1"/>
    <col min="3334" max="3334" width="12.7109375" style="380" customWidth="1"/>
    <col min="3335" max="3335" width="14" style="380" customWidth="1"/>
    <col min="3336" max="3336" width="7.42578125" style="380" customWidth="1"/>
    <col min="3337" max="3584" width="11.42578125" style="380"/>
    <col min="3585" max="3585" width="15.85546875" style="380" customWidth="1"/>
    <col min="3586" max="3586" width="14.85546875" style="380" customWidth="1"/>
    <col min="3587" max="3587" width="13.28515625" style="380" customWidth="1"/>
    <col min="3588" max="3588" width="11.42578125" style="380"/>
    <col min="3589" max="3589" width="13.42578125" style="380" customWidth="1"/>
    <col min="3590" max="3590" width="12.7109375" style="380" customWidth="1"/>
    <col min="3591" max="3591" width="14" style="380" customWidth="1"/>
    <col min="3592" max="3592" width="7.42578125" style="380" customWidth="1"/>
    <col min="3593" max="3840" width="11.42578125" style="380"/>
    <col min="3841" max="3841" width="15.85546875" style="380" customWidth="1"/>
    <col min="3842" max="3842" width="14.85546875" style="380" customWidth="1"/>
    <col min="3843" max="3843" width="13.28515625" style="380" customWidth="1"/>
    <col min="3844" max="3844" width="11.42578125" style="380"/>
    <col min="3845" max="3845" width="13.42578125" style="380" customWidth="1"/>
    <col min="3846" max="3846" width="12.7109375" style="380" customWidth="1"/>
    <col min="3847" max="3847" width="14" style="380" customWidth="1"/>
    <col min="3848" max="3848" width="7.42578125" style="380" customWidth="1"/>
    <col min="3849" max="4096" width="11.42578125" style="380"/>
    <col min="4097" max="4097" width="15.85546875" style="380" customWidth="1"/>
    <col min="4098" max="4098" width="14.85546875" style="380" customWidth="1"/>
    <col min="4099" max="4099" width="13.28515625" style="380" customWidth="1"/>
    <col min="4100" max="4100" width="11.42578125" style="380"/>
    <col min="4101" max="4101" width="13.42578125" style="380" customWidth="1"/>
    <col min="4102" max="4102" width="12.7109375" style="380" customWidth="1"/>
    <col min="4103" max="4103" width="14" style="380" customWidth="1"/>
    <col min="4104" max="4104" width="7.42578125" style="380" customWidth="1"/>
    <col min="4105" max="4352" width="11.42578125" style="380"/>
    <col min="4353" max="4353" width="15.85546875" style="380" customWidth="1"/>
    <col min="4354" max="4354" width="14.85546875" style="380" customWidth="1"/>
    <col min="4355" max="4355" width="13.28515625" style="380" customWidth="1"/>
    <col min="4356" max="4356" width="11.42578125" style="380"/>
    <col min="4357" max="4357" width="13.42578125" style="380" customWidth="1"/>
    <col min="4358" max="4358" width="12.7109375" style="380" customWidth="1"/>
    <col min="4359" max="4359" width="14" style="380" customWidth="1"/>
    <col min="4360" max="4360" width="7.42578125" style="380" customWidth="1"/>
    <col min="4361" max="4608" width="11.42578125" style="380"/>
    <col min="4609" max="4609" width="15.85546875" style="380" customWidth="1"/>
    <col min="4610" max="4610" width="14.85546875" style="380" customWidth="1"/>
    <col min="4611" max="4611" width="13.28515625" style="380" customWidth="1"/>
    <col min="4612" max="4612" width="11.42578125" style="380"/>
    <col min="4613" max="4613" width="13.42578125" style="380" customWidth="1"/>
    <col min="4614" max="4614" width="12.7109375" style="380" customWidth="1"/>
    <col min="4615" max="4615" width="14" style="380" customWidth="1"/>
    <col min="4616" max="4616" width="7.42578125" style="380" customWidth="1"/>
    <col min="4617" max="4864" width="11.42578125" style="380"/>
    <col min="4865" max="4865" width="15.85546875" style="380" customWidth="1"/>
    <col min="4866" max="4866" width="14.85546875" style="380" customWidth="1"/>
    <col min="4867" max="4867" width="13.28515625" style="380" customWidth="1"/>
    <col min="4868" max="4868" width="11.42578125" style="380"/>
    <col min="4869" max="4869" width="13.42578125" style="380" customWidth="1"/>
    <col min="4870" max="4870" width="12.7109375" style="380" customWidth="1"/>
    <col min="4871" max="4871" width="14" style="380" customWidth="1"/>
    <col min="4872" max="4872" width="7.42578125" style="380" customWidth="1"/>
    <col min="4873" max="5120" width="11.42578125" style="380"/>
    <col min="5121" max="5121" width="15.85546875" style="380" customWidth="1"/>
    <col min="5122" max="5122" width="14.85546875" style="380" customWidth="1"/>
    <col min="5123" max="5123" width="13.28515625" style="380" customWidth="1"/>
    <col min="5124" max="5124" width="11.42578125" style="380"/>
    <col min="5125" max="5125" width="13.42578125" style="380" customWidth="1"/>
    <col min="5126" max="5126" width="12.7109375" style="380" customWidth="1"/>
    <col min="5127" max="5127" width="14" style="380" customWidth="1"/>
    <col min="5128" max="5128" width="7.42578125" style="380" customWidth="1"/>
    <col min="5129" max="5376" width="11.42578125" style="380"/>
    <col min="5377" max="5377" width="15.85546875" style="380" customWidth="1"/>
    <col min="5378" max="5378" width="14.85546875" style="380" customWidth="1"/>
    <col min="5379" max="5379" width="13.28515625" style="380" customWidth="1"/>
    <col min="5380" max="5380" width="11.42578125" style="380"/>
    <col min="5381" max="5381" width="13.42578125" style="380" customWidth="1"/>
    <col min="5382" max="5382" width="12.7109375" style="380" customWidth="1"/>
    <col min="5383" max="5383" width="14" style="380" customWidth="1"/>
    <col min="5384" max="5384" width="7.42578125" style="380" customWidth="1"/>
    <col min="5385" max="5632" width="11.42578125" style="380"/>
    <col min="5633" max="5633" width="15.85546875" style="380" customWidth="1"/>
    <col min="5634" max="5634" width="14.85546875" style="380" customWidth="1"/>
    <col min="5635" max="5635" width="13.28515625" style="380" customWidth="1"/>
    <col min="5636" max="5636" width="11.42578125" style="380"/>
    <col min="5637" max="5637" width="13.42578125" style="380" customWidth="1"/>
    <col min="5638" max="5638" width="12.7109375" style="380" customWidth="1"/>
    <col min="5639" max="5639" width="14" style="380" customWidth="1"/>
    <col min="5640" max="5640" width="7.42578125" style="380" customWidth="1"/>
    <col min="5641" max="5888" width="11.42578125" style="380"/>
    <col min="5889" max="5889" width="15.85546875" style="380" customWidth="1"/>
    <col min="5890" max="5890" width="14.85546875" style="380" customWidth="1"/>
    <col min="5891" max="5891" width="13.28515625" style="380" customWidth="1"/>
    <col min="5892" max="5892" width="11.42578125" style="380"/>
    <col min="5893" max="5893" width="13.42578125" style="380" customWidth="1"/>
    <col min="5894" max="5894" width="12.7109375" style="380" customWidth="1"/>
    <col min="5895" max="5895" width="14" style="380" customWidth="1"/>
    <col min="5896" max="5896" width="7.42578125" style="380" customWidth="1"/>
    <col min="5897" max="6144" width="11.42578125" style="380"/>
    <col min="6145" max="6145" width="15.85546875" style="380" customWidth="1"/>
    <col min="6146" max="6146" width="14.85546875" style="380" customWidth="1"/>
    <col min="6147" max="6147" width="13.28515625" style="380" customWidth="1"/>
    <col min="6148" max="6148" width="11.42578125" style="380"/>
    <col min="6149" max="6149" width="13.42578125" style="380" customWidth="1"/>
    <col min="6150" max="6150" width="12.7109375" style="380" customWidth="1"/>
    <col min="6151" max="6151" width="14" style="380" customWidth="1"/>
    <col min="6152" max="6152" width="7.42578125" style="380" customWidth="1"/>
    <col min="6153" max="6400" width="11.42578125" style="380"/>
    <col min="6401" max="6401" width="15.85546875" style="380" customWidth="1"/>
    <col min="6402" max="6402" width="14.85546875" style="380" customWidth="1"/>
    <col min="6403" max="6403" width="13.28515625" style="380" customWidth="1"/>
    <col min="6404" max="6404" width="11.42578125" style="380"/>
    <col min="6405" max="6405" width="13.42578125" style="380" customWidth="1"/>
    <col min="6406" max="6406" width="12.7109375" style="380" customWidth="1"/>
    <col min="6407" max="6407" width="14" style="380" customWidth="1"/>
    <col min="6408" max="6408" width="7.42578125" style="380" customWidth="1"/>
    <col min="6409" max="6656" width="11.42578125" style="380"/>
    <col min="6657" max="6657" width="15.85546875" style="380" customWidth="1"/>
    <col min="6658" max="6658" width="14.85546875" style="380" customWidth="1"/>
    <col min="6659" max="6659" width="13.28515625" style="380" customWidth="1"/>
    <col min="6660" max="6660" width="11.42578125" style="380"/>
    <col min="6661" max="6661" width="13.42578125" style="380" customWidth="1"/>
    <col min="6662" max="6662" width="12.7109375" style="380" customWidth="1"/>
    <col min="6663" max="6663" width="14" style="380" customWidth="1"/>
    <col min="6664" max="6664" width="7.42578125" style="380" customWidth="1"/>
    <col min="6665" max="6912" width="11.42578125" style="380"/>
    <col min="6913" max="6913" width="15.85546875" style="380" customWidth="1"/>
    <col min="6914" max="6914" width="14.85546875" style="380" customWidth="1"/>
    <col min="6915" max="6915" width="13.28515625" style="380" customWidth="1"/>
    <col min="6916" max="6916" width="11.42578125" style="380"/>
    <col min="6917" max="6917" width="13.42578125" style="380" customWidth="1"/>
    <col min="6918" max="6918" width="12.7109375" style="380" customWidth="1"/>
    <col min="6919" max="6919" width="14" style="380" customWidth="1"/>
    <col min="6920" max="6920" width="7.42578125" style="380" customWidth="1"/>
    <col min="6921" max="7168" width="11.42578125" style="380"/>
    <col min="7169" max="7169" width="15.85546875" style="380" customWidth="1"/>
    <col min="7170" max="7170" width="14.85546875" style="380" customWidth="1"/>
    <col min="7171" max="7171" width="13.28515625" style="380" customWidth="1"/>
    <col min="7172" max="7172" width="11.42578125" style="380"/>
    <col min="7173" max="7173" width="13.42578125" style="380" customWidth="1"/>
    <col min="7174" max="7174" width="12.7109375" style="380" customWidth="1"/>
    <col min="7175" max="7175" width="14" style="380" customWidth="1"/>
    <col min="7176" max="7176" width="7.42578125" style="380" customWidth="1"/>
    <col min="7177" max="7424" width="11.42578125" style="380"/>
    <col min="7425" max="7425" width="15.85546875" style="380" customWidth="1"/>
    <col min="7426" max="7426" width="14.85546875" style="380" customWidth="1"/>
    <col min="7427" max="7427" width="13.28515625" style="380" customWidth="1"/>
    <col min="7428" max="7428" width="11.42578125" style="380"/>
    <col min="7429" max="7429" width="13.42578125" style="380" customWidth="1"/>
    <col min="7430" max="7430" width="12.7109375" style="380" customWidth="1"/>
    <col min="7431" max="7431" width="14" style="380" customWidth="1"/>
    <col min="7432" max="7432" width="7.42578125" style="380" customWidth="1"/>
    <col min="7433" max="7680" width="11.42578125" style="380"/>
    <col min="7681" max="7681" width="15.85546875" style="380" customWidth="1"/>
    <col min="7682" max="7682" width="14.85546875" style="380" customWidth="1"/>
    <col min="7683" max="7683" width="13.28515625" style="380" customWidth="1"/>
    <col min="7684" max="7684" width="11.42578125" style="380"/>
    <col min="7685" max="7685" width="13.42578125" style="380" customWidth="1"/>
    <col min="7686" max="7686" width="12.7109375" style="380" customWidth="1"/>
    <col min="7687" max="7687" width="14" style="380" customWidth="1"/>
    <col min="7688" max="7688" width="7.42578125" style="380" customWidth="1"/>
    <col min="7689" max="7936" width="11.42578125" style="380"/>
    <col min="7937" max="7937" width="15.85546875" style="380" customWidth="1"/>
    <col min="7938" max="7938" width="14.85546875" style="380" customWidth="1"/>
    <col min="7939" max="7939" width="13.28515625" style="380" customWidth="1"/>
    <col min="7940" max="7940" width="11.42578125" style="380"/>
    <col min="7941" max="7941" width="13.42578125" style="380" customWidth="1"/>
    <col min="7942" max="7942" width="12.7109375" style="380" customWidth="1"/>
    <col min="7943" max="7943" width="14" style="380" customWidth="1"/>
    <col min="7944" max="7944" width="7.42578125" style="380" customWidth="1"/>
    <col min="7945" max="8192" width="11.42578125" style="380"/>
    <col min="8193" max="8193" width="15.85546875" style="380" customWidth="1"/>
    <col min="8194" max="8194" width="14.85546875" style="380" customWidth="1"/>
    <col min="8195" max="8195" width="13.28515625" style="380" customWidth="1"/>
    <col min="8196" max="8196" width="11.42578125" style="380"/>
    <col min="8197" max="8197" width="13.42578125" style="380" customWidth="1"/>
    <col min="8198" max="8198" width="12.7109375" style="380" customWidth="1"/>
    <col min="8199" max="8199" width="14" style="380" customWidth="1"/>
    <col min="8200" max="8200" width="7.42578125" style="380" customWidth="1"/>
    <col min="8201" max="8448" width="11.42578125" style="380"/>
    <col min="8449" max="8449" width="15.85546875" style="380" customWidth="1"/>
    <col min="8450" max="8450" width="14.85546875" style="380" customWidth="1"/>
    <col min="8451" max="8451" width="13.28515625" style="380" customWidth="1"/>
    <col min="8452" max="8452" width="11.42578125" style="380"/>
    <col min="8453" max="8453" width="13.42578125" style="380" customWidth="1"/>
    <col min="8454" max="8454" width="12.7109375" style="380" customWidth="1"/>
    <col min="8455" max="8455" width="14" style="380" customWidth="1"/>
    <col min="8456" max="8456" width="7.42578125" style="380" customWidth="1"/>
    <col min="8457" max="8704" width="11.42578125" style="380"/>
    <col min="8705" max="8705" width="15.85546875" style="380" customWidth="1"/>
    <col min="8706" max="8706" width="14.85546875" style="380" customWidth="1"/>
    <col min="8707" max="8707" width="13.28515625" style="380" customWidth="1"/>
    <col min="8708" max="8708" width="11.42578125" style="380"/>
    <col min="8709" max="8709" width="13.42578125" style="380" customWidth="1"/>
    <col min="8710" max="8710" width="12.7109375" style="380" customWidth="1"/>
    <col min="8711" max="8711" width="14" style="380" customWidth="1"/>
    <col min="8712" max="8712" width="7.42578125" style="380" customWidth="1"/>
    <col min="8713" max="8960" width="11.42578125" style="380"/>
    <col min="8961" max="8961" width="15.85546875" style="380" customWidth="1"/>
    <col min="8962" max="8962" width="14.85546875" style="380" customWidth="1"/>
    <col min="8963" max="8963" width="13.28515625" style="380" customWidth="1"/>
    <col min="8964" max="8964" width="11.42578125" style="380"/>
    <col min="8965" max="8965" width="13.42578125" style="380" customWidth="1"/>
    <col min="8966" max="8966" width="12.7109375" style="380" customWidth="1"/>
    <col min="8967" max="8967" width="14" style="380" customWidth="1"/>
    <col min="8968" max="8968" width="7.42578125" style="380" customWidth="1"/>
    <col min="8969" max="9216" width="11.42578125" style="380"/>
    <col min="9217" max="9217" width="15.85546875" style="380" customWidth="1"/>
    <col min="9218" max="9218" width="14.85546875" style="380" customWidth="1"/>
    <col min="9219" max="9219" width="13.28515625" style="380" customWidth="1"/>
    <col min="9220" max="9220" width="11.42578125" style="380"/>
    <col min="9221" max="9221" width="13.42578125" style="380" customWidth="1"/>
    <col min="9222" max="9222" width="12.7109375" style="380" customWidth="1"/>
    <col min="9223" max="9223" width="14" style="380" customWidth="1"/>
    <col min="9224" max="9224" width="7.42578125" style="380" customWidth="1"/>
    <col min="9225" max="9472" width="11.42578125" style="380"/>
    <col min="9473" max="9473" width="15.85546875" style="380" customWidth="1"/>
    <col min="9474" max="9474" width="14.85546875" style="380" customWidth="1"/>
    <col min="9475" max="9475" width="13.28515625" style="380" customWidth="1"/>
    <col min="9476" max="9476" width="11.42578125" style="380"/>
    <col min="9477" max="9477" width="13.42578125" style="380" customWidth="1"/>
    <col min="9478" max="9478" width="12.7109375" style="380" customWidth="1"/>
    <col min="9479" max="9479" width="14" style="380" customWidth="1"/>
    <col min="9480" max="9480" width="7.42578125" style="380" customWidth="1"/>
    <col min="9481" max="9728" width="11.42578125" style="380"/>
    <col min="9729" max="9729" width="15.85546875" style="380" customWidth="1"/>
    <col min="9730" max="9730" width="14.85546875" style="380" customWidth="1"/>
    <col min="9731" max="9731" width="13.28515625" style="380" customWidth="1"/>
    <col min="9732" max="9732" width="11.42578125" style="380"/>
    <col min="9733" max="9733" width="13.42578125" style="380" customWidth="1"/>
    <col min="9734" max="9734" width="12.7109375" style="380" customWidth="1"/>
    <col min="9735" max="9735" width="14" style="380" customWidth="1"/>
    <col min="9736" max="9736" width="7.42578125" style="380" customWidth="1"/>
    <col min="9737" max="9984" width="11.42578125" style="380"/>
    <col min="9985" max="9985" width="15.85546875" style="380" customWidth="1"/>
    <col min="9986" max="9986" width="14.85546875" style="380" customWidth="1"/>
    <col min="9987" max="9987" width="13.28515625" style="380" customWidth="1"/>
    <col min="9988" max="9988" width="11.42578125" style="380"/>
    <col min="9989" max="9989" width="13.42578125" style="380" customWidth="1"/>
    <col min="9990" max="9990" width="12.7109375" style="380" customWidth="1"/>
    <col min="9991" max="9991" width="14" style="380" customWidth="1"/>
    <col min="9992" max="9992" width="7.42578125" style="380" customWidth="1"/>
    <col min="9993" max="10240" width="11.42578125" style="380"/>
    <col min="10241" max="10241" width="15.85546875" style="380" customWidth="1"/>
    <col min="10242" max="10242" width="14.85546875" style="380" customWidth="1"/>
    <col min="10243" max="10243" width="13.28515625" style="380" customWidth="1"/>
    <col min="10244" max="10244" width="11.42578125" style="380"/>
    <col min="10245" max="10245" width="13.42578125" style="380" customWidth="1"/>
    <col min="10246" max="10246" width="12.7109375" style="380" customWidth="1"/>
    <col min="10247" max="10247" width="14" style="380" customWidth="1"/>
    <col min="10248" max="10248" width="7.42578125" style="380" customWidth="1"/>
    <col min="10249" max="10496" width="11.42578125" style="380"/>
    <col min="10497" max="10497" width="15.85546875" style="380" customWidth="1"/>
    <col min="10498" max="10498" width="14.85546875" style="380" customWidth="1"/>
    <col min="10499" max="10499" width="13.28515625" style="380" customWidth="1"/>
    <col min="10500" max="10500" width="11.42578125" style="380"/>
    <col min="10501" max="10501" width="13.42578125" style="380" customWidth="1"/>
    <col min="10502" max="10502" width="12.7109375" style="380" customWidth="1"/>
    <col min="10503" max="10503" width="14" style="380" customWidth="1"/>
    <col min="10504" max="10504" width="7.42578125" style="380" customWidth="1"/>
    <col min="10505" max="10752" width="11.42578125" style="380"/>
    <col min="10753" max="10753" width="15.85546875" style="380" customWidth="1"/>
    <col min="10754" max="10754" width="14.85546875" style="380" customWidth="1"/>
    <col min="10755" max="10755" width="13.28515625" style="380" customWidth="1"/>
    <col min="10756" max="10756" width="11.42578125" style="380"/>
    <col min="10757" max="10757" width="13.42578125" style="380" customWidth="1"/>
    <col min="10758" max="10758" width="12.7109375" style="380" customWidth="1"/>
    <col min="10759" max="10759" width="14" style="380" customWidth="1"/>
    <col min="10760" max="10760" width="7.42578125" style="380" customWidth="1"/>
    <col min="10761" max="11008" width="11.42578125" style="380"/>
    <col min="11009" max="11009" width="15.85546875" style="380" customWidth="1"/>
    <col min="11010" max="11010" width="14.85546875" style="380" customWidth="1"/>
    <col min="11011" max="11011" width="13.28515625" style="380" customWidth="1"/>
    <col min="11012" max="11012" width="11.42578125" style="380"/>
    <col min="11013" max="11013" width="13.42578125" style="380" customWidth="1"/>
    <col min="11014" max="11014" width="12.7109375" style="380" customWidth="1"/>
    <col min="11015" max="11015" width="14" style="380" customWidth="1"/>
    <col min="11016" max="11016" width="7.42578125" style="380" customWidth="1"/>
    <col min="11017" max="11264" width="11.42578125" style="380"/>
    <col min="11265" max="11265" width="15.85546875" style="380" customWidth="1"/>
    <col min="11266" max="11266" width="14.85546875" style="380" customWidth="1"/>
    <col min="11267" max="11267" width="13.28515625" style="380" customWidth="1"/>
    <col min="11268" max="11268" width="11.42578125" style="380"/>
    <col min="11269" max="11269" width="13.42578125" style="380" customWidth="1"/>
    <col min="11270" max="11270" width="12.7109375" style="380" customWidth="1"/>
    <col min="11271" max="11271" width="14" style="380" customWidth="1"/>
    <col min="11272" max="11272" width="7.42578125" style="380" customWidth="1"/>
    <col min="11273" max="11520" width="11.42578125" style="380"/>
    <col min="11521" max="11521" width="15.85546875" style="380" customWidth="1"/>
    <col min="11522" max="11522" width="14.85546875" style="380" customWidth="1"/>
    <col min="11523" max="11523" width="13.28515625" style="380" customWidth="1"/>
    <col min="11524" max="11524" width="11.42578125" style="380"/>
    <col min="11525" max="11525" width="13.42578125" style="380" customWidth="1"/>
    <col min="11526" max="11526" width="12.7109375" style="380" customWidth="1"/>
    <col min="11527" max="11527" width="14" style="380" customWidth="1"/>
    <col min="11528" max="11528" width="7.42578125" style="380" customWidth="1"/>
    <col min="11529" max="11776" width="11.42578125" style="380"/>
    <col min="11777" max="11777" width="15.85546875" style="380" customWidth="1"/>
    <col min="11778" max="11778" width="14.85546875" style="380" customWidth="1"/>
    <col min="11779" max="11779" width="13.28515625" style="380" customWidth="1"/>
    <col min="11780" max="11780" width="11.42578125" style="380"/>
    <col min="11781" max="11781" width="13.42578125" style="380" customWidth="1"/>
    <col min="11782" max="11782" width="12.7109375" style="380" customWidth="1"/>
    <col min="11783" max="11783" width="14" style="380" customWidth="1"/>
    <col min="11784" max="11784" width="7.42578125" style="380" customWidth="1"/>
    <col min="11785" max="12032" width="11.42578125" style="380"/>
    <col min="12033" max="12033" width="15.85546875" style="380" customWidth="1"/>
    <col min="12034" max="12034" width="14.85546875" style="380" customWidth="1"/>
    <col min="12035" max="12035" width="13.28515625" style="380" customWidth="1"/>
    <col min="12036" max="12036" width="11.42578125" style="380"/>
    <col min="12037" max="12037" width="13.42578125" style="380" customWidth="1"/>
    <col min="12038" max="12038" width="12.7109375" style="380" customWidth="1"/>
    <col min="12039" max="12039" width="14" style="380" customWidth="1"/>
    <col min="12040" max="12040" width="7.42578125" style="380" customWidth="1"/>
    <col min="12041" max="12288" width="11.42578125" style="380"/>
    <col min="12289" max="12289" width="15.85546875" style="380" customWidth="1"/>
    <col min="12290" max="12290" width="14.85546875" style="380" customWidth="1"/>
    <col min="12291" max="12291" width="13.28515625" style="380" customWidth="1"/>
    <col min="12292" max="12292" width="11.42578125" style="380"/>
    <col min="12293" max="12293" width="13.42578125" style="380" customWidth="1"/>
    <col min="12294" max="12294" width="12.7109375" style="380" customWidth="1"/>
    <col min="12295" max="12295" width="14" style="380" customWidth="1"/>
    <col min="12296" max="12296" width="7.42578125" style="380" customWidth="1"/>
    <col min="12297" max="12544" width="11.42578125" style="380"/>
    <col min="12545" max="12545" width="15.85546875" style="380" customWidth="1"/>
    <col min="12546" max="12546" width="14.85546875" style="380" customWidth="1"/>
    <col min="12547" max="12547" width="13.28515625" style="380" customWidth="1"/>
    <col min="12548" max="12548" width="11.42578125" style="380"/>
    <col min="12549" max="12549" width="13.42578125" style="380" customWidth="1"/>
    <col min="12550" max="12550" width="12.7109375" style="380" customWidth="1"/>
    <col min="12551" max="12551" width="14" style="380" customWidth="1"/>
    <col min="12552" max="12552" width="7.42578125" style="380" customWidth="1"/>
    <col min="12553" max="12800" width="11.42578125" style="380"/>
    <col min="12801" max="12801" width="15.85546875" style="380" customWidth="1"/>
    <col min="12802" max="12802" width="14.85546875" style="380" customWidth="1"/>
    <col min="12803" max="12803" width="13.28515625" style="380" customWidth="1"/>
    <col min="12804" max="12804" width="11.42578125" style="380"/>
    <col min="12805" max="12805" width="13.42578125" style="380" customWidth="1"/>
    <col min="12806" max="12806" width="12.7109375" style="380" customWidth="1"/>
    <col min="12807" max="12807" width="14" style="380" customWidth="1"/>
    <col min="12808" max="12808" width="7.42578125" style="380" customWidth="1"/>
    <col min="12809" max="13056" width="11.42578125" style="380"/>
    <col min="13057" max="13057" width="15.85546875" style="380" customWidth="1"/>
    <col min="13058" max="13058" width="14.85546875" style="380" customWidth="1"/>
    <col min="13059" max="13059" width="13.28515625" style="380" customWidth="1"/>
    <col min="13060" max="13060" width="11.42578125" style="380"/>
    <col min="13061" max="13061" width="13.42578125" style="380" customWidth="1"/>
    <col min="13062" max="13062" width="12.7109375" style="380" customWidth="1"/>
    <col min="13063" max="13063" width="14" style="380" customWidth="1"/>
    <col min="13064" max="13064" width="7.42578125" style="380" customWidth="1"/>
    <col min="13065" max="13312" width="11.42578125" style="380"/>
    <col min="13313" max="13313" width="15.85546875" style="380" customWidth="1"/>
    <col min="13314" max="13314" width="14.85546875" style="380" customWidth="1"/>
    <col min="13315" max="13315" width="13.28515625" style="380" customWidth="1"/>
    <col min="13316" max="13316" width="11.42578125" style="380"/>
    <col min="13317" max="13317" width="13.42578125" style="380" customWidth="1"/>
    <col min="13318" max="13318" width="12.7109375" style="380" customWidth="1"/>
    <col min="13319" max="13319" width="14" style="380" customWidth="1"/>
    <col min="13320" max="13320" width="7.42578125" style="380" customWidth="1"/>
    <col min="13321" max="13568" width="11.42578125" style="380"/>
    <col min="13569" max="13569" width="15.85546875" style="380" customWidth="1"/>
    <col min="13570" max="13570" width="14.85546875" style="380" customWidth="1"/>
    <col min="13571" max="13571" width="13.28515625" style="380" customWidth="1"/>
    <col min="13572" max="13572" width="11.42578125" style="380"/>
    <col min="13573" max="13573" width="13.42578125" style="380" customWidth="1"/>
    <col min="13574" max="13574" width="12.7109375" style="380" customWidth="1"/>
    <col min="13575" max="13575" width="14" style="380" customWidth="1"/>
    <col min="13576" max="13576" width="7.42578125" style="380" customWidth="1"/>
    <col min="13577" max="13824" width="11.42578125" style="380"/>
    <col min="13825" max="13825" width="15.85546875" style="380" customWidth="1"/>
    <col min="13826" max="13826" width="14.85546875" style="380" customWidth="1"/>
    <col min="13827" max="13827" width="13.28515625" style="380" customWidth="1"/>
    <col min="13828" max="13828" width="11.42578125" style="380"/>
    <col min="13829" max="13829" width="13.42578125" style="380" customWidth="1"/>
    <col min="13830" max="13830" width="12.7109375" style="380" customWidth="1"/>
    <col min="13831" max="13831" width="14" style="380" customWidth="1"/>
    <col min="13832" max="13832" width="7.42578125" style="380" customWidth="1"/>
    <col min="13833" max="14080" width="11.42578125" style="380"/>
    <col min="14081" max="14081" width="15.85546875" style="380" customWidth="1"/>
    <col min="14082" max="14082" width="14.85546875" style="380" customWidth="1"/>
    <col min="14083" max="14083" width="13.28515625" style="380" customWidth="1"/>
    <col min="14084" max="14084" width="11.42578125" style="380"/>
    <col min="14085" max="14085" width="13.42578125" style="380" customWidth="1"/>
    <col min="14086" max="14086" width="12.7109375" style="380" customWidth="1"/>
    <col min="14087" max="14087" width="14" style="380" customWidth="1"/>
    <col min="14088" max="14088" width="7.42578125" style="380" customWidth="1"/>
    <col min="14089" max="14336" width="11.42578125" style="380"/>
    <col min="14337" max="14337" width="15.85546875" style="380" customWidth="1"/>
    <col min="14338" max="14338" width="14.85546875" style="380" customWidth="1"/>
    <col min="14339" max="14339" width="13.28515625" style="380" customWidth="1"/>
    <col min="14340" max="14340" width="11.42578125" style="380"/>
    <col min="14341" max="14341" width="13.42578125" style="380" customWidth="1"/>
    <col min="14342" max="14342" width="12.7109375" style="380" customWidth="1"/>
    <col min="14343" max="14343" width="14" style="380" customWidth="1"/>
    <col min="14344" max="14344" width="7.42578125" style="380" customWidth="1"/>
    <col min="14345" max="14592" width="11.42578125" style="380"/>
    <col min="14593" max="14593" width="15.85546875" style="380" customWidth="1"/>
    <col min="14594" max="14594" width="14.85546875" style="380" customWidth="1"/>
    <col min="14595" max="14595" width="13.28515625" style="380" customWidth="1"/>
    <col min="14596" max="14596" width="11.42578125" style="380"/>
    <col min="14597" max="14597" width="13.42578125" style="380" customWidth="1"/>
    <col min="14598" max="14598" width="12.7109375" style="380" customWidth="1"/>
    <col min="14599" max="14599" width="14" style="380" customWidth="1"/>
    <col min="14600" max="14600" width="7.42578125" style="380" customWidth="1"/>
    <col min="14601" max="14848" width="11.42578125" style="380"/>
    <col min="14849" max="14849" width="15.85546875" style="380" customWidth="1"/>
    <col min="14850" max="14850" width="14.85546875" style="380" customWidth="1"/>
    <col min="14851" max="14851" width="13.28515625" style="380" customWidth="1"/>
    <col min="14852" max="14852" width="11.42578125" style="380"/>
    <col min="14853" max="14853" width="13.42578125" style="380" customWidth="1"/>
    <col min="14854" max="14854" width="12.7109375" style="380" customWidth="1"/>
    <col min="14855" max="14855" width="14" style="380" customWidth="1"/>
    <col min="14856" max="14856" width="7.42578125" style="380" customWidth="1"/>
    <col min="14857" max="15104" width="11.42578125" style="380"/>
    <col min="15105" max="15105" width="15.85546875" style="380" customWidth="1"/>
    <col min="15106" max="15106" width="14.85546875" style="380" customWidth="1"/>
    <col min="15107" max="15107" width="13.28515625" style="380" customWidth="1"/>
    <col min="15108" max="15108" width="11.42578125" style="380"/>
    <col min="15109" max="15109" width="13.42578125" style="380" customWidth="1"/>
    <col min="15110" max="15110" width="12.7109375" style="380" customWidth="1"/>
    <col min="15111" max="15111" width="14" style="380" customWidth="1"/>
    <col min="15112" max="15112" width="7.42578125" style="380" customWidth="1"/>
    <col min="15113" max="15360" width="11.42578125" style="380"/>
    <col min="15361" max="15361" width="15.85546875" style="380" customWidth="1"/>
    <col min="15362" max="15362" width="14.85546875" style="380" customWidth="1"/>
    <col min="15363" max="15363" width="13.28515625" style="380" customWidth="1"/>
    <col min="15364" max="15364" width="11.42578125" style="380"/>
    <col min="15365" max="15365" width="13.42578125" style="380" customWidth="1"/>
    <col min="15366" max="15366" width="12.7109375" style="380" customWidth="1"/>
    <col min="15367" max="15367" width="14" style="380" customWidth="1"/>
    <col min="15368" max="15368" width="7.42578125" style="380" customWidth="1"/>
    <col min="15369" max="15616" width="11.42578125" style="380"/>
    <col min="15617" max="15617" width="15.85546875" style="380" customWidth="1"/>
    <col min="15618" max="15618" width="14.85546875" style="380" customWidth="1"/>
    <col min="15619" max="15619" width="13.28515625" style="380" customWidth="1"/>
    <col min="15620" max="15620" width="11.42578125" style="380"/>
    <col min="15621" max="15621" width="13.42578125" style="380" customWidth="1"/>
    <col min="15622" max="15622" width="12.7109375" style="380" customWidth="1"/>
    <col min="15623" max="15623" width="14" style="380" customWidth="1"/>
    <col min="15624" max="15624" width="7.42578125" style="380" customWidth="1"/>
    <col min="15625" max="15872" width="11.42578125" style="380"/>
    <col min="15873" max="15873" width="15.85546875" style="380" customWidth="1"/>
    <col min="15874" max="15874" width="14.85546875" style="380" customWidth="1"/>
    <col min="15875" max="15875" width="13.28515625" style="380" customWidth="1"/>
    <col min="15876" max="15876" width="11.42578125" style="380"/>
    <col min="15877" max="15877" width="13.42578125" style="380" customWidth="1"/>
    <col min="15878" max="15878" width="12.7109375" style="380" customWidth="1"/>
    <col min="15879" max="15879" width="14" style="380" customWidth="1"/>
    <col min="15880" max="15880" width="7.42578125" style="380" customWidth="1"/>
    <col min="15881" max="16128" width="11.42578125" style="380"/>
    <col min="16129" max="16129" width="15.85546875" style="380" customWidth="1"/>
    <col min="16130" max="16130" width="14.85546875" style="380" customWidth="1"/>
    <col min="16131" max="16131" width="13.28515625" style="380" customWidth="1"/>
    <col min="16132" max="16132" width="11.42578125" style="380"/>
    <col min="16133" max="16133" width="13.42578125" style="380" customWidth="1"/>
    <col min="16134" max="16134" width="12.7109375" style="380" customWidth="1"/>
    <col min="16135" max="16135" width="14" style="380" customWidth="1"/>
    <col min="16136" max="16136" width="7.42578125" style="380" customWidth="1"/>
    <col min="16137" max="16384" width="11.42578125" style="380"/>
  </cols>
  <sheetData>
    <row r="1" spans="1:21" s="3" customFormat="1" ht="43.5" customHeight="1">
      <c r="A1" s="1346" t="str">
        <f>PPTO!D3</f>
        <v>PRESUPUESTO
MUNICIPIO EL BAGRE (ANTIOQUIA).</v>
      </c>
      <c r="B1" s="1347"/>
      <c r="C1" s="1347"/>
      <c r="D1" s="1347"/>
      <c r="E1" s="1347"/>
      <c r="F1" s="1347"/>
      <c r="G1" s="1348"/>
      <c r="H1" s="1"/>
      <c r="I1" s="2"/>
    </row>
    <row r="2" spans="1:21" s="3" customFormat="1" ht="18" customHeight="1">
      <c r="A2" s="1362" t="s">
        <v>16</v>
      </c>
      <c r="B2" s="1363"/>
      <c r="C2" s="1363"/>
      <c r="D2" s="1363"/>
      <c r="E2" s="1363"/>
      <c r="F2" s="1363"/>
      <c r="G2" s="1364"/>
      <c r="H2" s="1"/>
      <c r="I2" s="2"/>
    </row>
    <row r="3" spans="1:21" s="3" customFormat="1" ht="24.75" customHeight="1">
      <c r="A3" s="1367" t="str">
        <f>+PPTO!$D$5</f>
        <v>PROYECTO DE MEJORAMIENTO VIAL, ESPACIO PUBLICO Y OBRAS COMPLEMENTARIAS DE LA AVENIDA LA JUVENTUD Y TRAMOS ADYACENTES Y PRIORITARIOS DEL SECTOR URBANO EN EL MUNICIPIO EL BAGRE ANTIOQUIA.</v>
      </c>
      <c r="B3" s="1368"/>
      <c r="C3" s="1368"/>
      <c r="D3" s="1368"/>
      <c r="E3" s="1368"/>
      <c r="F3" s="1368"/>
      <c r="G3" s="1369"/>
      <c r="H3" s="1"/>
      <c r="I3" s="2"/>
    </row>
    <row r="4" spans="1:21" s="3" customFormat="1" ht="30" customHeight="1">
      <c r="A4" s="1370"/>
      <c r="B4" s="1368"/>
      <c r="C4" s="1368"/>
      <c r="D4" s="1368"/>
      <c r="E4" s="1368"/>
      <c r="F4" s="1368"/>
      <c r="G4" s="1369"/>
      <c r="H4" s="1"/>
      <c r="I4" s="2"/>
    </row>
    <row r="5" spans="1:21" s="3" customFormat="1" ht="6.75" customHeight="1">
      <c r="A5" s="222"/>
      <c r="B5" s="6"/>
      <c r="C5" s="24"/>
      <c r="D5" s="25"/>
      <c r="E5" s="6"/>
      <c r="F5" s="6"/>
      <c r="G5" s="223"/>
      <c r="H5" s="9"/>
    </row>
    <row r="6" spans="1:21" ht="52.5" customHeight="1">
      <c r="A6" s="371" t="s">
        <v>694</v>
      </c>
      <c r="B6" s="1349" t="str">
        <f>VLOOKUP(A6,PPTO!D10:I137,2,FALSE)</f>
        <v>Solado de limpieza de e=5cm de concreto de 2000psi , bajo estructuras.</v>
      </c>
      <c r="C6" s="1350"/>
      <c r="D6" s="1350"/>
      <c r="E6" s="1351"/>
      <c r="F6" s="192" t="s">
        <v>118</v>
      </c>
      <c r="G6" s="248" t="str">
        <f>VLOOKUP(A6,PPTO!D10:I137,3,FALSE)</f>
        <v>m2</v>
      </c>
      <c r="H6" s="382"/>
    </row>
    <row r="7" spans="1:21" ht="3.75" customHeight="1">
      <c r="A7" s="383"/>
      <c r="B7" s="384"/>
      <c r="C7" s="381"/>
      <c r="D7" s="384"/>
      <c r="E7" s="384"/>
      <c r="F7" s="384"/>
      <c r="G7" s="385"/>
      <c r="H7" s="382"/>
    </row>
    <row r="8" spans="1:21" ht="22.5" customHeight="1">
      <c r="A8" s="1408" t="s">
        <v>69</v>
      </c>
      <c r="B8" s="1409"/>
      <c r="C8" s="1409"/>
      <c r="D8" s="1409"/>
      <c r="E8" s="1409"/>
      <c r="F8" s="1409"/>
      <c r="G8" s="1410"/>
      <c r="H8" s="382"/>
    </row>
    <row r="9" spans="1:21" ht="4.5" customHeight="1">
      <c r="A9" s="383"/>
      <c r="B9" s="384"/>
      <c r="C9" s="381"/>
      <c r="D9" s="384"/>
      <c r="E9" s="384"/>
      <c r="F9" s="384"/>
      <c r="G9" s="385"/>
      <c r="H9" s="382"/>
      <c r="I9" s="386"/>
      <c r="J9" s="386"/>
      <c r="K9" s="386"/>
      <c r="L9" s="387"/>
      <c r="M9" s="386"/>
      <c r="N9" s="386"/>
      <c r="O9" s="386"/>
      <c r="P9" s="386"/>
    </row>
    <row r="10" spans="1:21">
      <c r="A10" s="1406" t="s">
        <v>17</v>
      </c>
      <c r="B10" s="1407"/>
      <c r="C10" s="1407"/>
      <c r="D10" s="743" t="s">
        <v>18</v>
      </c>
      <c r="E10" s="743" t="s">
        <v>19</v>
      </c>
      <c r="F10" s="743" t="s">
        <v>20</v>
      </c>
      <c r="G10" s="389" t="s">
        <v>21</v>
      </c>
      <c r="H10" s="390"/>
      <c r="I10" s="391"/>
      <c r="J10" s="392"/>
      <c r="K10" s="393"/>
      <c r="L10" s="393"/>
      <c r="M10" s="393"/>
      <c r="N10" s="393"/>
      <c r="O10" s="393"/>
      <c r="P10" s="386"/>
    </row>
    <row r="11" spans="1:21">
      <c r="A11" s="1387" t="s">
        <v>75</v>
      </c>
      <c r="B11" s="1388"/>
      <c r="C11" s="1388"/>
      <c r="D11" s="743"/>
      <c r="E11" s="394"/>
      <c r="F11" s="395"/>
      <c r="G11" s="396">
        <f>+G39*5%</f>
        <v>233</v>
      </c>
      <c r="H11" s="382"/>
      <c r="I11" s="393"/>
      <c r="J11" s="397"/>
      <c r="K11" s="393"/>
      <c r="L11" s="393"/>
      <c r="M11" s="393"/>
      <c r="N11" s="393"/>
      <c r="O11" s="393"/>
      <c r="P11" s="386"/>
    </row>
    <row r="12" spans="1:21">
      <c r="A12" s="1411"/>
      <c r="B12" s="1412"/>
      <c r="C12" s="1412"/>
      <c r="D12" s="394"/>
      <c r="E12" s="394"/>
      <c r="F12" s="398"/>
      <c r="G12" s="396"/>
      <c r="H12" s="382"/>
      <c r="I12" s="399"/>
      <c r="J12" s="400"/>
      <c r="K12" s="401"/>
      <c r="L12" s="401"/>
      <c r="M12" s="401"/>
      <c r="N12" s="401"/>
      <c r="O12" s="401"/>
      <c r="P12" s="386"/>
    </row>
    <row r="13" spans="1:21">
      <c r="A13" s="1411"/>
      <c r="B13" s="1412"/>
      <c r="C13" s="1412"/>
      <c r="D13" s="394"/>
      <c r="E13" s="394"/>
      <c r="F13" s="398"/>
      <c r="G13" s="396"/>
      <c r="H13" s="382"/>
      <c r="I13" s="400"/>
      <c r="J13" s="400"/>
      <c r="K13" s="400"/>
      <c r="L13" s="400"/>
      <c r="M13" s="400"/>
      <c r="N13" s="400"/>
      <c r="O13" s="400"/>
      <c r="P13" s="386"/>
    </row>
    <row r="14" spans="1:21">
      <c r="A14" s="1411"/>
      <c r="B14" s="1412"/>
      <c r="C14" s="1412"/>
      <c r="D14" s="394"/>
      <c r="E14" s="394"/>
      <c r="F14" s="398"/>
      <c r="G14" s="396"/>
      <c r="H14" s="382"/>
      <c r="I14" s="401"/>
      <c r="J14" s="402"/>
      <c r="K14" s="403"/>
      <c r="L14" s="402"/>
      <c r="M14" s="404"/>
      <c r="N14" s="404"/>
      <c r="O14" s="405"/>
      <c r="P14" s="386"/>
    </row>
    <row r="15" spans="1:21">
      <c r="A15" s="1411"/>
      <c r="B15" s="1412"/>
      <c r="C15" s="1412"/>
      <c r="D15" s="394"/>
      <c r="E15" s="394"/>
      <c r="F15" s="406"/>
      <c r="G15" s="396"/>
      <c r="H15" s="382"/>
      <c r="I15" s="401"/>
      <c r="J15" s="407"/>
      <c r="K15" s="403"/>
      <c r="L15" s="402"/>
      <c r="M15" s="404"/>
      <c r="N15" s="404"/>
      <c r="O15" s="405"/>
      <c r="P15" s="386"/>
      <c r="Q15" s="386"/>
      <c r="R15" s="386"/>
      <c r="S15" s="386"/>
      <c r="T15" s="386"/>
      <c r="U15" s="386"/>
    </row>
    <row r="16" spans="1:21">
      <c r="A16" s="1411"/>
      <c r="B16" s="1412"/>
      <c r="C16" s="1412"/>
      <c r="D16" s="408" t="s">
        <v>37</v>
      </c>
      <c r="E16" s="409"/>
      <c r="F16" s="410"/>
      <c r="G16" s="411">
        <f>SUM(G11:G15)</f>
        <v>233</v>
      </c>
      <c r="H16" s="382"/>
      <c r="I16" s="412"/>
      <c r="J16" s="412"/>
      <c r="K16" s="413"/>
      <c r="L16" s="414"/>
      <c r="M16" s="415"/>
      <c r="N16" s="415"/>
      <c r="O16" s="405"/>
      <c r="P16" s="386"/>
      <c r="Q16" s="386"/>
      <c r="R16" s="386"/>
      <c r="S16" s="386"/>
      <c r="T16" s="386"/>
      <c r="U16" s="386"/>
    </row>
    <row r="17" spans="1:21" ht="4.5" customHeight="1">
      <c r="A17" s="383"/>
      <c r="B17" s="384"/>
      <c r="C17" s="381"/>
      <c r="D17" s="384"/>
      <c r="E17" s="384"/>
      <c r="F17" s="384"/>
      <c r="G17" s="385"/>
      <c r="H17" s="382"/>
      <c r="I17" s="412"/>
      <c r="J17" s="412"/>
      <c r="K17" s="413"/>
      <c r="L17" s="414"/>
      <c r="M17" s="415"/>
      <c r="N17" s="415"/>
      <c r="O17" s="405"/>
      <c r="P17" s="386"/>
      <c r="Q17" s="386"/>
      <c r="R17" s="386"/>
      <c r="S17" s="386"/>
      <c r="T17" s="386"/>
      <c r="U17" s="386"/>
    </row>
    <row r="18" spans="1:21" ht="22.5" customHeight="1">
      <c r="A18" s="1408" t="s">
        <v>70</v>
      </c>
      <c r="B18" s="1409"/>
      <c r="C18" s="1409"/>
      <c r="D18" s="1409"/>
      <c r="E18" s="1409"/>
      <c r="F18" s="1409"/>
      <c r="G18" s="1410"/>
      <c r="H18" s="382"/>
    </row>
    <row r="19" spans="1:21" ht="4.5" customHeight="1">
      <c r="A19" s="383"/>
      <c r="B19" s="384"/>
      <c r="C19" s="381"/>
      <c r="D19" s="384"/>
      <c r="E19" s="384"/>
      <c r="F19" s="416"/>
      <c r="G19" s="385"/>
      <c r="H19" s="382"/>
      <c r="I19" s="412"/>
      <c r="J19" s="412"/>
      <c r="K19" s="413"/>
      <c r="L19" s="417"/>
      <c r="M19" s="415"/>
      <c r="N19" s="415"/>
      <c r="O19" s="401"/>
      <c r="P19" s="386"/>
      <c r="Q19" s="386"/>
      <c r="R19" s="386"/>
      <c r="S19" s="386"/>
      <c r="T19" s="386"/>
      <c r="U19" s="386"/>
    </row>
    <row r="20" spans="1:21">
      <c r="A20" s="1406" t="s">
        <v>17</v>
      </c>
      <c r="B20" s="1407"/>
      <c r="C20" s="1407"/>
      <c r="D20" s="743" t="s">
        <v>3</v>
      </c>
      <c r="E20" s="743" t="s">
        <v>4</v>
      </c>
      <c r="F20" s="743" t="s">
        <v>25</v>
      </c>
      <c r="G20" s="389" t="s">
        <v>21</v>
      </c>
      <c r="H20" s="390"/>
      <c r="I20" s="412"/>
      <c r="J20" s="412"/>
      <c r="K20" s="413"/>
      <c r="L20" s="417"/>
      <c r="M20" s="415"/>
      <c r="N20" s="415"/>
      <c r="O20" s="401"/>
      <c r="P20" s="386"/>
      <c r="Q20" s="386"/>
      <c r="R20" s="386"/>
      <c r="S20" s="386"/>
      <c r="T20" s="386"/>
      <c r="U20" s="386"/>
    </row>
    <row r="21" spans="1:21">
      <c r="A21" s="1413" t="s">
        <v>698</v>
      </c>
      <c r="B21" s="1414"/>
      <c r="C21" s="1414"/>
      <c r="D21" s="418" t="s">
        <v>44</v>
      </c>
      <c r="E21" s="419">
        <v>0.05</v>
      </c>
      <c r="F21" s="420">
        <f>'Solado 2000 PSI'!G43</f>
        <v>273811</v>
      </c>
      <c r="G21" s="421">
        <f>ROUND(F21*E21,0)</f>
        <v>13691</v>
      </c>
      <c r="H21" s="382"/>
      <c r="I21" s="412"/>
      <c r="J21" s="412"/>
      <c r="K21" s="413"/>
      <c r="L21" s="417"/>
      <c r="M21" s="415"/>
      <c r="N21" s="415"/>
      <c r="O21" s="400"/>
      <c r="P21" s="386"/>
      <c r="Q21" s="386"/>
      <c r="R21" s="386"/>
      <c r="S21" s="386"/>
      <c r="T21" s="386"/>
      <c r="U21" s="386"/>
    </row>
    <row r="22" spans="1:21">
      <c r="A22" s="494"/>
      <c r="B22" s="495"/>
      <c r="C22" s="496"/>
      <c r="D22" s="467"/>
      <c r="E22" s="423"/>
      <c r="F22" s="424"/>
      <c r="G22" s="421"/>
      <c r="H22" s="382"/>
      <c r="I22" s="425"/>
      <c r="J22" s="425"/>
      <c r="K22" s="426"/>
      <c r="L22" s="417"/>
      <c r="M22" s="415"/>
      <c r="N22" s="415"/>
      <c r="O22" s="404"/>
      <c r="P22" s="386"/>
      <c r="Q22" s="386"/>
      <c r="R22" s="386"/>
      <c r="S22" s="386"/>
      <c r="T22" s="386"/>
      <c r="U22" s="386"/>
    </row>
    <row r="23" spans="1:21">
      <c r="A23" s="494"/>
      <c r="B23" s="495"/>
      <c r="C23" s="496"/>
      <c r="D23" s="467"/>
      <c r="E23" s="423"/>
      <c r="F23" s="424"/>
      <c r="G23" s="421"/>
      <c r="H23" s="382"/>
      <c r="I23" s="425"/>
      <c r="J23" s="425"/>
      <c r="K23" s="426"/>
      <c r="L23" s="417"/>
      <c r="M23" s="415"/>
      <c r="N23" s="415"/>
      <c r="O23" s="404"/>
      <c r="P23" s="386"/>
      <c r="Q23" s="386"/>
      <c r="R23" s="386"/>
      <c r="S23" s="386"/>
      <c r="T23" s="386"/>
      <c r="U23" s="386"/>
    </row>
    <row r="24" spans="1:21">
      <c r="A24" s="494"/>
      <c r="B24" s="495"/>
      <c r="C24" s="496"/>
      <c r="D24" s="467"/>
      <c r="E24" s="423"/>
      <c r="F24" s="424"/>
      <c r="G24" s="421"/>
      <c r="H24" s="382"/>
      <c r="I24" s="425"/>
      <c r="J24" s="428"/>
      <c r="K24" s="426"/>
      <c r="L24" s="400"/>
      <c r="M24" s="402"/>
      <c r="N24" s="402"/>
      <c r="O24" s="404"/>
      <c r="P24" s="386"/>
      <c r="Q24" s="386"/>
      <c r="R24" s="386"/>
      <c r="S24" s="386"/>
      <c r="T24" s="386"/>
      <c r="U24" s="386"/>
    </row>
    <row r="25" spans="1:21">
      <c r="A25" s="494"/>
      <c r="B25" s="495"/>
      <c r="C25" s="496"/>
      <c r="D25" s="467"/>
      <c r="E25" s="423"/>
      <c r="F25" s="424"/>
      <c r="G25" s="421"/>
      <c r="H25" s="382"/>
      <c r="I25" s="425"/>
      <c r="J25" s="429"/>
      <c r="K25" s="426"/>
      <c r="L25" s="400"/>
      <c r="M25" s="402"/>
      <c r="N25" s="402"/>
      <c r="O25" s="404"/>
      <c r="P25" s="386"/>
      <c r="Q25" s="386"/>
      <c r="R25" s="386"/>
      <c r="S25" s="386"/>
      <c r="T25" s="386"/>
      <c r="U25" s="386"/>
    </row>
    <row r="26" spans="1:21">
      <c r="A26" s="1434"/>
      <c r="B26" s="1414"/>
      <c r="C26" s="1414"/>
      <c r="D26" s="467"/>
      <c r="E26" s="423"/>
      <c r="F26" s="424"/>
      <c r="G26" s="421"/>
      <c r="H26" s="382"/>
      <c r="I26" s="425"/>
      <c r="J26" s="429"/>
      <c r="K26" s="426"/>
      <c r="L26" s="400"/>
      <c r="M26" s="402"/>
      <c r="N26" s="402"/>
      <c r="O26" s="404"/>
      <c r="P26" s="386"/>
      <c r="Q26" s="386"/>
      <c r="R26" s="386"/>
      <c r="S26" s="386"/>
      <c r="T26" s="386"/>
      <c r="U26" s="386"/>
    </row>
    <row r="27" spans="1:21">
      <c r="A27" s="1387"/>
      <c r="B27" s="1388"/>
      <c r="C27" s="1388" t="s">
        <v>50</v>
      </c>
      <c r="D27" s="418"/>
      <c r="E27" s="427"/>
      <c r="F27" s="424" t="s">
        <v>243</v>
      </c>
      <c r="G27" s="421">
        <f>+G21*0.05</f>
        <v>685</v>
      </c>
      <c r="H27" s="382"/>
      <c r="I27" s="425"/>
      <c r="J27" s="429"/>
      <c r="K27" s="426"/>
      <c r="L27" s="400"/>
      <c r="M27" s="402"/>
      <c r="N27" s="402"/>
      <c r="O27" s="404"/>
      <c r="P27" s="386"/>
      <c r="Q27" s="386"/>
      <c r="R27" s="386"/>
      <c r="S27" s="386"/>
      <c r="T27" s="386"/>
      <c r="U27" s="386"/>
    </row>
    <row r="28" spans="1:21">
      <c r="A28" s="1387"/>
      <c r="B28" s="1388"/>
      <c r="C28" s="1388"/>
      <c r="D28" s="418"/>
      <c r="E28" s="427"/>
      <c r="F28" s="394"/>
      <c r="G28" s="421"/>
      <c r="H28" s="382"/>
      <c r="I28" s="424"/>
      <c r="J28" s="430"/>
      <c r="K28" s="426"/>
      <c r="L28" s="400"/>
      <c r="M28" s="402"/>
      <c r="N28" s="402"/>
      <c r="O28" s="404"/>
      <c r="P28" s="386"/>
      <c r="Q28" s="386"/>
      <c r="R28" s="386"/>
      <c r="S28" s="386"/>
      <c r="T28" s="386"/>
      <c r="U28" s="386"/>
    </row>
    <row r="29" spans="1:21">
      <c r="A29" s="1387"/>
      <c r="B29" s="1388"/>
      <c r="C29" s="1388"/>
      <c r="D29" s="431"/>
      <c r="E29" s="431"/>
      <c r="F29" s="394"/>
      <c r="G29" s="421"/>
      <c r="H29" s="382"/>
      <c r="I29" s="432"/>
      <c r="J29" s="432"/>
      <c r="K29" s="432"/>
      <c r="L29" s="400"/>
      <c r="M29" s="402"/>
      <c r="N29" s="402"/>
      <c r="O29" s="404"/>
      <c r="P29" s="386"/>
      <c r="Q29" s="386"/>
      <c r="R29" s="386"/>
      <c r="S29" s="386"/>
      <c r="T29" s="386"/>
      <c r="U29" s="386"/>
    </row>
    <row r="30" spans="1:21">
      <c r="A30" s="1387"/>
      <c r="B30" s="1388"/>
      <c r="C30" s="1388"/>
      <c r="D30" s="408" t="s">
        <v>28</v>
      </c>
      <c r="E30" s="409"/>
      <c r="F30" s="410"/>
      <c r="G30" s="411">
        <f>SUM(G21:G29)</f>
        <v>14376</v>
      </c>
      <c r="H30" s="382"/>
      <c r="I30" s="401"/>
      <c r="J30" s="400"/>
      <c r="K30" s="401"/>
      <c r="L30" s="400"/>
      <c r="M30" s="402"/>
      <c r="N30" s="402"/>
      <c r="O30" s="404"/>
      <c r="P30" s="386"/>
    </row>
    <row r="31" spans="1:21" ht="3.75" customHeight="1">
      <c r="A31" s="383"/>
      <c r="B31" s="384"/>
      <c r="C31" s="381"/>
      <c r="D31" s="384"/>
      <c r="E31" s="384"/>
      <c r="F31" s="384"/>
      <c r="G31" s="385"/>
      <c r="H31" s="382"/>
      <c r="I31" s="401"/>
      <c r="J31" s="400"/>
      <c r="K31" s="433"/>
      <c r="L31" s="400"/>
      <c r="M31" s="407"/>
      <c r="N31" s="407"/>
      <c r="O31" s="404"/>
      <c r="P31" s="386"/>
    </row>
    <row r="32" spans="1:21" ht="22.5" customHeight="1">
      <c r="A32" s="1408" t="s">
        <v>71</v>
      </c>
      <c r="B32" s="1409"/>
      <c r="C32" s="1409"/>
      <c r="D32" s="1409"/>
      <c r="E32" s="1409"/>
      <c r="F32" s="1409"/>
      <c r="G32" s="1410"/>
      <c r="H32" s="382"/>
    </row>
    <row r="33" spans="1:16" ht="3.75" customHeight="1">
      <c r="A33" s="383"/>
      <c r="B33" s="384"/>
      <c r="C33" s="381"/>
      <c r="D33" s="384"/>
      <c r="E33" s="384"/>
      <c r="F33" s="384"/>
      <c r="G33" s="385"/>
      <c r="H33" s="382"/>
      <c r="I33" s="401"/>
      <c r="J33" s="400"/>
      <c r="K33" s="401"/>
      <c r="L33" s="401"/>
      <c r="M33" s="401"/>
      <c r="N33" s="401"/>
      <c r="O33" s="404"/>
      <c r="P33" s="386"/>
    </row>
    <row r="34" spans="1:16">
      <c r="A34" s="434" t="s">
        <v>5</v>
      </c>
      <c r="B34" s="435" t="s">
        <v>29</v>
      </c>
      <c r="C34" s="435" t="s">
        <v>30</v>
      </c>
      <c r="D34" s="435" t="s">
        <v>31</v>
      </c>
      <c r="E34" s="435" t="s">
        <v>32</v>
      </c>
      <c r="F34" s="435" t="s">
        <v>20</v>
      </c>
      <c r="G34" s="389" t="s">
        <v>33</v>
      </c>
      <c r="H34" s="390"/>
      <c r="I34" s="401"/>
      <c r="J34" s="400"/>
      <c r="K34" s="401"/>
      <c r="L34" s="401"/>
      <c r="M34" s="401"/>
      <c r="N34" s="401"/>
      <c r="O34" s="404"/>
      <c r="P34" s="386"/>
    </row>
    <row r="35" spans="1:16">
      <c r="A35" s="436" t="s">
        <v>41</v>
      </c>
      <c r="B35" s="437">
        <f>BOF</f>
        <v>51749</v>
      </c>
      <c r="C35" s="438">
        <f>ffpp</f>
        <v>0.64539999999999997</v>
      </c>
      <c r="D35" s="439">
        <v>1</v>
      </c>
      <c r="E35" s="440">
        <f>OF</f>
        <v>88696</v>
      </c>
      <c r="F35" s="441">
        <v>50</v>
      </c>
      <c r="G35" s="231">
        <f>ROUND(+D35*E35/F35,0)</f>
        <v>1774</v>
      </c>
      <c r="H35" s="382"/>
      <c r="I35" s="399"/>
      <c r="J35" s="400"/>
      <c r="K35" s="401"/>
      <c r="L35" s="401"/>
      <c r="M35" s="401"/>
      <c r="N35" s="401"/>
      <c r="O35" s="404"/>
      <c r="P35" s="386"/>
    </row>
    <row r="36" spans="1:16">
      <c r="A36" s="436" t="s">
        <v>38</v>
      </c>
      <c r="B36" s="437">
        <f>BOB</f>
        <v>41749</v>
      </c>
      <c r="C36" s="438">
        <f>ffpp</f>
        <v>0.64539999999999997</v>
      </c>
      <c r="D36" s="439">
        <v>2</v>
      </c>
      <c r="E36" s="440">
        <f>OB</f>
        <v>72242</v>
      </c>
      <c r="F36" s="441">
        <f>+F35</f>
        <v>50</v>
      </c>
      <c r="G36" s="231">
        <f>ROUND(+D36*E36/F36,0)</f>
        <v>2890</v>
      </c>
      <c r="H36" s="382"/>
      <c r="I36" s="401"/>
      <c r="J36" s="401"/>
      <c r="K36" s="400"/>
      <c r="L36" s="400"/>
      <c r="M36" s="400"/>
      <c r="N36" s="400"/>
      <c r="O36" s="400"/>
      <c r="P36" s="386"/>
    </row>
    <row r="37" spans="1:16">
      <c r="A37" s="442"/>
      <c r="B37" s="409"/>
      <c r="C37" s="961"/>
      <c r="D37" s="409"/>
      <c r="E37" s="409"/>
      <c r="F37" s="409"/>
      <c r="G37" s="443"/>
      <c r="H37" s="382"/>
      <c r="I37" s="401"/>
      <c r="J37" s="400"/>
      <c r="K37" s="400"/>
      <c r="L37" s="400"/>
      <c r="M37" s="407"/>
      <c r="N37" s="407"/>
      <c r="O37" s="444"/>
      <c r="P37" s="386"/>
    </row>
    <row r="38" spans="1:16">
      <c r="A38" s="436"/>
      <c r="B38" s="441"/>
      <c r="C38" s="438"/>
      <c r="D38" s="441"/>
      <c r="E38" s="445"/>
      <c r="F38" s="445"/>
      <c r="G38" s="446"/>
      <c r="H38" s="382"/>
      <c r="I38" s="401"/>
      <c r="J38" s="400"/>
      <c r="K38" s="400"/>
      <c r="L38" s="400"/>
      <c r="M38" s="407"/>
      <c r="N38" s="407"/>
      <c r="O38" s="444"/>
      <c r="P38" s="386"/>
    </row>
    <row r="39" spans="1:16">
      <c r="A39" s="447"/>
      <c r="B39" s="448"/>
      <c r="C39" s="448"/>
      <c r="D39" s="448" t="s">
        <v>34</v>
      </c>
      <c r="E39" s="448"/>
      <c r="F39" s="448"/>
      <c r="G39" s="449">
        <f>SUM(G35:G38)</f>
        <v>4664</v>
      </c>
      <c r="H39" s="382"/>
      <c r="I39" s="401"/>
      <c r="J39" s="400"/>
      <c r="K39" s="400"/>
      <c r="L39" s="400"/>
      <c r="M39" s="402"/>
      <c r="N39" s="402"/>
      <c r="O39" s="404"/>
      <c r="P39" s="386"/>
    </row>
    <row r="40" spans="1:16">
      <c r="A40" s="383"/>
      <c r="B40" s="384"/>
      <c r="C40" s="381"/>
      <c r="D40" s="384"/>
      <c r="E40" s="384"/>
      <c r="F40" s="384"/>
      <c r="G40" s="385"/>
      <c r="H40" s="382"/>
      <c r="I40" s="401"/>
      <c r="J40" s="400"/>
      <c r="K40" s="400"/>
      <c r="L40" s="400"/>
      <c r="M40" s="402"/>
      <c r="N40" s="402"/>
      <c r="O40" s="405"/>
      <c r="P40" s="386"/>
    </row>
    <row r="41" spans="1:16">
      <c r="A41" s="383"/>
      <c r="B41" s="384"/>
      <c r="C41" s="381"/>
      <c r="D41" s="384"/>
      <c r="E41" s="384"/>
      <c r="F41" s="384"/>
      <c r="G41" s="385"/>
      <c r="H41" s="382"/>
      <c r="I41" s="401"/>
      <c r="J41" s="400"/>
      <c r="K41" s="400"/>
      <c r="L41" s="400"/>
      <c r="M41" s="450"/>
      <c r="N41" s="450"/>
      <c r="O41" s="451"/>
      <c r="P41" s="386"/>
    </row>
    <row r="42" spans="1:16" ht="14.25">
      <c r="A42" s="383"/>
      <c r="B42" s="384"/>
      <c r="C42" s="381"/>
      <c r="D42" s="1415" t="s">
        <v>35</v>
      </c>
      <c r="E42" s="1416"/>
      <c r="F42" s="1417"/>
      <c r="G42" s="452">
        <f>+G39+G30+G16</f>
        <v>19273</v>
      </c>
      <c r="H42" s="382"/>
      <c r="I42" s="401"/>
      <c r="J42" s="400"/>
      <c r="K42" s="401"/>
      <c r="L42" s="401"/>
      <c r="M42" s="401"/>
      <c r="N42" s="401"/>
      <c r="O42" s="401"/>
      <c r="P42" s="386"/>
    </row>
    <row r="43" spans="1:16" ht="14.25">
      <c r="A43" s="453"/>
      <c r="B43" s="454"/>
      <c r="C43" s="455"/>
      <c r="D43" s="456"/>
      <c r="E43" s="456"/>
      <c r="F43" s="456"/>
      <c r="G43" s="457"/>
      <c r="H43" s="382"/>
      <c r="I43" s="401"/>
      <c r="J43" s="400"/>
      <c r="K43" s="401"/>
      <c r="L43" s="401"/>
      <c r="M43" s="401"/>
      <c r="N43" s="401"/>
      <c r="O43" s="401"/>
      <c r="P43" s="386"/>
    </row>
    <row r="44" spans="1:16" ht="14.25">
      <c r="A44" s="374"/>
      <c r="B44" s="375"/>
      <c r="C44" s="375"/>
      <c r="D44" s="456"/>
      <c r="E44" s="456"/>
      <c r="F44" s="456"/>
      <c r="G44" s="457"/>
      <c r="H44" s="382"/>
      <c r="I44" s="401"/>
      <c r="J44" s="400"/>
      <c r="K44" s="401"/>
      <c r="L44" s="401"/>
      <c r="M44" s="401"/>
      <c r="N44" s="401"/>
      <c r="O44" s="401"/>
      <c r="P44" s="386"/>
    </row>
    <row r="45" spans="1:16" ht="14.25">
      <c r="A45" s="373"/>
      <c r="B45" s="376"/>
      <c r="C45" s="376"/>
      <c r="D45" s="456"/>
      <c r="E45" s="456"/>
      <c r="F45" s="456"/>
      <c r="G45" s="457"/>
      <c r="H45" s="382"/>
      <c r="I45" s="401"/>
      <c r="J45" s="400"/>
      <c r="K45" s="401"/>
      <c r="L45" s="401"/>
      <c r="M45" s="401"/>
      <c r="N45" s="401"/>
      <c r="O45" s="401"/>
      <c r="P45" s="386"/>
    </row>
    <row r="46" spans="1:16" ht="14.25">
      <c r="A46" s="373"/>
      <c r="B46" s="376"/>
      <c r="C46" s="376"/>
      <c r="D46" s="458"/>
      <c r="E46" s="459"/>
      <c r="F46" s="459"/>
      <c r="G46" s="457"/>
      <c r="H46" s="382"/>
      <c r="I46" s="401"/>
      <c r="J46" s="400"/>
      <c r="K46" s="401"/>
      <c r="L46" s="401"/>
      <c r="M46" s="401"/>
      <c r="N46" s="401"/>
      <c r="O46" s="401"/>
      <c r="P46" s="386"/>
    </row>
    <row r="47" spans="1:16" ht="15" thickBot="1">
      <c r="A47" s="460"/>
      <c r="B47" s="461"/>
      <c r="C47" s="462"/>
      <c r="D47" s="463"/>
      <c r="E47" s="464"/>
      <c r="F47" s="464"/>
      <c r="G47" s="465"/>
      <c r="H47" s="382"/>
      <c r="I47" s="401"/>
      <c r="J47" s="400"/>
      <c r="K47" s="401"/>
      <c r="L47" s="401"/>
      <c r="M47" s="401"/>
      <c r="N47" s="401"/>
      <c r="O47" s="401"/>
      <c r="P47" s="386"/>
    </row>
    <row r="48" spans="1:16">
      <c r="I48" s="386"/>
      <c r="J48" s="386"/>
      <c r="K48" s="386"/>
      <c r="L48" s="386"/>
      <c r="M48" s="386"/>
      <c r="N48" s="386"/>
      <c r="O48" s="386"/>
      <c r="P48" s="386"/>
    </row>
    <row r="49" spans="9:16">
      <c r="I49" s="386"/>
      <c r="J49" s="386"/>
      <c r="K49" s="386"/>
      <c r="L49" s="386"/>
      <c r="M49" s="386"/>
      <c r="N49" s="386"/>
      <c r="O49" s="386"/>
      <c r="P49" s="386"/>
    </row>
  </sheetData>
  <mergeCells count="22">
    <mergeCell ref="A29:C29"/>
    <mergeCell ref="A30:C30"/>
    <mergeCell ref="A32:G32"/>
    <mergeCell ref="D42:F42"/>
    <mergeCell ref="A18:G18"/>
    <mergeCell ref="A20:C20"/>
    <mergeCell ref="A21:C21"/>
    <mergeCell ref="A26:C26"/>
    <mergeCell ref="A27:C27"/>
    <mergeCell ref="A28:C28"/>
    <mergeCell ref="A16:C16"/>
    <mergeCell ref="A1:G1"/>
    <mergeCell ref="A2:G2"/>
    <mergeCell ref="A3:G4"/>
    <mergeCell ref="B6:E6"/>
    <mergeCell ref="A8:G8"/>
    <mergeCell ref="A10:C10"/>
    <mergeCell ref="A11:C11"/>
    <mergeCell ref="A12:C12"/>
    <mergeCell ref="A13:C13"/>
    <mergeCell ref="A14:C14"/>
    <mergeCell ref="A15:C15"/>
  </mergeCells>
  <printOptions horizontalCentered="1" verticalCentered="1"/>
  <pageMargins left="0.74803149606299213" right="0.74803149606299213" top="0" bottom="0.98425196850393704" header="0" footer="0"/>
  <pageSetup scale="90" orientation="portrait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8"/>
  <dimension ref="A1:U49"/>
  <sheetViews>
    <sheetView view="pageBreakPreview" topLeftCell="A7" zoomScaleNormal="100" zoomScaleSheetLayoutView="100" workbookViewId="0">
      <selection activeCell="I7" sqref="I7"/>
    </sheetView>
  </sheetViews>
  <sheetFormatPr baseColWidth="10" defaultColWidth="10.7109375" defaultRowHeight="12.75"/>
  <cols>
    <col min="1" max="1" width="15.85546875" style="3" customWidth="1"/>
    <col min="2" max="2" width="14.85546875" style="3" customWidth="1"/>
    <col min="3" max="3" width="13.28515625" style="3" customWidth="1"/>
    <col min="4" max="4" width="11.42578125" style="3"/>
    <col min="5" max="5" width="13.42578125" style="3" customWidth="1"/>
    <col min="6" max="6" width="12.7109375" style="3" customWidth="1"/>
    <col min="7" max="7" width="14" style="3" customWidth="1"/>
    <col min="8" max="8" width="7.42578125" style="3" customWidth="1"/>
    <col min="9" max="256" width="11.42578125" style="3"/>
    <col min="257" max="257" width="15.85546875" style="3" customWidth="1"/>
    <col min="258" max="258" width="14.85546875" style="3" customWidth="1"/>
    <col min="259" max="259" width="13.28515625" style="3" customWidth="1"/>
    <col min="260" max="260" width="11.42578125" style="3"/>
    <col min="261" max="261" width="13.42578125" style="3" customWidth="1"/>
    <col min="262" max="262" width="12.7109375" style="3" customWidth="1"/>
    <col min="263" max="263" width="14" style="3" customWidth="1"/>
    <col min="264" max="264" width="7.42578125" style="3" customWidth="1"/>
    <col min="265" max="512" width="11.42578125" style="3"/>
    <col min="513" max="513" width="15.85546875" style="3" customWidth="1"/>
    <col min="514" max="514" width="14.85546875" style="3" customWidth="1"/>
    <col min="515" max="515" width="13.28515625" style="3" customWidth="1"/>
    <col min="516" max="516" width="11.42578125" style="3"/>
    <col min="517" max="517" width="13.42578125" style="3" customWidth="1"/>
    <col min="518" max="518" width="12.7109375" style="3" customWidth="1"/>
    <col min="519" max="519" width="14" style="3" customWidth="1"/>
    <col min="520" max="520" width="7.42578125" style="3" customWidth="1"/>
    <col min="521" max="768" width="11.42578125" style="3"/>
    <col min="769" max="769" width="15.85546875" style="3" customWidth="1"/>
    <col min="770" max="770" width="14.85546875" style="3" customWidth="1"/>
    <col min="771" max="771" width="13.28515625" style="3" customWidth="1"/>
    <col min="772" max="772" width="11.42578125" style="3"/>
    <col min="773" max="773" width="13.42578125" style="3" customWidth="1"/>
    <col min="774" max="774" width="12.7109375" style="3" customWidth="1"/>
    <col min="775" max="775" width="14" style="3" customWidth="1"/>
    <col min="776" max="776" width="7.42578125" style="3" customWidth="1"/>
    <col min="777" max="1024" width="11.42578125" style="3"/>
    <col min="1025" max="1025" width="15.85546875" style="3" customWidth="1"/>
    <col min="1026" max="1026" width="14.85546875" style="3" customWidth="1"/>
    <col min="1027" max="1027" width="13.28515625" style="3" customWidth="1"/>
    <col min="1028" max="1028" width="11.42578125" style="3"/>
    <col min="1029" max="1029" width="13.42578125" style="3" customWidth="1"/>
    <col min="1030" max="1030" width="12.7109375" style="3" customWidth="1"/>
    <col min="1031" max="1031" width="14" style="3" customWidth="1"/>
    <col min="1032" max="1032" width="7.42578125" style="3" customWidth="1"/>
    <col min="1033" max="1280" width="11.42578125" style="3"/>
    <col min="1281" max="1281" width="15.85546875" style="3" customWidth="1"/>
    <col min="1282" max="1282" width="14.85546875" style="3" customWidth="1"/>
    <col min="1283" max="1283" width="13.28515625" style="3" customWidth="1"/>
    <col min="1284" max="1284" width="11.42578125" style="3"/>
    <col min="1285" max="1285" width="13.42578125" style="3" customWidth="1"/>
    <col min="1286" max="1286" width="12.7109375" style="3" customWidth="1"/>
    <col min="1287" max="1287" width="14" style="3" customWidth="1"/>
    <col min="1288" max="1288" width="7.42578125" style="3" customWidth="1"/>
    <col min="1289" max="1536" width="11.42578125" style="3"/>
    <col min="1537" max="1537" width="15.85546875" style="3" customWidth="1"/>
    <col min="1538" max="1538" width="14.85546875" style="3" customWidth="1"/>
    <col min="1539" max="1539" width="13.28515625" style="3" customWidth="1"/>
    <col min="1540" max="1540" width="11.42578125" style="3"/>
    <col min="1541" max="1541" width="13.42578125" style="3" customWidth="1"/>
    <col min="1542" max="1542" width="12.7109375" style="3" customWidth="1"/>
    <col min="1543" max="1543" width="14" style="3" customWidth="1"/>
    <col min="1544" max="1544" width="7.42578125" style="3" customWidth="1"/>
    <col min="1545" max="1792" width="11.42578125" style="3"/>
    <col min="1793" max="1793" width="15.85546875" style="3" customWidth="1"/>
    <col min="1794" max="1794" width="14.85546875" style="3" customWidth="1"/>
    <col min="1795" max="1795" width="13.28515625" style="3" customWidth="1"/>
    <col min="1796" max="1796" width="11.42578125" style="3"/>
    <col min="1797" max="1797" width="13.42578125" style="3" customWidth="1"/>
    <col min="1798" max="1798" width="12.7109375" style="3" customWidth="1"/>
    <col min="1799" max="1799" width="14" style="3" customWidth="1"/>
    <col min="1800" max="1800" width="7.42578125" style="3" customWidth="1"/>
    <col min="1801" max="2048" width="11.42578125" style="3"/>
    <col min="2049" max="2049" width="15.85546875" style="3" customWidth="1"/>
    <col min="2050" max="2050" width="14.85546875" style="3" customWidth="1"/>
    <col min="2051" max="2051" width="13.28515625" style="3" customWidth="1"/>
    <col min="2052" max="2052" width="11.42578125" style="3"/>
    <col min="2053" max="2053" width="13.42578125" style="3" customWidth="1"/>
    <col min="2054" max="2054" width="12.7109375" style="3" customWidth="1"/>
    <col min="2055" max="2055" width="14" style="3" customWidth="1"/>
    <col min="2056" max="2056" width="7.42578125" style="3" customWidth="1"/>
    <col min="2057" max="2304" width="11.42578125" style="3"/>
    <col min="2305" max="2305" width="15.85546875" style="3" customWidth="1"/>
    <col min="2306" max="2306" width="14.85546875" style="3" customWidth="1"/>
    <col min="2307" max="2307" width="13.28515625" style="3" customWidth="1"/>
    <col min="2308" max="2308" width="11.42578125" style="3"/>
    <col min="2309" max="2309" width="13.42578125" style="3" customWidth="1"/>
    <col min="2310" max="2310" width="12.7109375" style="3" customWidth="1"/>
    <col min="2311" max="2311" width="14" style="3" customWidth="1"/>
    <col min="2312" max="2312" width="7.42578125" style="3" customWidth="1"/>
    <col min="2313" max="2560" width="11.42578125" style="3"/>
    <col min="2561" max="2561" width="15.85546875" style="3" customWidth="1"/>
    <col min="2562" max="2562" width="14.85546875" style="3" customWidth="1"/>
    <col min="2563" max="2563" width="13.28515625" style="3" customWidth="1"/>
    <col min="2564" max="2564" width="11.42578125" style="3"/>
    <col min="2565" max="2565" width="13.42578125" style="3" customWidth="1"/>
    <col min="2566" max="2566" width="12.7109375" style="3" customWidth="1"/>
    <col min="2567" max="2567" width="14" style="3" customWidth="1"/>
    <col min="2568" max="2568" width="7.42578125" style="3" customWidth="1"/>
    <col min="2569" max="2816" width="11.42578125" style="3"/>
    <col min="2817" max="2817" width="15.85546875" style="3" customWidth="1"/>
    <col min="2818" max="2818" width="14.85546875" style="3" customWidth="1"/>
    <col min="2819" max="2819" width="13.28515625" style="3" customWidth="1"/>
    <col min="2820" max="2820" width="11.42578125" style="3"/>
    <col min="2821" max="2821" width="13.42578125" style="3" customWidth="1"/>
    <col min="2822" max="2822" width="12.7109375" style="3" customWidth="1"/>
    <col min="2823" max="2823" width="14" style="3" customWidth="1"/>
    <col min="2824" max="2824" width="7.42578125" style="3" customWidth="1"/>
    <col min="2825" max="3072" width="11.42578125" style="3"/>
    <col min="3073" max="3073" width="15.85546875" style="3" customWidth="1"/>
    <col min="3074" max="3074" width="14.85546875" style="3" customWidth="1"/>
    <col min="3075" max="3075" width="13.28515625" style="3" customWidth="1"/>
    <col min="3076" max="3076" width="11.42578125" style="3"/>
    <col min="3077" max="3077" width="13.42578125" style="3" customWidth="1"/>
    <col min="3078" max="3078" width="12.7109375" style="3" customWidth="1"/>
    <col min="3079" max="3079" width="14" style="3" customWidth="1"/>
    <col min="3080" max="3080" width="7.42578125" style="3" customWidth="1"/>
    <col min="3081" max="3328" width="11.42578125" style="3"/>
    <col min="3329" max="3329" width="15.85546875" style="3" customWidth="1"/>
    <col min="3330" max="3330" width="14.85546875" style="3" customWidth="1"/>
    <col min="3331" max="3331" width="13.28515625" style="3" customWidth="1"/>
    <col min="3332" max="3332" width="11.42578125" style="3"/>
    <col min="3333" max="3333" width="13.42578125" style="3" customWidth="1"/>
    <col min="3334" max="3334" width="12.7109375" style="3" customWidth="1"/>
    <col min="3335" max="3335" width="14" style="3" customWidth="1"/>
    <col min="3336" max="3336" width="7.42578125" style="3" customWidth="1"/>
    <col min="3337" max="3584" width="11.42578125" style="3"/>
    <col min="3585" max="3585" width="15.85546875" style="3" customWidth="1"/>
    <col min="3586" max="3586" width="14.85546875" style="3" customWidth="1"/>
    <col min="3587" max="3587" width="13.28515625" style="3" customWidth="1"/>
    <col min="3588" max="3588" width="11.42578125" style="3"/>
    <col min="3589" max="3589" width="13.42578125" style="3" customWidth="1"/>
    <col min="3590" max="3590" width="12.7109375" style="3" customWidth="1"/>
    <col min="3591" max="3591" width="14" style="3" customWidth="1"/>
    <col min="3592" max="3592" width="7.42578125" style="3" customWidth="1"/>
    <col min="3593" max="3840" width="11.42578125" style="3"/>
    <col min="3841" max="3841" width="15.85546875" style="3" customWidth="1"/>
    <col min="3842" max="3842" width="14.85546875" style="3" customWidth="1"/>
    <col min="3843" max="3843" width="13.28515625" style="3" customWidth="1"/>
    <col min="3844" max="3844" width="11.42578125" style="3"/>
    <col min="3845" max="3845" width="13.42578125" style="3" customWidth="1"/>
    <col min="3846" max="3846" width="12.7109375" style="3" customWidth="1"/>
    <col min="3847" max="3847" width="14" style="3" customWidth="1"/>
    <col min="3848" max="3848" width="7.42578125" style="3" customWidth="1"/>
    <col min="3849" max="4096" width="11.42578125" style="3"/>
    <col min="4097" max="4097" width="15.85546875" style="3" customWidth="1"/>
    <col min="4098" max="4098" width="14.85546875" style="3" customWidth="1"/>
    <col min="4099" max="4099" width="13.28515625" style="3" customWidth="1"/>
    <col min="4100" max="4100" width="11.42578125" style="3"/>
    <col min="4101" max="4101" width="13.42578125" style="3" customWidth="1"/>
    <col min="4102" max="4102" width="12.7109375" style="3" customWidth="1"/>
    <col min="4103" max="4103" width="14" style="3" customWidth="1"/>
    <col min="4104" max="4104" width="7.42578125" style="3" customWidth="1"/>
    <col min="4105" max="4352" width="11.42578125" style="3"/>
    <col min="4353" max="4353" width="15.85546875" style="3" customWidth="1"/>
    <col min="4354" max="4354" width="14.85546875" style="3" customWidth="1"/>
    <col min="4355" max="4355" width="13.28515625" style="3" customWidth="1"/>
    <col min="4356" max="4356" width="11.42578125" style="3"/>
    <col min="4357" max="4357" width="13.42578125" style="3" customWidth="1"/>
    <col min="4358" max="4358" width="12.7109375" style="3" customWidth="1"/>
    <col min="4359" max="4359" width="14" style="3" customWidth="1"/>
    <col min="4360" max="4360" width="7.42578125" style="3" customWidth="1"/>
    <col min="4361" max="4608" width="11.42578125" style="3"/>
    <col min="4609" max="4609" width="15.85546875" style="3" customWidth="1"/>
    <col min="4610" max="4610" width="14.85546875" style="3" customWidth="1"/>
    <col min="4611" max="4611" width="13.28515625" style="3" customWidth="1"/>
    <col min="4612" max="4612" width="11.42578125" style="3"/>
    <col min="4613" max="4613" width="13.42578125" style="3" customWidth="1"/>
    <col min="4614" max="4614" width="12.7109375" style="3" customWidth="1"/>
    <col min="4615" max="4615" width="14" style="3" customWidth="1"/>
    <col min="4616" max="4616" width="7.42578125" style="3" customWidth="1"/>
    <col min="4617" max="4864" width="11.42578125" style="3"/>
    <col min="4865" max="4865" width="15.85546875" style="3" customWidth="1"/>
    <col min="4866" max="4866" width="14.85546875" style="3" customWidth="1"/>
    <col min="4867" max="4867" width="13.28515625" style="3" customWidth="1"/>
    <col min="4868" max="4868" width="11.42578125" style="3"/>
    <col min="4869" max="4869" width="13.42578125" style="3" customWidth="1"/>
    <col min="4870" max="4870" width="12.7109375" style="3" customWidth="1"/>
    <col min="4871" max="4871" width="14" style="3" customWidth="1"/>
    <col min="4872" max="4872" width="7.42578125" style="3" customWidth="1"/>
    <col min="4873" max="5120" width="11.42578125" style="3"/>
    <col min="5121" max="5121" width="15.85546875" style="3" customWidth="1"/>
    <col min="5122" max="5122" width="14.85546875" style="3" customWidth="1"/>
    <col min="5123" max="5123" width="13.28515625" style="3" customWidth="1"/>
    <col min="5124" max="5124" width="11.42578125" style="3"/>
    <col min="5125" max="5125" width="13.42578125" style="3" customWidth="1"/>
    <col min="5126" max="5126" width="12.7109375" style="3" customWidth="1"/>
    <col min="5127" max="5127" width="14" style="3" customWidth="1"/>
    <col min="5128" max="5128" width="7.42578125" style="3" customWidth="1"/>
    <col min="5129" max="5376" width="11.42578125" style="3"/>
    <col min="5377" max="5377" width="15.85546875" style="3" customWidth="1"/>
    <col min="5378" max="5378" width="14.85546875" style="3" customWidth="1"/>
    <col min="5379" max="5379" width="13.28515625" style="3" customWidth="1"/>
    <col min="5380" max="5380" width="11.42578125" style="3"/>
    <col min="5381" max="5381" width="13.42578125" style="3" customWidth="1"/>
    <col min="5382" max="5382" width="12.7109375" style="3" customWidth="1"/>
    <col min="5383" max="5383" width="14" style="3" customWidth="1"/>
    <col min="5384" max="5384" width="7.42578125" style="3" customWidth="1"/>
    <col min="5385" max="5632" width="11.42578125" style="3"/>
    <col min="5633" max="5633" width="15.85546875" style="3" customWidth="1"/>
    <col min="5634" max="5634" width="14.85546875" style="3" customWidth="1"/>
    <col min="5635" max="5635" width="13.28515625" style="3" customWidth="1"/>
    <col min="5636" max="5636" width="11.42578125" style="3"/>
    <col min="5637" max="5637" width="13.42578125" style="3" customWidth="1"/>
    <col min="5638" max="5638" width="12.7109375" style="3" customWidth="1"/>
    <col min="5639" max="5639" width="14" style="3" customWidth="1"/>
    <col min="5640" max="5640" width="7.42578125" style="3" customWidth="1"/>
    <col min="5641" max="5888" width="11.42578125" style="3"/>
    <col min="5889" max="5889" width="15.85546875" style="3" customWidth="1"/>
    <col min="5890" max="5890" width="14.85546875" style="3" customWidth="1"/>
    <col min="5891" max="5891" width="13.28515625" style="3" customWidth="1"/>
    <col min="5892" max="5892" width="11.42578125" style="3"/>
    <col min="5893" max="5893" width="13.42578125" style="3" customWidth="1"/>
    <col min="5894" max="5894" width="12.7109375" style="3" customWidth="1"/>
    <col min="5895" max="5895" width="14" style="3" customWidth="1"/>
    <col min="5896" max="5896" width="7.42578125" style="3" customWidth="1"/>
    <col min="5897" max="6144" width="11.42578125" style="3"/>
    <col min="6145" max="6145" width="15.85546875" style="3" customWidth="1"/>
    <col min="6146" max="6146" width="14.85546875" style="3" customWidth="1"/>
    <col min="6147" max="6147" width="13.28515625" style="3" customWidth="1"/>
    <col min="6148" max="6148" width="11.42578125" style="3"/>
    <col min="6149" max="6149" width="13.42578125" style="3" customWidth="1"/>
    <col min="6150" max="6150" width="12.7109375" style="3" customWidth="1"/>
    <col min="6151" max="6151" width="14" style="3" customWidth="1"/>
    <col min="6152" max="6152" width="7.42578125" style="3" customWidth="1"/>
    <col min="6153" max="6400" width="11.42578125" style="3"/>
    <col min="6401" max="6401" width="15.85546875" style="3" customWidth="1"/>
    <col min="6402" max="6402" width="14.85546875" style="3" customWidth="1"/>
    <col min="6403" max="6403" width="13.28515625" style="3" customWidth="1"/>
    <col min="6404" max="6404" width="11.42578125" style="3"/>
    <col min="6405" max="6405" width="13.42578125" style="3" customWidth="1"/>
    <col min="6406" max="6406" width="12.7109375" style="3" customWidth="1"/>
    <col min="6407" max="6407" width="14" style="3" customWidth="1"/>
    <col min="6408" max="6408" width="7.42578125" style="3" customWidth="1"/>
    <col min="6409" max="6656" width="11.42578125" style="3"/>
    <col min="6657" max="6657" width="15.85546875" style="3" customWidth="1"/>
    <col min="6658" max="6658" width="14.85546875" style="3" customWidth="1"/>
    <col min="6659" max="6659" width="13.28515625" style="3" customWidth="1"/>
    <col min="6660" max="6660" width="11.42578125" style="3"/>
    <col min="6661" max="6661" width="13.42578125" style="3" customWidth="1"/>
    <col min="6662" max="6662" width="12.7109375" style="3" customWidth="1"/>
    <col min="6663" max="6663" width="14" style="3" customWidth="1"/>
    <col min="6664" max="6664" width="7.42578125" style="3" customWidth="1"/>
    <col min="6665" max="6912" width="11.42578125" style="3"/>
    <col min="6913" max="6913" width="15.85546875" style="3" customWidth="1"/>
    <col min="6914" max="6914" width="14.85546875" style="3" customWidth="1"/>
    <col min="6915" max="6915" width="13.28515625" style="3" customWidth="1"/>
    <col min="6916" max="6916" width="11.42578125" style="3"/>
    <col min="6917" max="6917" width="13.42578125" style="3" customWidth="1"/>
    <col min="6918" max="6918" width="12.7109375" style="3" customWidth="1"/>
    <col min="6919" max="6919" width="14" style="3" customWidth="1"/>
    <col min="6920" max="6920" width="7.42578125" style="3" customWidth="1"/>
    <col min="6921" max="7168" width="11.42578125" style="3"/>
    <col min="7169" max="7169" width="15.85546875" style="3" customWidth="1"/>
    <col min="7170" max="7170" width="14.85546875" style="3" customWidth="1"/>
    <col min="7171" max="7171" width="13.28515625" style="3" customWidth="1"/>
    <col min="7172" max="7172" width="11.42578125" style="3"/>
    <col min="7173" max="7173" width="13.42578125" style="3" customWidth="1"/>
    <col min="7174" max="7174" width="12.7109375" style="3" customWidth="1"/>
    <col min="7175" max="7175" width="14" style="3" customWidth="1"/>
    <col min="7176" max="7176" width="7.42578125" style="3" customWidth="1"/>
    <col min="7177" max="7424" width="11.42578125" style="3"/>
    <col min="7425" max="7425" width="15.85546875" style="3" customWidth="1"/>
    <col min="7426" max="7426" width="14.85546875" style="3" customWidth="1"/>
    <col min="7427" max="7427" width="13.28515625" style="3" customWidth="1"/>
    <col min="7428" max="7428" width="11.42578125" style="3"/>
    <col min="7429" max="7429" width="13.42578125" style="3" customWidth="1"/>
    <col min="7430" max="7430" width="12.7109375" style="3" customWidth="1"/>
    <col min="7431" max="7431" width="14" style="3" customWidth="1"/>
    <col min="7432" max="7432" width="7.42578125" style="3" customWidth="1"/>
    <col min="7433" max="7680" width="11.42578125" style="3"/>
    <col min="7681" max="7681" width="15.85546875" style="3" customWidth="1"/>
    <col min="7682" max="7682" width="14.85546875" style="3" customWidth="1"/>
    <col min="7683" max="7683" width="13.28515625" style="3" customWidth="1"/>
    <col min="7684" max="7684" width="11.42578125" style="3"/>
    <col min="7685" max="7685" width="13.42578125" style="3" customWidth="1"/>
    <col min="7686" max="7686" width="12.7109375" style="3" customWidth="1"/>
    <col min="7687" max="7687" width="14" style="3" customWidth="1"/>
    <col min="7688" max="7688" width="7.42578125" style="3" customWidth="1"/>
    <col min="7689" max="7936" width="11.42578125" style="3"/>
    <col min="7937" max="7937" width="15.85546875" style="3" customWidth="1"/>
    <col min="7938" max="7938" width="14.85546875" style="3" customWidth="1"/>
    <col min="7939" max="7939" width="13.28515625" style="3" customWidth="1"/>
    <col min="7940" max="7940" width="11.42578125" style="3"/>
    <col min="7941" max="7941" width="13.42578125" style="3" customWidth="1"/>
    <col min="7942" max="7942" width="12.7109375" style="3" customWidth="1"/>
    <col min="7943" max="7943" width="14" style="3" customWidth="1"/>
    <col min="7944" max="7944" width="7.42578125" style="3" customWidth="1"/>
    <col min="7945" max="8192" width="11.42578125" style="3"/>
    <col min="8193" max="8193" width="15.85546875" style="3" customWidth="1"/>
    <col min="8194" max="8194" width="14.85546875" style="3" customWidth="1"/>
    <col min="8195" max="8195" width="13.28515625" style="3" customWidth="1"/>
    <col min="8196" max="8196" width="11.42578125" style="3"/>
    <col min="8197" max="8197" width="13.42578125" style="3" customWidth="1"/>
    <col min="8198" max="8198" width="12.7109375" style="3" customWidth="1"/>
    <col min="8199" max="8199" width="14" style="3" customWidth="1"/>
    <col min="8200" max="8200" width="7.42578125" style="3" customWidth="1"/>
    <col min="8201" max="8448" width="11.42578125" style="3"/>
    <col min="8449" max="8449" width="15.85546875" style="3" customWidth="1"/>
    <col min="8450" max="8450" width="14.85546875" style="3" customWidth="1"/>
    <col min="8451" max="8451" width="13.28515625" style="3" customWidth="1"/>
    <col min="8452" max="8452" width="11.42578125" style="3"/>
    <col min="8453" max="8453" width="13.42578125" style="3" customWidth="1"/>
    <col min="8454" max="8454" width="12.7109375" style="3" customWidth="1"/>
    <col min="8455" max="8455" width="14" style="3" customWidth="1"/>
    <col min="8456" max="8456" width="7.42578125" style="3" customWidth="1"/>
    <col min="8457" max="8704" width="11.42578125" style="3"/>
    <col min="8705" max="8705" width="15.85546875" style="3" customWidth="1"/>
    <col min="8706" max="8706" width="14.85546875" style="3" customWidth="1"/>
    <col min="8707" max="8707" width="13.28515625" style="3" customWidth="1"/>
    <col min="8708" max="8708" width="11.42578125" style="3"/>
    <col min="8709" max="8709" width="13.42578125" style="3" customWidth="1"/>
    <col min="8710" max="8710" width="12.7109375" style="3" customWidth="1"/>
    <col min="8711" max="8711" width="14" style="3" customWidth="1"/>
    <col min="8712" max="8712" width="7.42578125" style="3" customWidth="1"/>
    <col min="8713" max="8960" width="11.42578125" style="3"/>
    <col min="8961" max="8961" width="15.85546875" style="3" customWidth="1"/>
    <col min="8962" max="8962" width="14.85546875" style="3" customWidth="1"/>
    <col min="8963" max="8963" width="13.28515625" style="3" customWidth="1"/>
    <col min="8964" max="8964" width="11.42578125" style="3"/>
    <col min="8965" max="8965" width="13.42578125" style="3" customWidth="1"/>
    <col min="8966" max="8966" width="12.7109375" style="3" customWidth="1"/>
    <col min="8967" max="8967" width="14" style="3" customWidth="1"/>
    <col min="8968" max="8968" width="7.42578125" style="3" customWidth="1"/>
    <col min="8969" max="9216" width="11.42578125" style="3"/>
    <col min="9217" max="9217" width="15.85546875" style="3" customWidth="1"/>
    <col min="9218" max="9218" width="14.85546875" style="3" customWidth="1"/>
    <col min="9219" max="9219" width="13.28515625" style="3" customWidth="1"/>
    <col min="9220" max="9220" width="11.42578125" style="3"/>
    <col min="9221" max="9221" width="13.42578125" style="3" customWidth="1"/>
    <col min="9222" max="9222" width="12.7109375" style="3" customWidth="1"/>
    <col min="9223" max="9223" width="14" style="3" customWidth="1"/>
    <col min="9224" max="9224" width="7.42578125" style="3" customWidth="1"/>
    <col min="9225" max="9472" width="11.42578125" style="3"/>
    <col min="9473" max="9473" width="15.85546875" style="3" customWidth="1"/>
    <col min="9474" max="9474" width="14.85546875" style="3" customWidth="1"/>
    <col min="9475" max="9475" width="13.28515625" style="3" customWidth="1"/>
    <col min="9476" max="9476" width="11.42578125" style="3"/>
    <col min="9477" max="9477" width="13.42578125" style="3" customWidth="1"/>
    <col min="9478" max="9478" width="12.7109375" style="3" customWidth="1"/>
    <col min="9479" max="9479" width="14" style="3" customWidth="1"/>
    <col min="9480" max="9480" width="7.42578125" style="3" customWidth="1"/>
    <col min="9481" max="9728" width="11.42578125" style="3"/>
    <col min="9729" max="9729" width="15.85546875" style="3" customWidth="1"/>
    <col min="9730" max="9730" width="14.85546875" style="3" customWidth="1"/>
    <col min="9731" max="9731" width="13.28515625" style="3" customWidth="1"/>
    <col min="9732" max="9732" width="11.42578125" style="3"/>
    <col min="9733" max="9733" width="13.42578125" style="3" customWidth="1"/>
    <col min="9734" max="9734" width="12.7109375" style="3" customWidth="1"/>
    <col min="9735" max="9735" width="14" style="3" customWidth="1"/>
    <col min="9736" max="9736" width="7.42578125" style="3" customWidth="1"/>
    <col min="9737" max="9984" width="11.42578125" style="3"/>
    <col min="9985" max="9985" width="15.85546875" style="3" customWidth="1"/>
    <col min="9986" max="9986" width="14.85546875" style="3" customWidth="1"/>
    <col min="9987" max="9987" width="13.28515625" style="3" customWidth="1"/>
    <col min="9988" max="9988" width="11.42578125" style="3"/>
    <col min="9989" max="9989" width="13.42578125" style="3" customWidth="1"/>
    <col min="9990" max="9990" width="12.7109375" style="3" customWidth="1"/>
    <col min="9991" max="9991" width="14" style="3" customWidth="1"/>
    <col min="9992" max="9992" width="7.42578125" style="3" customWidth="1"/>
    <col min="9993" max="10240" width="11.42578125" style="3"/>
    <col min="10241" max="10241" width="15.85546875" style="3" customWidth="1"/>
    <col min="10242" max="10242" width="14.85546875" style="3" customWidth="1"/>
    <col min="10243" max="10243" width="13.28515625" style="3" customWidth="1"/>
    <col min="10244" max="10244" width="11.42578125" style="3"/>
    <col min="10245" max="10245" width="13.42578125" style="3" customWidth="1"/>
    <col min="10246" max="10246" width="12.7109375" style="3" customWidth="1"/>
    <col min="10247" max="10247" width="14" style="3" customWidth="1"/>
    <col min="10248" max="10248" width="7.42578125" style="3" customWidth="1"/>
    <col min="10249" max="10496" width="11.42578125" style="3"/>
    <col min="10497" max="10497" width="15.85546875" style="3" customWidth="1"/>
    <col min="10498" max="10498" width="14.85546875" style="3" customWidth="1"/>
    <col min="10499" max="10499" width="13.28515625" style="3" customWidth="1"/>
    <col min="10500" max="10500" width="11.42578125" style="3"/>
    <col min="10501" max="10501" width="13.42578125" style="3" customWidth="1"/>
    <col min="10502" max="10502" width="12.7109375" style="3" customWidth="1"/>
    <col min="10503" max="10503" width="14" style="3" customWidth="1"/>
    <col min="10504" max="10504" width="7.42578125" style="3" customWidth="1"/>
    <col min="10505" max="10752" width="11.42578125" style="3"/>
    <col min="10753" max="10753" width="15.85546875" style="3" customWidth="1"/>
    <col min="10754" max="10754" width="14.85546875" style="3" customWidth="1"/>
    <col min="10755" max="10755" width="13.28515625" style="3" customWidth="1"/>
    <col min="10756" max="10756" width="11.42578125" style="3"/>
    <col min="10757" max="10757" width="13.42578125" style="3" customWidth="1"/>
    <col min="10758" max="10758" width="12.7109375" style="3" customWidth="1"/>
    <col min="10759" max="10759" width="14" style="3" customWidth="1"/>
    <col min="10760" max="10760" width="7.42578125" style="3" customWidth="1"/>
    <col min="10761" max="11008" width="11.42578125" style="3"/>
    <col min="11009" max="11009" width="15.85546875" style="3" customWidth="1"/>
    <col min="11010" max="11010" width="14.85546875" style="3" customWidth="1"/>
    <col min="11011" max="11011" width="13.28515625" style="3" customWidth="1"/>
    <col min="11012" max="11012" width="11.42578125" style="3"/>
    <col min="11013" max="11013" width="13.42578125" style="3" customWidth="1"/>
    <col min="11014" max="11014" width="12.7109375" style="3" customWidth="1"/>
    <col min="11015" max="11015" width="14" style="3" customWidth="1"/>
    <col min="11016" max="11016" width="7.42578125" style="3" customWidth="1"/>
    <col min="11017" max="11264" width="11.42578125" style="3"/>
    <col min="11265" max="11265" width="15.85546875" style="3" customWidth="1"/>
    <col min="11266" max="11266" width="14.85546875" style="3" customWidth="1"/>
    <col min="11267" max="11267" width="13.28515625" style="3" customWidth="1"/>
    <col min="11268" max="11268" width="11.42578125" style="3"/>
    <col min="11269" max="11269" width="13.42578125" style="3" customWidth="1"/>
    <col min="11270" max="11270" width="12.7109375" style="3" customWidth="1"/>
    <col min="11271" max="11271" width="14" style="3" customWidth="1"/>
    <col min="11272" max="11272" width="7.42578125" style="3" customWidth="1"/>
    <col min="11273" max="11520" width="11.42578125" style="3"/>
    <col min="11521" max="11521" width="15.85546875" style="3" customWidth="1"/>
    <col min="11522" max="11522" width="14.85546875" style="3" customWidth="1"/>
    <col min="11523" max="11523" width="13.28515625" style="3" customWidth="1"/>
    <col min="11524" max="11524" width="11.42578125" style="3"/>
    <col min="11525" max="11525" width="13.42578125" style="3" customWidth="1"/>
    <col min="11526" max="11526" width="12.7109375" style="3" customWidth="1"/>
    <col min="11527" max="11527" width="14" style="3" customWidth="1"/>
    <col min="11528" max="11528" width="7.42578125" style="3" customWidth="1"/>
    <col min="11529" max="11776" width="11.42578125" style="3"/>
    <col min="11777" max="11777" width="15.85546875" style="3" customWidth="1"/>
    <col min="11778" max="11778" width="14.85546875" style="3" customWidth="1"/>
    <col min="11779" max="11779" width="13.28515625" style="3" customWidth="1"/>
    <col min="11780" max="11780" width="11.42578125" style="3"/>
    <col min="11781" max="11781" width="13.42578125" style="3" customWidth="1"/>
    <col min="11782" max="11782" width="12.7109375" style="3" customWidth="1"/>
    <col min="11783" max="11783" width="14" style="3" customWidth="1"/>
    <col min="11784" max="11784" width="7.42578125" style="3" customWidth="1"/>
    <col min="11785" max="12032" width="11.42578125" style="3"/>
    <col min="12033" max="12033" width="15.85546875" style="3" customWidth="1"/>
    <col min="12034" max="12034" width="14.85546875" style="3" customWidth="1"/>
    <col min="12035" max="12035" width="13.28515625" style="3" customWidth="1"/>
    <col min="12036" max="12036" width="11.42578125" style="3"/>
    <col min="12037" max="12037" width="13.42578125" style="3" customWidth="1"/>
    <col min="12038" max="12038" width="12.7109375" style="3" customWidth="1"/>
    <col min="12039" max="12039" width="14" style="3" customWidth="1"/>
    <col min="12040" max="12040" width="7.42578125" style="3" customWidth="1"/>
    <col min="12041" max="12288" width="11.42578125" style="3"/>
    <col min="12289" max="12289" width="15.85546875" style="3" customWidth="1"/>
    <col min="12290" max="12290" width="14.85546875" style="3" customWidth="1"/>
    <col min="12291" max="12291" width="13.28515625" style="3" customWidth="1"/>
    <col min="12292" max="12292" width="11.42578125" style="3"/>
    <col min="12293" max="12293" width="13.42578125" style="3" customWidth="1"/>
    <col min="12294" max="12294" width="12.7109375" style="3" customWidth="1"/>
    <col min="12295" max="12295" width="14" style="3" customWidth="1"/>
    <col min="12296" max="12296" width="7.42578125" style="3" customWidth="1"/>
    <col min="12297" max="12544" width="11.42578125" style="3"/>
    <col min="12545" max="12545" width="15.85546875" style="3" customWidth="1"/>
    <col min="12546" max="12546" width="14.85546875" style="3" customWidth="1"/>
    <col min="12547" max="12547" width="13.28515625" style="3" customWidth="1"/>
    <col min="12548" max="12548" width="11.42578125" style="3"/>
    <col min="12549" max="12549" width="13.42578125" style="3" customWidth="1"/>
    <col min="12550" max="12550" width="12.7109375" style="3" customWidth="1"/>
    <col min="12551" max="12551" width="14" style="3" customWidth="1"/>
    <col min="12552" max="12552" width="7.42578125" style="3" customWidth="1"/>
    <col min="12553" max="12800" width="11.42578125" style="3"/>
    <col min="12801" max="12801" width="15.85546875" style="3" customWidth="1"/>
    <col min="12802" max="12802" width="14.85546875" style="3" customWidth="1"/>
    <col min="12803" max="12803" width="13.28515625" style="3" customWidth="1"/>
    <col min="12804" max="12804" width="11.42578125" style="3"/>
    <col min="12805" max="12805" width="13.42578125" style="3" customWidth="1"/>
    <col min="12806" max="12806" width="12.7109375" style="3" customWidth="1"/>
    <col min="12807" max="12807" width="14" style="3" customWidth="1"/>
    <col min="12808" max="12808" width="7.42578125" style="3" customWidth="1"/>
    <col min="12809" max="13056" width="11.42578125" style="3"/>
    <col min="13057" max="13057" width="15.85546875" style="3" customWidth="1"/>
    <col min="13058" max="13058" width="14.85546875" style="3" customWidth="1"/>
    <col min="13059" max="13059" width="13.28515625" style="3" customWidth="1"/>
    <col min="13060" max="13060" width="11.42578125" style="3"/>
    <col min="13061" max="13061" width="13.42578125" style="3" customWidth="1"/>
    <col min="13062" max="13062" width="12.7109375" style="3" customWidth="1"/>
    <col min="13063" max="13063" width="14" style="3" customWidth="1"/>
    <col min="13064" max="13064" width="7.42578125" style="3" customWidth="1"/>
    <col min="13065" max="13312" width="11.42578125" style="3"/>
    <col min="13313" max="13313" width="15.85546875" style="3" customWidth="1"/>
    <col min="13314" max="13314" width="14.85546875" style="3" customWidth="1"/>
    <col min="13315" max="13315" width="13.28515625" style="3" customWidth="1"/>
    <col min="13316" max="13316" width="11.42578125" style="3"/>
    <col min="13317" max="13317" width="13.42578125" style="3" customWidth="1"/>
    <col min="13318" max="13318" width="12.7109375" style="3" customWidth="1"/>
    <col min="13319" max="13319" width="14" style="3" customWidth="1"/>
    <col min="13320" max="13320" width="7.42578125" style="3" customWidth="1"/>
    <col min="13321" max="13568" width="11.42578125" style="3"/>
    <col min="13569" max="13569" width="15.85546875" style="3" customWidth="1"/>
    <col min="13570" max="13570" width="14.85546875" style="3" customWidth="1"/>
    <col min="13571" max="13571" width="13.28515625" style="3" customWidth="1"/>
    <col min="13572" max="13572" width="11.42578125" style="3"/>
    <col min="13573" max="13573" width="13.42578125" style="3" customWidth="1"/>
    <col min="13574" max="13574" width="12.7109375" style="3" customWidth="1"/>
    <col min="13575" max="13575" width="14" style="3" customWidth="1"/>
    <col min="13576" max="13576" width="7.42578125" style="3" customWidth="1"/>
    <col min="13577" max="13824" width="11.42578125" style="3"/>
    <col min="13825" max="13825" width="15.85546875" style="3" customWidth="1"/>
    <col min="13826" max="13826" width="14.85546875" style="3" customWidth="1"/>
    <col min="13827" max="13827" width="13.28515625" style="3" customWidth="1"/>
    <col min="13828" max="13828" width="11.42578125" style="3"/>
    <col min="13829" max="13829" width="13.42578125" style="3" customWidth="1"/>
    <col min="13830" max="13830" width="12.7109375" style="3" customWidth="1"/>
    <col min="13831" max="13831" width="14" style="3" customWidth="1"/>
    <col min="13832" max="13832" width="7.42578125" style="3" customWidth="1"/>
    <col min="13833" max="14080" width="11.42578125" style="3"/>
    <col min="14081" max="14081" width="15.85546875" style="3" customWidth="1"/>
    <col min="14082" max="14082" width="14.85546875" style="3" customWidth="1"/>
    <col min="14083" max="14083" width="13.28515625" style="3" customWidth="1"/>
    <col min="14084" max="14084" width="11.42578125" style="3"/>
    <col min="14085" max="14085" width="13.42578125" style="3" customWidth="1"/>
    <col min="14086" max="14086" width="12.7109375" style="3" customWidth="1"/>
    <col min="14087" max="14087" width="14" style="3" customWidth="1"/>
    <col min="14088" max="14088" width="7.42578125" style="3" customWidth="1"/>
    <col min="14089" max="14336" width="11.42578125" style="3"/>
    <col min="14337" max="14337" width="15.85546875" style="3" customWidth="1"/>
    <col min="14338" max="14338" width="14.85546875" style="3" customWidth="1"/>
    <col min="14339" max="14339" width="13.28515625" style="3" customWidth="1"/>
    <col min="14340" max="14340" width="11.42578125" style="3"/>
    <col min="14341" max="14341" width="13.42578125" style="3" customWidth="1"/>
    <col min="14342" max="14342" width="12.7109375" style="3" customWidth="1"/>
    <col min="14343" max="14343" width="14" style="3" customWidth="1"/>
    <col min="14344" max="14344" width="7.42578125" style="3" customWidth="1"/>
    <col min="14345" max="14592" width="11.42578125" style="3"/>
    <col min="14593" max="14593" width="15.85546875" style="3" customWidth="1"/>
    <col min="14594" max="14594" width="14.85546875" style="3" customWidth="1"/>
    <col min="14595" max="14595" width="13.28515625" style="3" customWidth="1"/>
    <col min="14596" max="14596" width="11.42578125" style="3"/>
    <col min="14597" max="14597" width="13.42578125" style="3" customWidth="1"/>
    <col min="14598" max="14598" width="12.7109375" style="3" customWidth="1"/>
    <col min="14599" max="14599" width="14" style="3" customWidth="1"/>
    <col min="14600" max="14600" width="7.42578125" style="3" customWidth="1"/>
    <col min="14601" max="14848" width="11.42578125" style="3"/>
    <col min="14849" max="14849" width="15.85546875" style="3" customWidth="1"/>
    <col min="14850" max="14850" width="14.85546875" style="3" customWidth="1"/>
    <col min="14851" max="14851" width="13.28515625" style="3" customWidth="1"/>
    <col min="14852" max="14852" width="11.42578125" style="3"/>
    <col min="14853" max="14853" width="13.42578125" style="3" customWidth="1"/>
    <col min="14854" max="14854" width="12.7109375" style="3" customWidth="1"/>
    <col min="14855" max="14855" width="14" style="3" customWidth="1"/>
    <col min="14856" max="14856" width="7.42578125" style="3" customWidth="1"/>
    <col min="14857" max="15104" width="11.42578125" style="3"/>
    <col min="15105" max="15105" width="15.85546875" style="3" customWidth="1"/>
    <col min="15106" max="15106" width="14.85546875" style="3" customWidth="1"/>
    <col min="15107" max="15107" width="13.28515625" style="3" customWidth="1"/>
    <col min="15108" max="15108" width="11.42578125" style="3"/>
    <col min="15109" max="15109" width="13.42578125" style="3" customWidth="1"/>
    <col min="15110" max="15110" width="12.7109375" style="3" customWidth="1"/>
    <col min="15111" max="15111" width="14" style="3" customWidth="1"/>
    <col min="15112" max="15112" width="7.42578125" style="3" customWidth="1"/>
    <col min="15113" max="15360" width="11.42578125" style="3"/>
    <col min="15361" max="15361" width="15.85546875" style="3" customWidth="1"/>
    <col min="15362" max="15362" width="14.85546875" style="3" customWidth="1"/>
    <col min="15363" max="15363" width="13.28515625" style="3" customWidth="1"/>
    <col min="15364" max="15364" width="11.42578125" style="3"/>
    <col min="15365" max="15365" width="13.42578125" style="3" customWidth="1"/>
    <col min="15366" max="15366" width="12.7109375" style="3" customWidth="1"/>
    <col min="15367" max="15367" width="14" style="3" customWidth="1"/>
    <col min="15368" max="15368" width="7.42578125" style="3" customWidth="1"/>
    <col min="15369" max="15616" width="11.42578125" style="3"/>
    <col min="15617" max="15617" width="15.85546875" style="3" customWidth="1"/>
    <col min="15618" max="15618" width="14.85546875" style="3" customWidth="1"/>
    <col min="15619" max="15619" width="13.28515625" style="3" customWidth="1"/>
    <col min="15620" max="15620" width="11.42578125" style="3"/>
    <col min="15621" max="15621" width="13.42578125" style="3" customWidth="1"/>
    <col min="15622" max="15622" width="12.7109375" style="3" customWidth="1"/>
    <col min="15623" max="15623" width="14" style="3" customWidth="1"/>
    <col min="15624" max="15624" width="7.42578125" style="3" customWidth="1"/>
    <col min="15625" max="15872" width="11.42578125" style="3"/>
    <col min="15873" max="15873" width="15.85546875" style="3" customWidth="1"/>
    <col min="15874" max="15874" width="14.85546875" style="3" customWidth="1"/>
    <col min="15875" max="15875" width="13.28515625" style="3" customWidth="1"/>
    <col min="15876" max="15876" width="11.42578125" style="3"/>
    <col min="15877" max="15877" width="13.42578125" style="3" customWidth="1"/>
    <col min="15878" max="15878" width="12.7109375" style="3" customWidth="1"/>
    <col min="15879" max="15879" width="14" style="3" customWidth="1"/>
    <col min="15880" max="15880" width="7.42578125" style="3" customWidth="1"/>
    <col min="15881" max="16128" width="11.42578125" style="3"/>
    <col min="16129" max="16129" width="15.85546875" style="3" customWidth="1"/>
    <col min="16130" max="16130" width="14.85546875" style="3" customWidth="1"/>
    <col min="16131" max="16131" width="13.28515625" style="3" customWidth="1"/>
    <col min="16132" max="16132" width="11.42578125" style="3"/>
    <col min="16133" max="16133" width="13.42578125" style="3" customWidth="1"/>
    <col min="16134" max="16134" width="12.7109375" style="3" customWidth="1"/>
    <col min="16135" max="16135" width="14" style="3" customWidth="1"/>
    <col min="16136" max="16136" width="7.42578125" style="3" customWidth="1"/>
    <col min="16137" max="16384" width="11.42578125" style="3"/>
  </cols>
  <sheetData>
    <row r="1" spans="1:21" ht="48" customHeight="1">
      <c r="A1" s="1346" t="str">
        <f>PPTO!D3</f>
        <v>PRESUPUESTO
MUNICIPIO EL BAGRE (ANTIOQUIA).</v>
      </c>
      <c r="B1" s="1347"/>
      <c r="C1" s="1347"/>
      <c r="D1" s="1347"/>
      <c r="E1" s="1347"/>
      <c r="F1" s="1347"/>
      <c r="G1" s="1348"/>
      <c r="H1" s="1"/>
      <c r="I1" s="2"/>
    </row>
    <row r="2" spans="1:21" ht="18" customHeight="1">
      <c r="A2" s="1362" t="s">
        <v>16</v>
      </c>
      <c r="B2" s="1363"/>
      <c r="C2" s="1363"/>
      <c r="D2" s="1363"/>
      <c r="E2" s="1363"/>
      <c r="F2" s="1363"/>
      <c r="G2" s="1364"/>
      <c r="H2" s="1"/>
      <c r="I2" s="2"/>
    </row>
    <row r="3" spans="1:21" ht="27" customHeight="1">
      <c r="A3" s="1367" t="str">
        <f>+PPTO!$D$5</f>
        <v>PROYECTO DE MEJORAMIENTO VIAL, ESPACIO PUBLICO Y OBRAS COMPLEMENTARIAS DE LA AVENIDA LA JUVENTUD Y TRAMOS ADYACENTES Y PRIORITARIOS DEL SECTOR URBANO EN EL MUNICIPIO EL BAGRE ANTIOQUIA.</v>
      </c>
      <c r="B3" s="1368"/>
      <c r="C3" s="1368"/>
      <c r="D3" s="1368"/>
      <c r="E3" s="1368"/>
      <c r="F3" s="1368"/>
      <c r="G3" s="1369"/>
      <c r="H3" s="1"/>
      <c r="I3" s="2"/>
    </row>
    <row r="4" spans="1:21" ht="30" customHeight="1">
      <c r="A4" s="1370"/>
      <c r="B4" s="1368"/>
      <c r="C4" s="1368"/>
      <c r="D4" s="1368"/>
      <c r="E4" s="1368"/>
      <c r="F4" s="1368"/>
      <c r="G4" s="1369"/>
      <c r="H4" s="1"/>
      <c r="I4" s="2"/>
    </row>
    <row r="5" spans="1:21" ht="6.75" customHeight="1">
      <c r="A5" s="222"/>
      <c r="B5" s="6"/>
      <c r="C5" s="24"/>
      <c r="D5" s="25"/>
      <c r="E5" s="6"/>
      <c r="F5" s="6"/>
      <c r="G5" s="223"/>
      <c r="H5" s="9"/>
    </row>
    <row r="6" spans="1:21" ht="52.5" customHeight="1">
      <c r="A6" s="368">
        <v>5.0999999999999996</v>
      </c>
      <c r="B6" s="1349" t="str">
        <f>VLOOKUP(A6,PPTO!D10:I137,2,FALSE)</f>
        <v>Linea de 0.12 en pintura de trafico para señalización horizontal. (Manual Señalizacion MinT Colombia 2015)</v>
      </c>
      <c r="C6" s="1350"/>
      <c r="D6" s="1350"/>
      <c r="E6" s="1351"/>
      <c r="F6" s="192" t="s">
        <v>118</v>
      </c>
      <c r="G6" s="248" t="str">
        <f>VLOOKUP(A6,PPTO!D10:I137,3,FALSE)</f>
        <v>m</v>
      </c>
      <c r="H6" s="9"/>
    </row>
    <row r="7" spans="1:21" ht="3.75" customHeight="1">
      <c r="A7" s="226"/>
      <c r="B7" s="4"/>
      <c r="C7" s="6"/>
      <c r="D7" s="4"/>
      <c r="E7" s="4"/>
      <c r="F7" s="4"/>
      <c r="G7" s="227"/>
      <c r="H7" s="9"/>
    </row>
    <row r="8" spans="1:21" ht="22.5" customHeight="1">
      <c r="A8" s="1354" t="s">
        <v>69</v>
      </c>
      <c r="B8" s="1355"/>
      <c r="C8" s="1355"/>
      <c r="D8" s="1355"/>
      <c r="E8" s="1355"/>
      <c r="F8" s="1355"/>
      <c r="G8" s="1356"/>
      <c r="H8" s="9"/>
    </row>
    <row r="9" spans="1:21" ht="4.5" customHeight="1">
      <c r="A9" s="226"/>
      <c r="B9" s="4"/>
      <c r="C9" s="6"/>
      <c r="D9" s="4"/>
      <c r="E9" s="4"/>
      <c r="F9" s="4"/>
      <c r="G9" s="227"/>
      <c r="H9" s="9"/>
      <c r="I9" s="5"/>
      <c r="J9" s="5"/>
      <c r="K9" s="5"/>
      <c r="L9" s="26"/>
      <c r="M9" s="5"/>
      <c r="N9" s="5"/>
      <c r="O9" s="5"/>
      <c r="P9" s="5"/>
    </row>
    <row r="10" spans="1:21">
      <c r="A10" s="1373" t="s">
        <v>17</v>
      </c>
      <c r="B10" s="1374"/>
      <c r="C10" s="1374"/>
      <c r="D10" s="220" t="s">
        <v>18</v>
      </c>
      <c r="E10" s="220" t="s">
        <v>19</v>
      </c>
      <c r="F10" s="220" t="s">
        <v>20</v>
      </c>
      <c r="G10" s="228" t="s">
        <v>21</v>
      </c>
      <c r="H10" s="27"/>
      <c r="I10" s="28"/>
      <c r="J10" s="29"/>
      <c r="K10" s="30"/>
      <c r="L10" s="30"/>
      <c r="M10" s="30"/>
      <c r="N10" s="30"/>
      <c r="O10" s="30"/>
      <c r="P10" s="5"/>
    </row>
    <row r="11" spans="1:21">
      <c r="A11" s="1352" t="s">
        <v>75</v>
      </c>
      <c r="B11" s="1353"/>
      <c r="C11" s="1353"/>
      <c r="D11" s="220"/>
      <c r="E11" s="83"/>
      <c r="F11" s="97"/>
      <c r="G11" s="229">
        <f>+G39*5%</f>
        <v>16</v>
      </c>
      <c r="H11" s="9"/>
      <c r="I11" s="30"/>
      <c r="J11" s="31"/>
      <c r="K11" s="30"/>
      <c r="L11" s="30"/>
      <c r="M11" s="30"/>
      <c r="N11" s="30"/>
      <c r="O11" s="30"/>
      <c r="P11" s="5"/>
    </row>
    <row r="12" spans="1:21">
      <c r="A12" s="1371" t="s">
        <v>120</v>
      </c>
      <c r="B12" s="1372"/>
      <c r="C12" s="1372"/>
      <c r="D12" s="83" t="s">
        <v>708</v>
      </c>
      <c r="E12" s="83">
        <v>1200000</v>
      </c>
      <c r="F12" s="93">
        <f>F35</f>
        <v>500</v>
      </c>
      <c r="G12" s="231">
        <f>E12/F12</f>
        <v>2400</v>
      </c>
      <c r="H12" s="9"/>
      <c r="I12" s="16"/>
      <c r="J12" s="13"/>
      <c r="K12" s="8"/>
      <c r="L12" s="8"/>
      <c r="M12" s="8"/>
      <c r="N12" s="8"/>
      <c r="O12" s="8"/>
      <c r="P12" s="5"/>
    </row>
    <row r="13" spans="1:21">
      <c r="A13" s="1371"/>
      <c r="B13" s="1372"/>
      <c r="C13" s="1372"/>
      <c r="D13" s="83"/>
      <c r="E13" s="83"/>
      <c r="F13" s="93"/>
      <c r="G13" s="229"/>
      <c r="H13" s="9"/>
      <c r="I13" s="13"/>
      <c r="J13" s="13"/>
      <c r="K13" s="13"/>
      <c r="L13" s="13"/>
      <c r="M13" s="13"/>
      <c r="N13" s="13"/>
      <c r="O13" s="13"/>
      <c r="P13" s="5"/>
    </row>
    <row r="14" spans="1:21">
      <c r="A14" s="1371"/>
      <c r="B14" s="1372"/>
      <c r="C14" s="1372"/>
      <c r="D14" s="83"/>
      <c r="E14" s="83"/>
      <c r="F14" s="93"/>
      <c r="G14" s="229"/>
      <c r="H14" s="9"/>
      <c r="I14" s="8"/>
      <c r="J14" s="14"/>
      <c r="K14" s="32"/>
      <c r="L14" s="14"/>
      <c r="M14" s="15"/>
      <c r="N14" s="15"/>
      <c r="O14" s="19"/>
      <c r="P14" s="5"/>
    </row>
    <row r="15" spans="1:21">
      <c r="A15" s="1371"/>
      <c r="B15" s="1372"/>
      <c r="C15" s="1372"/>
      <c r="D15" s="83"/>
      <c r="E15" s="83"/>
      <c r="F15" s="98"/>
      <c r="G15" s="229"/>
      <c r="H15" s="9"/>
      <c r="I15" s="8"/>
      <c r="J15" s="33"/>
      <c r="K15" s="32"/>
      <c r="L15" s="14"/>
      <c r="M15" s="15"/>
      <c r="N15" s="15"/>
      <c r="O15" s="19"/>
      <c r="P15" s="5"/>
      <c r="Q15" s="5"/>
      <c r="R15" s="5"/>
      <c r="S15" s="5"/>
      <c r="T15" s="5"/>
      <c r="U15" s="5"/>
    </row>
    <row r="16" spans="1:21">
      <c r="A16" s="1371"/>
      <c r="B16" s="1372"/>
      <c r="C16" s="1372"/>
      <c r="D16" s="85" t="s">
        <v>37</v>
      </c>
      <c r="E16" s="50"/>
      <c r="F16" s="49"/>
      <c r="G16" s="230">
        <f>SUM(G11:G15)</f>
        <v>2416</v>
      </c>
      <c r="H16" s="9"/>
      <c r="I16" s="34"/>
      <c r="J16" s="34"/>
      <c r="K16" s="35"/>
      <c r="L16" s="36"/>
      <c r="M16" s="7"/>
      <c r="N16" s="7"/>
      <c r="O16" s="19"/>
      <c r="P16" s="5"/>
      <c r="Q16" s="5"/>
      <c r="R16" s="5"/>
      <c r="S16" s="5"/>
      <c r="T16" s="5"/>
      <c r="U16" s="5"/>
    </row>
    <row r="17" spans="1:21" ht="4.5" customHeight="1">
      <c r="A17" s="226"/>
      <c r="B17" s="4"/>
      <c r="C17" s="6"/>
      <c r="D17" s="4"/>
      <c r="E17" s="4"/>
      <c r="F17" s="4"/>
      <c r="G17" s="227"/>
      <c r="H17" s="9"/>
      <c r="I17" s="34"/>
      <c r="J17" s="34"/>
      <c r="K17" s="35"/>
      <c r="L17" s="36"/>
      <c r="M17" s="7"/>
      <c r="N17" s="7"/>
      <c r="O17" s="19"/>
      <c r="P17" s="5"/>
      <c r="Q17" s="5"/>
      <c r="R17" s="5"/>
      <c r="S17" s="5"/>
      <c r="T17" s="5"/>
      <c r="U17" s="5"/>
    </row>
    <row r="18" spans="1:21" ht="22.5" customHeight="1">
      <c r="A18" s="1354" t="s">
        <v>70</v>
      </c>
      <c r="B18" s="1355"/>
      <c r="C18" s="1355"/>
      <c r="D18" s="1355"/>
      <c r="E18" s="1355"/>
      <c r="F18" s="1355"/>
      <c r="G18" s="1356"/>
      <c r="H18" s="9"/>
    </row>
    <row r="19" spans="1:21" ht="4.5" customHeight="1">
      <c r="A19" s="226"/>
      <c r="B19" s="4"/>
      <c r="C19" s="6"/>
      <c r="D19" s="4"/>
      <c r="E19" s="4"/>
      <c r="F19" s="38"/>
      <c r="G19" s="227"/>
      <c r="H19" s="9"/>
      <c r="I19" s="34"/>
      <c r="J19" s="34"/>
      <c r="K19" s="35"/>
      <c r="L19" s="39"/>
      <c r="M19" s="7"/>
      <c r="N19" s="7"/>
      <c r="O19" s="8"/>
      <c r="P19" s="5"/>
      <c r="Q19" s="5"/>
      <c r="R19" s="5"/>
      <c r="S19" s="5"/>
      <c r="T19" s="5"/>
      <c r="U19" s="5"/>
    </row>
    <row r="20" spans="1:21">
      <c r="A20" s="1373" t="s">
        <v>17</v>
      </c>
      <c r="B20" s="1374"/>
      <c r="C20" s="1374"/>
      <c r="D20" s="220" t="s">
        <v>3</v>
      </c>
      <c r="E20" s="220" t="s">
        <v>4</v>
      </c>
      <c r="F20" s="220" t="s">
        <v>25</v>
      </c>
      <c r="G20" s="228" t="s">
        <v>21</v>
      </c>
      <c r="H20" s="27"/>
      <c r="I20" s="34"/>
      <c r="J20" s="34"/>
      <c r="K20" s="35"/>
      <c r="L20" s="39"/>
      <c r="M20" s="7"/>
      <c r="N20" s="7"/>
      <c r="O20" s="8"/>
      <c r="P20" s="5"/>
      <c r="Q20" s="5"/>
      <c r="R20" s="5"/>
      <c r="S20" s="5"/>
      <c r="T20" s="5"/>
      <c r="U20" s="5"/>
    </row>
    <row r="21" spans="1:21">
      <c r="A21" s="1413" t="s">
        <v>58</v>
      </c>
      <c r="B21" s="1414"/>
      <c r="C21" s="1414"/>
      <c r="D21" s="418" t="s">
        <v>49</v>
      </c>
      <c r="E21" s="423">
        <v>5.0000000000000001E-3</v>
      </c>
      <c r="F21" s="420">
        <v>75000</v>
      </c>
      <c r="G21" s="421">
        <f>ROUND(F21*E21,0)</f>
        <v>375</v>
      </c>
      <c r="H21" s="9"/>
      <c r="I21" s="34"/>
      <c r="J21" s="34"/>
      <c r="K21" s="35"/>
      <c r="L21" s="39"/>
      <c r="M21" s="7"/>
      <c r="N21" s="7"/>
      <c r="O21" s="13"/>
      <c r="P21" s="5"/>
      <c r="Q21" s="5"/>
      <c r="R21" s="5"/>
      <c r="S21" s="5"/>
      <c r="T21" s="5"/>
      <c r="U21" s="5"/>
    </row>
    <row r="22" spans="1:21">
      <c r="A22" s="1413" t="s">
        <v>56</v>
      </c>
      <c r="B22" s="1414"/>
      <c r="C22" s="1414"/>
      <c r="D22" s="418" t="s">
        <v>49</v>
      </c>
      <c r="E22" s="423">
        <v>5.0000000000000001E-3</v>
      </c>
      <c r="F22" s="424">
        <v>20000</v>
      </c>
      <c r="G22" s="421">
        <f>ROUND(F22*E22,0)</f>
        <v>100</v>
      </c>
      <c r="H22" s="9"/>
      <c r="I22" s="10"/>
      <c r="J22" s="10"/>
      <c r="K22" s="12"/>
      <c r="L22" s="39"/>
      <c r="M22" s="7"/>
      <c r="N22" s="7"/>
      <c r="O22" s="15"/>
      <c r="P22" s="5"/>
      <c r="Q22" s="5"/>
      <c r="R22" s="5"/>
      <c r="S22" s="5"/>
      <c r="T22" s="5"/>
      <c r="U22" s="5"/>
    </row>
    <row r="23" spans="1:21">
      <c r="A23" s="1387" t="s">
        <v>60</v>
      </c>
      <c r="B23" s="1388"/>
      <c r="C23" s="1388"/>
      <c r="D23" s="73" t="s">
        <v>59</v>
      </c>
      <c r="E23" s="423">
        <v>5.0000000000000001E-3</v>
      </c>
      <c r="F23" s="424">
        <v>35500</v>
      </c>
      <c r="G23" s="421">
        <f>ROUND(F23*E23,0)</f>
        <v>178</v>
      </c>
      <c r="H23" s="9"/>
      <c r="I23" s="10"/>
      <c r="J23" s="10"/>
      <c r="K23" s="12"/>
      <c r="L23" s="39"/>
      <c r="M23" s="7"/>
      <c r="N23" s="7"/>
      <c r="O23" s="15"/>
      <c r="P23" s="5"/>
      <c r="Q23" s="5"/>
      <c r="R23" s="5"/>
      <c r="S23" s="5"/>
      <c r="T23" s="5"/>
      <c r="U23" s="5"/>
    </row>
    <row r="24" spans="1:21">
      <c r="A24" s="1352"/>
      <c r="B24" s="1353"/>
      <c r="C24" s="1353"/>
      <c r="D24" s="81"/>
      <c r="E24" s="88"/>
      <c r="F24" s="78"/>
      <c r="G24" s="231"/>
      <c r="H24" s="9"/>
      <c r="I24" s="10"/>
      <c r="J24" s="40"/>
      <c r="K24" s="12"/>
      <c r="L24" s="13"/>
      <c r="M24" s="14"/>
      <c r="N24" s="14"/>
      <c r="O24" s="15"/>
      <c r="P24" s="5"/>
      <c r="Q24" s="5"/>
      <c r="R24" s="5"/>
      <c r="S24" s="5"/>
      <c r="T24" s="5"/>
      <c r="U24" s="5"/>
    </row>
    <row r="25" spans="1:21">
      <c r="A25" s="1352"/>
      <c r="B25" s="1353"/>
      <c r="C25" s="1353"/>
      <c r="D25" s="81"/>
      <c r="E25" s="82"/>
      <c r="F25" s="78"/>
      <c r="G25" s="231"/>
      <c r="H25" s="9"/>
      <c r="I25" s="10"/>
      <c r="J25" s="11"/>
      <c r="K25" s="12"/>
      <c r="L25" s="13"/>
      <c r="M25" s="14"/>
      <c r="N25" s="14"/>
      <c r="O25" s="15"/>
      <c r="P25" s="5"/>
      <c r="Q25" s="5"/>
      <c r="R25" s="5"/>
      <c r="S25" s="5"/>
      <c r="T25" s="5"/>
      <c r="U25" s="5"/>
    </row>
    <row r="26" spans="1:21">
      <c r="A26" s="1352"/>
      <c r="B26" s="1353"/>
      <c r="C26" s="1353"/>
      <c r="D26" s="79"/>
      <c r="E26" s="82"/>
      <c r="F26" s="78"/>
      <c r="G26" s="231"/>
      <c r="H26" s="9"/>
      <c r="I26" s="10"/>
      <c r="J26" s="11"/>
      <c r="K26" s="12"/>
      <c r="L26" s="13"/>
      <c r="M26" s="14"/>
      <c r="N26" s="14"/>
      <c r="O26" s="15"/>
      <c r="P26" s="5"/>
      <c r="Q26" s="5"/>
      <c r="R26" s="5"/>
      <c r="S26" s="5"/>
      <c r="T26" s="5"/>
      <c r="U26" s="5"/>
    </row>
    <row r="27" spans="1:21">
      <c r="A27" s="1352"/>
      <c r="B27" s="1353"/>
      <c r="C27" s="1353"/>
      <c r="D27" s="79"/>
      <c r="E27" s="82"/>
      <c r="F27" s="78"/>
      <c r="G27" s="231"/>
      <c r="H27" s="9"/>
      <c r="I27" s="10"/>
      <c r="J27" s="11"/>
      <c r="K27" s="12"/>
      <c r="L27" s="13"/>
      <c r="M27" s="14"/>
      <c r="N27" s="14"/>
      <c r="O27" s="15"/>
      <c r="P27" s="5"/>
      <c r="Q27" s="5"/>
      <c r="R27" s="5"/>
      <c r="S27" s="5"/>
      <c r="T27" s="5"/>
      <c r="U27" s="5"/>
    </row>
    <row r="28" spans="1:21">
      <c r="A28" s="1352"/>
      <c r="B28" s="1353"/>
      <c r="C28" s="1353"/>
      <c r="D28" s="79"/>
      <c r="E28" s="82"/>
      <c r="F28" s="83"/>
      <c r="G28" s="231"/>
      <c r="H28" s="9"/>
      <c r="I28" s="41"/>
      <c r="J28" s="41"/>
      <c r="K28" s="12"/>
      <c r="L28" s="13"/>
      <c r="M28" s="14"/>
      <c r="N28" s="14"/>
      <c r="O28" s="15"/>
      <c r="P28" s="5"/>
      <c r="Q28" s="5"/>
      <c r="R28" s="5"/>
      <c r="S28" s="5"/>
      <c r="T28" s="5"/>
      <c r="U28" s="5"/>
    </row>
    <row r="29" spans="1:21">
      <c r="A29" s="1352"/>
      <c r="B29" s="1353"/>
      <c r="C29" s="1353"/>
      <c r="D29" s="84"/>
      <c r="E29" s="84"/>
      <c r="F29" s="83"/>
      <c r="G29" s="231"/>
      <c r="H29" s="9"/>
      <c r="I29" s="42"/>
      <c r="J29" s="42"/>
      <c r="K29" s="42"/>
      <c r="L29" s="13"/>
      <c r="M29" s="14"/>
      <c r="N29" s="14"/>
      <c r="O29" s="15"/>
      <c r="P29" s="5"/>
      <c r="Q29" s="5"/>
      <c r="R29" s="5"/>
      <c r="S29" s="5"/>
      <c r="T29" s="5"/>
      <c r="U29" s="5"/>
    </row>
    <row r="30" spans="1:21">
      <c r="A30" s="1352"/>
      <c r="B30" s="1353"/>
      <c r="C30" s="1353"/>
      <c r="D30" s="85" t="s">
        <v>28</v>
      </c>
      <c r="E30" s="50"/>
      <c r="F30" s="49"/>
      <c r="G30" s="230">
        <f>SUM(G21:G29)</f>
        <v>653</v>
      </c>
      <c r="H30" s="9"/>
      <c r="I30" s="8"/>
      <c r="J30" s="13"/>
      <c r="K30" s="8"/>
      <c r="L30" s="13"/>
      <c r="M30" s="14"/>
      <c r="N30" s="14"/>
      <c r="O30" s="15"/>
      <c r="P30" s="5"/>
    </row>
    <row r="31" spans="1:21" ht="3.75" customHeight="1">
      <c r="A31" s="226"/>
      <c r="B31" s="4"/>
      <c r="C31" s="6"/>
      <c r="D31" s="4"/>
      <c r="E31" s="4"/>
      <c r="F31" s="4"/>
      <c r="G31" s="227"/>
      <c r="H31" s="9"/>
      <c r="I31" s="8"/>
      <c r="J31" s="13"/>
      <c r="K31" s="18"/>
      <c r="L31" s="13"/>
      <c r="M31" s="33"/>
      <c r="N31" s="33"/>
      <c r="O31" s="15"/>
      <c r="P31" s="5"/>
    </row>
    <row r="32" spans="1:21" ht="22.5" customHeight="1">
      <c r="A32" s="1354" t="s">
        <v>71</v>
      </c>
      <c r="B32" s="1355"/>
      <c r="C32" s="1355"/>
      <c r="D32" s="1355"/>
      <c r="E32" s="1355"/>
      <c r="F32" s="1355"/>
      <c r="G32" s="1356"/>
      <c r="H32" s="9"/>
    </row>
    <row r="33" spans="1:16" ht="3.75" customHeight="1">
      <c r="A33" s="226"/>
      <c r="B33" s="4"/>
      <c r="C33" s="6"/>
      <c r="D33" s="4"/>
      <c r="E33" s="4"/>
      <c r="F33" s="4"/>
      <c r="G33" s="227"/>
      <c r="H33" s="9"/>
      <c r="I33" s="8"/>
      <c r="J33" s="13"/>
      <c r="K33" s="8"/>
      <c r="L33" s="8"/>
      <c r="M33" s="8"/>
      <c r="N33" s="8"/>
      <c r="O33" s="15"/>
      <c r="P33" s="5"/>
    </row>
    <row r="34" spans="1:16">
      <c r="A34" s="232" t="s">
        <v>5</v>
      </c>
      <c r="B34" s="60" t="s">
        <v>29</v>
      </c>
      <c r="C34" s="60" t="s">
        <v>30</v>
      </c>
      <c r="D34" s="60" t="s">
        <v>31</v>
      </c>
      <c r="E34" s="60" t="s">
        <v>32</v>
      </c>
      <c r="F34" s="60" t="s">
        <v>20</v>
      </c>
      <c r="G34" s="228" t="s">
        <v>33</v>
      </c>
      <c r="H34" s="27"/>
      <c r="I34" s="8"/>
      <c r="J34" s="13"/>
      <c r="K34" s="8"/>
      <c r="L34" s="8"/>
      <c r="M34" s="8"/>
      <c r="N34" s="8"/>
      <c r="O34" s="15"/>
      <c r="P34" s="5"/>
    </row>
    <row r="35" spans="1:16">
      <c r="A35" s="233" t="s">
        <v>41</v>
      </c>
      <c r="B35" s="63">
        <f>BOF</f>
        <v>51749</v>
      </c>
      <c r="C35" s="68">
        <f>ffpp</f>
        <v>0.64539999999999997</v>
      </c>
      <c r="D35" s="72">
        <v>1</v>
      </c>
      <c r="E35" s="66">
        <f>OF</f>
        <v>88696</v>
      </c>
      <c r="F35" s="65">
        <v>500</v>
      </c>
      <c r="G35" s="231">
        <f>ROUND(+D35*E35/F35,0)</f>
        <v>177</v>
      </c>
      <c r="H35" s="9"/>
      <c r="I35" s="16"/>
      <c r="J35" s="13"/>
      <c r="K35" s="8"/>
      <c r="L35" s="8"/>
      <c r="M35" s="8"/>
      <c r="N35" s="8"/>
      <c r="O35" s="15"/>
      <c r="P35" s="5"/>
    </row>
    <row r="36" spans="1:16">
      <c r="A36" s="233" t="s">
        <v>38</v>
      </c>
      <c r="B36" s="63">
        <f>BOB</f>
        <v>41749</v>
      </c>
      <c r="C36" s="68">
        <f>ffpp</f>
        <v>0.64539999999999997</v>
      </c>
      <c r="D36" s="72">
        <v>1</v>
      </c>
      <c r="E36" s="66">
        <f>OB</f>
        <v>72242</v>
      </c>
      <c r="F36" s="65">
        <f>+F35</f>
        <v>500</v>
      </c>
      <c r="G36" s="231">
        <f>ROUND(+D36*E36/F36,0)</f>
        <v>144</v>
      </c>
      <c r="H36" s="9"/>
      <c r="I36" s="8"/>
      <c r="J36" s="8"/>
      <c r="K36" s="13"/>
      <c r="L36" s="13"/>
      <c r="M36" s="13"/>
      <c r="N36" s="13"/>
      <c r="O36" s="13"/>
      <c r="P36" s="5"/>
    </row>
    <row r="37" spans="1:16">
      <c r="A37" s="234"/>
      <c r="B37" s="50"/>
      <c r="C37" s="961"/>
      <c r="D37" s="50"/>
      <c r="E37" s="50"/>
      <c r="F37" s="50"/>
      <c r="G37" s="235"/>
      <c r="H37" s="9"/>
      <c r="I37" s="8"/>
      <c r="J37" s="13"/>
      <c r="K37" s="13"/>
      <c r="L37" s="13"/>
      <c r="M37" s="33"/>
      <c r="N37" s="33"/>
      <c r="O37" s="43"/>
      <c r="P37" s="5"/>
    </row>
    <row r="38" spans="1:16">
      <c r="A38" s="233"/>
      <c r="B38" s="65"/>
      <c r="C38" s="68"/>
      <c r="D38" s="65"/>
      <c r="E38" s="69"/>
      <c r="F38" s="69"/>
      <c r="G38" s="236"/>
      <c r="H38" s="9"/>
      <c r="I38" s="8"/>
      <c r="J38" s="13"/>
      <c r="K38" s="13"/>
      <c r="L38" s="13"/>
      <c r="M38" s="33"/>
      <c r="N38" s="33"/>
      <c r="O38" s="43"/>
      <c r="P38" s="5"/>
    </row>
    <row r="39" spans="1:16">
      <c r="A39" s="249"/>
      <c r="B39" s="71"/>
      <c r="C39" s="71"/>
      <c r="D39" s="71" t="s">
        <v>34</v>
      </c>
      <c r="E39" s="71"/>
      <c r="F39" s="71"/>
      <c r="G39" s="250">
        <f>SUM(G35:G38)</f>
        <v>321</v>
      </c>
      <c r="H39" s="9"/>
      <c r="I39" s="8"/>
      <c r="J39" s="13"/>
      <c r="K39" s="13"/>
      <c r="L39" s="13"/>
      <c r="M39" s="14"/>
      <c r="N39" s="14"/>
      <c r="O39" s="15"/>
      <c r="P39" s="5"/>
    </row>
    <row r="40" spans="1:16">
      <c r="A40" s="226"/>
      <c r="B40" s="4"/>
      <c r="C40" s="6"/>
      <c r="D40" s="4"/>
      <c r="E40" s="4"/>
      <c r="F40" s="4"/>
      <c r="G40" s="227"/>
      <c r="H40" s="9"/>
      <c r="I40" s="8"/>
      <c r="J40" s="13"/>
      <c r="K40" s="13"/>
      <c r="L40" s="13"/>
      <c r="M40" s="14"/>
      <c r="N40" s="14"/>
      <c r="O40" s="19"/>
      <c r="P40" s="5"/>
    </row>
    <row r="41" spans="1:16">
      <c r="A41" s="226"/>
      <c r="B41" s="4"/>
      <c r="C41" s="6"/>
      <c r="D41" s="4"/>
      <c r="E41" s="4"/>
      <c r="F41" s="4"/>
      <c r="G41" s="227"/>
      <c r="H41" s="9"/>
      <c r="I41" s="8"/>
      <c r="J41" s="13"/>
      <c r="K41" s="13"/>
      <c r="L41" s="13"/>
      <c r="M41" s="17"/>
      <c r="N41" s="17"/>
      <c r="O41" s="37"/>
      <c r="P41" s="5"/>
    </row>
    <row r="42" spans="1:16" ht="14.25">
      <c r="A42" s="226"/>
      <c r="B42" s="4"/>
      <c r="C42" s="6"/>
      <c r="D42" s="1357" t="s">
        <v>35</v>
      </c>
      <c r="E42" s="1358"/>
      <c r="F42" s="1359"/>
      <c r="G42" s="239">
        <f>+G39+G30+G16</f>
        <v>3390</v>
      </c>
      <c r="H42" s="9"/>
      <c r="I42" s="48"/>
      <c r="J42" s="20"/>
      <c r="K42" s="8"/>
      <c r="L42" s="8"/>
      <c r="M42" s="8"/>
      <c r="N42" s="8"/>
      <c r="O42" s="8"/>
      <c r="P42" s="5"/>
    </row>
    <row r="43" spans="1:16" ht="14.25">
      <c r="A43" s="240"/>
      <c r="B43" s="57"/>
      <c r="C43" s="58"/>
      <c r="D43" s="99"/>
      <c r="E43" s="99"/>
      <c r="F43" s="99"/>
      <c r="G43" s="251"/>
      <c r="H43" s="9"/>
      <c r="I43" s="48"/>
      <c r="J43" s="20"/>
      <c r="K43" s="8"/>
      <c r="L43" s="8"/>
      <c r="M43" s="8"/>
      <c r="N43" s="8"/>
      <c r="O43" s="8"/>
      <c r="P43" s="5"/>
    </row>
    <row r="44" spans="1:16" ht="14.25">
      <c r="A44" s="374"/>
      <c r="B44" s="375"/>
      <c r="C44" s="375"/>
      <c r="D44" s="99"/>
      <c r="E44" s="99"/>
      <c r="F44" s="99"/>
      <c r="G44" s="251"/>
      <c r="H44" s="9"/>
      <c r="I44" s="48"/>
      <c r="J44" s="20"/>
      <c r="K44" s="8"/>
      <c r="L44" s="8"/>
      <c r="M44" s="8"/>
      <c r="N44" s="8"/>
      <c r="O44" s="8"/>
      <c r="P44" s="5"/>
    </row>
    <row r="45" spans="1:16" ht="14.25">
      <c r="A45" s="373"/>
      <c r="B45" s="376"/>
      <c r="C45" s="376"/>
      <c r="D45" s="99"/>
      <c r="E45" s="99"/>
      <c r="F45" s="99"/>
      <c r="G45" s="251"/>
      <c r="H45" s="9"/>
      <c r="I45" s="48"/>
      <c r="J45" s="20"/>
      <c r="K45" s="8"/>
      <c r="L45" s="8"/>
      <c r="M45" s="8"/>
      <c r="N45" s="8"/>
      <c r="O45" s="8"/>
      <c r="P45" s="5"/>
    </row>
    <row r="46" spans="1:16" ht="14.25">
      <c r="A46" s="373"/>
      <c r="B46" s="376"/>
      <c r="C46" s="376"/>
      <c r="D46" s="44"/>
      <c r="E46" s="45"/>
      <c r="F46" s="45"/>
      <c r="G46" s="251"/>
      <c r="H46" s="9"/>
      <c r="I46" s="8"/>
      <c r="J46" s="13"/>
      <c r="K46" s="8"/>
      <c r="L46" s="8"/>
      <c r="M46" s="8"/>
      <c r="N46" s="8"/>
      <c r="O46" s="8"/>
      <c r="P46" s="5"/>
    </row>
    <row r="47" spans="1:16" ht="15" thickBot="1">
      <c r="A47" s="242"/>
      <c r="B47" s="243"/>
      <c r="C47" s="244"/>
      <c r="D47" s="245"/>
      <c r="E47" s="246"/>
      <c r="F47" s="246"/>
      <c r="G47" s="247"/>
      <c r="H47" s="9"/>
      <c r="I47" s="8"/>
      <c r="J47" s="13"/>
      <c r="K47" s="8"/>
      <c r="L47" s="8"/>
      <c r="M47" s="8"/>
      <c r="N47" s="8"/>
      <c r="O47" s="8"/>
      <c r="P47" s="5"/>
    </row>
    <row r="48" spans="1:16">
      <c r="I48" s="5"/>
      <c r="J48" s="5"/>
      <c r="K48" s="5"/>
      <c r="L48" s="5"/>
      <c r="M48" s="5"/>
      <c r="N48" s="5"/>
      <c r="O48" s="5"/>
      <c r="P48" s="5"/>
    </row>
    <row r="49" spans="9:16">
      <c r="I49" s="5"/>
      <c r="J49" s="5"/>
      <c r="K49" s="5"/>
      <c r="L49" s="5"/>
      <c r="M49" s="5"/>
      <c r="N49" s="5"/>
      <c r="O49" s="5"/>
      <c r="P49" s="5"/>
    </row>
  </sheetData>
  <mergeCells count="26">
    <mergeCell ref="A14:C14"/>
    <mergeCell ref="A15:C15"/>
    <mergeCell ref="A20:C20"/>
    <mergeCell ref="A16:C16"/>
    <mergeCell ref="A18:G18"/>
    <mergeCell ref="A11:C11"/>
    <mergeCell ref="A12:C12"/>
    <mergeCell ref="A13:C13"/>
    <mergeCell ref="A8:G8"/>
    <mergeCell ref="B6:E6"/>
    <mergeCell ref="A1:G1"/>
    <mergeCell ref="A30:C30"/>
    <mergeCell ref="A32:G32"/>
    <mergeCell ref="D42:F42"/>
    <mergeCell ref="A29:C29"/>
    <mergeCell ref="A22:C22"/>
    <mergeCell ref="A23:C23"/>
    <mergeCell ref="A24:C24"/>
    <mergeCell ref="A25:C25"/>
    <mergeCell ref="A26:C26"/>
    <mergeCell ref="A28:C28"/>
    <mergeCell ref="A27:C27"/>
    <mergeCell ref="A2:G2"/>
    <mergeCell ref="A21:C21"/>
    <mergeCell ref="A3:G4"/>
    <mergeCell ref="A10:C10"/>
  </mergeCells>
  <printOptions horizontalCentered="1" verticalCentered="1"/>
  <pageMargins left="0.74803149606299213" right="0.74803149606299213" top="0" bottom="0.98425196850393704" header="0" footer="0"/>
  <pageSetup scale="90" orientation="portrait" r:id="rId1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9"/>
  <dimension ref="A1:U48"/>
  <sheetViews>
    <sheetView view="pageBreakPreview" topLeftCell="A17" zoomScaleNormal="100" zoomScaleSheetLayoutView="100" workbookViewId="0">
      <selection activeCell="I7" sqref="I7"/>
    </sheetView>
  </sheetViews>
  <sheetFormatPr baseColWidth="10" defaultColWidth="10.7109375" defaultRowHeight="12.75"/>
  <cols>
    <col min="1" max="1" width="15.85546875" style="3" customWidth="1"/>
    <col min="2" max="2" width="14.85546875" style="3" customWidth="1"/>
    <col min="3" max="3" width="13.28515625" style="3" customWidth="1"/>
    <col min="4" max="4" width="11.42578125" style="3"/>
    <col min="5" max="5" width="13.42578125" style="3" customWidth="1"/>
    <col min="6" max="6" width="12.7109375" style="3" customWidth="1"/>
    <col min="7" max="7" width="14" style="3" customWidth="1"/>
    <col min="8" max="8" width="7.42578125" style="3" customWidth="1"/>
    <col min="9" max="256" width="11.42578125" style="3"/>
    <col min="257" max="257" width="15.85546875" style="3" customWidth="1"/>
    <col min="258" max="258" width="14.85546875" style="3" customWidth="1"/>
    <col min="259" max="259" width="13.28515625" style="3" customWidth="1"/>
    <col min="260" max="260" width="11.42578125" style="3"/>
    <col min="261" max="261" width="13.42578125" style="3" customWidth="1"/>
    <col min="262" max="262" width="12.7109375" style="3" customWidth="1"/>
    <col min="263" max="263" width="14" style="3" customWidth="1"/>
    <col min="264" max="264" width="7.42578125" style="3" customWidth="1"/>
    <col min="265" max="512" width="11.42578125" style="3"/>
    <col min="513" max="513" width="15.85546875" style="3" customWidth="1"/>
    <col min="514" max="514" width="14.85546875" style="3" customWidth="1"/>
    <col min="515" max="515" width="13.28515625" style="3" customWidth="1"/>
    <col min="516" max="516" width="11.42578125" style="3"/>
    <col min="517" max="517" width="13.42578125" style="3" customWidth="1"/>
    <col min="518" max="518" width="12.7109375" style="3" customWidth="1"/>
    <col min="519" max="519" width="14" style="3" customWidth="1"/>
    <col min="520" max="520" width="7.42578125" style="3" customWidth="1"/>
    <col min="521" max="768" width="11.42578125" style="3"/>
    <col min="769" max="769" width="15.85546875" style="3" customWidth="1"/>
    <col min="770" max="770" width="14.85546875" style="3" customWidth="1"/>
    <col min="771" max="771" width="13.28515625" style="3" customWidth="1"/>
    <col min="772" max="772" width="11.42578125" style="3"/>
    <col min="773" max="773" width="13.42578125" style="3" customWidth="1"/>
    <col min="774" max="774" width="12.7109375" style="3" customWidth="1"/>
    <col min="775" max="775" width="14" style="3" customWidth="1"/>
    <col min="776" max="776" width="7.42578125" style="3" customWidth="1"/>
    <col min="777" max="1024" width="11.42578125" style="3"/>
    <col min="1025" max="1025" width="15.85546875" style="3" customWidth="1"/>
    <col min="1026" max="1026" width="14.85546875" style="3" customWidth="1"/>
    <col min="1027" max="1027" width="13.28515625" style="3" customWidth="1"/>
    <col min="1028" max="1028" width="11.42578125" style="3"/>
    <col min="1029" max="1029" width="13.42578125" style="3" customWidth="1"/>
    <col min="1030" max="1030" width="12.7109375" style="3" customWidth="1"/>
    <col min="1031" max="1031" width="14" style="3" customWidth="1"/>
    <col min="1032" max="1032" width="7.42578125" style="3" customWidth="1"/>
    <col min="1033" max="1280" width="11.42578125" style="3"/>
    <col min="1281" max="1281" width="15.85546875" style="3" customWidth="1"/>
    <col min="1282" max="1282" width="14.85546875" style="3" customWidth="1"/>
    <col min="1283" max="1283" width="13.28515625" style="3" customWidth="1"/>
    <col min="1284" max="1284" width="11.42578125" style="3"/>
    <col min="1285" max="1285" width="13.42578125" style="3" customWidth="1"/>
    <col min="1286" max="1286" width="12.7109375" style="3" customWidth="1"/>
    <col min="1287" max="1287" width="14" style="3" customWidth="1"/>
    <col min="1288" max="1288" width="7.42578125" style="3" customWidth="1"/>
    <col min="1289" max="1536" width="11.42578125" style="3"/>
    <col min="1537" max="1537" width="15.85546875" style="3" customWidth="1"/>
    <col min="1538" max="1538" width="14.85546875" style="3" customWidth="1"/>
    <col min="1539" max="1539" width="13.28515625" style="3" customWidth="1"/>
    <col min="1540" max="1540" width="11.42578125" style="3"/>
    <col min="1541" max="1541" width="13.42578125" style="3" customWidth="1"/>
    <col min="1542" max="1542" width="12.7109375" style="3" customWidth="1"/>
    <col min="1543" max="1543" width="14" style="3" customWidth="1"/>
    <col min="1544" max="1544" width="7.42578125" style="3" customWidth="1"/>
    <col min="1545" max="1792" width="11.42578125" style="3"/>
    <col min="1793" max="1793" width="15.85546875" style="3" customWidth="1"/>
    <col min="1794" max="1794" width="14.85546875" style="3" customWidth="1"/>
    <col min="1795" max="1795" width="13.28515625" style="3" customWidth="1"/>
    <col min="1796" max="1796" width="11.42578125" style="3"/>
    <col min="1797" max="1797" width="13.42578125" style="3" customWidth="1"/>
    <col min="1798" max="1798" width="12.7109375" style="3" customWidth="1"/>
    <col min="1799" max="1799" width="14" style="3" customWidth="1"/>
    <col min="1800" max="1800" width="7.42578125" style="3" customWidth="1"/>
    <col min="1801" max="2048" width="11.42578125" style="3"/>
    <col min="2049" max="2049" width="15.85546875" style="3" customWidth="1"/>
    <col min="2050" max="2050" width="14.85546875" style="3" customWidth="1"/>
    <col min="2051" max="2051" width="13.28515625" style="3" customWidth="1"/>
    <col min="2052" max="2052" width="11.42578125" style="3"/>
    <col min="2053" max="2053" width="13.42578125" style="3" customWidth="1"/>
    <col min="2054" max="2054" width="12.7109375" style="3" customWidth="1"/>
    <col min="2055" max="2055" width="14" style="3" customWidth="1"/>
    <col min="2056" max="2056" width="7.42578125" style="3" customWidth="1"/>
    <col min="2057" max="2304" width="11.42578125" style="3"/>
    <col min="2305" max="2305" width="15.85546875" style="3" customWidth="1"/>
    <col min="2306" max="2306" width="14.85546875" style="3" customWidth="1"/>
    <col min="2307" max="2307" width="13.28515625" style="3" customWidth="1"/>
    <col min="2308" max="2308" width="11.42578125" style="3"/>
    <col min="2309" max="2309" width="13.42578125" style="3" customWidth="1"/>
    <col min="2310" max="2310" width="12.7109375" style="3" customWidth="1"/>
    <col min="2311" max="2311" width="14" style="3" customWidth="1"/>
    <col min="2312" max="2312" width="7.42578125" style="3" customWidth="1"/>
    <col min="2313" max="2560" width="11.42578125" style="3"/>
    <col min="2561" max="2561" width="15.85546875" style="3" customWidth="1"/>
    <col min="2562" max="2562" width="14.85546875" style="3" customWidth="1"/>
    <col min="2563" max="2563" width="13.28515625" style="3" customWidth="1"/>
    <col min="2564" max="2564" width="11.42578125" style="3"/>
    <col min="2565" max="2565" width="13.42578125" style="3" customWidth="1"/>
    <col min="2566" max="2566" width="12.7109375" style="3" customWidth="1"/>
    <col min="2567" max="2567" width="14" style="3" customWidth="1"/>
    <col min="2568" max="2568" width="7.42578125" style="3" customWidth="1"/>
    <col min="2569" max="2816" width="11.42578125" style="3"/>
    <col min="2817" max="2817" width="15.85546875" style="3" customWidth="1"/>
    <col min="2818" max="2818" width="14.85546875" style="3" customWidth="1"/>
    <col min="2819" max="2819" width="13.28515625" style="3" customWidth="1"/>
    <col min="2820" max="2820" width="11.42578125" style="3"/>
    <col min="2821" max="2821" width="13.42578125" style="3" customWidth="1"/>
    <col min="2822" max="2822" width="12.7109375" style="3" customWidth="1"/>
    <col min="2823" max="2823" width="14" style="3" customWidth="1"/>
    <col min="2824" max="2824" width="7.42578125" style="3" customWidth="1"/>
    <col min="2825" max="3072" width="11.42578125" style="3"/>
    <col min="3073" max="3073" width="15.85546875" style="3" customWidth="1"/>
    <col min="3074" max="3074" width="14.85546875" style="3" customWidth="1"/>
    <col min="3075" max="3075" width="13.28515625" style="3" customWidth="1"/>
    <col min="3076" max="3076" width="11.42578125" style="3"/>
    <col min="3077" max="3077" width="13.42578125" style="3" customWidth="1"/>
    <col min="3078" max="3078" width="12.7109375" style="3" customWidth="1"/>
    <col min="3079" max="3079" width="14" style="3" customWidth="1"/>
    <col min="3080" max="3080" width="7.42578125" style="3" customWidth="1"/>
    <col min="3081" max="3328" width="11.42578125" style="3"/>
    <col min="3329" max="3329" width="15.85546875" style="3" customWidth="1"/>
    <col min="3330" max="3330" width="14.85546875" style="3" customWidth="1"/>
    <col min="3331" max="3331" width="13.28515625" style="3" customWidth="1"/>
    <col min="3332" max="3332" width="11.42578125" style="3"/>
    <col min="3333" max="3333" width="13.42578125" style="3" customWidth="1"/>
    <col min="3334" max="3334" width="12.7109375" style="3" customWidth="1"/>
    <col min="3335" max="3335" width="14" style="3" customWidth="1"/>
    <col min="3336" max="3336" width="7.42578125" style="3" customWidth="1"/>
    <col min="3337" max="3584" width="11.42578125" style="3"/>
    <col min="3585" max="3585" width="15.85546875" style="3" customWidth="1"/>
    <col min="3586" max="3586" width="14.85546875" style="3" customWidth="1"/>
    <col min="3587" max="3587" width="13.28515625" style="3" customWidth="1"/>
    <col min="3588" max="3588" width="11.42578125" style="3"/>
    <col min="3589" max="3589" width="13.42578125" style="3" customWidth="1"/>
    <col min="3590" max="3590" width="12.7109375" style="3" customWidth="1"/>
    <col min="3591" max="3591" width="14" style="3" customWidth="1"/>
    <col min="3592" max="3592" width="7.42578125" style="3" customWidth="1"/>
    <col min="3593" max="3840" width="11.42578125" style="3"/>
    <col min="3841" max="3841" width="15.85546875" style="3" customWidth="1"/>
    <col min="3842" max="3842" width="14.85546875" style="3" customWidth="1"/>
    <col min="3843" max="3843" width="13.28515625" style="3" customWidth="1"/>
    <col min="3844" max="3844" width="11.42578125" style="3"/>
    <col min="3845" max="3845" width="13.42578125" style="3" customWidth="1"/>
    <col min="3846" max="3846" width="12.7109375" style="3" customWidth="1"/>
    <col min="3847" max="3847" width="14" style="3" customWidth="1"/>
    <col min="3848" max="3848" width="7.42578125" style="3" customWidth="1"/>
    <col min="3849" max="4096" width="11.42578125" style="3"/>
    <col min="4097" max="4097" width="15.85546875" style="3" customWidth="1"/>
    <col min="4098" max="4098" width="14.85546875" style="3" customWidth="1"/>
    <col min="4099" max="4099" width="13.28515625" style="3" customWidth="1"/>
    <col min="4100" max="4100" width="11.42578125" style="3"/>
    <col min="4101" max="4101" width="13.42578125" style="3" customWidth="1"/>
    <col min="4102" max="4102" width="12.7109375" style="3" customWidth="1"/>
    <col min="4103" max="4103" width="14" style="3" customWidth="1"/>
    <col min="4104" max="4104" width="7.42578125" style="3" customWidth="1"/>
    <col min="4105" max="4352" width="11.42578125" style="3"/>
    <col min="4353" max="4353" width="15.85546875" style="3" customWidth="1"/>
    <col min="4354" max="4354" width="14.85546875" style="3" customWidth="1"/>
    <col min="4355" max="4355" width="13.28515625" style="3" customWidth="1"/>
    <col min="4356" max="4356" width="11.42578125" style="3"/>
    <col min="4357" max="4357" width="13.42578125" style="3" customWidth="1"/>
    <col min="4358" max="4358" width="12.7109375" style="3" customWidth="1"/>
    <col min="4359" max="4359" width="14" style="3" customWidth="1"/>
    <col min="4360" max="4360" width="7.42578125" style="3" customWidth="1"/>
    <col min="4361" max="4608" width="11.42578125" style="3"/>
    <col min="4609" max="4609" width="15.85546875" style="3" customWidth="1"/>
    <col min="4610" max="4610" width="14.85546875" style="3" customWidth="1"/>
    <col min="4611" max="4611" width="13.28515625" style="3" customWidth="1"/>
    <col min="4612" max="4612" width="11.42578125" style="3"/>
    <col min="4613" max="4613" width="13.42578125" style="3" customWidth="1"/>
    <col min="4614" max="4614" width="12.7109375" style="3" customWidth="1"/>
    <col min="4615" max="4615" width="14" style="3" customWidth="1"/>
    <col min="4616" max="4616" width="7.42578125" style="3" customWidth="1"/>
    <col min="4617" max="4864" width="11.42578125" style="3"/>
    <col min="4865" max="4865" width="15.85546875" style="3" customWidth="1"/>
    <col min="4866" max="4866" width="14.85546875" style="3" customWidth="1"/>
    <col min="4867" max="4867" width="13.28515625" style="3" customWidth="1"/>
    <col min="4868" max="4868" width="11.42578125" style="3"/>
    <col min="4869" max="4869" width="13.42578125" style="3" customWidth="1"/>
    <col min="4870" max="4870" width="12.7109375" style="3" customWidth="1"/>
    <col min="4871" max="4871" width="14" style="3" customWidth="1"/>
    <col min="4872" max="4872" width="7.42578125" style="3" customWidth="1"/>
    <col min="4873" max="5120" width="11.42578125" style="3"/>
    <col min="5121" max="5121" width="15.85546875" style="3" customWidth="1"/>
    <col min="5122" max="5122" width="14.85546875" style="3" customWidth="1"/>
    <col min="5123" max="5123" width="13.28515625" style="3" customWidth="1"/>
    <col min="5124" max="5124" width="11.42578125" style="3"/>
    <col min="5125" max="5125" width="13.42578125" style="3" customWidth="1"/>
    <col min="5126" max="5126" width="12.7109375" style="3" customWidth="1"/>
    <col min="5127" max="5127" width="14" style="3" customWidth="1"/>
    <col min="5128" max="5128" width="7.42578125" style="3" customWidth="1"/>
    <col min="5129" max="5376" width="11.42578125" style="3"/>
    <col min="5377" max="5377" width="15.85546875" style="3" customWidth="1"/>
    <col min="5378" max="5378" width="14.85546875" style="3" customWidth="1"/>
    <col min="5379" max="5379" width="13.28515625" style="3" customWidth="1"/>
    <col min="5380" max="5380" width="11.42578125" style="3"/>
    <col min="5381" max="5381" width="13.42578125" style="3" customWidth="1"/>
    <col min="5382" max="5382" width="12.7109375" style="3" customWidth="1"/>
    <col min="5383" max="5383" width="14" style="3" customWidth="1"/>
    <col min="5384" max="5384" width="7.42578125" style="3" customWidth="1"/>
    <col min="5385" max="5632" width="11.42578125" style="3"/>
    <col min="5633" max="5633" width="15.85546875" style="3" customWidth="1"/>
    <col min="5634" max="5634" width="14.85546875" style="3" customWidth="1"/>
    <col min="5635" max="5635" width="13.28515625" style="3" customWidth="1"/>
    <col min="5636" max="5636" width="11.42578125" style="3"/>
    <col min="5637" max="5637" width="13.42578125" style="3" customWidth="1"/>
    <col min="5638" max="5638" width="12.7109375" style="3" customWidth="1"/>
    <col min="5639" max="5639" width="14" style="3" customWidth="1"/>
    <col min="5640" max="5640" width="7.42578125" style="3" customWidth="1"/>
    <col min="5641" max="5888" width="11.42578125" style="3"/>
    <col min="5889" max="5889" width="15.85546875" style="3" customWidth="1"/>
    <col min="5890" max="5890" width="14.85546875" style="3" customWidth="1"/>
    <col min="5891" max="5891" width="13.28515625" style="3" customWidth="1"/>
    <col min="5892" max="5892" width="11.42578125" style="3"/>
    <col min="5893" max="5893" width="13.42578125" style="3" customWidth="1"/>
    <col min="5894" max="5894" width="12.7109375" style="3" customWidth="1"/>
    <col min="5895" max="5895" width="14" style="3" customWidth="1"/>
    <col min="5896" max="5896" width="7.42578125" style="3" customWidth="1"/>
    <col min="5897" max="6144" width="11.42578125" style="3"/>
    <col min="6145" max="6145" width="15.85546875" style="3" customWidth="1"/>
    <col min="6146" max="6146" width="14.85546875" style="3" customWidth="1"/>
    <col min="6147" max="6147" width="13.28515625" style="3" customWidth="1"/>
    <col min="6148" max="6148" width="11.42578125" style="3"/>
    <col min="6149" max="6149" width="13.42578125" style="3" customWidth="1"/>
    <col min="6150" max="6150" width="12.7109375" style="3" customWidth="1"/>
    <col min="6151" max="6151" width="14" style="3" customWidth="1"/>
    <col min="6152" max="6152" width="7.42578125" style="3" customWidth="1"/>
    <col min="6153" max="6400" width="11.42578125" style="3"/>
    <col min="6401" max="6401" width="15.85546875" style="3" customWidth="1"/>
    <col min="6402" max="6402" width="14.85546875" style="3" customWidth="1"/>
    <col min="6403" max="6403" width="13.28515625" style="3" customWidth="1"/>
    <col min="6404" max="6404" width="11.42578125" style="3"/>
    <col min="6405" max="6405" width="13.42578125" style="3" customWidth="1"/>
    <col min="6406" max="6406" width="12.7109375" style="3" customWidth="1"/>
    <col min="6407" max="6407" width="14" style="3" customWidth="1"/>
    <col min="6408" max="6408" width="7.42578125" style="3" customWidth="1"/>
    <col min="6409" max="6656" width="11.42578125" style="3"/>
    <col min="6657" max="6657" width="15.85546875" style="3" customWidth="1"/>
    <col min="6658" max="6658" width="14.85546875" style="3" customWidth="1"/>
    <col min="6659" max="6659" width="13.28515625" style="3" customWidth="1"/>
    <col min="6660" max="6660" width="11.42578125" style="3"/>
    <col min="6661" max="6661" width="13.42578125" style="3" customWidth="1"/>
    <col min="6662" max="6662" width="12.7109375" style="3" customWidth="1"/>
    <col min="6663" max="6663" width="14" style="3" customWidth="1"/>
    <col min="6664" max="6664" width="7.42578125" style="3" customWidth="1"/>
    <col min="6665" max="6912" width="11.42578125" style="3"/>
    <col min="6913" max="6913" width="15.85546875" style="3" customWidth="1"/>
    <col min="6914" max="6914" width="14.85546875" style="3" customWidth="1"/>
    <col min="6915" max="6915" width="13.28515625" style="3" customWidth="1"/>
    <col min="6916" max="6916" width="11.42578125" style="3"/>
    <col min="6917" max="6917" width="13.42578125" style="3" customWidth="1"/>
    <col min="6918" max="6918" width="12.7109375" style="3" customWidth="1"/>
    <col min="6919" max="6919" width="14" style="3" customWidth="1"/>
    <col min="6920" max="6920" width="7.42578125" style="3" customWidth="1"/>
    <col min="6921" max="7168" width="11.42578125" style="3"/>
    <col min="7169" max="7169" width="15.85546875" style="3" customWidth="1"/>
    <col min="7170" max="7170" width="14.85546875" style="3" customWidth="1"/>
    <col min="7171" max="7171" width="13.28515625" style="3" customWidth="1"/>
    <col min="7172" max="7172" width="11.42578125" style="3"/>
    <col min="7173" max="7173" width="13.42578125" style="3" customWidth="1"/>
    <col min="7174" max="7174" width="12.7109375" style="3" customWidth="1"/>
    <col min="7175" max="7175" width="14" style="3" customWidth="1"/>
    <col min="7176" max="7176" width="7.42578125" style="3" customWidth="1"/>
    <col min="7177" max="7424" width="11.42578125" style="3"/>
    <col min="7425" max="7425" width="15.85546875" style="3" customWidth="1"/>
    <col min="7426" max="7426" width="14.85546875" style="3" customWidth="1"/>
    <col min="7427" max="7427" width="13.28515625" style="3" customWidth="1"/>
    <col min="7428" max="7428" width="11.42578125" style="3"/>
    <col min="7429" max="7429" width="13.42578125" style="3" customWidth="1"/>
    <col min="7430" max="7430" width="12.7109375" style="3" customWidth="1"/>
    <col min="7431" max="7431" width="14" style="3" customWidth="1"/>
    <col min="7432" max="7432" width="7.42578125" style="3" customWidth="1"/>
    <col min="7433" max="7680" width="11.42578125" style="3"/>
    <col min="7681" max="7681" width="15.85546875" style="3" customWidth="1"/>
    <col min="7682" max="7682" width="14.85546875" style="3" customWidth="1"/>
    <col min="7683" max="7683" width="13.28515625" style="3" customWidth="1"/>
    <col min="7684" max="7684" width="11.42578125" style="3"/>
    <col min="7685" max="7685" width="13.42578125" style="3" customWidth="1"/>
    <col min="7686" max="7686" width="12.7109375" style="3" customWidth="1"/>
    <col min="7687" max="7687" width="14" style="3" customWidth="1"/>
    <col min="7688" max="7688" width="7.42578125" style="3" customWidth="1"/>
    <col min="7689" max="7936" width="11.42578125" style="3"/>
    <col min="7937" max="7937" width="15.85546875" style="3" customWidth="1"/>
    <col min="7938" max="7938" width="14.85546875" style="3" customWidth="1"/>
    <col min="7939" max="7939" width="13.28515625" style="3" customWidth="1"/>
    <col min="7940" max="7940" width="11.42578125" style="3"/>
    <col min="7941" max="7941" width="13.42578125" style="3" customWidth="1"/>
    <col min="7942" max="7942" width="12.7109375" style="3" customWidth="1"/>
    <col min="7943" max="7943" width="14" style="3" customWidth="1"/>
    <col min="7944" max="7944" width="7.42578125" style="3" customWidth="1"/>
    <col min="7945" max="8192" width="11.42578125" style="3"/>
    <col min="8193" max="8193" width="15.85546875" style="3" customWidth="1"/>
    <col min="8194" max="8194" width="14.85546875" style="3" customWidth="1"/>
    <col min="8195" max="8195" width="13.28515625" style="3" customWidth="1"/>
    <col min="8196" max="8196" width="11.42578125" style="3"/>
    <col min="8197" max="8197" width="13.42578125" style="3" customWidth="1"/>
    <col min="8198" max="8198" width="12.7109375" style="3" customWidth="1"/>
    <col min="8199" max="8199" width="14" style="3" customWidth="1"/>
    <col min="8200" max="8200" width="7.42578125" style="3" customWidth="1"/>
    <col min="8201" max="8448" width="11.42578125" style="3"/>
    <col min="8449" max="8449" width="15.85546875" style="3" customWidth="1"/>
    <col min="8450" max="8450" width="14.85546875" style="3" customWidth="1"/>
    <col min="8451" max="8451" width="13.28515625" style="3" customWidth="1"/>
    <col min="8452" max="8452" width="11.42578125" style="3"/>
    <col min="8453" max="8453" width="13.42578125" style="3" customWidth="1"/>
    <col min="8454" max="8454" width="12.7109375" style="3" customWidth="1"/>
    <col min="8455" max="8455" width="14" style="3" customWidth="1"/>
    <col min="8456" max="8456" width="7.42578125" style="3" customWidth="1"/>
    <col min="8457" max="8704" width="11.42578125" style="3"/>
    <col min="8705" max="8705" width="15.85546875" style="3" customWidth="1"/>
    <col min="8706" max="8706" width="14.85546875" style="3" customWidth="1"/>
    <col min="8707" max="8707" width="13.28515625" style="3" customWidth="1"/>
    <col min="8708" max="8708" width="11.42578125" style="3"/>
    <col min="8709" max="8709" width="13.42578125" style="3" customWidth="1"/>
    <col min="8710" max="8710" width="12.7109375" style="3" customWidth="1"/>
    <col min="8711" max="8711" width="14" style="3" customWidth="1"/>
    <col min="8712" max="8712" width="7.42578125" style="3" customWidth="1"/>
    <col min="8713" max="8960" width="11.42578125" style="3"/>
    <col min="8961" max="8961" width="15.85546875" style="3" customWidth="1"/>
    <col min="8962" max="8962" width="14.85546875" style="3" customWidth="1"/>
    <col min="8963" max="8963" width="13.28515625" style="3" customWidth="1"/>
    <col min="8964" max="8964" width="11.42578125" style="3"/>
    <col min="8965" max="8965" width="13.42578125" style="3" customWidth="1"/>
    <col min="8966" max="8966" width="12.7109375" style="3" customWidth="1"/>
    <col min="8967" max="8967" width="14" style="3" customWidth="1"/>
    <col min="8968" max="8968" width="7.42578125" style="3" customWidth="1"/>
    <col min="8969" max="9216" width="11.42578125" style="3"/>
    <col min="9217" max="9217" width="15.85546875" style="3" customWidth="1"/>
    <col min="9218" max="9218" width="14.85546875" style="3" customWidth="1"/>
    <col min="9219" max="9219" width="13.28515625" style="3" customWidth="1"/>
    <col min="9220" max="9220" width="11.42578125" style="3"/>
    <col min="9221" max="9221" width="13.42578125" style="3" customWidth="1"/>
    <col min="9222" max="9222" width="12.7109375" style="3" customWidth="1"/>
    <col min="9223" max="9223" width="14" style="3" customWidth="1"/>
    <col min="9224" max="9224" width="7.42578125" style="3" customWidth="1"/>
    <col min="9225" max="9472" width="11.42578125" style="3"/>
    <col min="9473" max="9473" width="15.85546875" style="3" customWidth="1"/>
    <col min="9474" max="9474" width="14.85546875" style="3" customWidth="1"/>
    <col min="9475" max="9475" width="13.28515625" style="3" customWidth="1"/>
    <col min="9476" max="9476" width="11.42578125" style="3"/>
    <col min="9477" max="9477" width="13.42578125" style="3" customWidth="1"/>
    <col min="9478" max="9478" width="12.7109375" style="3" customWidth="1"/>
    <col min="9479" max="9479" width="14" style="3" customWidth="1"/>
    <col min="9480" max="9480" width="7.42578125" style="3" customWidth="1"/>
    <col min="9481" max="9728" width="11.42578125" style="3"/>
    <col min="9729" max="9729" width="15.85546875" style="3" customWidth="1"/>
    <col min="9730" max="9730" width="14.85546875" style="3" customWidth="1"/>
    <col min="9731" max="9731" width="13.28515625" style="3" customWidth="1"/>
    <col min="9732" max="9732" width="11.42578125" style="3"/>
    <col min="9733" max="9733" width="13.42578125" style="3" customWidth="1"/>
    <col min="9734" max="9734" width="12.7109375" style="3" customWidth="1"/>
    <col min="9735" max="9735" width="14" style="3" customWidth="1"/>
    <col min="9736" max="9736" width="7.42578125" style="3" customWidth="1"/>
    <col min="9737" max="9984" width="11.42578125" style="3"/>
    <col min="9985" max="9985" width="15.85546875" style="3" customWidth="1"/>
    <col min="9986" max="9986" width="14.85546875" style="3" customWidth="1"/>
    <col min="9987" max="9987" width="13.28515625" style="3" customWidth="1"/>
    <col min="9988" max="9988" width="11.42578125" style="3"/>
    <col min="9989" max="9989" width="13.42578125" style="3" customWidth="1"/>
    <col min="9990" max="9990" width="12.7109375" style="3" customWidth="1"/>
    <col min="9991" max="9991" width="14" style="3" customWidth="1"/>
    <col min="9992" max="9992" width="7.42578125" style="3" customWidth="1"/>
    <col min="9993" max="10240" width="11.42578125" style="3"/>
    <col min="10241" max="10241" width="15.85546875" style="3" customWidth="1"/>
    <col min="10242" max="10242" width="14.85546875" style="3" customWidth="1"/>
    <col min="10243" max="10243" width="13.28515625" style="3" customWidth="1"/>
    <col min="10244" max="10244" width="11.42578125" style="3"/>
    <col min="10245" max="10245" width="13.42578125" style="3" customWidth="1"/>
    <col min="10246" max="10246" width="12.7109375" style="3" customWidth="1"/>
    <col min="10247" max="10247" width="14" style="3" customWidth="1"/>
    <col min="10248" max="10248" width="7.42578125" style="3" customWidth="1"/>
    <col min="10249" max="10496" width="11.42578125" style="3"/>
    <col min="10497" max="10497" width="15.85546875" style="3" customWidth="1"/>
    <col min="10498" max="10498" width="14.85546875" style="3" customWidth="1"/>
    <col min="10499" max="10499" width="13.28515625" style="3" customWidth="1"/>
    <col min="10500" max="10500" width="11.42578125" style="3"/>
    <col min="10501" max="10501" width="13.42578125" style="3" customWidth="1"/>
    <col min="10502" max="10502" width="12.7109375" style="3" customWidth="1"/>
    <col min="10503" max="10503" width="14" style="3" customWidth="1"/>
    <col min="10504" max="10504" width="7.42578125" style="3" customWidth="1"/>
    <col min="10505" max="10752" width="11.42578125" style="3"/>
    <col min="10753" max="10753" width="15.85546875" style="3" customWidth="1"/>
    <col min="10754" max="10754" width="14.85546875" style="3" customWidth="1"/>
    <col min="10755" max="10755" width="13.28515625" style="3" customWidth="1"/>
    <col min="10756" max="10756" width="11.42578125" style="3"/>
    <col min="10757" max="10757" width="13.42578125" style="3" customWidth="1"/>
    <col min="10758" max="10758" width="12.7109375" style="3" customWidth="1"/>
    <col min="10759" max="10759" width="14" style="3" customWidth="1"/>
    <col min="10760" max="10760" width="7.42578125" style="3" customWidth="1"/>
    <col min="10761" max="11008" width="11.42578125" style="3"/>
    <col min="11009" max="11009" width="15.85546875" style="3" customWidth="1"/>
    <col min="11010" max="11010" width="14.85546875" style="3" customWidth="1"/>
    <col min="11011" max="11011" width="13.28515625" style="3" customWidth="1"/>
    <col min="11012" max="11012" width="11.42578125" style="3"/>
    <col min="11013" max="11013" width="13.42578125" style="3" customWidth="1"/>
    <col min="11014" max="11014" width="12.7109375" style="3" customWidth="1"/>
    <col min="11015" max="11015" width="14" style="3" customWidth="1"/>
    <col min="11016" max="11016" width="7.42578125" style="3" customWidth="1"/>
    <col min="11017" max="11264" width="11.42578125" style="3"/>
    <col min="11265" max="11265" width="15.85546875" style="3" customWidth="1"/>
    <col min="11266" max="11266" width="14.85546875" style="3" customWidth="1"/>
    <col min="11267" max="11267" width="13.28515625" style="3" customWidth="1"/>
    <col min="11268" max="11268" width="11.42578125" style="3"/>
    <col min="11269" max="11269" width="13.42578125" style="3" customWidth="1"/>
    <col min="11270" max="11270" width="12.7109375" style="3" customWidth="1"/>
    <col min="11271" max="11271" width="14" style="3" customWidth="1"/>
    <col min="11272" max="11272" width="7.42578125" style="3" customWidth="1"/>
    <col min="11273" max="11520" width="11.42578125" style="3"/>
    <col min="11521" max="11521" width="15.85546875" style="3" customWidth="1"/>
    <col min="11522" max="11522" width="14.85546875" style="3" customWidth="1"/>
    <col min="11523" max="11523" width="13.28515625" style="3" customWidth="1"/>
    <col min="11524" max="11524" width="11.42578125" style="3"/>
    <col min="11525" max="11525" width="13.42578125" style="3" customWidth="1"/>
    <col min="11526" max="11526" width="12.7109375" style="3" customWidth="1"/>
    <col min="11527" max="11527" width="14" style="3" customWidth="1"/>
    <col min="11528" max="11528" width="7.42578125" style="3" customWidth="1"/>
    <col min="11529" max="11776" width="11.42578125" style="3"/>
    <col min="11777" max="11777" width="15.85546875" style="3" customWidth="1"/>
    <col min="11778" max="11778" width="14.85546875" style="3" customWidth="1"/>
    <col min="11779" max="11779" width="13.28515625" style="3" customWidth="1"/>
    <col min="11780" max="11780" width="11.42578125" style="3"/>
    <col min="11781" max="11781" width="13.42578125" style="3" customWidth="1"/>
    <col min="11782" max="11782" width="12.7109375" style="3" customWidth="1"/>
    <col min="11783" max="11783" width="14" style="3" customWidth="1"/>
    <col min="11784" max="11784" width="7.42578125" style="3" customWidth="1"/>
    <col min="11785" max="12032" width="11.42578125" style="3"/>
    <col min="12033" max="12033" width="15.85546875" style="3" customWidth="1"/>
    <col min="12034" max="12034" width="14.85546875" style="3" customWidth="1"/>
    <col min="12035" max="12035" width="13.28515625" style="3" customWidth="1"/>
    <col min="12036" max="12036" width="11.42578125" style="3"/>
    <col min="12037" max="12037" width="13.42578125" style="3" customWidth="1"/>
    <col min="12038" max="12038" width="12.7109375" style="3" customWidth="1"/>
    <col min="12039" max="12039" width="14" style="3" customWidth="1"/>
    <col min="12040" max="12040" width="7.42578125" style="3" customWidth="1"/>
    <col min="12041" max="12288" width="11.42578125" style="3"/>
    <col min="12289" max="12289" width="15.85546875" style="3" customWidth="1"/>
    <col min="12290" max="12290" width="14.85546875" style="3" customWidth="1"/>
    <col min="12291" max="12291" width="13.28515625" style="3" customWidth="1"/>
    <col min="12292" max="12292" width="11.42578125" style="3"/>
    <col min="12293" max="12293" width="13.42578125" style="3" customWidth="1"/>
    <col min="12294" max="12294" width="12.7109375" style="3" customWidth="1"/>
    <col min="12295" max="12295" width="14" style="3" customWidth="1"/>
    <col min="12296" max="12296" width="7.42578125" style="3" customWidth="1"/>
    <col min="12297" max="12544" width="11.42578125" style="3"/>
    <col min="12545" max="12545" width="15.85546875" style="3" customWidth="1"/>
    <col min="12546" max="12546" width="14.85546875" style="3" customWidth="1"/>
    <col min="12547" max="12547" width="13.28515625" style="3" customWidth="1"/>
    <col min="12548" max="12548" width="11.42578125" style="3"/>
    <col min="12549" max="12549" width="13.42578125" style="3" customWidth="1"/>
    <col min="12550" max="12550" width="12.7109375" style="3" customWidth="1"/>
    <col min="12551" max="12551" width="14" style="3" customWidth="1"/>
    <col min="12552" max="12552" width="7.42578125" style="3" customWidth="1"/>
    <col min="12553" max="12800" width="11.42578125" style="3"/>
    <col min="12801" max="12801" width="15.85546875" style="3" customWidth="1"/>
    <col min="12802" max="12802" width="14.85546875" style="3" customWidth="1"/>
    <col min="12803" max="12803" width="13.28515625" style="3" customWidth="1"/>
    <col min="12804" max="12804" width="11.42578125" style="3"/>
    <col min="12805" max="12805" width="13.42578125" style="3" customWidth="1"/>
    <col min="12806" max="12806" width="12.7109375" style="3" customWidth="1"/>
    <col min="12807" max="12807" width="14" style="3" customWidth="1"/>
    <col min="12808" max="12808" width="7.42578125" style="3" customWidth="1"/>
    <col min="12809" max="13056" width="11.42578125" style="3"/>
    <col min="13057" max="13057" width="15.85546875" style="3" customWidth="1"/>
    <col min="13058" max="13058" width="14.85546875" style="3" customWidth="1"/>
    <col min="13059" max="13059" width="13.28515625" style="3" customWidth="1"/>
    <col min="13060" max="13060" width="11.42578125" style="3"/>
    <col min="13061" max="13061" width="13.42578125" style="3" customWidth="1"/>
    <col min="13062" max="13062" width="12.7109375" style="3" customWidth="1"/>
    <col min="13063" max="13063" width="14" style="3" customWidth="1"/>
    <col min="13064" max="13064" width="7.42578125" style="3" customWidth="1"/>
    <col min="13065" max="13312" width="11.42578125" style="3"/>
    <col min="13313" max="13313" width="15.85546875" style="3" customWidth="1"/>
    <col min="13314" max="13314" width="14.85546875" style="3" customWidth="1"/>
    <col min="13315" max="13315" width="13.28515625" style="3" customWidth="1"/>
    <col min="13316" max="13316" width="11.42578125" style="3"/>
    <col min="13317" max="13317" width="13.42578125" style="3" customWidth="1"/>
    <col min="13318" max="13318" width="12.7109375" style="3" customWidth="1"/>
    <col min="13319" max="13319" width="14" style="3" customWidth="1"/>
    <col min="13320" max="13320" width="7.42578125" style="3" customWidth="1"/>
    <col min="13321" max="13568" width="11.42578125" style="3"/>
    <col min="13569" max="13569" width="15.85546875" style="3" customWidth="1"/>
    <col min="13570" max="13570" width="14.85546875" style="3" customWidth="1"/>
    <col min="13571" max="13571" width="13.28515625" style="3" customWidth="1"/>
    <col min="13572" max="13572" width="11.42578125" style="3"/>
    <col min="13573" max="13573" width="13.42578125" style="3" customWidth="1"/>
    <col min="13574" max="13574" width="12.7109375" style="3" customWidth="1"/>
    <col min="13575" max="13575" width="14" style="3" customWidth="1"/>
    <col min="13576" max="13576" width="7.42578125" style="3" customWidth="1"/>
    <col min="13577" max="13824" width="11.42578125" style="3"/>
    <col min="13825" max="13825" width="15.85546875" style="3" customWidth="1"/>
    <col min="13826" max="13826" width="14.85546875" style="3" customWidth="1"/>
    <col min="13827" max="13827" width="13.28515625" style="3" customWidth="1"/>
    <col min="13828" max="13828" width="11.42578125" style="3"/>
    <col min="13829" max="13829" width="13.42578125" style="3" customWidth="1"/>
    <col min="13830" max="13830" width="12.7109375" style="3" customWidth="1"/>
    <col min="13831" max="13831" width="14" style="3" customWidth="1"/>
    <col min="13832" max="13832" width="7.42578125" style="3" customWidth="1"/>
    <col min="13833" max="14080" width="11.42578125" style="3"/>
    <col min="14081" max="14081" width="15.85546875" style="3" customWidth="1"/>
    <col min="14082" max="14082" width="14.85546875" style="3" customWidth="1"/>
    <col min="14083" max="14083" width="13.28515625" style="3" customWidth="1"/>
    <col min="14084" max="14084" width="11.42578125" style="3"/>
    <col min="14085" max="14085" width="13.42578125" style="3" customWidth="1"/>
    <col min="14086" max="14086" width="12.7109375" style="3" customWidth="1"/>
    <col min="14087" max="14087" width="14" style="3" customWidth="1"/>
    <col min="14088" max="14088" width="7.42578125" style="3" customWidth="1"/>
    <col min="14089" max="14336" width="11.42578125" style="3"/>
    <col min="14337" max="14337" width="15.85546875" style="3" customWidth="1"/>
    <col min="14338" max="14338" width="14.85546875" style="3" customWidth="1"/>
    <col min="14339" max="14339" width="13.28515625" style="3" customWidth="1"/>
    <col min="14340" max="14340" width="11.42578125" style="3"/>
    <col min="14341" max="14341" width="13.42578125" style="3" customWidth="1"/>
    <col min="14342" max="14342" width="12.7109375" style="3" customWidth="1"/>
    <col min="14343" max="14343" width="14" style="3" customWidth="1"/>
    <col min="14344" max="14344" width="7.42578125" style="3" customWidth="1"/>
    <col min="14345" max="14592" width="11.42578125" style="3"/>
    <col min="14593" max="14593" width="15.85546875" style="3" customWidth="1"/>
    <col min="14594" max="14594" width="14.85546875" style="3" customWidth="1"/>
    <col min="14595" max="14595" width="13.28515625" style="3" customWidth="1"/>
    <col min="14596" max="14596" width="11.42578125" style="3"/>
    <col min="14597" max="14597" width="13.42578125" style="3" customWidth="1"/>
    <col min="14598" max="14598" width="12.7109375" style="3" customWidth="1"/>
    <col min="14599" max="14599" width="14" style="3" customWidth="1"/>
    <col min="14600" max="14600" width="7.42578125" style="3" customWidth="1"/>
    <col min="14601" max="14848" width="11.42578125" style="3"/>
    <col min="14849" max="14849" width="15.85546875" style="3" customWidth="1"/>
    <col min="14850" max="14850" width="14.85546875" style="3" customWidth="1"/>
    <col min="14851" max="14851" width="13.28515625" style="3" customWidth="1"/>
    <col min="14852" max="14852" width="11.42578125" style="3"/>
    <col min="14853" max="14853" width="13.42578125" style="3" customWidth="1"/>
    <col min="14854" max="14854" width="12.7109375" style="3" customWidth="1"/>
    <col min="14855" max="14855" width="14" style="3" customWidth="1"/>
    <col min="14856" max="14856" width="7.42578125" style="3" customWidth="1"/>
    <col min="14857" max="15104" width="11.42578125" style="3"/>
    <col min="15105" max="15105" width="15.85546875" style="3" customWidth="1"/>
    <col min="15106" max="15106" width="14.85546875" style="3" customWidth="1"/>
    <col min="15107" max="15107" width="13.28515625" style="3" customWidth="1"/>
    <col min="15108" max="15108" width="11.42578125" style="3"/>
    <col min="15109" max="15109" width="13.42578125" style="3" customWidth="1"/>
    <col min="15110" max="15110" width="12.7109375" style="3" customWidth="1"/>
    <col min="15111" max="15111" width="14" style="3" customWidth="1"/>
    <col min="15112" max="15112" width="7.42578125" style="3" customWidth="1"/>
    <col min="15113" max="15360" width="11.42578125" style="3"/>
    <col min="15361" max="15361" width="15.85546875" style="3" customWidth="1"/>
    <col min="15362" max="15362" width="14.85546875" style="3" customWidth="1"/>
    <col min="15363" max="15363" width="13.28515625" style="3" customWidth="1"/>
    <col min="15364" max="15364" width="11.42578125" style="3"/>
    <col min="15365" max="15365" width="13.42578125" style="3" customWidth="1"/>
    <col min="15366" max="15366" width="12.7109375" style="3" customWidth="1"/>
    <col min="15367" max="15367" width="14" style="3" customWidth="1"/>
    <col min="15368" max="15368" width="7.42578125" style="3" customWidth="1"/>
    <col min="15369" max="15616" width="11.42578125" style="3"/>
    <col min="15617" max="15617" width="15.85546875" style="3" customWidth="1"/>
    <col min="15618" max="15618" width="14.85546875" style="3" customWidth="1"/>
    <col min="15619" max="15619" width="13.28515625" style="3" customWidth="1"/>
    <col min="15620" max="15620" width="11.42578125" style="3"/>
    <col min="15621" max="15621" width="13.42578125" style="3" customWidth="1"/>
    <col min="15622" max="15622" width="12.7109375" style="3" customWidth="1"/>
    <col min="15623" max="15623" width="14" style="3" customWidth="1"/>
    <col min="15624" max="15624" width="7.42578125" style="3" customWidth="1"/>
    <col min="15625" max="15872" width="11.42578125" style="3"/>
    <col min="15873" max="15873" width="15.85546875" style="3" customWidth="1"/>
    <col min="15874" max="15874" width="14.85546875" style="3" customWidth="1"/>
    <col min="15875" max="15875" width="13.28515625" style="3" customWidth="1"/>
    <col min="15876" max="15876" width="11.42578125" style="3"/>
    <col min="15877" max="15877" width="13.42578125" style="3" customWidth="1"/>
    <col min="15878" max="15878" width="12.7109375" style="3" customWidth="1"/>
    <col min="15879" max="15879" width="14" style="3" customWidth="1"/>
    <col min="15880" max="15880" width="7.42578125" style="3" customWidth="1"/>
    <col min="15881" max="16128" width="11.42578125" style="3"/>
    <col min="16129" max="16129" width="15.85546875" style="3" customWidth="1"/>
    <col min="16130" max="16130" width="14.85546875" style="3" customWidth="1"/>
    <col min="16131" max="16131" width="13.28515625" style="3" customWidth="1"/>
    <col min="16132" max="16132" width="11.42578125" style="3"/>
    <col min="16133" max="16133" width="13.42578125" style="3" customWidth="1"/>
    <col min="16134" max="16134" width="12.7109375" style="3" customWidth="1"/>
    <col min="16135" max="16135" width="14" style="3" customWidth="1"/>
    <col min="16136" max="16136" width="7.42578125" style="3" customWidth="1"/>
    <col min="16137" max="16384" width="11.42578125" style="3"/>
  </cols>
  <sheetData>
    <row r="1" spans="1:21" ht="48" customHeight="1">
      <c r="A1" s="1346" t="str">
        <f>PPTO!D3</f>
        <v>PRESUPUESTO
MUNICIPIO EL BAGRE (ANTIOQUIA).</v>
      </c>
      <c r="B1" s="1347"/>
      <c r="C1" s="1347"/>
      <c r="D1" s="1347"/>
      <c r="E1" s="1347"/>
      <c r="F1" s="1347"/>
      <c r="G1" s="1348"/>
      <c r="H1" s="1"/>
      <c r="I1" s="2"/>
    </row>
    <row r="2" spans="1:21" ht="18" customHeight="1">
      <c r="A2" s="1362" t="s">
        <v>16</v>
      </c>
      <c r="B2" s="1363"/>
      <c r="C2" s="1363"/>
      <c r="D2" s="1363"/>
      <c r="E2" s="1363"/>
      <c r="F2" s="1363"/>
      <c r="G2" s="1364"/>
      <c r="H2" s="1"/>
      <c r="I2" s="2"/>
    </row>
    <row r="3" spans="1:21" ht="27" customHeight="1">
      <c r="A3" s="1367" t="str">
        <f>+PPTO!$D$5</f>
        <v>PROYECTO DE MEJORAMIENTO VIAL, ESPACIO PUBLICO Y OBRAS COMPLEMENTARIAS DE LA AVENIDA LA JUVENTUD Y TRAMOS ADYACENTES Y PRIORITARIOS DEL SECTOR URBANO EN EL MUNICIPIO EL BAGRE ANTIOQUIA.</v>
      </c>
      <c r="B3" s="1368"/>
      <c r="C3" s="1368"/>
      <c r="D3" s="1368"/>
      <c r="E3" s="1368"/>
      <c r="F3" s="1368"/>
      <c r="G3" s="1369"/>
      <c r="H3" s="1"/>
      <c r="I3" s="2"/>
    </row>
    <row r="4" spans="1:21" ht="30" customHeight="1">
      <c r="A4" s="1370"/>
      <c r="B4" s="1368"/>
      <c r="C4" s="1368"/>
      <c r="D4" s="1368"/>
      <c r="E4" s="1368"/>
      <c r="F4" s="1368"/>
      <c r="G4" s="1369"/>
      <c r="H4" s="1"/>
      <c r="I4" s="2"/>
    </row>
    <row r="5" spans="1:21" ht="6.75" customHeight="1">
      <c r="A5" s="222"/>
      <c r="B5" s="6"/>
      <c r="C5" s="24"/>
      <c r="D5" s="25"/>
      <c r="E5" s="6"/>
      <c r="F5" s="6"/>
      <c r="G5" s="223"/>
      <c r="H5" s="9"/>
    </row>
    <row r="6" spans="1:21" ht="52.5" customHeight="1">
      <c r="A6" s="368">
        <v>5.2</v>
      </c>
      <c r="B6" s="1349" t="str">
        <f>VLOOKUP(A6,PPTO!D10:I137,2,FALSE)</f>
        <v>Suminstro e instalación de elementos de Señales verticales en fondo reflectivo Tipo Alta Intensidad con tablero en lámina cal 16, terminados en pintura electrostática blanca. (Manual Señalizacion MinT Colombia 2015)</v>
      </c>
      <c r="C6" s="1350"/>
      <c r="D6" s="1350"/>
      <c r="E6" s="1351"/>
      <c r="F6" s="192" t="s">
        <v>118</v>
      </c>
      <c r="G6" s="248" t="str">
        <f>VLOOKUP(A6,PPTO!D10:I137,3,FALSE)</f>
        <v>und</v>
      </c>
      <c r="H6" s="9"/>
    </row>
    <row r="7" spans="1:21" ht="3.75" customHeight="1">
      <c r="A7" s="226"/>
      <c r="B7" s="4"/>
      <c r="C7" s="6"/>
      <c r="D7" s="4"/>
      <c r="E7" s="4"/>
      <c r="F7" s="4"/>
      <c r="G7" s="227"/>
      <c r="H7" s="9"/>
    </row>
    <row r="8" spans="1:21" ht="22.5" customHeight="1">
      <c r="A8" s="1354" t="s">
        <v>69</v>
      </c>
      <c r="B8" s="1355"/>
      <c r="C8" s="1355"/>
      <c r="D8" s="1355"/>
      <c r="E8" s="1355"/>
      <c r="F8" s="1355"/>
      <c r="G8" s="1356"/>
      <c r="H8" s="9"/>
    </row>
    <row r="9" spans="1:21" ht="4.5" customHeight="1">
      <c r="A9" s="226"/>
      <c r="B9" s="4"/>
      <c r="C9" s="6"/>
      <c r="D9" s="4"/>
      <c r="E9" s="4"/>
      <c r="F9" s="4"/>
      <c r="G9" s="227"/>
      <c r="H9" s="9"/>
      <c r="I9" s="5"/>
      <c r="J9" s="5"/>
      <c r="K9" s="5"/>
      <c r="L9" s="26"/>
      <c r="M9" s="5"/>
      <c r="N9" s="5"/>
      <c r="O9" s="5"/>
      <c r="P9" s="5"/>
    </row>
    <row r="10" spans="1:21">
      <c r="A10" s="1373" t="s">
        <v>17</v>
      </c>
      <c r="B10" s="1374"/>
      <c r="C10" s="1374"/>
      <c r="D10" s="220" t="s">
        <v>18</v>
      </c>
      <c r="E10" s="220" t="s">
        <v>19</v>
      </c>
      <c r="F10" s="220" t="s">
        <v>20</v>
      </c>
      <c r="G10" s="228" t="s">
        <v>21</v>
      </c>
      <c r="H10" s="27"/>
      <c r="I10" s="28"/>
      <c r="J10" s="29"/>
      <c r="K10" s="30"/>
      <c r="L10" s="30"/>
      <c r="M10" s="30"/>
      <c r="N10" s="30"/>
      <c r="O10" s="30"/>
      <c r="P10" s="5"/>
    </row>
    <row r="11" spans="1:21">
      <c r="A11" s="1352" t="s">
        <v>75</v>
      </c>
      <c r="B11" s="1353"/>
      <c r="C11" s="1353"/>
      <c r="D11" s="220"/>
      <c r="E11" s="83"/>
      <c r="F11" s="97"/>
      <c r="G11" s="229">
        <f>+G39*5%</f>
        <v>3331</v>
      </c>
      <c r="H11" s="9"/>
      <c r="I11" s="30"/>
      <c r="J11" s="31"/>
      <c r="K11" s="30"/>
      <c r="L11" s="30"/>
      <c r="M11" s="30"/>
      <c r="N11" s="30"/>
      <c r="O11" s="30"/>
      <c r="P11" s="5"/>
    </row>
    <row r="12" spans="1:21">
      <c r="A12" s="1371"/>
      <c r="B12" s="1372"/>
      <c r="C12" s="1372"/>
      <c r="D12" s="83"/>
      <c r="E12" s="83"/>
      <c r="F12" s="93"/>
      <c r="G12" s="229"/>
      <c r="H12" s="9"/>
      <c r="I12" s="16"/>
      <c r="J12" s="13"/>
      <c r="K12" s="8"/>
      <c r="L12" s="8"/>
      <c r="M12" s="8"/>
      <c r="N12" s="8"/>
      <c r="O12" s="8"/>
      <c r="P12" s="5"/>
    </row>
    <row r="13" spans="1:21">
      <c r="A13" s="1371"/>
      <c r="B13" s="1372"/>
      <c r="C13" s="1372"/>
      <c r="D13" s="83"/>
      <c r="E13" s="83"/>
      <c r="F13" s="93"/>
      <c r="G13" s="229"/>
      <c r="H13" s="9"/>
      <c r="I13" s="13"/>
      <c r="J13" s="13"/>
      <c r="K13" s="13"/>
      <c r="L13" s="13"/>
      <c r="M13" s="13"/>
      <c r="N13" s="13"/>
      <c r="O13" s="13"/>
      <c r="P13" s="5"/>
    </row>
    <row r="14" spans="1:21">
      <c r="A14" s="1371"/>
      <c r="B14" s="1372"/>
      <c r="C14" s="1372"/>
      <c r="D14" s="83"/>
      <c r="E14" s="83"/>
      <c r="F14" s="93"/>
      <c r="G14" s="229"/>
      <c r="H14" s="9"/>
      <c r="I14" s="8"/>
      <c r="J14" s="14"/>
      <c r="K14" s="32"/>
      <c r="L14" s="14"/>
      <c r="M14" s="15"/>
      <c r="N14" s="15"/>
      <c r="O14" s="19"/>
      <c r="P14" s="5"/>
    </row>
    <row r="15" spans="1:21">
      <c r="A15" s="1371"/>
      <c r="B15" s="1372"/>
      <c r="C15" s="1372"/>
      <c r="D15" s="83"/>
      <c r="E15" s="83"/>
      <c r="F15" s="98"/>
      <c r="G15" s="229"/>
      <c r="H15" s="9"/>
      <c r="I15" s="8"/>
      <c r="J15" s="33"/>
      <c r="K15" s="32"/>
      <c r="L15" s="14"/>
      <c r="M15" s="15"/>
      <c r="N15" s="15"/>
      <c r="O15" s="19"/>
      <c r="P15" s="5"/>
      <c r="Q15" s="5"/>
      <c r="R15" s="5"/>
      <c r="S15" s="5"/>
      <c r="T15" s="5"/>
      <c r="U15" s="5"/>
    </row>
    <row r="16" spans="1:21">
      <c r="A16" s="1371"/>
      <c r="B16" s="1372"/>
      <c r="C16" s="1372"/>
      <c r="D16" s="85" t="s">
        <v>37</v>
      </c>
      <c r="E16" s="50"/>
      <c r="F16" s="49"/>
      <c r="G16" s="230">
        <f>SUM(G11:G15)</f>
        <v>3331</v>
      </c>
      <c r="H16" s="9"/>
      <c r="I16" s="34"/>
      <c r="J16" s="34"/>
      <c r="K16" s="35"/>
      <c r="L16" s="36"/>
      <c r="M16" s="7"/>
      <c r="N16" s="7"/>
      <c r="O16" s="19"/>
      <c r="P16" s="5"/>
      <c r="Q16" s="5"/>
      <c r="R16" s="5"/>
      <c r="S16" s="5"/>
      <c r="T16" s="5"/>
      <c r="U16" s="5"/>
    </row>
    <row r="17" spans="1:21" ht="4.5" customHeight="1">
      <c r="A17" s="226"/>
      <c r="B17" s="4"/>
      <c r="C17" s="6"/>
      <c r="D17" s="4"/>
      <c r="E17" s="4"/>
      <c r="F17" s="4"/>
      <c r="G17" s="227"/>
      <c r="H17" s="9"/>
      <c r="I17" s="34"/>
      <c r="J17" s="34"/>
      <c r="K17" s="35"/>
      <c r="L17" s="36"/>
      <c r="M17" s="7"/>
      <c r="N17" s="7"/>
      <c r="O17" s="19"/>
      <c r="P17" s="5"/>
      <c r="Q17" s="5"/>
      <c r="R17" s="5"/>
      <c r="S17" s="5"/>
      <c r="T17" s="5"/>
      <c r="U17" s="5"/>
    </row>
    <row r="18" spans="1:21" ht="22.5" customHeight="1">
      <c r="A18" s="1354" t="s">
        <v>70</v>
      </c>
      <c r="B18" s="1355"/>
      <c r="C18" s="1355"/>
      <c r="D18" s="1355"/>
      <c r="E18" s="1355"/>
      <c r="F18" s="1355"/>
      <c r="G18" s="1356"/>
      <c r="H18" s="9"/>
    </row>
    <row r="19" spans="1:21" ht="4.5" customHeight="1">
      <c r="A19" s="226"/>
      <c r="B19" s="4"/>
      <c r="C19" s="6"/>
      <c r="D19" s="4"/>
      <c r="E19" s="4"/>
      <c r="F19" s="38"/>
      <c r="G19" s="227"/>
      <c r="H19" s="9"/>
      <c r="I19" s="34"/>
      <c r="J19" s="34"/>
      <c r="K19" s="35"/>
      <c r="L19" s="39"/>
      <c r="M19" s="7"/>
      <c r="N19" s="7"/>
      <c r="O19" s="8"/>
      <c r="P19" s="5"/>
      <c r="Q19" s="5"/>
      <c r="R19" s="5"/>
      <c r="S19" s="5"/>
      <c r="T19" s="5"/>
      <c r="U19" s="5"/>
    </row>
    <row r="20" spans="1:21">
      <c r="A20" s="1373" t="s">
        <v>17</v>
      </c>
      <c r="B20" s="1374"/>
      <c r="C20" s="1374"/>
      <c r="D20" s="220" t="s">
        <v>3</v>
      </c>
      <c r="E20" s="220" t="s">
        <v>4</v>
      </c>
      <c r="F20" s="220" t="s">
        <v>25</v>
      </c>
      <c r="G20" s="228" t="s">
        <v>21</v>
      </c>
      <c r="H20" s="27"/>
      <c r="I20" s="34"/>
      <c r="J20" s="34"/>
      <c r="K20" s="35"/>
      <c r="L20" s="39"/>
      <c r="M20" s="7"/>
      <c r="N20" s="7"/>
      <c r="O20" s="8"/>
      <c r="P20" s="5"/>
      <c r="Q20" s="5"/>
      <c r="R20" s="5"/>
      <c r="S20" s="5"/>
      <c r="T20" s="5"/>
      <c r="U20" s="5"/>
    </row>
    <row r="21" spans="1:21" ht="32.25" customHeight="1">
      <c r="A21" s="1441" t="s">
        <v>84</v>
      </c>
      <c r="B21" s="1442"/>
      <c r="C21" s="1443"/>
      <c r="D21" s="118" t="s">
        <v>57</v>
      </c>
      <c r="E21" s="119">
        <v>1</v>
      </c>
      <c r="F21" s="87">
        <v>180000</v>
      </c>
      <c r="G21" s="231">
        <f>ROUND(F21*E21,0)</f>
        <v>180000</v>
      </c>
      <c r="H21" s="9"/>
      <c r="I21" s="34"/>
      <c r="J21" s="34"/>
      <c r="K21" s="35"/>
      <c r="L21" s="39"/>
      <c r="M21" s="7"/>
      <c r="N21" s="7"/>
      <c r="O21" s="13"/>
      <c r="P21" s="5"/>
      <c r="Q21" s="5"/>
      <c r="R21" s="5"/>
      <c r="S21" s="5"/>
      <c r="T21" s="5"/>
      <c r="U21" s="5"/>
    </row>
    <row r="22" spans="1:21">
      <c r="A22" s="1382" t="s">
        <v>55</v>
      </c>
      <c r="B22" s="1383"/>
      <c r="C22" s="1383"/>
      <c r="D22" s="79" t="s">
        <v>44</v>
      </c>
      <c r="E22" s="88">
        <v>0.03</v>
      </c>
      <c r="F22" s="87">
        <v>374906</v>
      </c>
      <c r="G22" s="231">
        <f>ROUND(F22*E22,0)</f>
        <v>11247</v>
      </c>
      <c r="H22" s="9"/>
      <c r="I22" s="10"/>
      <c r="J22" s="10"/>
      <c r="K22" s="12"/>
      <c r="L22" s="39"/>
      <c r="M22" s="7"/>
      <c r="N22" s="7"/>
      <c r="O22" s="15"/>
      <c r="P22" s="5"/>
      <c r="Q22" s="5"/>
      <c r="R22" s="5"/>
      <c r="S22" s="5"/>
      <c r="T22" s="5"/>
      <c r="U22" s="5"/>
    </row>
    <row r="23" spans="1:21">
      <c r="A23" s="1352"/>
      <c r="B23" s="1353"/>
      <c r="C23" s="1353"/>
      <c r="D23" s="79"/>
      <c r="E23" s="82"/>
      <c r="F23" s="78"/>
      <c r="G23" s="231"/>
      <c r="H23" s="9"/>
      <c r="I23" s="10"/>
      <c r="J23" s="10"/>
      <c r="K23" s="12"/>
      <c r="L23" s="39"/>
      <c r="M23" s="7"/>
      <c r="N23" s="7"/>
      <c r="O23" s="15"/>
      <c r="P23" s="5"/>
      <c r="Q23" s="5"/>
      <c r="R23" s="5"/>
      <c r="S23" s="5"/>
      <c r="T23" s="5"/>
      <c r="U23" s="5"/>
    </row>
    <row r="24" spans="1:21">
      <c r="A24" s="1352"/>
      <c r="B24" s="1353"/>
      <c r="C24" s="1353"/>
      <c r="D24" s="81"/>
      <c r="E24" s="88"/>
      <c r="F24" s="78"/>
      <c r="G24" s="231"/>
      <c r="H24" s="9"/>
      <c r="I24" s="10"/>
      <c r="J24" s="40"/>
      <c r="K24" s="12"/>
      <c r="L24" s="13"/>
      <c r="M24" s="14"/>
      <c r="N24" s="14"/>
      <c r="O24" s="15"/>
      <c r="P24" s="5"/>
      <c r="Q24" s="5"/>
      <c r="R24" s="5"/>
      <c r="S24" s="5"/>
      <c r="T24" s="5"/>
      <c r="U24" s="5"/>
    </row>
    <row r="25" spans="1:21">
      <c r="A25" s="1352"/>
      <c r="B25" s="1353"/>
      <c r="C25" s="1353"/>
      <c r="D25" s="81"/>
      <c r="E25" s="82"/>
      <c r="F25" s="78"/>
      <c r="G25" s="231"/>
      <c r="H25" s="9"/>
      <c r="I25" s="10"/>
      <c r="J25" s="11"/>
      <c r="K25" s="12"/>
      <c r="L25" s="13"/>
      <c r="M25" s="14"/>
      <c r="N25" s="14"/>
      <c r="O25" s="15"/>
      <c r="P25" s="5"/>
      <c r="Q25" s="5"/>
      <c r="R25" s="5"/>
      <c r="S25" s="5"/>
      <c r="T25" s="5"/>
      <c r="U25" s="5"/>
    </row>
    <row r="26" spans="1:21">
      <c r="A26" s="1352"/>
      <c r="B26" s="1353"/>
      <c r="C26" s="1353"/>
      <c r="D26" s="79"/>
      <c r="E26" s="82"/>
      <c r="F26" s="78"/>
      <c r="G26" s="231"/>
      <c r="H26" s="9"/>
      <c r="I26" s="10"/>
      <c r="J26" s="11"/>
      <c r="K26" s="12"/>
      <c r="L26" s="13"/>
      <c r="M26" s="14"/>
      <c r="N26" s="14"/>
      <c r="O26" s="15"/>
      <c r="P26" s="5"/>
      <c r="Q26" s="5"/>
      <c r="R26" s="5"/>
      <c r="S26" s="5"/>
      <c r="T26" s="5"/>
      <c r="U26" s="5"/>
    </row>
    <row r="27" spans="1:21">
      <c r="A27" s="1352"/>
      <c r="B27" s="1353"/>
      <c r="C27" s="1353"/>
      <c r="D27" s="79"/>
      <c r="E27" s="82"/>
      <c r="F27" s="78"/>
      <c r="G27" s="231"/>
      <c r="H27" s="9"/>
      <c r="I27" s="10"/>
      <c r="J27" s="11"/>
      <c r="K27" s="12"/>
      <c r="L27" s="13"/>
      <c r="M27" s="14"/>
      <c r="N27" s="14"/>
      <c r="O27" s="15"/>
      <c r="P27" s="5"/>
      <c r="Q27" s="5"/>
      <c r="R27" s="5"/>
      <c r="S27" s="5"/>
      <c r="T27" s="5"/>
      <c r="U27" s="5"/>
    </row>
    <row r="28" spans="1:21">
      <c r="A28" s="1352"/>
      <c r="B28" s="1353"/>
      <c r="C28" s="1353"/>
      <c r="D28" s="79"/>
      <c r="E28" s="82"/>
      <c r="F28" s="83"/>
      <c r="G28" s="231"/>
      <c r="H28" s="9"/>
      <c r="I28" s="41"/>
      <c r="J28" s="41"/>
      <c r="K28" s="12"/>
      <c r="L28" s="13"/>
      <c r="M28" s="14"/>
      <c r="N28" s="14"/>
      <c r="O28" s="15"/>
      <c r="P28" s="5"/>
      <c r="Q28" s="5"/>
      <c r="R28" s="5"/>
      <c r="S28" s="5"/>
      <c r="T28" s="5"/>
      <c r="U28" s="5"/>
    </row>
    <row r="29" spans="1:21">
      <c r="A29" s="1352"/>
      <c r="B29" s="1353"/>
      <c r="C29" s="1353"/>
      <c r="D29" s="84"/>
      <c r="E29" s="84"/>
      <c r="F29" s="83"/>
      <c r="G29" s="231"/>
      <c r="H29" s="9"/>
      <c r="I29" s="42"/>
      <c r="J29" s="42"/>
      <c r="K29" s="42"/>
      <c r="L29" s="13"/>
      <c r="M29" s="14"/>
      <c r="N29" s="14"/>
      <c r="O29" s="15"/>
      <c r="P29" s="5"/>
      <c r="Q29" s="5"/>
      <c r="R29" s="5"/>
      <c r="S29" s="5"/>
      <c r="T29" s="5"/>
      <c r="U29" s="5"/>
    </row>
    <row r="30" spans="1:21">
      <c r="A30" s="1352"/>
      <c r="B30" s="1353"/>
      <c r="C30" s="1353"/>
      <c r="D30" s="85" t="s">
        <v>28</v>
      </c>
      <c r="E30" s="50"/>
      <c r="F30" s="49"/>
      <c r="G30" s="230">
        <f>SUM(G21:G29)</f>
        <v>191247</v>
      </c>
      <c r="H30" s="9"/>
      <c r="I30" s="8"/>
      <c r="J30" s="13"/>
      <c r="K30" s="8"/>
      <c r="L30" s="13"/>
      <c r="M30" s="14"/>
      <c r="N30" s="14"/>
      <c r="O30" s="15"/>
      <c r="P30" s="5"/>
    </row>
    <row r="31" spans="1:21" ht="3.75" customHeight="1">
      <c r="A31" s="226"/>
      <c r="B31" s="4"/>
      <c r="C31" s="6"/>
      <c r="D31" s="4"/>
      <c r="E31" s="4"/>
      <c r="F31" s="4"/>
      <c r="G31" s="227"/>
      <c r="H31" s="9"/>
      <c r="I31" s="8"/>
      <c r="J31" s="13"/>
      <c r="K31" s="18"/>
      <c r="L31" s="13"/>
      <c r="M31" s="33"/>
      <c r="N31" s="33"/>
      <c r="O31" s="15"/>
      <c r="P31" s="5"/>
    </row>
    <row r="32" spans="1:21" ht="22.5" customHeight="1">
      <c r="A32" s="1354" t="s">
        <v>71</v>
      </c>
      <c r="B32" s="1355"/>
      <c r="C32" s="1355"/>
      <c r="D32" s="1355"/>
      <c r="E32" s="1355"/>
      <c r="F32" s="1355"/>
      <c r="G32" s="1356"/>
      <c r="H32" s="9"/>
    </row>
    <row r="33" spans="1:16" ht="3.75" customHeight="1">
      <c r="A33" s="226"/>
      <c r="B33" s="4"/>
      <c r="C33" s="6"/>
      <c r="D33" s="4"/>
      <c r="E33" s="4"/>
      <c r="F33" s="4"/>
      <c r="G33" s="227"/>
      <c r="H33" s="9"/>
      <c r="I33" s="8"/>
      <c r="J33" s="13"/>
      <c r="K33" s="8"/>
      <c r="L33" s="8"/>
      <c r="M33" s="8"/>
      <c r="N33" s="8"/>
      <c r="O33" s="15"/>
      <c r="P33" s="5"/>
    </row>
    <row r="34" spans="1:16">
      <c r="A34" s="232" t="s">
        <v>5</v>
      </c>
      <c r="B34" s="60" t="s">
        <v>29</v>
      </c>
      <c r="C34" s="60" t="s">
        <v>30</v>
      </c>
      <c r="D34" s="60" t="s">
        <v>31</v>
      </c>
      <c r="E34" s="60" t="s">
        <v>32</v>
      </c>
      <c r="F34" s="60" t="s">
        <v>20</v>
      </c>
      <c r="G34" s="228" t="s">
        <v>33</v>
      </c>
      <c r="H34" s="27"/>
      <c r="I34" s="8"/>
      <c r="J34" s="13"/>
      <c r="K34" s="8"/>
      <c r="L34" s="8"/>
      <c r="M34" s="8"/>
      <c r="N34" s="8"/>
      <c r="O34" s="15"/>
      <c r="P34" s="5"/>
    </row>
    <row r="35" spans="1:16">
      <c r="A35" s="233" t="s">
        <v>41</v>
      </c>
      <c r="B35" s="63">
        <f>BOF</f>
        <v>51749</v>
      </c>
      <c r="C35" s="68">
        <f>ffpp</f>
        <v>0.64539999999999997</v>
      </c>
      <c r="D35" s="72">
        <v>1</v>
      </c>
      <c r="E35" s="66">
        <f>OF</f>
        <v>88696</v>
      </c>
      <c r="F35" s="65">
        <v>3.5</v>
      </c>
      <c r="G35" s="231">
        <f>ROUND(+D35*E35/F35,0)</f>
        <v>25342</v>
      </c>
      <c r="H35" s="9"/>
      <c r="I35" s="16"/>
      <c r="J35" s="13"/>
      <c r="K35" s="8"/>
      <c r="L35" s="8"/>
      <c r="M35" s="8"/>
      <c r="N35" s="8"/>
      <c r="O35" s="15"/>
      <c r="P35" s="5"/>
    </row>
    <row r="36" spans="1:16">
      <c r="A36" s="233" t="s">
        <v>38</v>
      </c>
      <c r="B36" s="63">
        <f>BOB</f>
        <v>41749</v>
      </c>
      <c r="C36" s="68">
        <f>ffpp</f>
        <v>0.64539999999999997</v>
      </c>
      <c r="D36" s="72">
        <v>2</v>
      </c>
      <c r="E36" s="66">
        <f>OB</f>
        <v>72242</v>
      </c>
      <c r="F36" s="65">
        <f>+F35</f>
        <v>3.5</v>
      </c>
      <c r="G36" s="231">
        <f>ROUND(+D36*E36/F36,0)</f>
        <v>41281</v>
      </c>
      <c r="H36" s="9"/>
      <c r="I36" s="8"/>
      <c r="J36" s="8"/>
      <c r="K36" s="13"/>
      <c r="L36" s="13"/>
      <c r="M36" s="13"/>
      <c r="N36" s="13"/>
      <c r="O36" s="13"/>
      <c r="P36" s="5"/>
    </row>
    <row r="37" spans="1:16">
      <c r="A37" s="234"/>
      <c r="B37" s="50"/>
      <c r="C37" s="961"/>
      <c r="D37" s="50"/>
      <c r="E37" s="50"/>
      <c r="F37" s="50"/>
      <c r="G37" s="235"/>
      <c r="H37" s="9"/>
      <c r="I37" s="8"/>
      <c r="J37" s="13"/>
      <c r="K37" s="13"/>
      <c r="L37" s="13"/>
      <c r="M37" s="33"/>
      <c r="N37" s="33"/>
      <c r="O37" s="43"/>
      <c r="P37" s="5"/>
    </row>
    <row r="38" spans="1:16">
      <c r="A38" s="233"/>
      <c r="B38" s="65"/>
      <c r="C38" s="68"/>
      <c r="D38" s="65"/>
      <c r="E38" s="69"/>
      <c r="F38" s="69"/>
      <c r="G38" s="236"/>
      <c r="H38" s="9"/>
      <c r="I38" s="8"/>
      <c r="J38" s="13"/>
      <c r="K38" s="13"/>
      <c r="L38" s="13"/>
      <c r="M38" s="33"/>
      <c r="N38" s="33"/>
      <c r="O38" s="43"/>
      <c r="P38" s="5"/>
    </row>
    <row r="39" spans="1:16">
      <c r="A39" s="249"/>
      <c r="B39" s="71"/>
      <c r="C39" s="71"/>
      <c r="D39" s="71" t="s">
        <v>34</v>
      </c>
      <c r="E39" s="71"/>
      <c r="F39" s="71"/>
      <c r="G39" s="250">
        <f>SUM(G35:G38)</f>
        <v>66623</v>
      </c>
      <c r="H39" s="9"/>
      <c r="I39" s="8"/>
      <c r="J39" s="13"/>
      <c r="K39" s="13"/>
      <c r="L39" s="13"/>
      <c r="M39" s="14"/>
      <c r="N39" s="14"/>
      <c r="O39" s="15"/>
      <c r="P39" s="5"/>
    </row>
    <row r="40" spans="1:16">
      <c r="A40" s="226"/>
      <c r="B40" s="4"/>
      <c r="C40" s="6"/>
      <c r="D40" s="4"/>
      <c r="E40" s="4"/>
      <c r="F40" s="4"/>
      <c r="G40" s="227"/>
      <c r="H40" s="9"/>
      <c r="I40" s="8"/>
      <c r="J40" s="13"/>
      <c r="K40" s="13"/>
      <c r="L40" s="13"/>
      <c r="M40" s="14"/>
      <c r="N40" s="14"/>
      <c r="O40" s="19"/>
      <c r="P40" s="5"/>
    </row>
    <row r="41" spans="1:16">
      <c r="A41" s="226"/>
      <c r="B41" s="4"/>
      <c r="C41" s="6"/>
      <c r="D41" s="4"/>
      <c r="E41" s="4"/>
      <c r="F41" s="4"/>
      <c r="G41" s="227"/>
      <c r="H41" s="9"/>
      <c r="I41" s="8"/>
      <c r="J41" s="13"/>
      <c r="K41" s="13"/>
      <c r="L41" s="13"/>
      <c r="M41" s="17"/>
      <c r="N41" s="17"/>
      <c r="O41" s="37"/>
      <c r="P41" s="5"/>
    </row>
    <row r="42" spans="1:16" ht="14.25">
      <c r="A42" s="226"/>
      <c r="B42" s="4"/>
      <c r="C42" s="6"/>
      <c r="D42" s="1357" t="s">
        <v>35</v>
      </c>
      <c r="E42" s="1358"/>
      <c r="F42" s="1359"/>
      <c r="G42" s="239">
        <f>+G39+G30+G16</f>
        <v>261201</v>
      </c>
      <c r="H42" s="9"/>
      <c r="I42" s="48"/>
      <c r="J42" s="13"/>
      <c r="K42" s="8"/>
      <c r="L42" s="8"/>
      <c r="M42" s="8"/>
      <c r="N42" s="8"/>
      <c r="O42" s="8"/>
      <c r="P42" s="5"/>
    </row>
    <row r="43" spans="1:16" ht="14.25">
      <c r="A43" s="240"/>
      <c r="B43" s="57"/>
      <c r="C43" s="58"/>
      <c r="D43" s="99"/>
      <c r="E43" s="99"/>
      <c r="F43" s="99"/>
      <c r="G43" s="251"/>
      <c r="H43" s="9"/>
      <c r="I43" s="48"/>
      <c r="J43" s="13"/>
      <c r="K43" s="8"/>
      <c r="L43" s="8"/>
      <c r="M43" s="8"/>
      <c r="N43" s="8"/>
      <c r="O43" s="8"/>
      <c r="P43" s="5"/>
    </row>
    <row r="44" spans="1:16" ht="14.25">
      <c r="A44" s="374"/>
      <c r="B44" s="375"/>
      <c r="C44" s="375"/>
      <c r="D44" s="99"/>
      <c r="E44" s="99"/>
      <c r="F44" s="99"/>
      <c r="G44" s="251"/>
      <c r="H44" s="9"/>
      <c r="I44" s="48"/>
      <c r="J44" s="13"/>
      <c r="K44" s="8"/>
      <c r="L44" s="8"/>
      <c r="M44" s="8"/>
      <c r="N44" s="8"/>
      <c r="O44" s="8"/>
      <c r="P44" s="5"/>
    </row>
    <row r="45" spans="1:16" ht="14.25">
      <c r="A45" s="373"/>
      <c r="B45" s="376"/>
      <c r="C45" s="376"/>
      <c r="D45" s="99"/>
      <c r="E45" s="99"/>
      <c r="F45" s="99"/>
      <c r="G45" s="251"/>
      <c r="H45" s="9"/>
      <c r="I45" s="48"/>
      <c r="J45" s="13"/>
      <c r="K45" s="8"/>
      <c r="L45" s="8"/>
      <c r="M45" s="8"/>
      <c r="N45" s="8"/>
      <c r="O45" s="8"/>
      <c r="P45" s="5"/>
    </row>
    <row r="46" spans="1:16" ht="14.25">
      <c r="A46" s="373"/>
      <c r="B46" s="376"/>
      <c r="C46" s="376"/>
      <c r="D46" s="44"/>
      <c r="E46" s="45"/>
      <c r="F46" s="45"/>
      <c r="G46" s="251"/>
      <c r="H46" s="9"/>
      <c r="I46" s="8"/>
      <c r="J46" s="13"/>
      <c r="K46" s="8"/>
      <c r="L46" s="8"/>
      <c r="M46" s="8"/>
      <c r="N46" s="8"/>
      <c r="O46" s="8"/>
      <c r="P46" s="5"/>
    </row>
    <row r="47" spans="1:16" ht="15" thickBot="1">
      <c r="A47" s="242"/>
      <c r="B47" s="243"/>
      <c r="C47" s="244"/>
      <c r="D47" s="245"/>
      <c r="E47" s="246"/>
      <c r="F47" s="246"/>
      <c r="G47" s="247"/>
      <c r="H47" s="9"/>
      <c r="I47" s="8"/>
      <c r="J47" s="13"/>
      <c r="K47" s="8"/>
      <c r="L47" s="8"/>
      <c r="M47" s="8"/>
      <c r="N47" s="8"/>
      <c r="O47" s="8"/>
      <c r="P47" s="5"/>
    </row>
    <row r="48" spans="1:16">
      <c r="I48" s="5"/>
      <c r="J48" s="5"/>
      <c r="K48" s="5"/>
      <c r="L48" s="5"/>
      <c r="M48" s="5"/>
      <c r="N48" s="5"/>
      <c r="O48" s="5"/>
      <c r="P48" s="5"/>
    </row>
  </sheetData>
  <mergeCells count="26">
    <mergeCell ref="A14:C14"/>
    <mergeCell ref="A15:C15"/>
    <mergeCell ref="A20:C20"/>
    <mergeCell ref="A16:C16"/>
    <mergeCell ref="A18:G18"/>
    <mergeCell ref="A11:C11"/>
    <mergeCell ref="A12:C12"/>
    <mergeCell ref="A13:C13"/>
    <mergeCell ref="A8:G8"/>
    <mergeCell ref="B6:E6"/>
    <mergeCell ref="A1:G1"/>
    <mergeCell ref="A30:C30"/>
    <mergeCell ref="A32:G32"/>
    <mergeCell ref="D42:F42"/>
    <mergeCell ref="A29:C29"/>
    <mergeCell ref="A22:C22"/>
    <mergeCell ref="A23:C23"/>
    <mergeCell ref="A24:C24"/>
    <mergeCell ref="A25:C25"/>
    <mergeCell ref="A26:C26"/>
    <mergeCell ref="A28:C28"/>
    <mergeCell ref="A27:C27"/>
    <mergeCell ref="A2:G2"/>
    <mergeCell ref="A21:C21"/>
    <mergeCell ref="A3:G4"/>
    <mergeCell ref="A10:C10"/>
  </mergeCells>
  <printOptions horizontalCentered="1" verticalCentered="1"/>
  <pageMargins left="0.74803149606299213" right="0.74803149606299213" top="0" bottom="0.98425196850393704" header="0" footer="0"/>
  <pageSetup scale="90" orientation="portrait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0"/>
  <dimension ref="A1:U49"/>
  <sheetViews>
    <sheetView view="pageBreakPreview" zoomScaleNormal="100" zoomScaleSheetLayoutView="100" workbookViewId="0">
      <selection activeCell="I7" sqref="I7"/>
    </sheetView>
  </sheetViews>
  <sheetFormatPr baseColWidth="10" defaultColWidth="10.7109375" defaultRowHeight="12.75"/>
  <cols>
    <col min="1" max="1" width="15.85546875" style="3" customWidth="1"/>
    <col min="2" max="2" width="14.85546875" style="3" customWidth="1"/>
    <col min="3" max="3" width="13.28515625" style="3" customWidth="1"/>
    <col min="4" max="4" width="11.42578125" style="3"/>
    <col min="5" max="5" width="13.42578125" style="3" customWidth="1"/>
    <col min="6" max="6" width="12.7109375" style="3" customWidth="1"/>
    <col min="7" max="7" width="14" style="3" customWidth="1"/>
    <col min="8" max="8" width="7.42578125" style="3" customWidth="1"/>
    <col min="9" max="256" width="11.42578125" style="3"/>
    <col min="257" max="257" width="15.85546875" style="3" customWidth="1"/>
    <col min="258" max="258" width="14.85546875" style="3" customWidth="1"/>
    <col min="259" max="259" width="13.28515625" style="3" customWidth="1"/>
    <col min="260" max="260" width="11.42578125" style="3"/>
    <col min="261" max="261" width="13.42578125" style="3" customWidth="1"/>
    <col min="262" max="262" width="12.7109375" style="3" customWidth="1"/>
    <col min="263" max="263" width="14" style="3" customWidth="1"/>
    <col min="264" max="264" width="7.42578125" style="3" customWidth="1"/>
    <col min="265" max="512" width="11.42578125" style="3"/>
    <col min="513" max="513" width="15.85546875" style="3" customWidth="1"/>
    <col min="514" max="514" width="14.85546875" style="3" customWidth="1"/>
    <col min="515" max="515" width="13.28515625" style="3" customWidth="1"/>
    <col min="516" max="516" width="11.42578125" style="3"/>
    <col min="517" max="517" width="13.42578125" style="3" customWidth="1"/>
    <col min="518" max="518" width="12.7109375" style="3" customWidth="1"/>
    <col min="519" max="519" width="14" style="3" customWidth="1"/>
    <col min="520" max="520" width="7.42578125" style="3" customWidth="1"/>
    <col min="521" max="768" width="11.42578125" style="3"/>
    <col min="769" max="769" width="15.85546875" style="3" customWidth="1"/>
    <col min="770" max="770" width="14.85546875" style="3" customWidth="1"/>
    <col min="771" max="771" width="13.28515625" style="3" customWidth="1"/>
    <col min="772" max="772" width="11.42578125" style="3"/>
    <col min="773" max="773" width="13.42578125" style="3" customWidth="1"/>
    <col min="774" max="774" width="12.7109375" style="3" customWidth="1"/>
    <col min="775" max="775" width="14" style="3" customWidth="1"/>
    <col min="776" max="776" width="7.42578125" style="3" customWidth="1"/>
    <col min="777" max="1024" width="11.42578125" style="3"/>
    <col min="1025" max="1025" width="15.85546875" style="3" customWidth="1"/>
    <col min="1026" max="1026" width="14.85546875" style="3" customWidth="1"/>
    <col min="1027" max="1027" width="13.28515625" style="3" customWidth="1"/>
    <col min="1028" max="1028" width="11.42578125" style="3"/>
    <col min="1029" max="1029" width="13.42578125" style="3" customWidth="1"/>
    <col min="1030" max="1030" width="12.7109375" style="3" customWidth="1"/>
    <col min="1031" max="1031" width="14" style="3" customWidth="1"/>
    <col min="1032" max="1032" width="7.42578125" style="3" customWidth="1"/>
    <col min="1033" max="1280" width="11.42578125" style="3"/>
    <col min="1281" max="1281" width="15.85546875" style="3" customWidth="1"/>
    <col min="1282" max="1282" width="14.85546875" style="3" customWidth="1"/>
    <col min="1283" max="1283" width="13.28515625" style="3" customWidth="1"/>
    <col min="1284" max="1284" width="11.42578125" style="3"/>
    <col min="1285" max="1285" width="13.42578125" style="3" customWidth="1"/>
    <col min="1286" max="1286" width="12.7109375" style="3" customWidth="1"/>
    <col min="1287" max="1287" width="14" style="3" customWidth="1"/>
    <col min="1288" max="1288" width="7.42578125" style="3" customWidth="1"/>
    <col min="1289" max="1536" width="11.42578125" style="3"/>
    <col min="1537" max="1537" width="15.85546875" style="3" customWidth="1"/>
    <col min="1538" max="1538" width="14.85546875" style="3" customWidth="1"/>
    <col min="1539" max="1539" width="13.28515625" style="3" customWidth="1"/>
    <col min="1540" max="1540" width="11.42578125" style="3"/>
    <col min="1541" max="1541" width="13.42578125" style="3" customWidth="1"/>
    <col min="1542" max="1542" width="12.7109375" style="3" customWidth="1"/>
    <col min="1543" max="1543" width="14" style="3" customWidth="1"/>
    <col min="1544" max="1544" width="7.42578125" style="3" customWidth="1"/>
    <col min="1545" max="1792" width="11.42578125" style="3"/>
    <col min="1793" max="1793" width="15.85546875" style="3" customWidth="1"/>
    <col min="1794" max="1794" width="14.85546875" style="3" customWidth="1"/>
    <col min="1795" max="1795" width="13.28515625" style="3" customWidth="1"/>
    <col min="1796" max="1796" width="11.42578125" style="3"/>
    <col min="1797" max="1797" width="13.42578125" style="3" customWidth="1"/>
    <col min="1798" max="1798" width="12.7109375" style="3" customWidth="1"/>
    <col min="1799" max="1799" width="14" style="3" customWidth="1"/>
    <col min="1800" max="1800" width="7.42578125" style="3" customWidth="1"/>
    <col min="1801" max="2048" width="11.42578125" style="3"/>
    <col min="2049" max="2049" width="15.85546875" style="3" customWidth="1"/>
    <col min="2050" max="2050" width="14.85546875" style="3" customWidth="1"/>
    <col min="2051" max="2051" width="13.28515625" style="3" customWidth="1"/>
    <col min="2052" max="2052" width="11.42578125" style="3"/>
    <col min="2053" max="2053" width="13.42578125" style="3" customWidth="1"/>
    <col min="2054" max="2054" width="12.7109375" style="3" customWidth="1"/>
    <col min="2055" max="2055" width="14" style="3" customWidth="1"/>
    <col min="2056" max="2056" width="7.42578125" style="3" customWidth="1"/>
    <col min="2057" max="2304" width="11.42578125" style="3"/>
    <col min="2305" max="2305" width="15.85546875" style="3" customWidth="1"/>
    <col min="2306" max="2306" width="14.85546875" style="3" customWidth="1"/>
    <col min="2307" max="2307" width="13.28515625" style="3" customWidth="1"/>
    <col min="2308" max="2308" width="11.42578125" style="3"/>
    <col min="2309" max="2309" width="13.42578125" style="3" customWidth="1"/>
    <col min="2310" max="2310" width="12.7109375" style="3" customWidth="1"/>
    <col min="2311" max="2311" width="14" style="3" customWidth="1"/>
    <col min="2312" max="2312" width="7.42578125" style="3" customWidth="1"/>
    <col min="2313" max="2560" width="11.42578125" style="3"/>
    <col min="2561" max="2561" width="15.85546875" style="3" customWidth="1"/>
    <col min="2562" max="2562" width="14.85546875" style="3" customWidth="1"/>
    <col min="2563" max="2563" width="13.28515625" style="3" customWidth="1"/>
    <col min="2564" max="2564" width="11.42578125" style="3"/>
    <col min="2565" max="2565" width="13.42578125" style="3" customWidth="1"/>
    <col min="2566" max="2566" width="12.7109375" style="3" customWidth="1"/>
    <col min="2567" max="2567" width="14" style="3" customWidth="1"/>
    <col min="2568" max="2568" width="7.42578125" style="3" customWidth="1"/>
    <col min="2569" max="2816" width="11.42578125" style="3"/>
    <col min="2817" max="2817" width="15.85546875" style="3" customWidth="1"/>
    <col min="2818" max="2818" width="14.85546875" style="3" customWidth="1"/>
    <col min="2819" max="2819" width="13.28515625" style="3" customWidth="1"/>
    <col min="2820" max="2820" width="11.42578125" style="3"/>
    <col min="2821" max="2821" width="13.42578125" style="3" customWidth="1"/>
    <col min="2822" max="2822" width="12.7109375" style="3" customWidth="1"/>
    <col min="2823" max="2823" width="14" style="3" customWidth="1"/>
    <col min="2824" max="2824" width="7.42578125" style="3" customWidth="1"/>
    <col min="2825" max="3072" width="11.42578125" style="3"/>
    <col min="3073" max="3073" width="15.85546875" style="3" customWidth="1"/>
    <col min="3074" max="3074" width="14.85546875" style="3" customWidth="1"/>
    <col min="3075" max="3075" width="13.28515625" style="3" customWidth="1"/>
    <col min="3076" max="3076" width="11.42578125" style="3"/>
    <col min="3077" max="3077" width="13.42578125" style="3" customWidth="1"/>
    <col min="3078" max="3078" width="12.7109375" style="3" customWidth="1"/>
    <col min="3079" max="3079" width="14" style="3" customWidth="1"/>
    <col min="3080" max="3080" width="7.42578125" style="3" customWidth="1"/>
    <col min="3081" max="3328" width="11.42578125" style="3"/>
    <col min="3329" max="3329" width="15.85546875" style="3" customWidth="1"/>
    <col min="3330" max="3330" width="14.85546875" style="3" customWidth="1"/>
    <col min="3331" max="3331" width="13.28515625" style="3" customWidth="1"/>
    <col min="3332" max="3332" width="11.42578125" style="3"/>
    <col min="3333" max="3333" width="13.42578125" style="3" customWidth="1"/>
    <col min="3334" max="3334" width="12.7109375" style="3" customWidth="1"/>
    <col min="3335" max="3335" width="14" style="3" customWidth="1"/>
    <col min="3336" max="3336" width="7.42578125" style="3" customWidth="1"/>
    <col min="3337" max="3584" width="11.42578125" style="3"/>
    <col min="3585" max="3585" width="15.85546875" style="3" customWidth="1"/>
    <col min="3586" max="3586" width="14.85546875" style="3" customWidth="1"/>
    <col min="3587" max="3587" width="13.28515625" style="3" customWidth="1"/>
    <col min="3588" max="3588" width="11.42578125" style="3"/>
    <col min="3589" max="3589" width="13.42578125" style="3" customWidth="1"/>
    <col min="3590" max="3590" width="12.7109375" style="3" customWidth="1"/>
    <col min="3591" max="3591" width="14" style="3" customWidth="1"/>
    <col min="3592" max="3592" width="7.42578125" style="3" customWidth="1"/>
    <col min="3593" max="3840" width="11.42578125" style="3"/>
    <col min="3841" max="3841" width="15.85546875" style="3" customWidth="1"/>
    <col min="3842" max="3842" width="14.85546875" style="3" customWidth="1"/>
    <col min="3843" max="3843" width="13.28515625" style="3" customWidth="1"/>
    <col min="3844" max="3844" width="11.42578125" style="3"/>
    <col min="3845" max="3845" width="13.42578125" style="3" customWidth="1"/>
    <col min="3846" max="3846" width="12.7109375" style="3" customWidth="1"/>
    <col min="3847" max="3847" width="14" style="3" customWidth="1"/>
    <col min="3848" max="3848" width="7.42578125" style="3" customWidth="1"/>
    <col min="3849" max="4096" width="11.42578125" style="3"/>
    <col min="4097" max="4097" width="15.85546875" style="3" customWidth="1"/>
    <col min="4098" max="4098" width="14.85546875" style="3" customWidth="1"/>
    <col min="4099" max="4099" width="13.28515625" style="3" customWidth="1"/>
    <col min="4100" max="4100" width="11.42578125" style="3"/>
    <col min="4101" max="4101" width="13.42578125" style="3" customWidth="1"/>
    <col min="4102" max="4102" width="12.7109375" style="3" customWidth="1"/>
    <col min="4103" max="4103" width="14" style="3" customWidth="1"/>
    <col min="4104" max="4104" width="7.42578125" style="3" customWidth="1"/>
    <col min="4105" max="4352" width="11.42578125" style="3"/>
    <col min="4353" max="4353" width="15.85546875" style="3" customWidth="1"/>
    <col min="4354" max="4354" width="14.85546875" style="3" customWidth="1"/>
    <col min="4355" max="4355" width="13.28515625" style="3" customWidth="1"/>
    <col min="4356" max="4356" width="11.42578125" style="3"/>
    <col min="4357" max="4357" width="13.42578125" style="3" customWidth="1"/>
    <col min="4358" max="4358" width="12.7109375" style="3" customWidth="1"/>
    <col min="4359" max="4359" width="14" style="3" customWidth="1"/>
    <col min="4360" max="4360" width="7.42578125" style="3" customWidth="1"/>
    <col min="4361" max="4608" width="11.42578125" style="3"/>
    <col min="4609" max="4609" width="15.85546875" style="3" customWidth="1"/>
    <col min="4610" max="4610" width="14.85546875" style="3" customWidth="1"/>
    <col min="4611" max="4611" width="13.28515625" style="3" customWidth="1"/>
    <col min="4612" max="4612" width="11.42578125" style="3"/>
    <col min="4613" max="4613" width="13.42578125" style="3" customWidth="1"/>
    <col min="4614" max="4614" width="12.7109375" style="3" customWidth="1"/>
    <col min="4615" max="4615" width="14" style="3" customWidth="1"/>
    <col min="4616" max="4616" width="7.42578125" style="3" customWidth="1"/>
    <col min="4617" max="4864" width="11.42578125" style="3"/>
    <col min="4865" max="4865" width="15.85546875" style="3" customWidth="1"/>
    <col min="4866" max="4866" width="14.85546875" style="3" customWidth="1"/>
    <col min="4867" max="4867" width="13.28515625" style="3" customWidth="1"/>
    <col min="4868" max="4868" width="11.42578125" style="3"/>
    <col min="4869" max="4869" width="13.42578125" style="3" customWidth="1"/>
    <col min="4870" max="4870" width="12.7109375" style="3" customWidth="1"/>
    <col min="4871" max="4871" width="14" style="3" customWidth="1"/>
    <col min="4872" max="4872" width="7.42578125" style="3" customWidth="1"/>
    <col min="4873" max="5120" width="11.42578125" style="3"/>
    <col min="5121" max="5121" width="15.85546875" style="3" customWidth="1"/>
    <col min="5122" max="5122" width="14.85546875" style="3" customWidth="1"/>
    <col min="5123" max="5123" width="13.28515625" style="3" customWidth="1"/>
    <col min="5124" max="5124" width="11.42578125" style="3"/>
    <col min="5125" max="5125" width="13.42578125" style="3" customWidth="1"/>
    <col min="5126" max="5126" width="12.7109375" style="3" customWidth="1"/>
    <col min="5127" max="5127" width="14" style="3" customWidth="1"/>
    <col min="5128" max="5128" width="7.42578125" style="3" customWidth="1"/>
    <col min="5129" max="5376" width="11.42578125" style="3"/>
    <col min="5377" max="5377" width="15.85546875" style="3" customWidth="1"/>
    <col min="5378" max="5378" width="14.85546875" style="3" customWidth="1"/>
    <col min="5379" max="5379" width="13.28515625" style="3" customWidth="1"/>
    <col min="5380" max="5380" width="11.42578125" style="3"/>
    <col min="5381" max="5381" width="13.42578125" style="3" customWidth="1"/>
    <col min="5382" max="5382" width="12.7109375" style="3" customWidth="1"/>
    <col min="5383" max="5383" width="14" style="3" customWidth="1"/>
    <col min="5384" max="5384" width="7.42578125" style="3" customWidth="1"/>
    <col min="5385" max="5632" width="11.42578125" style="3"/>
    <col min="5633" max="5633" width="15.85546875" style="3" customWidth="1"/>
    <col min="5634" max="5634" width="14.85546875" style="3" customWidth="1"/>
    <col min="5635" max="5635" width="13.28515625" style="3" customWidth="1"/>
    <col min="5636" max="5636" width="11.42578125" style="3"/>
    <col min="5637" max="5637" width="13.42578125" style="3" customWidth="1"/>
    <col min="5638" max="5638" width="12.7109375" style="3" customWidth="1"/>
    <col min="5639" max="5639" width="14" style="3" customWidth="1"/>
    <col min="5640" max="5640" width="7.42578125" style="3" customWidth="1"/>
    <col min="5641" max="5888" width="11.42578125" style="3"/>
    <col min="5889" max="5889" width="15.85546875" style="3" customWidth="1"/>
    <col min="5890" max="5890" width="14.85546875" style="3" customWidth="1"/>
    <col min="5891" max="5891" width="13.28515625" style="3" customWidth="1"/>
    <col min="5892" max="5892" width="11.42578125" style="3"/>
    <col min="5893" max="5893" width="13.42578125" style="3" customWidth="1"/>
    <col min="5894" max="5894" width="12.7109375" style="3" customWidth="1"/>
    <col min="5895" max="5895" width="14" style="3" customWidth="1"/>
    <col min="5896" max="5896" width="7.42578125" style="3" customWidth="1"/>
    <col min="5897" max="6144" width="11.42578125" style="3"/>
    <col min="6145" max="6145" width="15.85546875" style="3" customWidth="1"/>
    <col min="6146" max="6146" width="14.85546875" style="3" customWidth="1"/>
    <col min="6147" max="6147" width="13.28515625" style="3" customWidth="1"/>
    <col min="6148" max="6148" width="11.42578125" style="3"/>
    <col min="6149" max="6149" width="13.42578125" style="3" customWidth="1"/>
    <col min="6150" max="6150" width="12.7109375" style="3" customWidth="1"/>
    <col min="6151" max="6151" width="14" style="3" customWidth="1"/>
    <col min="6152" max="6152" width="7.42578125" style="3" customWidth="1"/>
    <col min="6153" max="6400" width="11.42578125" style="3"/>
    <col min="6401" max="6401" width="15.85546875" style="3" customWidth="1"/>
    <col min="6402" max="6402" width="14.85546875" style="3" customWidth="1"/>
    <col min="6403" max="6403" width="13.28515625" style="3" customWidth="1"/>
    <col min="6404" max="6404" width="11.42578125" style="3"/>
    <col min="6405" max="6405" width="13.42578125" style="3" customWidth="1"/>
    <col min="6406" max="6406" width="12.7109375" style="3" customWidth="1"/>
    <col min="6407" max="6407" width="14" style="3" customWidth="1"/>
    <col min="6408" max="6408" width="7.42578125" style="3" customWidth="1"/>
    <col min="6409" max="6656" width="11.42578125" style="3"/>
    <col min="6657" max="6657" width="15.85546875" style="3" customWidth="1"/>
    <col min="6658" max="6658" width="14.85546875" style="3" customWidth="1"/>
    <col min="6659" max="6659" width="13.28515625" style="3" customWidth="1"/>
    <col min="6660" max="6660" width="11.42578125" style="3"/>
    <col min="6661" max="6661" width="13.42578125" style="3" customWidth="1"/>
    <col min="6662" max="6662" width="12.7109375" style="3" customWidth="1"/>
    <col min="6663" max="6663" width="14" style="3" customWidth="1"/>
    <col min="6664" max="6664" width="7.42578125" style="3" customWidth="1"/>
    <col min="6665" max="6912" width="11.42578125" style="3"/>
    <col min="6913" max="6913" width="15.85546875" style="3" customWidth="1"/>
    <col min="6914" max="6914" width="14.85546875" style="3" customWidth="1"/>
    <col min="6915" max="6915" width="13.28515625" style="3" customWidth="1"/>
    <col min="6916" max="6916" width="11.42578125" style="3"/>
    <col min="6917" max="6917" width="13.42578125" style="3" customWidth="1"/>
    <col min="6918" max="6918" width="12.7109375" style="3" customWidth="1"/>
    <col min="6919" max="6919" width="14" style="3" customWidth="1"/>
    <col min="6920" max="6920" width="7.42578125" style="3" customWidth="1"/>
    <col min="6921" max="7168" width="11.42578125" style="3"/>
    <col min="7169" max="7169" width="15.85546875" style="3" customWidth="1"/>
    <col min="7170" max="7170" width="14.85546875" style="3" customWidth="1"/>
    <col min="7171" max="7171" width="13.28515625" style="3" customWidth="1"/>
    <col min="7172" max="7172" width="11.42578125" style="3"/>
    <col min="7173" max="7173" width="13.42578125" style="3" customWidth="1"/>
    <col min="7174" max="7174" width="12.7109375" style="3" customWidth="1"/>
    <col min="7175" max="7175" width="14" style="3" customWidth="1"/>
    <col min="7176" max="7176" width="7.42578125" style="3" customWidth="1"/>
    <col min="7177" max="7424" width="11.42578125" style="3"/>
    <col min="7425" max="7425" width="15.85546875" style="3" customWidth="1"/>
    <col min="7426" max="7426" width="14.85546875" style="3" customWidth="1"/>
    <col min="7427" max="7427" width="13.28515625" style="3" customWidth="1"/>
    <col min="7428" max="7428" width="11.42578125" style="3"/>
    <col min="7429" max="7429" width="13.42578125" style="3" customWidth="1"/>
    <col min="7430" max="7430" width="12.7109375" style="3" customWidth="1"/>
    <col min="7431" max="7431" width="14" style="3" customWidth="1"/>
    <col min="7432" max="7432" width="7.42578125" style="3" customWidth="1"/>
    <col min="7433" max="7680" width="11.42578125" style="3"/>
    <col min="7681" max="7681" width="15.85546875" style="3" customWidth="1"/>
    <col min="7682" max="7682" width="14.85546875" style="3" customWidth="1"/>
    <col min="7683" max="7683" width="13.28515625" style="3" customWidth="1"/>
    <col min="7684" max="7684" width="11.42578125" style="3"/>
    <col min="7685" max="7685" width="13.42578125" style="3" customWidth="1"/>
    <col min="7686" max="7686" width="12.7109375" style="3" customWidth="1"/>
    <col min="7687" max="7687" width="14" style="3" customWidth="1"/>
    <col min="7688" max="7688" width="7.42578125" style="3" customWidth="1"/>
    <col min="7689" max="7936" width="11.42578125" style="3"/>
    <col min="7937" max="7937" width="15.85546875" style="3" customWidth="1"/>
    <col min="7938" max="7938" width="14.85546875" style="3" customWidth="1"/>
    <col min="7939" max="7939" width="13.28515625" style="3" customWidth="1"/>
    <col min="7940" max="7940" width="11.42578125" style="3"/>
    <col min="7941" max="7941" width="13.42578125" style="3" customWidth="1"/>
    <col min="7942" max="7942" width="12.7109375" style="3" customWidth="1"/>
    <col min="7943" max="7943" width="14" style="3" customWidth="1"/>
    <col min="7944" max="7944" width="7.42578125" style="3" customWidth="1"/>
    <col min="7945" max="8192" width="11.42578125" style="3"/>
    <col min="8193" max="8193" width="15.85546875" style="3" customWidth="1"/>
    <col min="8194" max="8194" width="14.85546875" style="3" customWidth="1"/>
    <col min="8195" max="8195" width="13.28515625" style="3" customWidth="1"/>
    <col min="8196" max="8196" width="11.42578125" style="3"/>
    <col min="8197" max="8197" width="13.42578125" style="3" customWidth="1"/>
    <col min="8198" max="8198" width="12.7109375" style="3" customWidth="1"/>
    <col min="8199" max="8199" width="14" style="3" customWidth="1"/>
    <col min="8200" max="8200" width="7.42578125" style="3" customWidth="1"/>
    <col min="8201" max="8448" width="11.42578125" style="3"/>
    <col min="8449" max="8449" width="15.85546875" style="3" customWidth="1"/>
    <col min="8450" max="8450" width="14.85546875" style="3" customWidth="1"/>
    <col min="8451" max="8451" width="13.28515625" style="3" customWidth="1"/>
    <col min="8452" max="8452" width="11.42578125" style="3"/>
    <col min="8453" max="8453" width="13.42578125" style="3" customWidth="1"/>
    <col min="8454" max="8454" width="12.7109375" style="3" customWidth="1"/>
    <col min="8455" max="8455" width="14" style="3" customWidth="1"/>
    <col min="8456" max="8456" width="7.42578125" style="3" customWidth="1"/>
    <col min="8457" max="8704" width="11.42578125" style="3"/>
    <col min="8705" max="8705" width="15.85546875" style="3" customWidth="1"/>
    <col min="8706" max="8706" width="14.85546875" style="3" customWidth="1"/>
    <col min="8707" max="8707" width="13.28515625" style="3" customWidth="1"/>
    <col min="8708" max="8708" width="11.42578125" style="3"/>
    <col min="8709" max="8709" width="13.42578125" style="3" customWidth="1"/>
    <col min="8710" max="8710" width="12.7109375" style="3" customWidth="1"/>
    <col min="8711" max="8711" width="14" style="3" customWidth="1"/>
    <col min="8712" max="8712" width="7.42578125" style="3" customWidth="1"/>
    <col min="8713" max="8960" width="11.42578125" style="3"/>
    <col min="8961" max="8961" width="15.85546875" style="3" customWidth="1"/>
    <col min="8962" max="8962" width="14.85546875" style="3" customWidth="1"/>
    <col min="8963" max="8963" width="13.28515625" style="3" customWidth="1"/>
    <col min="8964" max="8964" width="11.42578125" style="3"/>
    <col min="8965" max="8965" width="13.42578125" style="3" customWidth="1"/>
    <col min="8966" max="8966" width="12.7109375" style="3" customWidth="1"/>
    <col min="8967" max="8967" width="14" style="3" customWidth="1"/>
    <col min="8968" max="8968" width="7.42578125" style="3" customWidth="1"/>
    <col min="8969" max="9216" width="11.42578125" style="3"/>
    <col min="9217" max="9217" width="15.85546875" style="3" customWidth="1"/>
    <col min="9218" max="9218" width="14.85546875" style="3" customWidth="1"/>
    <col min="9219" max="9219" width="13.28515625" style="3" customWidth="1"/>
    <col min="9220" max="9220" width="11.42578125" style="3"/>
    <col min="9221" max="9221" width="13.42578125" style="3" customWidth="1"/>
    <col min="9222" max="9222" width="12.7109375" style="3" customWidth="1"/>
    <col min="9223" max="9223" width="14" style="3" customWidth="1"/>
    <col min="9224" max="9224" width="7.42578125" style="3" customWidth="1"/>
    <col min="9225" max="9472" width="11.42578125" style="3"/>
    <col min="9473" max="9473" width="15.85546875" style="3" customWidth="1"/>
    <col min="9474" max="9474" width="14.85546875" style="3" customWidth="1"/>
    <col min="9475" max="9475" width="13.28515625" style="3" customWidth="1"/>
    <col min="9476" max="9476" width="11.42578125" style="3"/>
    <col min="9477" max="9477" width="13.42578125" style="3" customWidth="1"/>
    <col min="9478" max="9478" width="12.7109375" style="3" customWidth="1"/>
    <col min="9479" max="9479" width="14" style="3" customWidth="1"/>
    <col min="9480" max="9480" width="7.42578125" style="3" customWidth="1"/>
    <col min="9481" max="9728" width="11.42578125" style="3"/>
    <col min="9729" max="9729" width="15.85546875" style="3" customWidth="1"/>
    <col min="9730" max="9730" width="14.85546875" style="3" customWidth="1"/>
    <col min="9731" max="9731" width="13.28515625" style="3" customWidth="1"/>
    <col min="9732" max="9732" width="11.42578125" style="3"/>
    <col min="9733" max="9733" width="13.42578125" style="3" customWidth="1"/>
    <col min="9734" max="9734" width="12.7109375" style="3" customWidth="1"/>
    <col min="9735" max="9735" width="14" style="3" customWidth="1"/>
    <col min="9736" max="9736" width="7.42578125" style="3" customWidth="1"/>
    <col min="9737" max="9984" width="11.42578125" style="3"/>
    <col min="9985" max="9985" width="15.85546875" style="3" customWidth="1"/>
    <col min="9986" max="9986" width="14.85546875" style="3" customWidth="1"/>
    <col min="9987" max="9987" width="13.28515625" style="3" customWidth="1"/>
    <col min="9988" max="9988" width="11.42578125" style="3"/>
    <col min="9989" max="9989" width="13.42578125" style="3" customWidth="1"/>
    <col min="9990" max="9990" width="12.7109375" style="3" customWidth="1"/>
    <col min="9991" max="9991" width="14" style="3" customWidth="1"/>
    <col min="9992" max="9992" width="7.42578125" style="3" customWidth="1"/>
    <col min="9993" max="10240" width="11.42578125" style="3"/>
    <col min="10241" max="10241" width="15.85546875" style="3" customWidth="1"/>
    <col min="10242" max="10242" width="14.85546875" style="3" customWidth="1"/>
    <col min="10243" max="10243" width="13.28515625" style="3" customWidth="1"/>
    <col min="10244" max="10244" width="11.42578125" style="3"/>
    <col min="10245" max="10245" width="13.42578125" style="3" customWidth="1"/>
    <col min="10246" max="10246" width="12.7109375" style="3" customWidth="1"/>
    <col min="10247" max="10247" width="14" style="3" customWidth="1"/>
    <col min="10248" max="10248" width="7.42578125" style="3" customWidth="1"/>
    <col min="10249" max="10496" width="11.42578125" style="3"/>
    <col min="10497" max="10497" width="15.85546875" style="3" customWidth="1"/>
    <col min="10498" max="10498" width="14.85546875" style="3" customWidth="1"/>
    <col min="10499" max="10499" width="13.28515625" style="3" customWidth="1"/>
    <col min="10500" max="10500" width="11.42578125" style="3"/>
    <col min="10501" max="10501" width="13.42578125" style="3" customWidth="1"/>
    <col min="10502" max="10502" width="12.7109375" style="3" customWidth="1"/>
    <col min="10503" max="10503" width="14" style="3" customWidth="1"/>
    <col min="10504" max="10504" width="7.42578125" style="3" customWidth="1"/>
    <col min="10505" max="10752" width="11.42578125" style="3"/>
    <col min="10753" max="10753" width="15.85546875" style="3" customWidth="1"/>
    <col min="10754" max="10754" width="14.85546875" style="3" customWidth="1"/>
    <col min="10755" max="10755" width="13.28515625" style="3" customWidth="1"/>
    <col min="10756" max="10756" width="11.42578125" style="3"/>
    <col min="10757" max="10757" width="13.42578125" style="3" customWidth="1"/>
    <col min="10758" max="10758" width="12.7109375" style="3" customWidth="1"/>
    <col min="10759" max="10759" width="14" style="3" customWidth="1"/>
    <col min="10760" max="10760" width="7.42578125" style="3" customWidth="1"/>
    <col min="10761" max="11008" width="11.42578125" style="3"/>
    <col min="11009" max="11009" width="15.85546875" style="3" customWidth="1"/>
    <col min="11010" max="11010" width="14.85546875" style="3" customWidth="1"/>
    <col min="11011" max="11011" width="13.28515625" style="3" customWidth="1"/>
    <col min="11012" max="11012" width="11.42578125" style="3"/>
    <col min="11013" max="11013" width="13.42578125" style="3" customWidth="1"/>
    <col min="11014" max="11014" width="12.7109375" style="3" customWidth="1"/>
    <col min="11015" max="11015" width="14" style="3" customWidth="1"/>
    <col min="11016" max="11016" width="7.42578125" style="3" customWidth="1"/>
    <col min="11017" max="11264" width="11.42578125" style="3"/>
    <col min="11265" max="11265" width="15.85546875" style="3" customWidth="1"/>
    <col min="11266" max="11266" width="14.85546875" style="3" customWidth="1"/>
    <col min="11267" max="11267" width="13.28515625" style="3" customWidth="1"/>
    <col min="11268" max="11268" width="11.42578125" style="3"/>
    <col min="11269" max="11269" width="13.42578125" style="3" customWidth="1"/>
    <col min="11270" max="11270" width="12.7109375" style="3" customWidth="1"/>
    <col min="11271" max="11271" width="14" style="3" customWidth="1"/>
    <col min="11272" max="11272" width="7.42578125" style="3" customWidth="1"/>
    <col min="11273" max="11520" width="11.42578125" style="3"/>
    <col min="11521" max="11521" width="15.85546875" style="3" customWidth="1"/>
    <col min="11522" max="11522" width="14.85546875" style="3" customWidth="1"/>
    <col min="11523" max="11523" width="13.28515625" style="3" customWidth="1"/>
    <col min="11524" max="11524" width="11.42578125" style="3"/>
    <col min="11525" max="11525" width="13.42578125" style="3" customWidth="1"/>
    <col min="11526" max="11526" width="12.7109375" style="3" customWidth="1"/>
    <col min="11527" max="11527" width="14" style="3" customWidth="1"/>
    <col min="11528" max="11528" width="7.42578125" style="3" customWidth="1"/>
    <col min="11529" max="11776" width="11.42578125" style="3"/>
    <col min="11777" max="11777" width="15.85546875" style="3" customWidth="1"/>
    <col min="11778" max="11778" width="14.85546875" style="3" customWidth="1"/>
    <col min="11779" max="11779" width="13.28515625" style="3" customWidth="1"/>
    <col min="11780" max="11780" width="11.42578125" style="3"/>
    <col min="11781" max="11781" width="13.42578125" style="3" customWidth="1"/>
    <col min="11782" max="11782" width="12.7109375" style="3" customWidth="1"/>
    <col min="11783" max="11783" width="14" style="3" customWidth="1"/>
    <col min="11784" max="11784" width="7.42578125" style="3" customWidth="1"/>
    <col min="11785" max="12032" width="11.42578125" style="3"/>
    <col min="12033" max="12033" width="15.85546875" style="3" customWidth="1"/>
    <col min="12034" max="12034" width="14.85546875" style="3" customWidth="1"/>
    <col min="12035" max="12035" width="13.28515625" style="3" customWidth="1"/>
    <col min="12036" max="12036" width="11.42578125" style="3"/>
    <col min="12037" max="12037" width="13.42578125" style="3" customWidth="1"/>
    <col min="12038" max="12038" width="12.7109375" style="3" customWidth="1"/>
    <col min="12039" max="12039" width="14" style="3" customWidth="1"/>
    <col min="12040" max="12040" width="7.42578125" style="3" customWidth="1"/>
    <col min="12041" max="12288" width="11.42578125" style="3"/>
    <col min="12289" max="12289" width="15.85546875" style="3" customWidth="1"/>
    <col min="12290" max="12290" width="14.85546875" style="3" customWidth="1"/>
    <col min="12291" max="12291" width="13.28515625" style="3" customWidth="1"/>
    <col min="12292" max="12292" width="11.42578125" style="3"/>
    <col min="12293" max="12293" width="13.42578125" style="3" customWidth="1"/>
    <col min="12294" max="12294" width="12.7109375" style="3" customWidth="1"/>
    <col min="12295" max="12295" width="14" style="3" customWidth="1"/>
    <col min="12296" max="12296" width="7.42578125" style="3" customWidth="1"/>
    <col min="12297" max="12544" width="11.42578125" style="3"/>
    <col min="12545" max="12545" width="15.85546875" style="3" customWidth="1"/>
    <col min="12546" max="12546" width="14.85546875" style="3" customWidth="1"/>
    <col min="12547" max="12547" width="13.28515625" style="3" customWidth="1"/>
    <col min="12548" max="12548" width="11.42578125" style="3"/>
    <col min="12549" max="12549" width="13.42578125" style="3" customWidth="1"/>
    <col min="12550" max="12550" width="12.7109375" style="3" customWidth="1"/>
    <col min="12551" max="12551" width="14" style="3" customWidth="1"/>
    <col min="12552" max="12552" width="7.42578125" style="3" customWidth="1"/>
    <col min="12553" max="12800" width="11.42578125" style="3"/>
    <col min="12801" max="12801" width="15.85546875" style="3" customWidth="1"/>
    <col min="12802" max="12802" width="14.85546875" style="3" customWidth="1"/>
    <col min="12803" max="12803" width="13.28515625" style="3" customWidth="1"/>
    <col min="12804" max="12804" width="11.42578125" style="3"/>
    <col min="12805" max="12805" width="13.42578125" style="3" customWidth="1"/>
    <col min="12806" max="12806" width="12.7109375" style="3" customWidth="1"/>
    <col min="12807" max="12807" width="14" style="3" customWidth="1"/>
    <col min="12808" max="12808" width="7.42578125" style="3" customWidth="1"/>
    <col min="12809" max="13056" width="11.42578125" style="3"/>
    <col min="13057" max="13057" width="15.85546875" style="3" customWidth="1"/>
    <col min="13058" max="13058" width="14.85546875" style="3" customWidth="1"/>
    <col min="13059" max="13059" width="13.28515625" style="3" customWidth="1"/>
    <col min="13060" max="13060" width="11.42578125" style="3"/>
    <col min="13061" max="13061" width="13.42578125" style="3" customWidth="1"/>
    <col min="13062" max="13062" width="12.7109375" style="3" customWidth="1"/>
    <col min="13063" max="13063" width="14" style="3" customWidth="1"/>
    <col min="13064" max="13064" width="7.42578125" style="3" customWidth="1"/>
    <col min="13065" max="13312" width="11.42578125" style="3"/>
    <col min="13313" max="13313" width="15.85546875" style="3" customWidth="1"/>
    <col min="13314" max="13314" width="14.85546875" style="3" customWidth="1"/>
    <col min="13315" max="13315" width="13.28515625" style="3" customWidth="1"/>
    <col min="13316" max="13316" width="11.42578125" style="3"/>
    <col min="13317" max="13317" width="13.42578125" style="3" customWidth="1"/>
    <col min="13318" max="13318" width="12.7109375" style="3" customWidth="1"/>
    <col min="13319" max="13319" width="14" style="3" customWidth="1"/>
    <col min="13320" max="13320" width="7.42578125" style="3" customWidth="1"/>
    <col min="13321" max="13568" width="11.42578125" style="3"/>
    <col min="13569" max="13569" width="15.85546875" style="3" customWidth="1"/>
    <col min="13570" max="13570" width="14.85546875" style="3" customWidth="1"/>
    <col min="13571" max="13571" width="13.28515625" style="3" customWidth="1"/>
    <col min="13572" max="13572" width="11.42578125" style="3"/>
    <col min="13573" max="13573" width="13.42578125" style="3" customWidth="1"/>
    <col min="13574" max="13574" width="12.7109375" style="3" customWidth="1"/>
    <col min="13575" max="13575" width="14" style="3" customWidth="1"/>
    <col min="13576" max="13576" width="7.42578125" style="3" customWidth="1"/>
    <col min="13577" max="13824" width="11.42578125" style="3"/>
    <col min="13825" max="13825" width="15.85546875" style="3" customWidth="1"/>
    <col min="13826" max="13826" width="14.85546875" style="3" customWidth="1"/>
    <col min="13827" max="13827" width="13.28515625" style="3" customWidth="1"/>
    <col min="13828" max="13828" width="11.42578125" style="3"/>
    <col min="13829" max="13829" width="13.42578125" style="3" customWidth="1"/>
    <col min="13830" max="13830" width="12.7109375" style="3" customWidth="1"/>
    <col min="13831" max="13831" width="14" style="3" customWidth="1"/>
    <col min="13832" max="13832" width="7.42578125" style="3" customWidth="1"/>
    <col min="13833" max="14080" width="11.42578125" style="3"/>
    <col min="14081" max="14081" width="15.85546875" style="3" customWidth="1"/>
    <col min="14082" max="14082" width="14.85546875" style="3" customWidth="1"/>
    <col min="14083" max="14083" width="13.28515625" style="3" customWidth="1"/>
    <col min="14084" max="14084" width="11.42578125" style="3"/>
    <col min="14085" max="14085" width="13.42578125" style="3" customWidth="1"/>
    <col min="14086" max="14086" width="12.7109375" style="3" customWidth="1"/>
    <col min="14087" max="14087" width="14" style="3" customWidth="1"/>
    <col min="14088" max="14088" width="7.42578125" style="3" customWidth="1"/>
    <col min="14089" max="14336" width="11.42578125" style="3"/>
    <col min="14337" max="14337" width="15.85546875" style="3" customWidth="1"/>
    <col min="14338" max="14338" width="14.85546875" style="3" customWidth="1"/>
    <col min="14339" max="14339" width="13.28515625" style="3" customWidth="1"/>
    <col min="14340" max="14340" width="11.42578125" style="3"/>
    <col min="14341" max="14341" width="13.42578125" style="3" customWidth="1"/>
    <col min="14342" max="14342" width="12.7109375" style="3" customWidth="1"/>
    <col min="14343" max="14343" width="14" style="3" customWidth="1"/>
    <col min="14344" max="14344" width="7.42578125" style="3" customWidth="1"/>
    <col min="14345" max="14592" width="11.42578125" style="3"/>
    <col min="14593" max="14593" width="15.85546875" style="3" customWidth="1"/>
    <col min="14594" max="14594" width="14.85546875" style="3" customWidth="1"/>
    <col min="14595" max="14595" width="13.28515625" style="3" customWidth="1"/>
    <col min="14596" max="14596" width="11.42578125" style="3"/>
    <col min="14597" max="14597" width="13.42578125" style="3" customWidth="1"/>
    <col min="14598" max="14598" width="12.7109375" style="3" customWidth="1"/>
    <col min="14599" max="14599" width="14" style="3" customWidth="1"/>
    <col min="14600" max="14600" width="7.42578125" style="3" customWidth="1"/>
    <col min="14601" max="14848" width="11.42578125" style="3"/>
    <col min="14849" max="14849" width="15.85546875" style="3" customWidth="1"/>
    <col min="14850" max="14850" width="14.85546875" style="3" customWidth="1"/>
    <col min="14851" max="14851" width="13.28515625" style="3" customWidth="1"/>
    <col min="14852" max="14852" width="11.42578125" style="3"/>
    <col min="14853" max="14853" width="13.42578125" style="3" customWidth="1"/>
    <col min="14854" max="14854" width="12.7109375" style="3" customWidth="1"/>
    <col min="14855" max="14855" width="14" style="3" customWidth="1"/>
    <col min="14856" max="14856" width="7.42578125" style="3" customWidth="1"/>
    <col min="14857" max="15104" width="11.42578125" style="3"/>
    <col min="15105" max="15105" width="15.85546875" style="3" customWidth="1"/>
    <col min="15106" max="15106" width="14.85546875" style="3" customWidth="1"/>
    <col min="15107" max="15107" width="13.28515625" style="3" customWidth="1"/>
    <col min="15108" max="15108" width="11.42578125" style="3"/>
    <col min="15109" max="15109" width="13.42578125" style="3" customWidth="1"/>
    <col min="15110" max="15110" width="12.7109375" style="3" customWidth="1"/>
    <col min="15111" max="15111" width="14" style="3" customWidth="1"/>
    <col min="15112" max="15112" width="7.42578125" style="3" customWidth="1"/>
    <col min="15113" max="15360" width="11.42578125" style="3"/>
    <col min="15361" max="15361" width="15.85546875" style="3" customWidth="1"/>
    <col min="15362" max="15362" width="14.85546875" style="3" customWidth="1"/>
    <col min="15363" max="15363" width="13.28515625" style="3" customWidth="1"/>
    <col min="15364" max="15364" width="11.42578125" style="3"/>
    <col min="15365" max="15365" width="13.42578125" style="3" customWidth="1"/>
    <col min="15366" max="15366" width="12.7109375" style="3" customWidth="1"/>
    <col min="15367" max="15367" width="14" style="3" customWidth="1"/>
    <col min="15368" max="15368" width="7.42578125" style="3" customWidth="1"/>
    <col min="15369" max="15616" width="11.42578125" style="3"/>
    <col min="15617" max="15617" width="15.85546875" style="3" customWidth="1"/>
    <col min="15618" max="15618" width="14.85546875" style="3" customWidth="1"/>
    <col min="15619" max="15619" width="13.28515625" style="3" customWidth="1"/>
    <col min="15620" max="15620" width="11.42578125" style="3"/>
    <col min="15621" max="15621" width="13.42578125" style="3" customWidth="1"/>
    <col min="15622" max="15622" width="12.7109375" style="3" customWidth="1"/>
    <col min="15623" max="15623" width="14" style="3" customWidth="1"/>
    <col min="15624" max="15624" width="7.42578125" style="3" customWidth="1"/>
    <col min="15625" max="15872" width="11.42578125" style="3"/>
    <col min="15873" max="15873" width="15.85546875" style="3" customWidth="1"/>
    <col min="15874" max="15874" width="14.85546875" style="3" customWidth="1"/>
    <col min="15875" max="15875" width="13.28515625" style="3" customWidth="1"/>
    <col min="15876" max="15876" width="11.42578125" style="3"/>
    <col min="15877" max="15877" width="13.42578125" style="3" customWidth="1"/>
    <col min="15878" max="15878" width="12.7109375" style="3" customWidth="1"/>
    <col min="15879" max="15879" width="14" style="3" customWidth="1"/>
    <col min="15880" max="15880" width="7.42578125" style="3" customWidth="1"/>
    <col min="15881" max="16128" width="11.42578125" style="3"/>
    <col min="16129" max="16129" width="15.85546875" style="3" customWidth="1"/>
    <col min="16130" max="16130" width="14.85546875" style="3" customWidth="1"/>
    <col min="16131" max="16131" width="13.28515625" style="3" customWidth="1"/>
    <col min="16132" max="16132" width="11.42578125" style="3"/>
    <col min="16133" max="16133" width="13.42578125" style="3" customWidth="1"/>
    <col min="16134" max="16134" width="12.7109375" style="3" customWidth="1"/>
    <col min="16135" max="16135" width="14" style="3" customWidth="1"/>
    <col min="16136" max="16136" width="7.42578125" style="3" customWidth="1"/>
    <col min="16137" max="16384" width="11.42578125" style="3"/>
  </cols>
  <sheetData>
    <row r="1" spans="1:21" ht="48" customHeight="1">
      <c r="A1" s="1346" t="str">
        <f>PPTO!D3</f>
        <v>PRESUPUESTO
MUNICIPIO EL BAGRE (ANTIOQUIA).</v>
      </c>
      <c r="B1" s="1347"/>
      <c r="C1" s="1347"/>
      <c r="D1" s="1347"/>
      <c r="E1" s="1347"/>
      <c r="F1" s="1347"/>
      <c r="G1" s="1348"/>
      <c r="H1" s="1"/>
      <c r="I1" s="2"/>
    </row>
    <row r="2" spans="1:21" ht="18" customHeight="1">
      <c r="A2" s="1362" t="s">
        <v>16</v>
      </c>
      <c r="B2" s="1363"/>
      <c r="C2" s="1363"/>
      <c r="D2" s="1363"/>
      <c r="E2" s="1363"/>
      <c r="F2" s="1363"/>
      <c r="G2" s="1364"/>
      <c r="H2" s="1"/>
      <c r="I2" s="2"/>
    </row>
    <row r="3" spans="1:21" ht="24" customHeight="1">
      <c r="A3" s="1367" t="str">
        <f>+PPTO!$D$5</f>
        <v>PROYECTO DE MEJORAMIENTO VIAL, ESPACIO PUBLICO Y OBRAS COMPLEMENTARIAS DE LA AVENIDA LA JUVENTUD Y TRAMOS ADYACENTES Y PRIORITARIOS DEL SECTOR URBANO EN EL MUNICIPIO EL BAGRE ANTIOQUIA.</v>
      </c>
      <c r="B3" s="1368"/>
      <c r="C3" s="1368"/>
      <c r="D3" s="1368"/>
      <c r="E3" s="1368"/>
      <c r="F3" s="1368"/>
      <c r="G3" s="1369"/>
      <c r="H3" s="1"/>
      <c r="I3" s="2"/>
    </row>
    <row r="4" spans="1:21" ht="30" customHeight="1">
      <c r="A4" s="1370"/>
      <c r="B4" s="1368"/>
      <c r="C4" s="1368"/>
      <c r="D4" s="1368"/>
      <c r="E4" s="1368"/>
      <c r="F4" s="1368"/>
      <c r="G4" s="1369"/>
      <c r="H4" s="1"/>
      <c r="I4" s="2"/>
    </row>
    <row r="5" spans="1:21" ht="6.75" customHeight="1">
      <c r="A5" s="222"/>
      <c r="B5" s="6"/>
      <c r="C5" s="24"/>
      <c r="D5" s="25"/>
      <c r="E5" s="6"/>
      <c r="F5" s="6"/>
      <c r="G5" s="223"/>
      <c r="H5" s="9"/>
    </row>
    <row r="6" spans="1:21" ht="52.5" customHeight="1">
      <c r="A6" s="368">
        <v>5.3</v>
      </c>
      <c r="B6" s="1349" t="str">
        <f>VLOOKUP(A6,PPTO!D10:I137,2,FALSE)</f>
        <v>Señal horizontal de fecha sencilla de giro en Pintura acrilica de Trafico. (Manual Señalizacion MinT Colombia 2015)</v>
      </c>
      <c r="C6" s="1350"/>
      <c r="D6" s="1350"/>
      <c r="E6" s="1351"/>
      <c r="F6" s="192" t="s">
        <v>118</v>
      </c>
      <c r="G6" s="248" t="str">
        <f>VLOOKUP(A6,PPTO!D10:I137,3,FALSE)</f>
        <v>und</v>
      </c>
      <c r="H6" s="9"/>
    </row>
    <row r="7" spans="1:21" ht="3.75" customHeight="1">
      <c r="A7" s="226"/>
      <c r="B7" s="4"/>
      <c r="C7" s="6"/>
      <c r="D7" s="4"/>
      <c r="E7" s="4"/>
      <c r="F7" s="4"/>
      <c r="G7" s="227"/>
      <c r="H7" s="9"/>
    </row>
    <row r="8" spans="1:21" ht="22.5" customHeight="1">
      <c r="A8" s="1354" t="s">
        <v>69</v>
      </c>
      <c r="B8" s="1355"/>
      <c r="C8" s="1355"/>
      <c r="D8" s="1355"/>
      <c r="E8" s="1355"/>
      <c r="F8" s="1355"/>
      <c r="G8" s="1356"/>
      <c r="H8" s="9"/>
    </row>
    <row r="9" spans="1:21" ht="4.5" customHeight="1">
      <c r="A9" s="226"/>
      <c r="B9" s="4"/>
      <c r="C9" s="6"/>
      <c r="D9" s="4"/>
      <c r="E9" s="4"/>
      <c r="F9" s="4"/>
      <c r="G9" s="227"/>
      <c r="H9" s="9"/>
      <c r="I9" s="5"/>
      <c r="J9" s="5"/>
      <c r="K9" s="5"/>
      <c r="L9" s="26"/>
      <c r="M9" s="5"/>
      <c r="N9" s="5"/>
      <c r="O9" s="5"/>
      <c r="P9" s="5"/>
    </row>
    <row r="10" spans="1:21">
      <c r="A10" s="1373" t="s">
        <v>17</v>
      </c>
      <c r="B10" s="1374"/>
      <c r="C10" s="1374"/>
      <c r="D10" s="220" t="s">
        <v>18</v>
      </c>
      <c r="E10" s="220" t="s">
        <v>19</v>
      </c>
      <c r="F10" s="220" t="s">
        <v>20</v>
      </c>
      <c r="G10" s="228" t="s">
        <v>21</v>
      </c>
      <c r="H10" s="27"/>
      <c r="I10" s="28"/>
      <c r="J10" s="29"/>
      <c r="K10" s="30"/>
      <c r="L10" s="30"/>
      <c r="M10" s="30"/>
      <c r="N10" s="30"/>
      <c r="O10" s="30"/>
      <c r="P10" s="5"/>
    </row>
    <row r="11" spans="1:21">
      <c r="A11" s="1352" t="s">
        <v>47</v>
      </c>
      <c r="B11" s="1353"/>
      <c r="C11" s="1353"/>
      <c r="D11" s="220"/>
      <c r="E11" s="83"/>
      <c r="F11" s="97"/>
      <c r="G11" s="229">
        <f>+G39*10%+165</f>
        <v>3942</v>
      </c>
      <c r="H11" s="9"/>
      <c r="I11" s="30"/>
      <c r="J11" s="31"/>
      <c r="K11" s="30"/>
      <c r="L11" s="30"/>
      <c r="M11" s="30"/>
      <c r="N11" s="30"/>
      <c r="O11" s="30"/>
      <c r="P11" s="5"/>
    </row>
    <row r="12" spans="1:21">
      <c r="A12" s="1371"/>
      <c r="B12" s="1372"/>
      <c r="C12" s="1372"/>
      <c r="D12" s="83"/>
      <c r="E12" s="83"/>
      <c r="F12" s="93"/>
      <c r="G12" s="229"/>
      <c r="H12" s="9"/>
      <c r="I12" s="16"/>
      <c r="J12" s="13"/>
      <c r="K12" s="8"/>
      <c r="L12" s="8"/>
      <c r="M12" s="8"/>
      <c r="N12" s="8"/>
      <c r="O12" s="8"/>
      <c r="P12" s="5"/>
    </row>
    <row r="13" spans="1:21">
      <c r="A13" s="1371"/>
      <c r="B13" s="1372"/>
      <c r="C13" s="1372"/>
      <c r="D13" s="83"/>
      <c r="E13" s="83"/>
      <c r="F13" s="93"/>
      <c r="G13" s="229"/>
      <c r="H13" s="9"/>
      <c r="I13" s="13"/>
      <c r="J13" s="13"/>
      <c r="K13" s="13"/>
      <c r="L13" s="13"/>
      <c r="M13" s="13"/>
      <c r="N13" s="13"/>
      <c r="O13" s="13"/>
      <c r="P13" s="5"/>
    </row>
    <row r="14" spans="1:21">
      <c r="A14" s="1371"/>
      <c r="B14" s="1372"/>
      <c r="C14" s="1372"/>
      <c r="D14" s="83"/>
      <c r="E14" s="83"/>
      <c r="F14" s="93"/>
      <c r="G14" s="229"/>
      <c r="H14" s="9"/>
      <c r="I14" s="8"/>
      <c r="J14" s="14"/>
      <c r="K14" s="32"/>
      <c r="L14" s="14"/>
      <c r="M14" s="15"/>
      <c r="N14" s="15"/>
      <c r="O14" s="19"/>
      <c r="P14" s="5"/>
    </row>
    <row r="15" spans="1:21">
      <c r="A15" s="1371"/>
      <c r="B15" s="1372"/>
      <c r="C15" s="1372"/>
      <c r="D15" s="83"/>
      <c r="E15" s="83"/>
      <c r="F15" s="98"/>
      <c r="G15" s="229"/>
      <c r="H15" s="9"/>
      <c r="I15" s="8"/>
      <c r="J15" s="33"/>
      <c r="K15" s="32"/>
      <c r="L15" s="14"/>
      <c r="M15" s="15"/>
      <c r="N15" s="15"/>
      <c r="O15" s="19"/>
      <c r="P15" s="5"/>
      <c r="Q15" s="5"/>
      <c r="R15" s="5"/>
      <c r="S15" s="5"/>
      <c r="T15" s="5"/>
      <c r="U15" s="5"/>
    </row>
    <row r="16" spans="1:21">
      <c r="A16" s="1371"/>
      <c r="B16" s="1372"/>
      <c r="C16" s="1372"/>
      <c r="D16" s="85" t="s">
        <v>37</v>
      </c>
      <c r="E16" s="50"/>
      <c r="F16" s="49"/>
      <c r="G16" s="230">
        <f>SUM(G11:G15)</f>
        <v>3942</v>
      </c>
      <c r="H16" s="9"/>
      <c r="I16" s="34"/>
      <c r="J16" s="34"/>
      <c r="K16" s="35"/>
      <c r="L16" s="36"/>
      <c r="M16" s="7"/>
      <c r="N16" s="7"/>
      <c r="O16" s="19"/>
      <c r="P16" s="5"/>
      <c r="Q16" s="5"/>
      <c r="R16" s="5"/>
      <c r="S16" s="5"/>
      <c r="T16" s="5"/>
      <c r="U16" s="5"/>
    </row>
    <row r="17" spans="1:21" ht="4.5" customHeight="1">
      <c r="A17" s="226"/>
      <c r="B17" s="4"/>
      <c r="C17" s="6"/>
      <c r="D17" s="4"/>
      <c r="E17" s="4"/>
      <c r="F17" s="4"/>
      <c r="G17" s="227"/>
      <c r="H17" s="9"/>
      <c r="I17" s="34"/>
      <c r="J17" s="34"/>
      <c r="K17" s="35"/>
      <c r="L17" s="36"/>
      <c r="M17" s="7"/>
      <c r="N17" s="7"/>
      <c r="O17" s="19"/>
      <c r="P17" s="5"/>
      <c r="Q17" s="5"/>
      <c r="R17" s="5"/>
      <c r="S17" s="5"/>
      <c r="T17" s="5"/>
      <c r="U17" s="5"/>
    </row>
    <row r="18" spans="1:21" ht="22.5" customHeight="1">
      <c r="A18" s="1354" t="s">
        <v>70</v>
      </c>
      <c r="B18" s="1355"/>
      <c r="C18" s="1355"/>
      <c r="D18" s="1355"/>
      <c r="E18" s="1355"/>
      <c r="F18" s="1355"/>
      <c r="G18" s="1356"/>
      <c r="H18" s="9"/>
    </row>
    <row r="19" spans="1:21" ht="4.5" customHeight="1">
      <c r="A19" s="226"/>
      <c r="B19" s="4"/>
      <c r="C19" s="6"/>
      <c r="D19" s="4"/>
      <c r="E19" s="4"/>
      <c r="F19" s="38"/>
      <c r="G19" s="227"/>
      <c r="H19" s="9"/>
      <c r="I19" s="34"/>
      <c r="J19" s="34"/>
      <c r="K19" s="35"/>
      <c r="L19" s="39"/>
      <c r="M19" s="7"/>
      <c r="N19" s="7"/>
      <c r="O19" s="8"/>
      <c r="P19" s="5"/>
      <c r="Q19" s="5"/>
      <c r="R19" s="5"/>
      <c r="S19" s="5"/>
      <c r="T19" s="5"/>
      <c r="U19" s="5"/>
    </row>
    <row r="20" spans="1:21">
      <c r="A20" s="1373" t="s">
        <v>17</v>
      </c>
      <c r="B20" s="1374"/>
      <c r="C20" s="1374"/>
      <c r="D20" s="220" t="s">
        <v>3</v>
      </c>
      <c r="E20" s="220" t="s">
        <v>4</v>
      </c>
      <c r="F20" s="220" t="s">
        <v>25</v>
      </c>
      <c r="G20" s="228" t="s">
        <v>21</v>
      </c>
      <c r="H20" s="27"/>
      <c r="I20" s="34"/>
      <c r="J20" s="34"/>
      <c r="K20" s="35"/>
      <c r="L20" s="39"/>
      <c r="M20" s="7"/>
      <c r="N20" s="7"/>
      <c r="O20" s="8"/>
      <c r="P20" s="5"/>
      <c r="Q20" s="5"/>
      <c r="R20" s="5"/>
      <c r="S20" s="5"/>
      <c r="T20" s="5"/>
      <c r="U20" s="5"/>
    </row>
    <row r="21" spans="1:21">
      <c r="A21" s="1382" t="s">
        <v>58</v>
      </c>
      <c r="B21" s="1383"/>
      <c r="C21" s="1383"/>
      <c r="D21" s="79" t="s">
        <v>49</v>
      </c>
      <c r="E21" s="82">
        <v>0.2</v>
      </c>
      <c r="F21" s="87">
        <v>75000</v>
      </c>
      <c r="G21" s="231">
        <f>ROUND(F21*E21,0)</f>
        <v>15000</v>
      </c>
      <c r="H21" s="9"/>
      <c r="I21" s="34"/>
      <c r="J21" s="34"/>
      <c r="K21" s="35"/>
      <c r="L21" s="39"/>
      <c r="M21" s="7"/>
      <c r="N21" s="7"/>
      <c r="O21" s="13"/>
      <c r="P21" s="5"/>
      <c r="Q21" s="5"/>
      <c r="R21" s="5"/>
      <c r="S21" s="5"/>
      <c r="T21" s="5"/>
      <c r="U21" s="5"/>
    </row>
    <row r="22" spans="1:21">
      <c r="A22" s="1382" t="s">
        <v>56</v>
      </c>
      <c r="B22" s="1383"/>
      <c r="C22" s="1383"/>
      <c r="D22" s="79" t="s">
        <v>49</v>
      </c>
      <c r="E22" s="82">
        <f>E21/2</f>
        <v>0.1</v>
      </c>
      <c r="F22" s="78">
        <v>20000</v>
      </c>
      <c r="G22" s="231">
        <f>ROUND(F22*E22,0)</f>
        <v>2000</v>
      </c>
      <c r="H22" s="9"/>
      <c r="I22" s="10"/>
      <c r="J22" s="10"/>
      <c r="K22" s="12"/>
      <c r="L22" s="39"/>
      <c r="M22" s="7"/>
      <c r="N22" s="7"/>
      <c r="O22" s="15"/>
      <c r="P22" s="5"/>
      <c r="Q22" s="5"/>
      <c r="R22" s="5"/>
      <c r="S22" s="5"/>
      <c r="T22" s="5"/>
      <c r="U22" s="5"/>
    </row>
    <row r="23" spans="1:21">
      <c r="A23" s="1352" t="s">
        <v>60</v>
      </c>
      <c r="B23" s="1353"/>
      <c r="C23" s="1353"/>
      <c r="D23" s="73" t="s">
        <v>59</v>
      </c>
      <c r="E23" s="82">
        <f>E21</f>
        <v>0.2</v>
      </c>
      <c r="F23" s="78">
        <v>35500</v>
      </c>
      <c r="G23" s="231">
        <f>ROUND(F23*E23,0)</f>
        <v>7100</v>
      </c>
      <c r="H23" s="9"/>
      <c r="I23" s="10"/>
      <c r="J23" s="10"/>
      <c r="K23" s="12"/>
      <c r="L23" s="39"/>
      <c r="M23" s="7"/>
      <c r="N23" s="7"/>
      <c r="O23" s="15"/>
      <c r="P23" s="5"/>
      <c r="Q23" s="5"/>
      <c r="R23" s="5"/>
      <c r="S23" s="5"/>
      <c r="T23" s="5"/>
      <c r="U23" s="5"/>
    </row>
    <row r="24" spans="1:21">
      <c r="A24" s="1352"/>
      <c r="B24" s="1353"/>
      <c r="C24" s="1353"/>
      <c r="D24" s="81"/>
      <c r="E24" s="88"/>
      <c r="F24" s="78"/>
      <c r="G24" s="231"/>
      <c r="H24" s="9"/>
      <c r="I24" s="10"/>
      <c r="J24" s="40"/>
      <c r="K24" s="12"/>
      <c r="L24" s="13"/>
      <c r="M24" s="14"/>
      <c r="N24" s="14"/>
      <c r="O24" s="15"/>
      <c r="P24" s="5"/>
      <c r="Q24" s="5"/>
      <c r="R24" s="5"/>
      <c r="S24" s="5"/>
      <c r="T24" s="5"/>
      <c r="U24" s="5"/>
    </row>
    <row r="25" spans="1:21">
      <c r="A25" s="1352"/>
      <c r="B25" s="1353"/>
      <c r="C25" s="1353"/>
      <c r="D25" s="81"/>
      <c r="E25" s="82"/>
      <c r="F25" s="78"/>
      <c r="G25" s="231"/>
      <c r="H25" s="9"/>
      <c r="I25" s="10"/>
      <c r="J25" s="11"/>
      <c r="K25" s="12"/>
      <c r="L25" s="13"/>
      <c r="M25" s="14"/>
      <c r="N25" s="14"/>
      <c r="O25" s="15"/>
      <c r="P25" s="5"/>
      <c r="Q25" s="5"/>
      <c r="R25" s="5"/>
      <c r="S25" s="5"/>
      <c r="T25" s="5"/>
      <c r="U25" s="5"/>
    </row>
    <row r="26" spans="1:21">
      <c r="A26" s="1352"/>
      <c r="B26" s="1353"/>
      <c r="C26" s="1353"/>
      <c r="D26" s="79"/>
      <c r="E26" s="82"/>
      <c r="F26" s="78"/>
      <c r="G26" s="231"/>
      <c r="H26" s="9"/>
      <c r="I26" s="10"/>
      <c r="J26" s="11"/>
      <c r="K26" s="12"/>
      <c r="L26" s="13"/>
      <c r="M26" s="14"/>
      <c r="N26" s="14"/>
      <c r="O26" s="15"/>
      <c r="P26" s="5"/>
      <c r="Q26" s="5"/>
      <c r="R26" s="5"/>
      <c r="S26" s="5"/>
      <c r="T26" s="5"/>
      <c r="U26" s="5"/>
    </row>
    <row r="27" spans="1:21">
      <c r="A27" s="1352"/>
      <c r="B27" s="1353"/>
      <c r="C27" s="1353"/>
      <c r="D27" s="79"/>
      <c r="E27" s="82"/>
      <c r="F27" s="78"/>
      <c r="G27" s="231"/>
      <c r="H27" s="9"/>
      <c r="I27" s="10"/>
      <c r="J27" s="11"/>
      <c r="K27" s="12"/>
      <c r="L27" s="13"/>
      <c r="M27" s="14"/>
      <c r="N27" s="14"/>
      <c r="O27" s="15"/>
      <c r="P27" s="5"/>
      <c r="Q27" s="5"/>
      <c r="R27" s="5"/>
      <c r="S27" s="5"/>
      <c r="T27" s="5"/>
      <c r="U27" s="5"/>
    </row>
    <row r="28" spans="1:21">
      <c r="A28" s="1352"/>
      <c r="B28" s="1353"/>
      <c r="C28" s="1353"/>
      <c r="D28" s="79"/>
      <c r="E28" s="82"/>
      <c r="F28" s="83"/>
      <c r="G28" s="231"/>
      <c r="H28" s="9"/>
      <c r="I28" s="41"/>
      <c r="J28" s="41"/>
      <c r="K28" s="12"/>
      <c r="L28" s="13"/>
      <c r="M28" s="14"/>
      <c r="N28" s="14"/>
      <c r="O28" s="15"/>
      <c r="P28" s="5"/>
      <c r="Q28" s="5"/>
      <c r="R28" s="5"/>
      <c r="S28" s="5"/>
      <c r="T28" s="5"/>
      <c r="U28" s="5"/>
    </row>
    <row r="29" spans="1:21">
      <c r="A29" s="1352"/>
      <c r="B29" s="1353"/>
      <c r="C29" s="1353"/>
      <c r="D29" s="84"/>
      <c r="E29" s="84"/>
      <c r="F29" s="83"/>
      <c r="G29" s="231"/>
      <c r="H29" s="9"/>
      <c r="I29" s="42"/>
      <c r="J29" s="42"/>
      <c r="K29" s="42"/>
      <c r="L29" s="13"/>
      <c r="M29" s="14"/>
      <c r="N29" s="14"/>
      <c r="O29" s="15"/>
      <c r="P29" s="5"/>
      <c r="Q29" s="5"/>
      <c r="R29" s="5"/>
      <c r="S29" s="5"/>
      <c r="T29" s="5"/>
      <c r="U29" s="5"/>
    </row>
    <row r="30" spans="1:21">
      <c r="A30" s="1352"/>
      <c r="B30" s="1353"/>
      <c r="C30" s="1353"/>
      <c r="D30" s="85" t="s">
        <v>28</v>
      </c>
      <c r="E30" s="50"/>
      <c r="F30" s="49"/>
      <c r="G30" s="230">
        <f>SUM(G21:G29)</f>
        <v>24100</v>
      </c>
      <c r="H30" s="9"/>
      <c r="I30" s="8"/>
      <c r="J30" s="13"/>
      <c r="K30" s="8"/>
      <c r="L30" s="13"/>
      <c r="M30" s="14"/>
      <c r="N30" s="14"/>
      <c r="O30" s="15"/>
      <c r="P30" s="5"/>
    </row>
    <row r="31" spans="1:21" ht="3.75" customHeight="1">
      <c r="A31" s="226"/>
      <c r="B31" s="4"/>
      <c r="C31" s="6"/>
      <c r="D31" s="4"/>
      <c r="E31" s="4"/>
      <c r="F31" s="4"/>
      <c r="G31" s="227"/>
      <c r="H31" s="9"/>
      <c r="I31" s="8"/>
      <c r="J31" s="13"/>
      <c r="K31" s="18"/>
      <c r="L31" s="13"/>
      <c r="M31" s="33"/>
      <c r="N31" s="33"/>
      <c r="O31" s="15"/>
      <c r="P31" s="5"/>
    </row>
    <row r="32" spans="1:21" ht="22.5" customHeight="1">
      <c r="A32" s="1354" t="s">
        <v>71</v>
      </c>
      <c r="B32" s="1355"/>
      <c r="C32" s="1355"/>
      <c r="D32" s="1355"/>
      <c r="E32" s="1355"/>
      <c r="F32" s="1355"/>
      <c r="G32" s="1356"/>
      <c r="H32" s="9"/>
    </row>
    <row r="33" spans="1:16" ht="3.75" customHeight="1">
      <c r="A33" s="226"/>
      <c r="B33" s="4"/>
      <c r="C33" s="6"/>
      <c r="D33" s="4"/>
      <c r="E33" s="4"/>
      <c r="F33" s="4"/>
      <c r="G33" s="227"/>
      <c r="H33" s="9"/>
      <c r="I33" s="8"/>
      <c r="J33" s="13"/>
      <c r="K33" s="8"/>
      <c r="L33" s="8"/>
      <c r="M33" s="8"/>
      <c r="N33" s="8"/>
      <c r="O33" s="15"/>
      <c r="P33" s="5"/>
    </row>
    <row r="34" spans="1:16">
      <c r="A34" s="232" t="s">
        <v>5</v>
      </c>
      <c r="B34" s="60" t="s">
        <v>29</v>
      </c>
      <c r="C34" s="60" t="s">
        <v>30</v>
      </c>
      <c r="D34" s="60" t="s">
        <v>31</v>
      </c>
      <c r="E34" s="60" t="s">
        <v>32</v>
      </c>
      <c r="F34" s="60" t="s">
        <v>20</v>
      </c>
      <c r="G34" s="228" t="s">
        <v>33</v>
      </c>
      <c r="H34" s="27"/>
      <c r="I34" s="8"/>
      <c r="J34" s="13"/>
      <c r="K34" s="8"/>
      <c r="L34" s="8"/>
      <c r="M34" s="8"/>
      <c r="N34" s="8"/>
      <c r="O34" s="15"/>
      <c r="P34" s="5"/>
    </row>
    <row r="35" spans="1:16">
      <c r="A35" s="233" t="s">
        <v>41</v>
      </c>
      <c r="B35" s="63">
        <f>BOF</f>
        <v>51749</v>
      </c>
      <c r="C35" s="68">
        <f>ffpp</f>
        <v>0.64539999999999997</v>
      </c>
      <c r="D35" s="72">
        <v>0.5</v>
      </c>
      <c r="E35" s="66">
        <f>OF</f>
        <v>88696</v>
      </c>
      <c r="F35" s="65">
        <v>5</v>
      </c>
      <c r="G35" s="231">
        <f>ROUND(+D35*E35/F35,0)</f>
        <v>8870</v>
      </c>
      <c r="H35" s="9"/>
      <c r="I35" s="16"/>
      <c r="J35" s="13"/>
      <c r="K35" s="8"/>
      <c r="L35" s="8"/>
      <c r="M35" s="8"/>
      <c r="N35" s="8"/>
      <c r="O35" s="15"/>
      <c r="P35" s="5"/>
    </row>
    <row r="36" spans="1:16">
      <c r="A36" s="233" t="s">
        <v>38</v>
      </c>
      <c r="B36" s="63">
        <f>BOB</f>
        <v>41749</v>
      </c>
      <c r="C36" s="68">
        <f>ffpp</f>
        <v>0.64539999999999997</v>
      </c>
      <c r="D36" s="72">
        <v>2</v>
      </c>
      <c r="E36" s="66">
        <f>OB</f>
        <v>72242</v>
      </c>
      <c r="F36" s="65">
        <f>+F35</f>
        <v>5</v>
      </c>
      <c r="G36" s="231">
        <f>ROUND(+D36*E36/F36,0)</f>
        <v>28897</v>
      </c>
      <c r="H36" s="9"/>
      <c r="I36" s="8"/>
      <c r="J36" s="8"/>
      <c r="K36" s="13"/>
      <c r="L36" s="13"/>
      <c r="M36" s="13"/>
      <c r="N36" s="13"/>
      <c r="O36" s="13"/>
      <c r="P36" s="5"/>
    </row>
    <row r="37" spans="1:16">
      <c r="A37" s="234"/>
      <c r="B37" s="50"/>
      <c r="C37" s="961"/>
      <c r="D37" s="50"/>
      <c r="E37" s="50"/>
      <c r="F37" s="50"/>
      <c r="G37" s="235"/>
      <c r="H37" s="9"/>
      <c r="I37" s="8"/>
      <c r="J37" s="13"/>
      <c r="K37" s="13"/>
      <c r="L37" s="13"/>
      <c r="M37" s="33"/>
      <c r="N37" s="33"/>
      <c r="O37" s="43"/>
      <c r="P37" s="5"/>
    </row>
    <row r="38" spans="1:16">
      <c r="A38" s="233"/>
      <c r="B38" s="65"/>
      <c r="C38" s="68"/>
      <c r="D38" s="65"/>
      <c r="E38" s="69"/>
      <c r="F38" s="69"/>
      <c r="G38" s="236"/>
      <c r="H38" s="9"/>
      <c r="I38" s="8"/>
      <c r="J38" s="13"/>
      <c r="K38" s="13"/>
      <c r="L38" s="13"/>
      <c r="M38" s="33"/>
      <c r="N38" s="33"/>
      <c r="O38" s="43"/>
      <c r="P38" s="5"/>
    </row>
    <row r="39" spans="1:16">
      <c r="A39" s="249"/>
      <c r="B39" s="71"/>
      <c r="C39" s="71"/>
      <c r="D39" s="71" t="s">
        <v>34</v>
      </c>
      <c r="E39" s="71"/>
      <c r="F39" s="71"/>
      <c r="G39" s="250">
        <f>SUM(G35:G38)</f>
        <v>37767</v>
      </c>
      <c r="H39" s="9"/>
      <c r="I39" s="8"/>
      <c r="J39" s="13"/>
      <c r="K39" s="13"/>
      <c r="L39" s="13"/>
      <c r="M39" s="14"/>
      <c r="N39" s="14"/>
      <c r="O39" s="15"/>
      <c r="P39" s="5"/>
    </row>
    <row r="40" spans="1:16">
      <c r="A40" s="226"/>
      <c r="B40" s="4"/>
      <c r="C40" s="6"/>
      <c r="D40" s="4"/>
      <c r="E40" s="4"/>
      <c r="F40" s="4"/>
      <c r="G40" s="227"/>
      <c r="H40" s="9"/>
      <c r="I40" s="8"/>
      <c r="J40" s="13"/>
      <c r="K40" s="13"/>
      <c r="L40" s="13"/>
      <c r="M40" s="14"/>
      <c r="N40" s="14"/>
      <c r="O40" s="19"/>
      <c r="P40" s="5"/>
    </row>
    <row r="41" spans="1:16">
      <c r="A41" s="226"/>
      <c r="B41" s="4"/>
      <c r="C41" s="6"/>
      <c r="D41" s="4"/>
      <c r="E41" s="4"/>
      <c r="F41" s="4"/>
      <c r="G41" s="227"/>
      <c r="H41" s="9"/>
      <c r="I41" s="8"/>
      <c r="J41" s="13"/>
      <c r="K41" s="13"/>
      <c r="L41" s="13"/>
      <c r="M41" s="17"/>
      <c r="N41" s="17"/>
      <c r="O41" s="37"/>
      <c r="P41" s="5"/>
    </row>
    <row r="42" spans="1:16" ht="14.25">
      <c r="A42" s="226"/>
      <c r="B42" s="4"/>
      <c r="C42" s="6"/>
      <c r="D42" s="1357" t="s">
        <v>35</v>
      </c>
      <c r="E42" s="1358"/>
      <c r="F42" s="1359"/>
      <c r="G42" s="239">
        <f>+G39+G30+G16</f>
        <v>65809</v>
      </c>
      <c r="H42" s="9"/>
      <c r="I42" s="48"/>
      <c r="J42" s="20"/>
      <c r="K42" s="8"/>
      <c r="L42" s="8"/>
      <c r="M42" s="8"/>
      <c r="N42" s="8"/>
      <c r="O42" s="8"/>
      <c r="P42" s="5"/>
    </row>
    <row r="43" spans="1:16" ht="14.25">
      <c r="A43" s="240"/>
      <c r="B43" s="57"/>
      <c r="C43" s="58"/>
      <c r="D43" s="99"/>
      <c r="E43" s="99"/>
      <c r="F43" s="99"/>
      <c r="G43" s="251"/>
      <c r="H43" s="9"/>
      <c r="I43" s="48"/>
      <c r="J43" s="20"/>
      <c r="K43" s="8"/>
      <c r="L43" s="8"/>
      <c r="M43" s="8"/>
      <c r="N43" s="8"/>
      <c r="O43" s="8"/>
      <c r="P43" s="5"/>
    </row>
    <row r="44" spans="1:16" ht="14.25">
      <c r="A44" s="374"/>
      <c r="B44" s="375"/>
      <c r="C44" s="375"/>
      <c r="D44" s="99"/>
      <c r="E44" s="99"/>
      <c r="F44" s="99"/>
      <c r="G44" s="251"/>
      <c r="H44" s="9"/>
      <c r="I44" s="48"/>
      <c r="J44" s="20"/>
      <c r="K44" s="8"/>
      <c r="L44" s="8"/>
      <c r="M44" s="8"/>
      <c r="N44" s="8"/>
      <c r="O44" s="8"/>
      <c r="P44" s="5"/>
    </row>
    <row r="45" spans="1:16" ht="14.25">
      <c r="A45" s="373"/>
      <c r="B45" s="376"/>
      <c r="C45" s="376"/>
      <c r="D45" s="99"/>
      <c r="E45" s="99"/>
      <c r="F45" s="99"/>
      <c r="G45" s="251"/>
      <c r="H45" s="9"/>
      <c r="I45" s="48"/>
      <c r="J45" s="20"/>
      <c r="K45" s="8"/>
      <c r="L45" s="8"/>
      <c r="M45" s="8"/>
      <c r="N45" s="8"/>
      <c r="O45" s="8"/>
      <c r="P45" s="5"/>
    </row>
    <row r="46" spans="1:16" ht="14.25">
      <c r="A46" s="373"/>
      <c r="B46" s="376"/>
      <c r="C46" s="376"/>
      <c r="D46" s="44"/>
      <c r="E46" s="45"/>
      <c r="F46" s="45"/>
      <c r="G46" s="251"/>
      <c r="H46" s="9"/>
      <c r="I46" s="8"/>
      <c r="J46" s="13"/>
      <c r="K46" s="8"/>
      <c r="L46" s="8"/>
      <c r="M46" s="8"/>
      <c r="N46" s="8"/>
      <c r="O46" s="8"/>
      <c r="P46" s="5"/>
    </row>
    <row r="47" spans="1:16" ht="15" thickBot="1">
      <c r="A47" s="242"/>
      <c r="B47" s="243"/>
      <c r="C47" s="244"/>
      <c r="D47" s="245"/>
      <c r="E47" s="246"/>
      <c r="F47" s="246"/>
      <c r="G47" s="247"/>
      <c r="H47" s="9"/>
      <c r="I47" s="8"/>
      <c r="J47" s="13"/>
      <c r="K47" s="8"/>
      <c r="L47" s="8"/>
      <c r="M47" s="8"/>
      <c r="N47" s="8"/>
      <c r="O47" s="8"/>
      <c r="P47" s="5"/>
    </row>
    <row r="48" spans="1:16">
      <c r="I48" s="5"/>
      <c r="J48" s="5"/>
      <c r="K48" s="5"/>
      <c r="L48" s="5"/>
      <c r="M48" s="5"/>
      <c r="N48" s="5"/>
      <c r="O48" s="5"/>
      <c r="P48" s="5"/>
    </row>
    <row r="49" spans="9:16">
      <c r="I49" s="5"/>
      <c r="J49" s="5"/>
      <c r="K49" s="5"/>
      <c r="L49" s="5"/>
      <c r="M49" s="5"/>
      <c r="N49" s="5"/>
      <c r="O49" s="5"/>
      <c r="P49" s="5"/>
    </row>
  </sheetData>
  <mergeCells count="26">
    <mergeCell ref="A14:C14"/>
    <mergeCell ref="A15:C15"/>
    <mergeCell ref="A20:C20"/>
    <mergeCell ref="A16:C16"/>
    <mergeCell ref="A18:G18"/>
    <mergeCell ref="A11:C11"/>
    <mergeCell ref="A12:C12"/>
    <mergeCell ref="A13:C13"/>
    <mergeCell ref="A8:G8"/>
    <mergeCell ref="B6:E6"/>
    <mergeCell ref="A1:G1"/>
    <mergeCell ref="A30:C30"/>
    <mergeCell ref="A32:G32"/>
    <mergeCell ref="D42:F42"/>
    <mergeCell ref="A29:C29"/>
    <mergeCell ref="A22:C22"/>
    <mergeCell ref="A23:C23"/>
    <mergeCell ref="A24:C24"/>
    <mergeCell ref="A25:C25"/>
    <mergeCell ref="A26:C26"/>
    <mergeCell ref="A28:C28"/>
    <mergeCell ref="A27:C27"/>
    <mergeCell ref="A2:G2"/>
    <mergeCell ref="A21:C21"/>
    <mergeCell ref="A3:G4"/>
    <mergeCell ref="A10:C10"/>
  </mergeCells>
  <printOptions horizontalCentered="1" verticalCentered="1"/>
  <pageMargins left="0.74803149606299213" right="0.74803149606299213" top="0" bottom="0.98425196850393704" header="0" footer="0"/>
  <pageSetup scale="90" orientation="portrait" r:id="rId1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6"/>
  <dimension ref="A1:U49"/>
  <sheetViews>
    <sheetView view="pageBreakPreview" topLeftCell="A22" zoomScaleNormal="100" zoomScaleSheetLayoutView="100" workbookViewId="0">
      <selection activeCell="F36" sqref="F36"/>
    </sheetView>
  </sheetViews>
  <sheetFormatPr baseColWidth="10" defaultColWidth="10.7109375" defaultRowHeight="12.75"/>
  <cols>
    <col min="1" max="1" width="15.85546875" style="3" customWidth="1"/>
    <col min="2" max="2" width="14.85546875" style="3" customWidth="1"/>
    <col min="3" max="3" width="13.28515625" style="3" customWidth="1"/>
    <col min="4" max="4" width="11.42578125" style="3"/>
    <col min="5" max="5" width="13.42578125" style="3" customWidth="1"/>
    <col min="6" max="6" width="12.7109375" style="3" customWidth="1"/>
    <col min="7" max="7" width="14" style="3" customWidth="1"/>
    <col min="8" max="8" width="7.42578125" style="3" customWidth="1"/>
    <col min="9" max="256" width="11.42578125" style="3"/>
    <col min="257" max="257" width="15.85546875" style="3" customWidth="1"/>
    <col min="258" max="258" width="14.85546875" style="3" customWidth="1"/>
    <col min="259" max="259" width="13.28515625" style="3" customWidth="1"/>
    <col min="260" max="260" width="11.42578125" style="3"/>
    <col min="261" max="261" width="13.42578125" style="3" customWidth="1"/>
    <col min="262" max="262" width="12.7109375" style="3" customWidth="1"/>
    <col min="263" max="263" width="14" style="3" customWidth="1"/>
    <col min="264" max="264" width="7.42578125" style="3" customWidth="1"/>
    <col min="265" max="512" width="11.42578125" style="3"/>
    <col min="513" max="513" width="15.85546875" style="3" customWidth="1"/>
    <col min="514" max="514" width="14.85546875" style="3" customWidth="1"/>
    <col min="515" max="515" width="13.28515625" style="3" customWidth="1"/>
    <col min="516" max="516" width="11.42578125" style="3"/>
    <col min="517" max="517" width="13.42578125" style="3" customWidth="1"/>
    <col min="518" max="518" width="12.7109375" style="3" customWidth="1"/>
    <col min="519" max="519" width="14" style="3" customWidth="1"/>
    <col min="520" max="520" width="7.42578125" style="3" customWidth="1"/>
    <col min="521" max="768" width="11.42578125" style="3"/>
    <col min="769" max="769" width="15.85546875" style="3" customWidth="1"/>
    <col min="770" max="770" width="14.85546875" style="3" customWidth="1"/>
    <col min="771" max="771" width="13.28515625" style="3" customWidth="1"/>
    <col min="772" max="772" width="11.42578125" style="3"/>
    <col min="773" max="773" width="13.42578125" style="3" customWidth="1"/>
    <col min="774" max="774" width="12.7109375" style="3" customWidth="1"/>
    <col min="775" max="775" width="14" style="3" customWidth="1"/>
    <col min="776" max="776" width="7.42578125" style="3" customWidth="1"/>
    <col min="777" max="1024" width="11.42578125" style="3"/>
    <col min="1025" max="1025" width="15.85546875" style="3" customWidth="1"/>
    <col min="1026" max="1026" width="14.85546875" style="3" customWidth="1"/>
    <col min="1027" max="1027" width="13.28515625" style="3" customWidth="1"/>
    <col min="1028" max="1028" width="11.42578125" style="3"/>
    <col min="1029" max="1029" width="13.42578125" style="3" customWidth="1"/>
    <col min="1030" max="1030" width="12.7109375" style="3" customWidth="1"/>
    <col min="1031" max="1031" width="14" style="3" customWidth="1"/>
    <col min="1032" max="1032" width="7.42578125" style="3" customWidth="1"/>
    <col min="1033" max="1280" width="11.42578125" style="3"/>
    <col min="1281" max="1281" width="15.85546875" style="3" customWidth="1"/>
    <col min="1282" max="1282" width="14.85546875" style="3" customWidth="1"/>
    <col min="1283" max="1283" width="13.28515625" style="3" customWidth="1"/>
    <col min="1284" max="1284" width="11.42578125" style="3"/>
    <col min="1285" max="1285" width="13.42578125" style="3" customWidth="1"/>
    <col min="1286" max="1286" width="12.7109375" style="3" customWidth="1"/>
    <col min="1287" max="1287" width="14" style="3" customWidth="1"/>
    <col min="1288" max="1288" width="7.42578125" style="3" customWidth="1"/>
    <col min="1289" max="1536" width="11.42578125" style="3"/>
    <col min="1537" max="1537" width="15.85546875" style="3" customWidth="1"/>
    <col min="1538" max="1538" width="14.85546875" style="3" customWidth="1"/>
    <col min="1539" max="1539" width="13.28515625" style="3" customWidth="1"/>
    <col min="1540" max="1540" width="11.42578125" style="3"/>
    <col min="1541" max="1541" width="13.42578125" style="3" customWidth="1"/>
    <col min="1542" max="1542" width="12.7109375" style="3" customWidth="1"/>
    <col min="1543" max="1543" width="14" style="3" customWidth="1"/>
    <col min="1544" max="1544" width="7.42578125" style="3" customWidth="1"/>
    <col min="1545" max="1792" width="11.42578125" style="3"/>
    <col min="1793" max="1793" width="15.85546875" style="3" customWidth="1"/>
    <col min="1794" max="1794" width="14.85546875" style="3" customWidth="1"/>
    <col min="1795" max="1795" width="13.28515625" style="3" customWidth="1"/>
    <col min="1796" max="1796" width="11.42578125" style="3"/>
    <col min="1797" max="1797" width="13.42578125" style="3" customWidth="1"/>
    <col min="1798" max="1798" width="12.7109375" style="3" customWidth="1"/>
    <col min="1799" max="1799" width="14" style="3" customWidth="1"/>
    <col min="1800" max="1800" width="7.42578125" style="3" customWidth="1"/>
    <col min="1801" max="2048" width="11.42578125" style="3"/>
    <col min="2049" max="2049" width="15.85546875" style="3" customWidth="1"/>
    <col min="2050" max="2050" width="14.85546875" style="3" customWidth="1"/>
    <col min="2051" max="2051" width="13.28515625" style="3" customWidth="1"/>
    <col min="2052" max="2052" width="11.42578125" style="3"/>
    <col min="2053" max="2053" width="13.42578125" style="3" customWidth="1"/>
    <col min="2054" max="2054" width="12.7109375" style="3" customWidth="1"/>
    <col min="2055" max="2055" width="14" style="3" customWidth="1"/>
    <col min="2056" max="2056" width="7.42578125" style="3" customWidth="1"/>
    <col min="2057" max="2304" width="11.42578125" style="3"/>
    <col min="2305" max="2305" width="15.85546875" style="3" customWidth="1"/>
    <col min="2306" max="2306" width="14.85546875" style="3" customWidth="1"/>
    <col min="2307" max="2307" width="13.28515625" style="3" customWidth="1"/>
    <col min="2308" max="2308" width="11.42578125" style="3"/>
    <col min="2309" max="2309" width="13.42578125" style="3" customWidth="1"/>
    <col min="2310" max="2310" width="12.7109375" style="3" customWidth="1"/>
    <col min="2311" max="2311" width="14" style="3" customWidth="1"/>
    <col min="2312" max="2312" width="7.42578125" style="3" customWidth="1"/>
    <col min="2313" max="2560" width="11.42578125" style="3"/>
    <col min="2561" max="2561" width="15.85546875" style="3" customWidth="1"/>
    <col min="2562" max="2562" width="14.85546875" style="3" customWidth="1"/>
    <col min="2563" max="2563" width="13.28515625" style="3" customWidth="1"/>
    <col min="2564" max="2564" width="11.42578125" style="3"/>
    <col min="2565" max="2565" width="13.42578125" style="3" customWidth="1"/>
    <col min="2566" max="2566" width="12.7109375" style="3" customWidth="1"/>
    <col min="2567" max="2567" width="14" style="3" customWidth="1"/>
    <col min="2568" max="2568" width="7.42578125" style="3" customWidth="1"/>
    <col min="2569" max="2816" width="11.42578125" style="3"/>
    <col min="2817" max="2817" width="15.85546875" style="3" customWidth="1"/>
    <col min="2818" max="2818" width="14.85546875" style="3" customWidth="1"/>
    <col min="2819" max="2819" width="13.28515625" style="3" customWidth="1"/>
    <col min="2820" max="2820" width="11.42578125" style="3"/>
    <col min="2821" max="2821" width="13.42578125" style="3" customWidth="1"/>
    <col min="2822" max="2822" width="12.7109375" style="3" customWidth="1"/>
    <col min="2823" max="2823" width="14" style="3" customWidth="1"/>
    <col min="2824" max="2824" width="7.42578125" style="3" customWidth="1"/>
    <col min="2825" max="3072" width="11.42578125" style="3"/>
    <col min="3073" max="3073" width="15.85546875" style="3" customWidth="1"/>
    <col min="3074" max="3074" width="14.85546875" style="3" customWidth="1"/>
    <col min="3075" max="3075" width="13.28515625" style="3" customWidth="1"/>
    <col min="3076" max="3076" width="11.42578125" style="3"/>
    <col min="3077" max="3077" width="13.42578125" style="3" customWidth="1"/>
    <col min="3078" max="3078" width="12.7109375" style="3" customWidth="1"/>
    <col min="3079" max="3079" width="14" style="3" customWidth="1"/>
    <col min="3080" max="3080" width="7.42578125" style="3" customWidth="1"/>
    <col min="3081" max="3328" width="11.42578125" style="3"/>
    <col min="3329" max="3329" width="15.85546875" style="3" customWidth="1"/>
    <col min="3330" max="3330" width="14.85546875" style="3" customWidth="1"/>
    <col min="3331" max="3331" width="13.28515625" style="3" customWidth="1"/>
    <col min="3332" max="3332" width="11.42578125" style="3"/>
    <col min="3333" max="3333" width="13.42578125" style="3" customWidth="1"/>
    <col min="3334" max="3334" width="12.7109375" style="3" customWidth="1"/>
    <col min="3335" max="3335" width="14" style="3" customWidth="1"/>
    <col min="3336" max="3336" width="7.42578125" style="3" customWidth="1"/>
    <col min="3337" max="3584" width="11.42578125" style="3"/>
    <col min="3585" max="3585" width="15.85546875" style="3" customWidth="1"/>
    <col min="3586" max="3586" width="14.85546875" style="3" customWidth="1"/>
    <col min="3587" max="3587" width="13.28515625" style="3" customWidth="1"/>
    <col min="3588" max="3588" width="11.42578125" style="3"/>
    <col min="3589" max="3589" width="13.42578125" style="3" customWidth="1"/>
    <col min="3590" max="3590" width="12.7109375" style="3" customWidth="1"/>
    <col min="3591" max="3591" width="14" style="3" customWidth="1"/>
    <col min="3592" max="3592" width="7.42578125" style="3" customWidth="1"/>
    <col min="3593" max="3840" width="11.42578125" style="3"/>
    <col min="3841" max="3841" width="15.85546875" style="3" customWidth="1"/>
    <col min="3842" max="3842" width="14.85546875" style="3" customWidth="1"/>
    <col min="3843" max="3843" width="13.28515625" style="3" customWidth="1"/>
    <col min="3844" max="3844" width="11.42578125" style="3"/>
    <col min="3845" max="3845" width="13.42578125" style="3" customWidth="1"/>
    <col min="3846" max="3846" width="12.7109375" style="3" customWidth="1"/>
    <col min="3847" max="3847" width="14" style="3" customWidth="1"/>
    <col min="3848" max="3848" width="7.42578125" style="3" customWidth="1"/>
    <col min="3849" max="4096" width="11.42578125" style="3"/>
    <col min="4097" max="4097" width="15.85546875" style="3" customWidth="1"/>
    <col min="4098" max="4098" width="14.85546875" style="3" customWidth="1"/>
    <col min="4099" max="4099" width="13.28515625" style="3" customWidth="1"/>
    <col min="4100" max="4100" width="11.42578125" style="3"/>
    <col min="4101" max="4101" width="13.42578125" style="3" customWidth="1"/>
    <col min="4102" max="4102" width="12.7109375" style="3" customWidth="1"/>
    <col min="4103" max="4103" width="14" style="3" customWidth="1"/>
    <col min="4104" max="4104" width="7.42578125" style="3" customWidth="1"/>
    <col min="4105" max="4352" width="11.42578125" style="3"/>
    <col min="4353" max="4353" width="15.85546875" style="3" customWidth="1"/>
    <col min="4354" max="4354" width="14.85546875" style="3" customWidth="1"/>
    <col min="4355" max="4355" width="13.28515625" style="3" customWidth="1"/>
    <col min="4356" max="4356" width="11.42578125" style="3"/>
    <col min="4357" max="4357" width="13.42578125" style="3" customWidth="1"/>
    <col min="4358" max="4358" width="12.7109375" style="3" customWidth="1"/>
    <col min="4359" max="4359" width="14" style="3" customWidth="1"/>
    <col min="4360" max="4360" width="7.42578125" style="3" customWidth="1"/>
    <col min="4361" max="4608" width="11.42578125" style="3"/>
    <col min="4609" max="4609" width="15.85546875" style="3" customWidth="1"/>
    <col min="4610" max="4610" width="14.85546875" style="3" customWidth="1"/>
    <col min="4611" max="4611" width="13.28515625" style="3" customWidth="1"/>
    <col min="4612" max="4612" width="11.42578125" style="3"/>
    <col min="4613" max="4613" width="13.42578125" style="3" customWidth="1"/>
    <col min="4614" max="4614" width="12.7109375" style="3" customWidth="1"/>
    <col min="4615" max="4615" width="14" style="3" customWidth="1"/>
    <col min="4616" max="4616" width="7.42578125" style="3" customWidth="1"/>
    <col min="4617" max="4864" width="11.42578125" style="3"/>
    <col min="4865" max="4865" width="15.85546875" style="3" customWidth="1"/>
    <col min="4866" max="4866" width="14.85546875" style="3" customWidth="1"/>
    <col min="4867" max="4867" width="13.28515625" style="3" customWidth="1"/>
    <col min="4868" max="4868" width="11.42578125" style="3"/>
    <col min="4869" max="4869" width="13.42578125" style="3" customWidth="1"/>
    <col min="4870" max="4870" width="12.7109375" style="3" customWidth="1"/>
    <col min="4871" max="4871" width="14" style="3" customWidth="1"/>
    <col min="4872" max="4872" width="7.42578125" style="3" customWidth="1"/>
    <col min="4873" max="5120" width="11.42578125" style="3"/>
    <col min="5121" max="5121" width="15.85546875" style="3" customWidth="1"/>
    <col min="5122" max="5122" width="14.85546875" style="3" customWidth="1"/>
    <col min="5123" max="5123" width="13.28515625" style="3" customWidth="1"/>
    <col min="5124" max="5124" width="11.42578125" style="3"/>
    <col min="5125" max="5125" width="13.42578125" style="3" customWidth="1"/>
    <col min="5126" max="5126" width="12.7109375" style="3" customWidth="1"/>
    <col min="5127" max="5127" width="14" style="3" customWidth="1"/>
    <col min="5128" max="5128" width="7.42578125" style="3" customWidth="1"/>
    <col min="5129" max="5376" width="11.42578125" style="3"/>
    <col min="5377" max="5377" width="15.85546875" style="3" customWidth="1"/>
    <col min="5378" max="5378" width="14.85546875" style="3" customWidth="1"/>
    <col min="5379" max="5379" width="13.28515625" style="3" customWidth="1"/>
    <col min="5380" max="5380" width="11.42578125" style="3"/>
    <col min="5381" max="5381" width="13.42578125" style="3" customWidth="1"/>
    <col min="5382" max="5382" width="12.7109375" style="3" customWidth="1"/>
    <col min="5383" max="5383" width="14" style="3" customWidth="1"/>
    <col min="5384" max="5384" width="7.42578125" style="3" customWidth="1"/>
    <col min="5385" max="5632" width="11.42578125" style="3"/>
    <col min="5633" max="5633" width="15.85546875" style="3" customWidth="1"/>
    <col min="5634" max="5634" width="14.85546875" style="3" customWidth="1"/>
    <col min="5635" max="5635" width="13.28515625" style="3" customWidth="1"/>
    <col min="5636" max="5636" width="11.42578125" style="3"/>
    <col min="5637" max="5637" width="13.42578125" style="3" customWidth="1"/>
    <col min="5638" max="5638" width="12.7109375" style="3" customWidth="1"/>
    <col min="5639" max="5639" width="14" style="3" customWidth="1"/>
    <col min="5640" max="5640" width="7.42578125" style="3" customWidth="1"/>
    <col min="5641" max="5888" width="11.42578125" style="3"/>
    <col min="5889" max="5889" width="15.85546875" style="3" customWidth="1"/>
    <col min="5890" max="5890" width="14.85546875" style="3" customWidth="1"/>
    <col min="5891" max="5891" width="13.28515625" style="3" customWidth="1"/>
    <col min="5892" max="5892" width="11.42578125" style="3"/>
    <col min="5893" max="5893" width="13.42578125" style="3" customWidth="1"/>
    <col min="5894" max="5894" width="12.7109375" style="3" customWidth="1"/>
    <col min="5895" max="5895" width="14" style="3" customWidth="1"/>
    <col min="5896" max="5896" width="7.42578125" style="3" customWidth="1"/>
    <col min="5897" max="6144" width="11.42578125" style="3"/>
    <col min="6145" max="6145" width="15.85546875" style="3" customWidth="1"/>
    <col min="6146" max="6146" width="14.85546875" style="3" customWidth="1"/>
    <col min="6147" max="6147" width="13.28515625" style="3" customWidth="1"/>
    <col min="6148" max="6148" width="11.42578125" style="3"/>
    <col min="6149" max="6149" width="13.42578125" style="3" customWidth="1"/>
    <col min="6150" max="6150" width="12.7109375" style="3" customWidth="1"/>
    <col min="6151" max="6151" width="14" style="3" customWidth="1"/>
    <col min="6152" max="6152" width="7.42578125" style="3" customWidth="1"/>
    <col min="6153" max="6400" width="11.42578125" style="3"/>
    <col min="6401" max="6401" width="15.85546875" style="3" customWidth="1"/>
    <col min="6402" max="6402" width="14.85546875" style="3" customWidth="1"/>
    <col min="6403" max="6403" width="13.28515625" style="3" customWidth="1"/>
    <col min="6404" max="6404" width="11.42578125" style="3"/>
    <col min="6405" max="6405" width="13.42578125" style="3" customWidth="1"/>
    <col min="6406" max="6406" width="12.7109375" style="3" customWidth="1"/>
    <col min="6407" max="6407" width="14" style="3" customWidth="1"/>
    <col min="6408" max="6408" width="7.42578125" style="3" customWidth="1"/>
    <col min="6409" max="6656" width="11.42578125" style="3"/>
    <col min="6657" max="6657" width="15.85546875" style="3" customWidth="1"/>
    <col min="6658" max="6658" width="14.85546875" style="3" customWidth="1"/>
    <col min="6659" max="6659" width="13.28515625" style="3" customWidth="1"/>
    <col min="6660" max="6660" width="11.42578125" style="3"/>
    <col min="6661" max="6661" width="13.42578125" style="3" customWidth="1"/>
    <col min="6662" max="6662" width="12.7109375" style="3" customWidth="1"/>
    <col min="6663" max="6663" width="14" style="3" customWidth="1"/>
    <col min="6664" max="6664" width="7.42578125" style="3" customWidth="1"/>
    <col min="6665" max="6912" width="11.42578125" style="3"/>
    <col min="6913" max="6913" width="15.85546875" style="3" customWidth="1"/>
    <col min="6914" max="6914" width="14.85546875" style="3" customWidth="1"/>
    <col min="6915" max="6915" width="13.28515625" style="3" customWidth="1"/>
    <col min="6916" max="6916" width="11.42578125" style="3"/>
    <col min="6917" max="6917" width="13.42578125" style="3" customWidth="1"/>
    <col min="6918" max="6918" width="12.7109375" style="3" customWidth="1"/>
    <col min="6919" max="6919" width="14" style="3" customWidth="1"/>
    <col min="6920" max="6920" width="7.42578125" style="3" customWidth="1"/>
    <col min="6921" max="7168" width="11.42578125" style="3"/>
    <col min="7169" max="7169" width="15.85546875" style="3" customWidth="1"/>
    <col min="7170" max="7170" width="14.85546875" style="3" customWidth="1"/>
    <col min="7171" max="7171" width="13.28515625" style="3" customWidth="1"/>
    <col min="7172" max="7172" width="11.42578125" style="3"/>
    <col min="7173" max="7173" width="13.42578125" style="3" customWidth="1"/>
    <col min="7174" max="7174" width="12.7109375" style="3" customWidth="1"/>
    <col min="7175" max="7175" width="14" style="3" customWidth="1"/>
    <col min="7176" max="7176" width="7.42578125" style="3" customWidth="1"/>
    <col min="7177" max="7424" width="11.42578125" style="3"/>
    <col min="7425" max="7425" width="15.85546875" style="3" customWidth="1"/>
    <col min="7426" max="7426" width="14.85546875" style="3" customWidth="1"/>
    <col min="7427" max="7427" width="13.28515625" style="3" customWidth="1"/>
    <col min="7428" max="7428" width="11.42578125" style="3"/>
    <col min="7429" max="7429" width="13.42578125" style="3" customWidth="1"/>
    <col min="7430" max="7430" width="12.7109375" style="3" customWidth="1"/>
    <col min="7431" max="7431" width="14" style="3" customWidth="1"/>
    <col min="7432" max="7432" width="7.42578125" style="3" customWidth="1"/>
    <col min="7433" max="7680" width="11.42578125" style="3"/>
    <col min="7681" max="7681" width="15.85546875" style="3" customWidth="1"/>
    <col min="7682" max="7682" width="14.85546875" style="3" customWidth="1"/>
    <col min="7683" max="7683" width="13.28515625" style="3" customWidth="1"/>
    <col min="7684" max="7684" width="11.42578125" style="3"/>
    <col min="7685" max="7685" width="13.42578125" style="3" customWidth="1"/>
    <col min="7686" max="7686" width="12.7109375" style="3" customWidth="1"/>
    <col min="7687" max="7687" width="14" style="3" customWidth="1"/>
    <col min="7688" max="7688" width="7.42578125" style="3" customWidth="1"/>
    <col min="7689" max="7936" width="11.42578125" style="3"/>
    <col min="7937" max="7937" width="15.85546875" style="3" customWidth="1"/>
    <col min="7938" max="7938" width="14.85546875" style="3" customWidth="1"/>
    <col min="7939" max="7939" width="13.28515625" style="3" customWidth="1"/>
    <col min="7940" max="7940" width="11.42578125" style="3"/>
    <col min="7941" max="7941" width="13.42578125" style="3" customWidth="1"/>
    <col min="7942" max="7942" width="12.7109375" style="3" customWidth="1"/>
    <col min="7943" max="7943" width="14" style="3" customWidth="1"/>
    <col min="7944" max="7944" width="7.42578125" style="3" customWidth="1"/>
    <col min="7945" max="8192" width="11.42578125" style="3"/>
    <col min="8193" max="8193" width="15.85546875" style="3" customWidth="1"/>
    <col min="8194" max="8194" width="14.85546875" style="3" customWidth="1"/>
    <col min="8195" max="8195" width="13.28515625" style="3" customWidth="1"/>
    <col min="8196" max="8196" width="11.42578125" style="3"/>
    <col min="8197" max="8197" width="13.42578125" style="3" customWidth="1"/>
    <col min="8198" max="8198" width="12.7109375" style="3" customWidth="1"/>
    <col min="8199" max="8199" width="14" style="3" customWidth="1"/>
    <col min="8200" max="8200" width="7.42578125" style="3" customWidth="1"/>
    <col min="8201" max="8448" width="11.42578125" style="3"/>
    <col min="8449" max="8449" width="15.85546875" style="3" customWidth="1"/>
    <col min="8450" max="8450" width="14.85546875" style="3" customWidth="1"/>
    <col min="8451" max="8451" width="13.28515625" style="3" customWidth="1"/>
    <col min="8452" max="8452" width="11.42578125" style="3"/>
    <col min="8453" max="8453" width="13.42578125" style="3" customWidth="1"/>
    <col min="8454" max="8454" width="12.7109375" style="3" customWidth="1"/>
    <col min="8455" max="8455" width="14" style="3" customWidth="1"/>
    <col min="8456" max="8456" width="7.42578125" style="3" customWidth="1"/>
    <col min="8457" max="8704" width="11.42578125" style="3"/>
    <col min="8705" max="8705" width="15.85546875" style="3" customWidth="1"/>
    <col min="8706" max="8706" width="14.85546875" style="3" customWidth="1"/>
    <col min="8707" max="8707" width="13.28515625" style="3" customWidth="1"/>
    <col min="8708" max="8708" width="11.42578125" style="3"/>
    <col min="8709" max="8709" width="13.42578125" style="3" customWidth="1"/>
    <col min="8710" max="8710" width="12.7109375" style="3" customWidth="1"/>
    <col min="8711" max="8711" width="14" style="3" customWidth="1"/>
    <col min="8712" max="8712" width="7.42578125" style="3" customWidth="1"/>
    <col min="8713" max="8960" width="11.42578125" style="3"/>
    <col min="8961" max="8961" width="15.85546875" style="3" customWidth="1"/>
    <col min="8962" max="8962" width="14.85546875" style="3" customWidth="1"/>
    <col min="8963" max="8963" width="13.28515625" style="3" customWidth="1"/>
    <col min="8964" max="8964" width="11.42578125" style="3"/>
    <col min="8965" max="8965" width="13.42578125" style="3" customWidth="1"/>
    <col min="8966" max="8966" width="12.7109375" style="3" customWidth="1"/>
    <col min="8967" max="8967" width="14" style="3" customWidth="1"/>
    <col min="8968" max="8968" width="7.42578125" style="3" customWidth="1"/>
    <col min="8969" max="9216" width="11.42578125" style="3"/>
    <col min="9217" max="9217" width="15.85546875" style="3" customWidth="1"/>
    <col min="9218" max="9218" width="14.85546875" style="3" customWidth="1"/>
    <col min="9219" max="9219" width="13.28515625" style="3" customWidth="1"/>
    <col min="9220" max="9220" width="11.42578125" style="3"/>
    <col min="9221" max="9221" width="13.42578125" style="3" customWidth="1"/>
    <col min="9222" max="9222" width="12.7109375" style="3" customWidth="1"/>
    <col min="9223" max="9223" width="14" style="3" customWidth="1"/>
    <col min="9224" max="9224" width="7.42578125" style="3" customWidth="1"/>
    <col min="9225" max="9472" width="11.42578125" style="3"/>
    <col min="9473" max="9473" width="15.85546875" style="3" customWidth="1"/>
    <col min="9474" max="9474" width="14.85546875" style="3" customWidth="1"/>
    <col min="9475" max="9475" width="13.28515625" style="3" customWidth="1"/>
    <col min="9476" max="9476" width="11.42578125" style="3"/>
    <col min="9477" max="9477" width="13.42578125" style="3" customWidth="1"/>
    <col min="9478" max="9478" width="12.7109375" style="3" customWidth="1"/>
    <col min="9479" max="9479" width="14" style="3" customWidth="1"/>
    <col min="9480" max="9480" width="7.42578125" style="3" customWidth="1"/>
    <col min="9481" max="9728" width="11.42578125" style="3"/>
    <col min="9729" max="9729" width="15.85546875" style="3" customWidth="1"/>
    <col min="9730" max="9730" width="14.85546875" style="3" customWidth="1"/>
    <col min="9731" max="9731" width="13.28515625" style="3" customWidth="1"/>
    <col min="9732" max="9732" width="11.42578125" style="3"/>
    <col min="9733" max="9733" width="13.42578125" style="3" customWidth="1"/>
    <col min="9734" max="9734" width="12.7109375" style="3" customWidth="1"/>
    <col min="9735" max="9735" width="14" style="3" customWidth="1"/>
    <col min="9736" max="9736" width="7.42578125" style="3" customWidth="1"/>
    <col min="9737" max="9984" width="11.42578125" style="3"/>
    <col min="9985" max="9985" width="15.85546875" style="3" customWidth="1"/>
    <col min="9986" max="9986" width="14.85546875" style="3" customWidth="1"/>
    <col min="9987" max="9987" width="13.28515625" style="3" customWidth="1"/>
    <col min="9988" max="9988" width="11.42578125" style="3"/>
    <col min="9989" max="9989" width="13.42578125" style="3" customWidth="1"/>
    <col min="9990" max="9990" width="12.7109375" style="3" customWidth="1"/>
    <col min="9991" max="9991" width="14" style="3" customWidth="1"/>
    <col min="9992" max="9992" width="7.42578125" style="3" customWidth="1"/>
    <col min="9993" max="10240" width="11.42578125" style="3"/>
    <col min="10241" max="10241" width="15.85546875" style="3" customWidth="1"/>
    <col min="10242" max="10242" width="14.85546875" style="3" customWidth="1"/>
    <col min="10243" max="10243" width="13.28515625" style="3" customWidth="1"/>
    <col min="10244" max="10244" width="11.42578125" style="3"/>
    <col min="10245" max="10245" width="13.42578125" style="3" customWidth="1"/>
    <col min="10246" max="10246" width="12.7109375" style="3" customWidth="1"/>
    <col min="10247" max="10247" width="14" style="3" customWidth="1"/>
    <col min="10248" max="10248" width="7.42578125" style="3" customWidth="1"/>
    <col min="10249" max="10496" width="11.42578125" style="3"/>
    <col min="10497" max="10497" width="15.85546875" style="3" customWidth="1"/>
    <col min="10498" max="10498" width="14.85546875" style="3" customWidth="1"/>
    <col min="10499" max="10499" width="13.28515625" style="3" customWidth="1"/>
    <col min="10500" max="10500" width="11.42578125" style="3"/>
    <col min="10501" max="10501" width="13.42578125" style="3" customWidth="1"/>
    <col min="10502" max="10502" width="12.7109375" style="3" customWidth="1"/>
    <col min="10503" max="10503" width="14" style="3" customWidth="1"/>
    <col min="10504" max="10504" width="7.42578125" style="3" customWidth="1"/>
    <col min="10505" max="10752" width="11.42578125" style="3"/>
    <col min="10753" max="10753" width="15.85546875" style="3" customWidth="1"/>
    <col min="10754" max="10754" width="14.85546875" style="3" customWidth="1"/>
    <col min="10755" max="10755" width="13.28515625" style="3" customWidth="1"/>
    <col min="10756" max="10756" width="11.42578125" style="3"/>
    <col min="10757" max="10757" width="13.42578125" style="3" customWidth="1"/>
    <col min="10758" max="10758" width="12.7109375" style="3" customWidth="1"/>
    <col min="10759" max="10759" width="14" style="3" customWidth="1"/>
    <col min="10760" max="10760" width="7.42578125" style="3" customWidth="1"/>
    <col min="10761" max="11008" width="11.42578125" style="3"/>
    <col min="11009" max="11009" width="15.85546875" style="3" customWidth="1"/>
    <col min="11010" max="11010" width="14.85546875" style="3" customWidth="1"/>
    <col min="11011" max="11011" width="13.28515625" style="3" customWidth="1"/>
    <col min="11012" max="11012" width="11.42578125" style="3"/>
    <col min="11013" max="11013" width="13.42578125" style="3" customWidth="1"/>
    <col min="11014" max="11014" width="12.7109375" style="3" customWidth="1"/>
    <col min="11015" max="11015" width="14" style="3" customWidth="1"/>
    <col min="11016" max="11016" width="7.42578125" style="3" customWidth="1"/>
    <col min="11017" max="11264" width="11.42578125" style="3"/>
    <col min="11265" max="11265" width="15.85546875" style="3" customWidth="1"/>
    <col min="11266" max="11266" width="14.85546875" style="3" customWidth="1"/>
    <col min="11267" max="11267" width="13.28515625" style="3" customWidth="1"/>
    <col min="11268" max="11268" width="11.42578125" style="3"/>
    <col min="11269" max="11269" width="13.42578125" style="3" customWidth="1"/>
    <col min="11270" max="11270" width="12.7109375" style="3" customWidth="1"/>
    <col min="11271" max="11271" width="14" style="3" customWidth="1"/>
    <col min="11272" max="11272" width="7.42578125" style="3" customWidth="1"/>
    <col min="11273" max="11520" width="11.42578125" style="3"/>
    <col min="11521" max="11521" width="15.85546875" style="3" customWidth="1"/>
    <col min="11522" max="11522" width="14.85546875" style="3" customWidth="1"/>
    <col min="11523" max="11523" width="13.28515625" style="3" customWidth="1"/>
    <col min="11524" max="11524" width="11.42578125" style="3"/>
    <col min="11525" max="11525" width="13.42578125" style="3" customWidth="1"/>
    <col min="11526" max="11526" width="12.7109375" style="3" customWidth="1"/>
    <col min="11527" max="11527" width="14" style="3" customWidth="1"/>
    <col min="11528" max="11528" width="7.42578125" style="3" customWidth="1"/>
    <col min="11529" max="11776" width="11.42578125" style="3"/>
    <col min="11777" max="11777" width="15.85546875" style="3" customWidth="1"/>
    <col min="11778" max="11778" width="14.85546875" style="3" customWidth="1"/>
    <col min="11779" max="11779" width="13.28515625" style="3" customWidth="1"/>
    <col min="11780" max="11780" width="11.42578125" style="3"/>
    <col min="11781" max="11781" width="13.42578125" style="3" customWidth="1"/>
    <col min="11782" max="11782" width="12.7109375" style="3" customWidth="1"/>
    <col min="11783" max="11783" width="14" style="3" customWidth="1"/>
    <col min="11784" max="11784" width="7.42578125" style="3" customWidth="1"/>
    <col min="11785" max="12032" width="11.42578125" style="3"/>
    <col min="12033" max="12033" width="15.85546875" style="3" customWidth="1"/>
    <col min="12034" max="12034" width="14.85546875" style="3" customWidth="1"/>
    <col min="12035" max="12035" width="13.28515625" style="3" customWidth="1"/>
    <col min="12036" max="12036" width="11.42578125" style="3"/>
    <col min="12037" max="12037" width="13.42578125" style="3" customWidth="1"/>
    <col min="12038" max="12038" width="12.7109375" style="3" customWidth="1"/>
    <col min="12039" max="12039" width="14" style="3" customWidth="1"/>
    <col min="12040" max="12040" width="7.42578125" style="3" customWidth="1"/>
    <col min="12041" max="12288" width="11.42578125" style="3"/>
    <col min="12289" max="12289" width="15.85546875" style="3" customWidth="1"/>
    <col min="12290" max="12290" width="14.85546875" style="3" customWidth="1"/>
    <col min="12291" max="12291" width="13.28515625" style="3" customWidth="1"/>
    <col min="12292" max="12292" width="11.42578125" style="3"/>
    <col min="12293" max="12293" width="13.42578125" style="3" customWidth="1"/>
    <col min="12294" max="12294" width="12.7109375" style="3" customWidth="1"/>
    <col min="12295" max="12295" width="14" style="3" customWidth="1"/>
    <col min="12296" max="12296" width="7.42578125" style="3" customWidth="1"/>
    <col min="12297" max="12544" width="11.42578125" style="3"/>
    <col min="12545" max="12545" width="15.85546875" style="3" customWidth="1"/>
    <col min="12546" max="12546" width="14.85546875" style="3" customWidth="1"/>
    <col min="12547" max="12547" width="13.28515625" style="3" customWidth="1"/>
    <col min="12548" max="12548" width="11.42578125" style="3"/>
    <col min="12549" max="12549" width="13.42578125" style="3" customWidth="1"/>
    <col min="12550" max="12550" width="12.7109375" style="3" customWidth="1"/>
    <col min="12551" max="12551" width="14" style="3" customWidth="1"/>
    <col min="12552" max="12552" width="7.42578125" style="3" customWidth="1"/>
    <col min="12553" max="12800" width="11.42578125" style="3"/>
    <col min="12801" max="12801" width="15.85546875" style="3" customWidth="1"/>
    <col min="12802" max="12802" width="14.85546875" style="3" customWidth="1"/>
    <col min="12803" max="12803" width="13.28515625" style="3" customWidth="1"/>
    <col min="12804" max="12804" width="11.42578125" style="3"/>
    <col min="12805" max="12805" width="13.42578125" style="3" customWidth="1"/>
    <col min="12806" max="12806" width="12.7109375" style="3" customWidth="1"/>
    <col min="12807" max="12807" width="14" style="3" customWidth="1"/>
    <col min="12808" max="12808" width="7.42578125" style="3" customWidth="1"/>
    <col min="12809" max="13056" width="11.42578125" style="3"/>
    <col min="13057" max="13057" width="15.85546875" style="3" customWidth="1"/>
    <col min="13058" max="13058" width="14.85546875" style="3" customWidth="1"/>
    <col min="13059" max="13059" width="13.28515625" style="3" customWidth="1"/>
    <col min="13060" max="13060" width="11.42578125" style="3"/>
    <col min="13061" max="13061" width="13.42578125" style="3" customWidth="1"/>
    <col min="13062" max="13062" width="12.7109375" style="3" customWidth="1"/>
    <col min="13063" max="13063" width="14" style="3" customWidth="1"/>
    <col min="13064" max="13064" width="7.42578125" style="3" customWidth="1"/>
    <col min="13065" max="13312" width="11.42578125" style="3"/>
    <col min="13313" max="13313" width="15.85546875" style="3" customWidth="1"/>
    <col min="13314" max="13314" width="14.85546875" style="3" customWidth="1"/>
    <col min="13315" max="13315" width="13.28515625" style="3" customWidth="1"/>
    <col min="13316" max="13316" width="11.42578125" style="3"/>
    <col min="13317" max="13317" width="13.42578125" style="3" customWidth="1"/>
    <col min="13318" max="13318" width="12.7109375" style="3" customWidth="1"/>
    <col min="13319" max="13319" width="14" style="3" customWidth="1"/>
    <col min="13320" max="13320" width="7.42578125" style="3" customWidth="1"/>
    <col min="13321" max="13568" width="11.42578125" style="3"/>
    <col min="13569" max="13569" width="15.85546875" style="3" customWidth="1"/>
    <col min="13570" max="13570" width="14.85546875" style="3" customWidth="1"/>
    <col min="13571" max="13571" width="13.28515625" style="3" customWidth="1"/>
    <col min="13572" max="13572" width="11.42578125" style="3"/>
    <col min="13573" max="13573" width="13.42578125" style="3" customWidth="1"/>
    <col min="13574" max="13574" width="12.7109375" style="3" customWidth="1"/>
    <col min="13575" max="13575" width="14" style="3" customWidth="1"/>
    <col min="13576" max="13576" width="7.42578125" style="3" customWidth="1"/>
    <col min="13577" max="13824" width="11.42578125" style="3"/>
    <col min="13825" max="13825" width="15.85546875" style="3" customWidth="1"/>
    <col min="13826" max="13826" width="14.85546875" style="3" customWidth="1"/>
    <col min="13827" max="13827" width="13.28515625" style="3" customWidth="1"/>
    <col min="13828" max="13828" width="11.42578125" style="3"/>
    <col min="13829" max="13829" width="13.42578125" style="3" customWidth="1"/>
    <col min="13830" max="13830" width="12.7109375" style="3" customWidth="1"/>
    <col min="13831" max="13831" width="14" style="3" customWidth="1"/>
    <col min="13832" max="13832" width="7.42578125" style="3" customWidth="1"/>
    <col min="13833" max="14080" width="11.42578125" style="3"/>
    <col min="14081" max="14081" width="15.85546875" style="3" customWidth="1"/>
    <col min="14082" max="14082" width="14.85546875" style="3" customWidth="1"/>
    <col min="14083" max="14083" width="13.28515625" style="3" customWidth="1"/>
    <col min="14084" max="14084" width="11.42578125" style="3"/>
    <col min="14085" max="14085" width="13.42578125" style="3" customWidth="1"/>
    <col min="14086" max="14086" width="12.7109375" style="3" customWidth="1"/>
    <col min="14087" max="14087" width="14" style="3" customWidth="1"/>
    <col min="14088" max="14088" width="7.42578125" style="3" customWidth="1"/>
    <col min="14089" max="14336" width="11.42578125" style="3"/>
    <col min="14337" max="14337" width="15.85546875" style="3" customWidth="1"/>
    <col min="14338" max="14338" width="14.85546875" style="3" customWidth="1"/>
    <col min="14339" max="14339" width="13.28515625" style="3" customWidth="1"/>
    <col min="14340" max="14340" width="11.42578125" style="3"/>
    <col min="14341" max="14341" width="13.42578125" style="3" customWidth="1"/>
    <col min="14342" max="14342" width="12.7109375" style="3" customWidth="1"/>
    <col min="14343" max="14343" width="14" style="3" customWidth="1"/>
    <col min="14344" max="14344" width="7.42578125" style="3" customWidth="1"/>
    <col min="14345" max="14592" width="11.42578125" style="3"/>
    <col min="14593" max="14593" width="15.85546875" style="3" customWidth="1"/>
    <col min="14594" max="14594" width="14.85546875" style="3" customWidth="1"/>
    <col min="14595" max="14595" width="13.28515625" style="3" customWidth="1"/>
    <col min="14596" max="14596" width="11.42578125" style="3"/>
    <col min="14597" max="14597" width="13.42578125" style="3" customWidth="1"/>
    <col min="14598" max="14598" width="12.7109375" style="3" customWidth="1"/>
    <col min="14599" max="14599" width="14" style="3" customWidth="1"/>
    <col min="14600" max="14600" width="7.42578125" style="3" customWidth="1"/>
    <col min="14601" max="14848" width="11.42578125" style="3"/>
    <col min="14849" max="14849" width="15.85546875" style="3" customWidth="1"/>
    <col min="14850" max="14850" width="14.85546875" style="3" customWidth="1"/>
    <col min="14851" max="14851" width="13.28515625" style="3" customWidth="1"/>
    <col min="14852" max="14852" width="11.42578125" style="3"/>
    <col min="14853" max="14853" width="13.42578125" style="3" customWidth="1"/>
    <col min="14854" max="14854" width="12.7109375" style="3" customWidth="1"/>
    <col min="14855" max="14855" width="14" style="3" customWidth="1"/>
    <col min="14856" max="14856" width="7.42578125" style="3" customWidth="1"/>
    <col min="14857" max="15104" width="11.42578125" style="3"/>
    <col min="15105" max="15105" width="15.85546875" style="3" customWidth="1"/>
    <col min="15106" max="15106" width="14.85546875" style="3" customWidth="1"/>
    <col min="15107" max="15107" width="13.28515625" style="3" customWidth="1"/>
    <col min="15108" max="15108" width="11.42578125" style="3"/>
    <col min="15109" max="15109" width="13.42578125" style="3" customWidth="1"/>
    <col min="15110" max="15110" width="12.7109375" style="3" customWidth="1"/>
    <col min="15111" max="15111" width="14" style="3" customWidth="1"/>
    <col min="15112" max="15112" width="7.42578125" style="3" customWidth="1"/>
    <col min="15113" max="15360" width="11.42578125" style="3"/>
    <col min="15361" max="15361" width="15.85546875" style="3" customWidth="1"/>
    <col min="15362" max="15362" width="14.85546875" style="3" customWidth="1"/>
    <col min="15363" max="15363" width="13.28515625" style="3" customWidth="1"/>
    <col min="15364" max="15364" width="11.42578125" style="3"/>
    <col min="15365" max="15365" width="13.42578125" style="3" customWidth="1"/>
    <col min="15366" max="15366" width="12.7109375" style="3" customWidth="1"/>
    <col min="15367" max="15367" width="14" style="3" customWidth="1"/>
    <col min="15368" max="15368" width="7.42578125" style="3" customWidth="1"/>
    <col min="15369" max="15616" width="11.42578125" style="3"/>
    <col min="15617" max="15617" width="15.85546875" style="3" customWidth="1"/>
    <col min="15618" max="15618" width="14.85546875" style="3" customWidth="1"/>
    <col min="15619" max="15619" width="13.28515625" style="3" customWidth="1"/>
    <col min="15620" max="15620" width="11.42578125" style="3"/>
    <col min="15621" max="15621" width="13.42578125" style="3" customWidth="1"/>
    <col min="15622" max="15622" width="12.7109375" style="3" customWidth="1"/>
    <col min="15623" max="15623" width="14" style="3" customWidth="1"/>
    <col min="15624" max="15624" width="7.42578125" style="3" customWidth="1"/>
    <col min="15625" max="15872" width="11.42578125" style="3"/>
    <col min="15873" max="15873" width="15.85546875" style="3" customWidth="1"/>
    <col min="15874" max="15874" width="14.85546875" style="3" customWidth="1"/>
    <col min="15875" max="15875" width="13.28515625" style="3" customWidth="1"/>
    <col min="15876" max="15876" width="11.42578125" style="3"/>
    <col min="15877" max="15877" width="13.42578125" style="3" customWidth="1"/>
    <col min="15878" max="15878" width="12.7109375" style="3" customWidth="1"/>
    <col min="15879" max="15879" width="14" style="3" customWidth="1"/>
    <col min="15880" max="15880" width="7.42578125" style="3" customWidth="1"/>
    <col min="15881" max="16128" width="11.42578125" style="3"/>
    <col min="16129" max="16129" width="15.85546875" style="3" customWidth="1"/>
    <col min="16130" max="16130" width="14.85546875" style="3" customWidth="1"/>
    <col min="16131" max="16131" width="13.28515625" style="3" customWidth="1"/>
    <col min="16132" max="16132" width="11.42578125" style="3"/>
    <col min="16133" max="16133" width="13.42578125" style="3" customWidth="1"/>
    <col min="16134" max="16134" width="12.7109375" style="3" customWidth="1"/>
    <col min="16135" max="16135" width="14" style="3" customWidth="1"/>
    <col min="16136" max="16136" width="7.42578125" style="3" customWidth="1"/>
    <col min="16137" max="16384" width="11.42578125" style="3"/>
  </cols>
  <sheetData>
    <row r="1" spans="1:21" ht="48" customHeight="1">
      <c r="A1" s="1346" t="str">
        <f>PPTO!D3</f>
        <v>PRESUPUESTO
MUNICIPIO EL BAGRE (ANTIOQUIA).</v>
      </c>
      <c r="B1" s="1347"/>
      <c r="C1" s="1347"/>
      <c r="D1" s="1347"/>
      <c r="E1" s="1347"/>
      <c r="F1" s="1347"/>
      <c r="G1" s="1348"/>
      <c r="H1" s="1"/>
      <c r="I1" s="2"/>
    </row>
    <row r="2" spans="1:21" ht="18" customHeight="1">
      <c r="A2" s="1362" t="s">
        <v>16</v>
      </c>
      <c r="B2" s="1363"/>
      <c r="C2" s="1363"/>
      <c r="D2" s="1363"/>
      <c r="E2" s="1363"/>
      <c r="F2" s="1363"/>
      <c r="G2" s="1364"/>
      <c r="H2" s="1"/>
      <c r="I2" s="2"/>
    </row>
    <row r="3" spans="1:21" ht="24" customHeight="1">
      <c r="A3" s="1367" t="str">
        <f>+PPTO!$D$5</f>
        <v>PROYECTO DE MEJORAMIENTO VIAL, ESPACIO PUBLICO Y OBRAS COMPLEMENTARIAS DE LA AVENIDA LA JUVENTUD Y TRAMOS ADYACENTES Y PRIORITARIOS DEL SECTOR URBANO EN EL MUNICIPIO EL BAGRE ANTIOQUIA.</v>
      </c>
      <c r="B3" s="1368"/>
      <c r="C3" s="1368"/>
      <c r="D3" s="1368"/>
      <c r="E3" s="1368"/>
      <c r="F3" s="1368"/>
      <c r="G3" s="1369"/>
      <c r="H3" s="1"/>
      <c r="I3" s="2"/>
    </row>
    <row r="4" spans="1:21" ht="30" customHeight="1">
      <c r="A4" s="1370"/>
      <c r="B4" s="1368"/>
      <c r="C4" s="1368"/>
      <c r="D4" s="1368"/>
      <c r="E4" s="1368"/>
      <c r="F4" s="1368"/>
      <c r="G4" s="1369"/>
      <c r="H4" s="1"/>
      <c r="I4" s="2"/>
    </row>
    <row r="5" spans="1:21" ht="6.75" customHeight="1">
      <c r="A5" s="222"/>
      <c r="B5" s="6"/>
      <c r="C5" s="24"/>
      <c r="D5" s="25"/>
      <c r="E5" s="6"/>
      <c r="F5" s="6"/>
      <c r="G5" s="223"/>
      <c r="H5" s="9"/>
    </row>
    <row r="6" spans="1:21" ht="52.5" customHeight="1">
      <c r="A6" s="368">
        <v>5.4</v>
      </c>
      <c r="B6" s="1349" t="str">
        <f>VLOOKUP(A6,PPTO!D10:I137,2,FALSE)</f>
        <v>Señal horizontal de fecha doble de giro en Pintura acrilica de Trafico. (Manual Señalizacion MinT Colombia 2015)</v>
      </c>
      <c r="C6" s="1350"/>
      <c r="D6" s="1350"/>
      <c r="E6" s="1351"/>
      <c r="F6" s="192" t="s">
        <v>118</v>
      </c>
      <c r="G6" s="248" t="str">
        <f>VLOOKUP(A6,PPTO!D10:I137,3,FALSE)</f>
        <v>und</v>
      </c>
      <c r="H6" s="9"/>
    </row>
    <row r="7" spans="1:21" ht="3.75" customHeight="1">
      <c r="A7" s="226"/>
      <c r="B7" s="4"/>
      <c r="C7" s="6"/>
      <c r="D7" s="4"/>
      <c r="E7" s="4"/>
      <c r="F7" s="4"/>
      <c r="G7" s="227"/>
      <c r="H7" s="9"/>
    </row>
    <row r="8" spans="1:21" ht="22.5" customHeight="1">
      <c r="A8" s="1354" t="s">
        <v>69</v>
      </c>
      <c r="B8" s="1355"/>
      <c r="C8" s="1355"/>
      <c r="D8" s="1355"/>
      <c r="E8" s="1355"/>
      <c r="F8" s="1355"/>
      <c r="G8" s="1356"/>
      <c r="H8" s="9"/>
    </row>
    <row r="9" spans="1:21" ht="4.5" customHeight="1">
      <c r="A9" s="226"/>
      <c r="B9" s="4"/>
      <c r="C9" s="6"/>
      <c r="D9" s="4"/>
      <c r="E9" s="4"/>
      <c r="F9" s="4"/>
      <c r="G9" s="227"/>
      <c r="H9" s="9"/>
      <c r="I9" s="5"/>
      <c r="J9" s="5"/>
      <c r="K9" s="5"/>
      <c r="L9" s="26"/>
      <c r="M9" s="5"/>
      <c r="N9" s="5"/>
      <c r="O9" s="5"/>
      <c r="P9" s="5"/>
    </row>
    <row r="10" spans="1:21">
      <c r="A10" s="1373" t="s">
        <v>17</v>
      </c>
      <c r="B10" s="1374"/>
      <c r="C10" s="1374"/>
      <c r="D10" s="353" t="s">
        <v>18</v>
      </c>
      <c r="E10" s="353" t="s">
        <v>19</v>
      </c>
      <c r="F10" s="353" t="s">
        <v>20</v>
      </c>
      <c r="G10" s="228" t="s">
        <v>21</v>
      </c>
      <c r="H10" s="27"/>
      <c r="I10" s="28"/>
      <c r="J10" s="29"/>
      <c r="K10" s="30"/>
      <c r="L10" s="30"/>
      <c r="M10" s="30"/>
      <c r="N10" s="30"/>
      <c r="O10" s="30"/>
      <c r="P10" s="5"/>
    </row>
    <row r="11" spans="1:21">
      <c r="A11" s="1352" t="s">
        <v>47</v>
      </c>
      <c r="B11" s="1353"/>
      <c r="C11" s="1353"/>
      <c r="D11" s="353"/>
      <c r="E11" s="83"/>
      <c r="F11" s="97"/>
      <c r="G11" s="229">
        <f>+G39*10%+165</f>
        <v>3942</v>
      </c>
      <c r="H11" s="9"/>
      <c r="I11" s="30"/>
      <c r="J11" s="31"/>
      <c r="K11" s="30"/>
      <c r="L11" s="30"/>
      <c r="M11" s="30"/>
      <c r="N11" s="30"/>
      <c r="O11" s="30"/>
      <c r="P11" s="5"/>
    </row>
    <row r="12" spans="1:21">
      <c r="A12" s="1371"/>
      <c r="B12" s="1372"/>
      <c r="C12" s="1372"/>
      <c r="D12" s="83"/>
      <c r="E12" s="83"/>
      <c r="F12" s="93"/>
      <c r="G12" s="229"/>
      <c r="H12" s="9"/>
      <c r="I12" s="16"/>
      <c r="J12" s="13"/>
      <c r="K12" s="8"/>
      <c r="L12" s="8"/>
      <c r="M12" s="8"/>
      <c r="N12" s="8"/>
      <c r="O12" s="8"/>
      <c r="P12" s="5"/>
    </row>
    <row r="13" spans="1:21">
      <c r="A13" s="1371"/>
      <c r="B13" s="1372"/>
      <c r="C13" s="1372"/>
      <c r="D13" s="83"/>
      <c r="E13" s="83"/>
      <c r="F13" s="93"/>
      <c r="G13" s="229"/>
      <c r="H13" s="9"/>
      <c r="I13" s="13"/>
      <c r="J13" s="13"/>
      <c r="K13" s="13"/>
      <c r="L13" s="13"/>
      <c r="M13" s="13"/>
      <c r="N13" s="13"/>
      <c r="O13" s="13"/>
      <c r="P13" s="5"/>
    </row>
    <row r="14" spans="1:21">
      <c r="A14" s="1371"/>
      <c r="B14" s="1372"/>
      <c r="C14" s="1372"/>
      <c r="D14" s="83"/>
      <c r="E14" s="83"/>
      <c r="F14" s="93"/>
      <c r="G14" s="229"/>
      <c r="H14" s="9"/>
      <c r="I14" s="8"/>
      <c r="J14" s="14"/>
      <c r="K14" s="32"/>
      <c r="L14" s="14"/>
      <c r="M14" s="15"/>
      <c r="N14" s="15"/>
      <c r="O14" s="19"/>
      <c r="P14" s="5"/>
    </row>
    <row r="15" spans="1:21">
      <c r="A15" s="1371"/>
      <c r="B15" s="1372"/>
      <c r="C15" s="1372"/>
      <c r="D15" s="83"/>
      <c r="E15" s="83"/>
      <c r="F15" s="98"/>
      <c r="G15" s="229"/>
      <c r="H15" s="9"/>
      <c r="I15" s="8"/>
      <c r="J15" s="33"/>
      <c r="K15" s="32"/>
      <c r="L15" s="14"/>
      <c r="M15" s="15"/>
      <c r="N15" s="15"/>
      <c r="O15" s="19"/>
      <c r="P15" s="5"/>
      <c r="Q15" s="5"/>
      <c r="R15" s="5"/>
      <c r="S15" s="5"/>
      <c r="T15" s="5"/>
      <c r="U15" s="5"/>
    </row>
    <row r="16" spans="1:21">
      <c r="A16" s="1371"/>
      <c r="B16" s="1372"/>
      <c r="C16" s="1372"/>
      <c r="D16" s="85" t="s">
        <v>37</v>
      </c>
      <c r="E16" s="50"/>
      <c r="F16" s="49"/>
      <c r="G16" s="230">
        <f>SUM(G11:G15)</f>
        <v>3942</v>
      </c>
      <c r="H16" s="9"/>
      <c r="I16" s="34"/>
      <c r="J16" s="34"/>
      <c r="K16" s="35"/>
      <c r="L16" s="36"/>
      <c r="M16" s="7"/>
      <c r="N16" s="7"/>
      <c r="O16" s="19"/>
      <c r="P16" s="5"/>
      <c r="Q16" s="5"/>
      <c r="R16" s="5"/>
      <c r="S16" s="5"/>
      <c r="T16" s="5"/>
      <c r="U16" s="5"/>
    </row>
    <row r="17" spans="1:21" ht="4.5" customHeight="1">
      <c r="A17" s="226"/>
      <c r="B17" s="4"/>
      <c r="C17" s="6"/>
      <c r="D17" s="4"/>
      <c r="E17" s="4"/>
      <c r="F17" s="4"/>
      <c r="G17" s="227"/>
      <c r="H17" s="9"/>
      <c r="I17" s="34"/>
      <c r="J17" s="34"/>
      <c r="K17" s="35"/>
      <c r="L17" s="36"/>
      <c r="M17" s="7"/>
      <c r="N17" s="7"/>
      <c r="O17" s="19"/>
      <c r="P17" s="5"/>
      <c r="Q17" s="5"/>
      <c r="R17" s="5"/>
      <c r="S17" s="5"/>
      <c r="T17" s="5"/>
      <c r="U17" s="5"/>
    </row>
    <row r="18" spans="1:21" ht="22.5" customHeight="1">
      <c r="A18" s="1354" t="s">
        <v>70</v>
      </c>
      <c r="B18" s="1355"/>
      <c r="C18" s="1355"/>
      <c r="D18" s="1355"/>
      <c r="E18" s="1355"/>
      <c r="F18" s="1355"/>
      <c r="G18" s="1356"/>
      <c r="H18" s="9"/>
    </row>
    <row r="19" spans="1:21" ht="4.5" customHeight="1">
      <c r="A19" s="226"/>
      <c r="B19" s="4"/>
      <c r="C19" s="6"/>
      <c r="D19" s="4"/>
      <c r="E19" s="4"/>
      <c r="F19" s="38"/>
      <c r="G19" s="227"/>
      <c r="H19" s="9"/>
      <c r="I19" s="34"/>
      <c r="J19" s="34"/>
      <c r="K19" s="35"/>
      <c r="L19" s="39"/>
      <c r="M19" s="7"/>
      <c r="N19" s="7"/>
      <c r="O19" s="8"/>
      <c r="P19" s="5"/>
      <c r="Q19" s="5"/>
      <c r="R19" s="5"/>
      <c r="S19" s="5"/>
      <c r="T19" s="5"/>
      <c r="U19" s="5"/>
    </row>
    <row r="20" spans="1:21">
      <c r="A20" s="1373" t="s">
        <v>17</v>
      </c>
      <c r="B20" s="1374"/>
      <c r="C20" s="1374"/>
      <c r="D20" s="353" t="s">
        <v>3</v>
      </c>
      <c r="E20" s="353" t="s">
        <v>4</v>
      </c>
      <c r="F20" s="353" t="s">
        <v>25</v>
      </c>
      <c r="G20" s="228" t="s">
        <v>21</v>
      </c>
      <c r="H20" s="27"/>
      <c r="I20" s="34"/>
      <c r="J20" s="34"/>
      <c r="K20" s="35"/>
      <c r="L20" s="39"/>
      <c r="M20" s="7"/>
      <c r="N20" s="7"/>
      <c r="O20" s="8"/>
      <c r="P20" s="5"/>
      <c r="Q20" s="5"/>
      <c r="R20" s="5"/>
      <c r="S20" s="5"/>
      <c r="T20" s="5"/>
      <c r="U20" s="5"/>
    </row>
    <row r="21" spans="1:21">
      <c r="A21" s="1382" t="s">
        <v>58</v>
      </c>
      <c r="B21" s="1383"/>
      <c r="C21" s="1383"/>
      <c r="D21" s="79" t="s">
        <v>49</v>
      </c>
      <c r="E21" s="82">
        <v>0.25</v>
      </c>
      <c r="F21" s="87">
        <v>90000</v>
      </c>
      <c r="G21" s="231">
        <f>ROUND(F21*E21,0)</f>
        <v>22500</v>
      </c>
      <c r="H21" s="9"/>
      <c r="I21" s="34"/>
      <c r="J21" s="34"/>
      <c r="K21" s="35"/>
      <c r="L21" s="39"/>
      <c r="M21" s="7"/>
      <c r="N21" s="7"/>
      <c r="O21" s="13"/>
      <c r="P21" s="5"/>
      <c r="Q21" s="5"/>
      <c r="R21" s="5"/>
      <c r="S21" s="5"/>
      <c r="T21" s="5"/>
      <c r="U21" s="5"/>
    </row>
    <row r="22" spans="1:21">
      <c r="A22" s="1382" t="s">
        <v>56</v>
      </c>
      <c r="B22" s="1383"/>
      <c r="C22" s="1383"/>
      <c r="D22" s="79" t="s">
        <v>49</v>
      </c>
      <c r="E22" s="88">
        <f>E21/2</f>
        <v>0.125</v>
      </c>
      <c r="F22" s="78">
        <v>20000</v>
      </c>
      <c r="G22" s="231">
        <f>ROUND(F22*E22,0)</f>
        <v>2500</v>
      </c>
      <c r="H22" s="9"/>
      <c r="I22" s="10"/>
      <c r="J22" s="10"/>
      <c r="K22" s="12"/>
      <c r="L22" s="39"/>
      <c r="M22" s="7"/>
      <c r="N22" s="7"/>
      <c r="O22" s="15"/>
      <c r="P22" s="5"/>
      <c r="Q22" s="5"/>
      <c r="R22" s="5"/>
      <c r="S22" s="5"/>
      <c r="T22" s="5"/>
      <c r="U22" s="5"/>
    </row>
    <row r="23" spans="1:21">
      <c r="A23" s="1352" t="s">
        <v>60</v>
      </c>
      <c r="B23" s="1353"/>
      <c r="C23" s="1353"/>
      <c r="D23" s="73" t="s">
        <v>59</v>
      </c>
      <c r="E23" s="82">
        <f>E21</f>
        <v>0.25</v>
      </c>
      <c r="F23" s="78">
        <v>35500</v>
      </c>
      <c r="G23" s="231">
        <f>ROUND(F23*E23,0)</f>
        <v>8875</v>
      </c>
      <c r="H23" s="9"/>
      <c r="I23" s="10"/>
      <c r="J23" s="10"/>
      <c r="K23" s="12"/>
      <c r="L23" s="39"/>
      <c r="M23" s="7"/>
      <c r="N23" s="7"/>
      <c r="O23" s="15"/>
      <c r="P23" s="5"/>
      <c r="Q23" s="5"/>
      <c r="R23" s="5"/>
      <c r="S23" s="5"/>
      <c r="T23" s="5"/>
      <c r="U23" s="5"/>
    </row>
    <row r="24" spans="1:21">
      <c r="A24" s="1352"/>
      <c r="B24" s="1353"/>
      <c r="C24" s="1353"/>
      <c r="D24" s="81"/>
      <c r="E24" s="88"/>
      <c r="F24" s="78"/>
      <c r="G24" s="231"/>
      <c r="H24" s="9"/>
      <c r="I24" s="10"/>
      <c r="J24" s="40"/>
      <c r="K24" s="12"/>
      <c r="L24" s="13"/>
      <c r="M24" s="14"/>
      <c r="N24" s="14"/>
      <c r="O24" s="15"/>
      <c r="P24" s="5"/>
      <c r="Q24" s="5"/>
      <c r="R24" s="5"/>
      <c r="S24" s="5"/>
      <c r="T24" s="5"/>
      <c r="U24" s="5"/>
    </row>
    <row r="25" spans="1:21">
      <c r="A25" s="1352"/>
      <c r="B25" s="1353"/>
      <c r="C25" s="1353"/>
      <c r="D25" s="81"/>
      <c r="E25" s="82"/>
      <c r="F25" s="78"/>
      <c r="G25" s="231"/>
      <c r="H25" s="9"/>
      <c r="I25" s="10"/>
      <c r="J25" s="11"/>
      <c r="K25" s="12"/>
      <c r="L25" s="13"/>
      <c r="M25" s="14"/>
      <c r="N25" s="14"/>
      <c r="O25" s="15"/>
      <c r="P25" s="5"/>
      <c r="Q25" s="5"/>
      <c r="R25" s="5"/>
      <c r="S25" s="5"/>
      <c r="T25" s="5"/>
      <c r="U25" s="5"/>
    </row>
    <row r="26" spans="1:21">
      <c r="A26" s="1352"/>
      <c r="B26" s="1353"/>
      <c r="C26" s="1353"/>
      <c r="D26" s="79"/>
      <c r="E26" s="82"/>
      <c r="F26" s="78"/>
      <c r="G26" s="231"/>
      <c r="H26" s="9"/>
      <c r="I26" s="10"/>
      <c r="J26" s="11"/>
      <c r="K26" s="12"/>
      <c r="L26" s="13"/>
      <c r="M26" s="14"/>
      <c r="N26" s="14"/>
      <c r="O26" s="15"/>
      <c r="P26" s="5"/>
      <c r="Q26" s="5"/>
      <c r="R26" s="5"/>
      <c r="S26" s="5"/>
      <c r="T26" s="5"/>
      <c r="U26" s="5"/>
    </row>
    <row r="27" spans="1:21">
      <c r="A27" s="1352"/>
      <c r="B27" s="1353"/>
      <c r="C27" s="1353"/>
      <c r="D27" s="79"/>
      <c r="E27" s="82"/>
      <c r="F27" s="78"/>
      <c r="G27" s="231"/>
      <c r="H27" s="9"/>
      <c r="I27" s="10"/>
      <c r="J27" s="11"/>
      <c r="K27" s="12"/>
      <c r="L27" s="13"/>
      <c r="M27" s="14"/>
      <c r="N27" s="14"/>
      <c r="O27" s="15"/>
      <c r="P27" s="5"/>
      <c r="Q27" s="5"/>
      <c r="R27" s="5"/>
      <c r="S27" s="5"/>
      <c r="T27" s="5"/>
      <c r="U27" s="5"/>
    </row>
    <row r="28" spans="1:21">
      <c r="A28" s="1352"/>
      <c r="B28" s="1353"/>
      <c r="C28" s="1353"/>
      <c r="D28" s="79"/>
      <c r="E28" s="82"/>
      <c r="F28" s="83"/>
      <c r="G28" s="231"/>
      <c r="H28" s="9"/>
      <c r="I28" s="41"/>
      <c r="J28" s="41"/>
      <c r="K28" s="12"/>
      <c r="L28" s="13"/>
      <c r="M28" s="14"/>
      <c r="N28" s="14"/>
      <c r="O28" s="15"/>
      <c r="P28" s="5"/>
      <c r="Q28" s="5"/>
      <c r="R28" s="5"/>
      <c r="S28" s="5"/>
      <c r="T28" s="5"/>
      <c r="U28" s="5"/>
    </row>
    <row r="29" spans="1:21">
      <c r="A29" s="1352"/>
      <c r="B29" s="1353"/>
      <c r="C29" s="1353"/>
      <c r="D29" s="84"/>
      <c r="E29" s="84"/>
      <c r="F29" s="83"/>
      <c r="G29" s="231"/>
      <c r="H29" s="9"/>
      <c r="I29" s="42"/>
      <c r="J29" s="42"/>
      <c r="K29" s="42"/>
      <c r="L29" s="13"/>
      <c r="M29" s="14"/>
      <c r="N29" s="14"/>
      <c r="O29" s="15"/>
      <c r="P29" s="5"/>
      <c r="Q29" s="5"/>
      <c r="R29" s="5"/>
      <c r="S29" s="5"/>
      <c r="T29" s="5"/>
      <c r="U29" s="5"/>
    </row>
    <row r="30" spans="1:21">
      <c r="A30" s="1352"/>
      <c r="B30" s="1353"/>
      <c r="C30" s="1353"/>
      <c r="D30" s="85" t="s">
        <v>28</v>
      </c>
      <c r="E30" s="50"/>
      <c r="F30" s="49"/>
      <c r="G30" s="230">
        <f>SUM(G21:G29)</f>
        <v>33875</v>
      </c>
      <c r="H30" s="9"/>
      <c r="I30" s="8"/>
      <c r="J30" s="13"/>
      <c r="K30" s="8"/>
      <c r="L30" s="13"/>
      <c r="M30" s="14"/>
      <c r="N30" s="14"/>
      <c r="O30" s="15"/>
      <c r="P30" s="5"/>
    </row>
    <row r="31" spans="1:21" ht="3.75" customHeight="1">
      <c r="A31" s="226"/>
      <c r="B31" s="4"/>
      <c r="C31" s="6"/>
      <c r="D31" s="4"/>
      <c r="E31" s="4"/>
      <c r="F31" s="4"/>
      <c r="G31" s="227"/>
      <c r="H31" s="9"/>
      <c r="I31" s="8"/>
      <c r="J31" s="13"/>
      <c r="K31" s="18"/>
      <c r="L31" s="13"/>
      <c r="M31" s="33"/>
      <c r="N31" s="33"/>
      <c r="O31" s="15"/>
      <c r="P31" s="5"/>
    </row>
    <row r="32" spans="1:21" ht="22.5" customHeight="1">
      <c r="A32" s="1354" t="s">
        <v>71</v>
      </c>
      <c r="B32" s="1355"/>
      <c r="C32" s="1355"/>
      <c r="D32" s="1355"/>
      <c r="E32" s="1355"/>
      <c r="F32" s="1355"/>
      <c r="G32" s="1356"/>
      <c r="H32" s="9"/>
    </row>
    <row r="33" spans="1:16" ht="3.75" customHeight="1">
      <c r="A33" s="226"/>
      <c r="B33" s="4"/>
      <c r="C33" s="6"/>
      <c r="D33" s="4"/>
      <c r="E33" s="4"/>
      <c r="F33" s="4"/>
      <c r="G33" s="227"/>
      <c r="H33" s="9"/>
      <c r="I33" s="8"/>
      <c r="J33" s="13"/>
      <c r="K33" s="8"/>
      <c r="L33" s="8"/>
      <c r="M33" s="8"/>
      <c r="N33" s="8"/>
      <c r="O33" s="15"/>
      <c r="P33" s="5"/>
    </row>
    <row r="34" spans="1:16">
      <c r="A34" s="232" t="s">
        <v>5</v>
      </c>
      <c r="B34" s="60" t="s">
        <v>29</v>
      </c>
      <c r="C34" s="60" t="s">
        <v>30</v>
      </c>
      <c r="D34" s="60" t="s">
        <v>31</v>
      </c>
      <c r="E34" s="60" t="s">
        <v>32</v>
      </c>
      <c r="F34" s="60" t="s">
        <v>20</v>
      </c>
      <c r="G34" s="228" t="s">
        <v>33</v>
      </c>
      <c r="H34" s="27"/>
      <c r="I34" s="8"/>
      <c r="J34" s="13"/>
      <c r="K34" s="8"/>
      <c r="L34" s="8"/>
      <c r="M34" s="8"/>
      <c r="N34" s="8"/>
      <c r="O34" s="15"/>
      <c r="P34" s="5"/>
    </row>
    <row r="35" spans="1:16">
      <c r="A35" s="233" t="s">
        <v>41</v>
      </c>
      <c r="B35" s="63">
        <f>BOF</f>
        <v>51749</v>
      </c>
      <c r="C35" s="68">
        <f>ffpp</f>
        <v>0.64539999999999997</v>
      </c>
      <c r="D35" s="72">
        <v>0.5</v>
      </c>
      <c r="E35" s="66">
        <f>OF</f>
        <v>88696</v>
      </c>
      <c r="F35" s="65">
        <v>5</v>
      </c>
      <c r="G35" s="231">
        <f>ROUND(+D35*E35/F35,0)</f>
        <v>8870</v>
      </c>
      <c r="H35" s="9"/>
      <c r="I35" s="16"/>
      <c r="J35" s="13"/>
      <c r="K35" s="8"/>
      <c r="L35" s="8"/>
      <c r="M35" s="8"/>
      <c r="N35" s="8"/>
      <c r="O35" s="15"/>
      <c r="P35" s="5"/>
    </row>
    <row r="36" spans="1:16">
      <c r="A36" s="233" t="s">
        <v>38</v>
      </c>
      <c r="B36" s="63">
        <f>BOB</f>
        <v>41749</v>
      </c>
      <c r="C36" s="68">
        <f>ffpp</f>
        <v>0.64539999999999997</v>
      </c>
      <c r="D36" s="72">
        <v>2</v>
      </c>
      <c r="E36" s="66">
        <f>OB</f>
        <v>72242</v>
      </c>
      <c r="F36" s="65">
        <f>+F35</f>
        <v>5</v>
      </c>
      <c r="G36" s="231">
        <f>ROUND(+D36*E36/F36,0)</f>
        <v>28897</v>
      </c>
      <c r="H36" s="9"/>
      <c r="I36" s="8"/>
      <c r="J36" s="8"/>
      <c r="K36" s="13"/>
      <c r="L36" s="13"/>
      <c r="M36" s="13"/>
      <c r="N36" s="13"/>
      <c r="O36" s="13"/>
      <c r="P36" s="5"/>
    </row>
    <row r="37" spans="1:16">
      <c r="A37" s="234"/>
      <c r="B37" s="50"/>
      <c r="C37" s="961"/>
      <c r="D37" s="50"/>
      <c r="E37" s="50"/>
      <c r="F37" s="50"/>
      <c r="G37" s="235"/>
      <c r="H37" s="9"/>
      <c r="I37" s="8"/>
      <c r="J37" s="13"/>
      <c r="K37" s="13"/>
      <c r="L37" s="13"/>
      <c r="M37" s="33"/>
      <c r="N37" s="33"/>
      <c r="O37" s="43"/>
      <c r="P37" s="5"/>
    </row>
    <row r="38" spans="1:16">
      <c r="A38" s="233"/>
      <c r="B38" s="65"/>
      <c r="C38" s="68"/>
      <c r="D38" s="65"/>
      <c r="E38" s="69"/>
      <c r="F38" s="69"/>
      <c r="G38" s="236"/>
      <c r="H38" s="9"/>
      <c r="I38" s="8"/>
      <c r="J38" s="13"/>
      <c r="K38" s="13"/>
      <c r="L38" s="13"/>
      <c r="M38" s="33"/>
      <c r="N38" s="33"/>
      <c r="O38" s="43"/>
      <c r="P38" s="5"/>
    </row>
    <row r="39" spans="1:16">
      <c r="A39" s="249"/>
      <c r="B39" s="71"/>
      <c r="C39" s="71"/>
      <c r="D39" s="71" t="s">
        <v>34</v>
      </c>
      <c r="E39" s="71"/>
      <c r="F39" s="71"/>
      <c r="G39" s="250">
        <f>SUM(G35:G38)</f>
        <v>37767</v>
      </c>
      <c r="H39" s="9"/>
      <c r="I39" s="8"/>
      <c r="J39" s="13"/>
      <c r="K39" s="13"/>
      <c r="L39" s="13"/>
      <c r="M39" s="14"/>
      <c r="N39" s="14"/>
      <c r="O39" s="15"/>
      <c r="P39" s="5"/>
    </row>
    <row r="40" spans="1:16">
      <c r="A40" s="226"/>
      <c r="B40" s="4"/>
      <c r="C40" s="6"/>
      <c r="D40" s="4"/>
      <c r="E40" s="4"/>
      <c r="F40" s="4"/>
      <c r="G40" s="227"/>
      <c r="H40" s="9"/>
      <c r="I40" s="8"/>
      <c r="J40" s="13"/>
      <c r="K40" s="13"/>
      <c r="L40" s="13"/>
      <c r="M40" s="14"/>
      <c r="N40" s="14"/>
      <c r="O40" s="19"/>
      <c r="P40" s="5"/>
    </row>
    <row r="41" spans="1:16">
      <c r="A41" s="226"/>
      <c r="B41" s="4"/>
      <c r="C41" s="6"/>
      <c r="D41" s="4"/>
      <c r="E41" s="4"/>
      <c r="F41" s="4"/>
      <c r="G41" s="227"/>
      <c r="H41" s="9"/>
      <c r="I41" s="8"/>
      <c r="J41" s="13"/>
      <c r="K41" s="13"/>
      <c r="L41" s="13"/>
      <c r="M41" s="17"/>
      <c r="N41" s="17"/>
      <c r="O41" s="37"/>
      <c r="P41" s="5"/>
    </row>
    <row r="42" spans="1:16" ht="14.25">
      <c r="A42" s="226"/>
      <c r="B42" s="4"/>
      <c r="C42" s="6"/>
      <c r="D42" s="1357" t="s">
        <v>35</v>
      </c>
      <c r="E42" s="1358"/>
      <c r="F42" s="1359"/>
      <c r="G42" s="239">
        <f>+G39+G30+G16</f>
        <v>75584</v>
      </c>
      <c r="H42" s="9"/>
      <c r="I42" s="48"/>
      <c r="J42" s="20"/>
      <c r="K42" s="8"/>
      <c r="L42" s="8"/>
      <c r="M42" s="8"/>
      <c r="N42" s="8"/>
      <c r="O42" s="8"/>
      <c r="P42" s="5"/>
    </row>
    <row r="43" spans="1:16" ht="14.25">
      <c r="A43" s="240"/>
      <c r="B43" s="57"/>
      <c r="C43" s="58"/>
      <c r="D43" s="99"/>
      <c r="E43" s="99"/>
      <c r="F43" s="99"/>
      <c r="G43" s="251"/>
      <c r="H43" s="9"/>
      <c r="I43" s="48"/>
      <c r="J43" s="20"/>
      <c r="K43" s="8"/>
      <c r="L43" s="8"/>
      <c r="M43" s="8"/>
      <c r="N43" s="8"/>
      <c r="O43" s="8"/>
      <c r="P43" s="5"/>
    </row>
    <row r="44" spans="1:16" ht="14.25">
      <c r="A44" s="374"/>
      <c r="B44" s="375"/>
      <c r="C44" s="375"/>
      <c r="D44" s="99"/>
      <c r="E44" s="99"/>
      <c r="F44" s="99"/>
      <c r="G44" s="251"/>
      <c r="H44" s="9"/>
      <c r="I44" s="48"/>
      <c r="J44" s="20"/>
      <c r="K44" s="8"/>
      <c r="L44" s="8"/>
      <c r="M44" s="8"/>
      <c r="N44" s="8"/>
      <c r="O44" s="8"/>
      <c r="P44" s="5"/>
    </row>
    <row r="45" spans="1:16" ht="14.25">
      <c r="A45" s="373"/>
      <c r="B45" s="376"/>
      <c r="C45" s="376"/>
      <c r="D45" s="99"/>
      <c r="E45" s="99"/>
      <c r="F45" s="99"/>
      <c r="G45" s="251"/>
      <c r="H45" s="9"/>
      <c r="I45" s="48"/>
      <c r="J45" s="20"/>
      <c r="K45" s="8"/>
      <c r="L45" s="8"/>
      <c r="M45" s="8"/>
      <c r="N45" s="8"/>
      <c r="O45" s="8"/>
      <c r="P45" s="5"/>
    </row>
    <row r="46" spans="1:16" ht="14.25">
      <c r="A46" s="373"/>
      <c r="B46" s="376"/>
      <c r="C46" s="376"/>
      <c r="D46" s="44"/>
      <c r="E46" s="45"/>
      <c r="F46" s="45"/>
      <c r="G46" s="251"/>
      <c r="H46" s="9"/>
      <c r="I46" s="8"/>
      <c r="J46" s="13"/>
      <c r="K46" s="8"/>
      <c r="L46" s="8"/>
      <c r="M46" s="8"/>
      <c r="N46" s="8"/>
      <c r="O46" s="8"/>
      <c r="P46" s="5"/>
    </row>
    <row r="47" spans="1:16" ht="15" thickBot="1">
      <c r="A47" s="242"/>
      <c r="B47" s="243"/>
      <c r="C47" s="244"/>
      <c r="D47" s="245"/>
      <c r="E47" s="246"/>
      <c r="F47" s="246"/>
      <c r="G47" s="247"/>
      <c r="H47" s="9"/>
      <c r="I47" s="8"/>
      <c r="J47" s="13"/>
      <c r="K47" s="8"/>
      <c r="L47" s="8"/>
      <c r="M47" s="8"/>
      <c r="N47" s="8"/>
      <c r="O47" s="8"/>
      <c r="P47" s="5"/>
    </row>
    <row r="48" spans="1:16">
      <c r="I48" s="5"/>
      <c r="J48" s="5"/>
      <c r="K48" s="5"/>
      <c r="L48" s="5"/>
      <c r="M48" s="5"/>
      <c r="N48" s="5"/>
      <c r="O48" s="5"/>
      <c r="P48" s="5"/>
    </row>
    <row r="49" spans="9:16">
      <c r="I49" s="5"/>
      <c r="J49" s="5"/>
      <c r="K49" s="5"/>
      <c r="L49" s="5"/>
      <c r="M49" s="5"/>
      <c r="N49" s="5"/>
      <c r="O49" s="5"/>
      <c r="P49" s="5"/>
    </row>
  </sheetData>
  <mergeCells count="26">
    <mergeCell ref="A10:C10"/>
    <mergeCell ref="A1:G1"/>
    <mergeCell ref="A2:G2"/>
    <mergeCell ref="A3:G4"/>
    <mergeCell ref="B6:E6"/>
    <mergeCell ref="A8:G8"/>
    <mergeCell ref="A24:C24"/>
    <mergeCell ref="A11:C11"/>
    <mergeCell ref="A12:C12"/>
    <mergeCell ref="A13:C13"/>
    <mergeCell ref="A14:C14"/>
    <mergeCell ref="A15:C15"/>
    <mergeCell ref="A16:C16"/>
    <mergeCell ref="A18:G18"/>
    <mergeCell ref="A20:C20"/>
    <mergeCell ref="A21:C21"/>
    <mergeCell ref="A22:C22"/>
    <mergeCell ref="A23:C23"/>
    <mergeCell ref="A32:G32"/>
    <mergeCell ref="D42:F42"/>
    <mergeCell ref="A25:C25"/>
    <mergeCell ref="A26:C26"/>
    <mergeCell ref="A27:C27"/>
    <mergeCell ref="A28:C28"/>
    <mergeCell ref="A29:C29"/>
    <mergeCell ref="A30:C30"/>
  </mergeCells>
  <printOptions horizontalCentered="1" verticalCentered="1"/>
  <pageMargins left="0.74803149606299213" right="0.74803149606299213" top="0" bottom="0.98425196850393704" header="0" footer="0"/>
  <pageSetup scale="90" orientation="portrait" r:id="rId1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1"/>
  <dimension ref="A1:U49"/>
  <sheetViews>
    <sheetView view="pageBreakPreview" topLeftCell="A23" zoomScaleNormal="100" zoomScaleSheetLayoutView="100" workbookViewId="0">
      <selection activeCell="F36" sqref="F36"/>
    </sheetView>
  </sheetViews>
  <sheetFormatPr baseColWidth="10" defaultColWidth="10.7109375" defaultRowHeight="12.75"/>
  <cols>
    <col min="1" max="1" width="15.85546875" style="3" customWidth="1"/>
    <col min="2" max="2" width="14.85546875" style="3" customWidth="1"/>
    <col min="3" max="3" width="13.28515625" style="3" customWidth="1"/>
    <col min="4" max="4" width="11.42578125" style="3"/>
    <col min="5" max="5" width="13.42578125" style="3" customWidth="1"/>
    <col min="6" max="6" width="12.7109375" style="3" customWidth="1"/>
    <col min="7" max="7" width="14" style="3" customWidth="1"/>
    <col min="8" max="8" width="7.42578125" style="3" customWidth="1"/>
    <col min="9" max="256" width="11.42578125" style="3"/>
    <col min="257" max="257" width="15.85546875" style="3" customWidth="1"/>
    <col min="258" max="258" width="14.85546875" style="3" customWidth="1"/>
    <col min="259" max="259" width="13.28515625" style="3" customWidth="1"/>
    <col min="260" max="260" width="11.42578125" style="3"/>
    <col min="261" max="261" width="13.42578125" style="3" customWidth="1"/>
    <col min="262" max="262" width="12.7109375" style="3" customWidth="1"/>
    <col min="263" max="263" width="14" style="3" customWidth="1"/>
    <col min="264" max="264" width="7.42578125" style="3" customWidth="1"/>
    <col min="265" max="512" width="11.42578125" style="3"/>
    <col min="513" max="513" width="15.85546875" style="3" customWidth="1"/>
    <col min="514" max="514" width="14.85546875" style="3" customWidth="1"/>
    <col min="515" max="515" width="13.28515625" style="3" customWidth="1"/>
    <col min="516" max="516" width="11.42578125" style="3"/>
    <col min="517" max="517" width="13.42578125" style="3" customWidth="1"/>
    <col min="518" max="518" width="12.7109375" style="3" customWidth="1"/>
    <col min="519" max="519" width="14" style="3" customWidth="1"/>
    <col min="520" max="520" width="7.42578125" style="3" customWidth="1"/>
    <col min="521" max="768" width="11.42578125" style="3"/>
    <col min="769" max="769" width="15.85546875" style="3" customWidth="1"/>
    <col min="770" max="770" width="14.85546875" style="3" customWidth="1"/>
    <col min="771" max="771" width="13.28515625" style="3" customWidth="1"/>
    <col min="772" max="772" width="11.42578125" style="3"/>
    <col min="773" max="773" width="13.42578125" style="3" customWidth="1"/>
    <col min="774" max="774" width="12.7109375" style="3" customWidth="1"/>
    <col min="775" max="775" width="14" style="3" customWidth="1"/>
    <col min="776" max="776" width="7.42578125" style="3" customWidth="1"/>
    <col min="777" max="1024" width="11.42578125" style="3"/>
    <col min="1025" max="1025" width="15.85546875" style="3" customWidth="1"/>
    <col min="1026" max="1026" width="14.85546875" style="3" customWidth="1"/>
    <col min="1027" max="1027" width="13.28515625" style="3" customWidth="1"/>
    <col min="1028" max="1028" width="11.42578125" style="3"/>
    <col min="1029" max="1029" width="13.42578125" style="3" customWidth="1"/>
    <col min="1030" max="1030" width="12.7109375" style="3" customWidth="1"/>
    <col min="1031" max="1031" width="14" style="3" customWidth="1"/>
    <col min="1032" max="1032" width="7.42578125" style="3" customWidth="1"/>
    <col min="1033" max="1280" width="11.42578125" style="3"/>
    <col min="1281" max="1281" width="15.85546875" style="3" customWidth="1"/>
    <col min="1282" max="1282" width="14.85546875" style="3" customWidth="1"/>
    <col min="1283" max="1283" width="13.28515625" style="3" customWidth="1"/>
    <col min="1284" max="1284" width="11.42578125" style="3"/>
    <col min="1285" max="1285" width="13.42578125" style="3" customWidth="1"/>
    <col min="1286" max="1286" width="12.7109375" style="3" customWidth="1"/>
    <col min="1287" max="1287" width="14" style="3" customWidth="1"/>
    <col min="1288" max="1288" width="7.42578125" style="3" customWidth="1"/>
    <col min="1289" max="1536" width="11.42578125" style="3"/>
    <col min="1537" max="1537" width="15.85546875" style="3" customWidth="1"/>
    <col min="1538" max="1538" width="14.85546875" style="3" customWidth="1"/>
    <col min="1539" max="1539" width="13.28515625" style="3" customWidth="1"/>
    <col min="1540" max="1540" width="11.42578125" style="3"/>
    <col min="1541" max="1541" width="13.42578125" style="3" customWidth="1"/>
    <col min="1542" max="1542" width="12.7109375" style="3" customWidth="1"/>
    <col min="1543" max="1543" width="14" style="3" customWidth="1"/>
    <col min="1544" max="1544" width="7.42578125" style="3" customWidth="1"/>
    <col min="1545" max="1792" width="11.42578125" style="3"/>
    <col min="1793" max="1793" width="15.85546875" style="3" customWidth="1"/>
    <col min="1794" max="1794" width="14.85546875" style="3" customWidth="1"/>
    <col min="1795" max="1795" width="13.28515625" style="3" customWidth="1"/>
    <col min="1796" max="1796" width="11.42578125" style="3"/>
    <col min="1797" max="1797" width="13.42578125" style="3" customWidth="1"/>
    <col min="1798" max="1798" width="12.7109375" style="3" customWidth="1"/>
    <col min="1799" max="1799" width="14" style="3" customWidth="1"/>
    <col min="1800" max="1800" width="7.42578125" style="3" customWidth="1"/>
    <col min="1801" max="2048" width="11.42578125" style="3"/>
    <col min="2049" max="2049" width="15.85546875" style="3" customWidth="1"/>
    <col min="2050" max="2050" width="14.85546875" style="3" customWidth="1"/>
    <col min="2051" max="2051" width="13.28515625" style="3" customWidth="1"/>
    <col min="2052" max="2052" width="11.42578125" style="3"/>
    <col min="2053" max="2053" width="13.42578125" style="3" customWidth="1"/>
    <col min="2054" max="2054" width="12.7109375" style="3" customWidth="1"/>
    <col min="2055" max="2055" width="14" style="3" customWidth="1"/>
    <col min="2056" max="2056" width="7.42578125" style="3" customWidth="1"/>
    <col min="2057" max="2304" width="11.42578125" style="3"/>
    <col min="2305" max="2305" width="15.85546875" style="3" customWidth="1"/>
    <col min="2306" max="2306" width="14.85546875" style="3" customWidth="1"/>
    <col min="2307" max="2307" width="13.28515625" style="3" customWidth="1"/>
    <col min="2308" max="2308" width="11.42578125" style="3"/>
    <col min="2309" max="2309" width="13.42578125" style="3" customWidth="1"/>
    <col min="2310" max="2310" width="12.7109375" style="3" customWidth="1"/>
    <col min="2311" max="2311" width="14" style="3" customWidth="1"/>
    <col min="2312" max="2312" width="7.42578125" style="3" customWidth="1"/>
    <col min="2313" max="2560" width="11.42578125" style="3"/>
    <col min="2561" max="2561" width="15.85546875" style="3" customWidth="1"/>
    <col min="2562" max="2562" width="14.85546875" style="3" customWidth="1"/>
    <col min="2563" max="2563" width="13.28515625" style="3" customWidth="1"/>
    <col min="2564" max="2564" width="11.42578125" style="3"/>
    <col min="2565" max="2565" width="13.42578125" style="3" customWidth="1"/>
    <col min="2566" max="2566" width="12.7109375" style="3" customWidth="1"/>
    <col min="2567" max="2567" width="14" style="3" customWidth="1"/>
    <col min="2568" max="2568" width="7.42578125" style="3" customWidth="1"/>
    <col min="2569" max="2816" width="11.42578125" style="3"/>
    <col min="2817" max="2817" width="15.85546875" style="3" customWidth="1"/>
    <col min="2818" max="2818" width="14.85546875" style="3" customWidth="1"/>
    <col min="2819" max="2819" width="13.28515625" style="3" customWidth="1"/>
    <col min="2820" max="2820" width="11.42578125" style="3"/>
    <col min="2821" max="2821" width="13.42578125" style="3" customWidth="1"/>
    <col min="2822" max="2822" width="12.7109375" style="3" customWidth="1"/>
    <col min="2823" max="2823" width="14" style="3" customWidth="1"/>
    <col min="2824" max="2824" width="7.42578125" style="3" customWidth="1"/>
    <col min="2825" max="3072" width="11.42578125" style="3"/>
    <col min="3073" max="3073" width="15.85546875" style="3" customWidth="1"/>
    <col min="3074" max="3074" width="14.85546875" style="3" customWidth="1"/>
    <col min="3075" max="3075" width="13.28515625" style="3" customWidth="1"/>
    <col min="3076" max="3076" width="11.42578125" style="3"/>
    <col min="3077" max="3077" width="13.42578125" style="3" customWidth="1"/>
    <col min="3078" max="3078" width="12.7109375" style="3" customWidth="1"/>
    <col min="3079" max="3079" width="14" style="3" customWidth="1"/>
    <col min="3080" max="3080" width="7.42578125" style="3" customWidth="1"/>
    <col min="3081" max="3328" width="11.42578125" style="3"/>
    <col min="3329" max="3329" width="15.85546875" style="3" customWidth="1"/>
    <col min="3330" max="3330" width="14.85546875" style="3" customWidth="1"/>
    <col min="3331" max="3331" width="13.28515625" style="3" customWidth="1"/>
    <col min="3332" max="3332" width="11.42578125" style="3"/>
    <col min="3333" max="3333" width="13.42578125" style="3" customWidth="1"/>
    <col min="3334" max="3334" width="12.7109375" style="3" customWidth="1"/>
    <col min="3335" max="3335" width="14" style="3" customWidth="1"/>
    <col min="3336" max="3336" width="7.42578125" style="3" customWidth="1"/>
    <col min="3337" max="3584" width="11.42578125" style="3"/>
    <col min="3585" max="3585" width="15.85546875" style="3" customWidth="1"/>
    <col min="3586" max="3586" width="14.85546875" style="3" customWidth="1"/>
    <col min="3587" max="3587" width="13.28515625" style="3" customWidth="1"/>
    <col min="3588" max="3588" width="11.42578125" style="3"/>
    <col min="3589" max="3589" width="13.42578125" style="3" customWidth="1"/>
    <col min="3590" max="3590" width="12.7109375" style="3" customWidth="1"/>
    <col min="3591" max="3591" width="14" style="3" customWidth="1"/>
    <col min="3592" max="3592" width="7.42578125" style="3" customWidth="1"/>
    <col min="3593" max="3840" width="11.42578125" style="3"/>
    <col min="3841" max="3841" width="15.85546875" style="3" customWidth="1"/>
    <col min="3842" max="3842" width="14.85546875" style="3" customWidth="1"/>
    <col min="3843" max="3843" width="13.28515625" style="3" customWidth="1"/>
    <col min="3844" max="3844" width="11.42578125" style="3"/>
    <col min="3845" max="3845" width="13.42578125" style="3" customWidth="1"/>
    <col min="3846" max="3846" width="12.7109375" style="3" customWidth="1"/>
    <col min="3847" max="3847" width="14" style="3" customWidth="1"/>
    <col min="3848" max="3848" width="7.42578125" style="3" customWidth="1"/>
    <col min="3849" max="4096" width="11.42578125" style="3"/>
    <col min="4097" max="4097" width="15.85546875" style="3" customWidth="1"/>
    <col min="4098" max="4098" width="14.85546875" style="3" customWidth="1"/>
    <col min="4099" max="4099" width="13.28515625" style="3" customWidth="1"/>
    <col min="4100" max="4100" width="11.42578125" style="3"/>
    <col min="4101" max="4101" width="13.42578125" style="3" customWidth="1"/>
    <col min="4102" max="4102" width="12.7109375" style="3" customWidth="1"/>
    <col min="4103" max="4103" width="14" style="3" customWidth="1"/>
    <col min="4104" max="4104" width="7.42578125" style="3" customWidth="1"/>
    <col min="4105" max="4352" width="11.42578125" style="3"/>
    <col min="4353" max="4353" width="15.85546875" style="3" customWidth="1"/>
    <col min="4354" max="4354" width="14.85546875" style="3" customWidth="1"/>
    <col min="4355" max="4355" width="13.28515625" style="3" customWidth="1"/>
    <col min="4356" max="4356" width="11.42578125" style="3"/>
    <col min="4357" max="4357" width="13.42578125" style="3" customWidth="1"/>
    <col min="4358" max="4358" width="12.7109375" style="3" customWidth="1"/>
    <col min="4359" max="4359" width="14" style="3" customWidth="1"/>
    <col min="4360" max="4360" width="7.42578125" style="3" customWidth="1"/>
    <col min="4361" max="4608" width="11.42578125" style="3"/>
    <col min="4609" max="4609" width="15.85546875" style="3" customWidth="1"/>
    <col min="4610" max="4610" width="14.85546875" style="3" customWidth="1"/>
    <col min="4611" max="4611" width="13.28515625" style="3" customWidth="1"/>
    <col min="4612" max="4612" width="11.42578125" style="3"/>
    <col min="4613" max="4613" width="13.42578125" style="3" customWidth="1"/>
    <col min="4614" max="4614" width="12.7109375" style="3" customWidth="1"/>
    <col min="4615" max="4615" width="14" style="3" customWidth="1"/>
    <col min="4616" max="4616" width="7.42578125" style="3" customWidth="1"/>
    <col min="4617" max="4864" width="11.42578125" style="3"/>
    <col min="4865" max="4865" width="15.85546875" style="3" customWidth="1"/>
    <col min="4866" max="4866" width="14.85546875" style="3" customWidth="1"/>
    <col min="4867" max="4867" width="13.28515625" style="3" customWidth="1"/>
    <col min="4868" max="4868" width="11.42578125" style="3"/>
    <col min="4869" max="4869" width="13.42578125" style="3" customWidth="1"/>
    <col min="4870" max="4870" width="12.7109375" style="3" customWidth="1"/>
    <col min="4871" max="4871" width="14" style="3" customWidth="1"/>
    <col min="4872" max="4872" width="7.42578125" style="3" customWidth="1"/>
    <col min="4873" max="5120" width="11.42578125" style="3"/>
    <col min="5121" max="5121" width="15.85546875" style="3" customWidth="1"/>
    <col min="5122" max="5122" width="14.85546875" style="3" customWidth="1"/>
    <col min="5123" max="5123" width="13.28515625" style="3" customWidth="1"/>
    <col min="5124" max="5124" width="11.42578125" style="3"/>
    <col min="5125" max="5125" width="13.42578125" style="3" customWidth="1"/>
    <col min="5126" max="5126" width="12.7109375" style="3" customWidth="1"/>
    <col min="5127" max="5127" width="14" style="3" customWidth="1"/>
    <col min="5128" max="5128" width="7.42578125" style="3" customWidth="1"/>
    <col min="5129" max="5376" width="11.42578125" style="3"/>
    <col min="5377" max="5377" width="15.85546875" style="3" customWidth="1"/>
    <col min="5378" max="5378" width="14.85546875" style="3" customWidth="1"/>
    <col min="5379" max="5379" width="13.28515625" style="3" customWidth="1"/>
    <col min="5380" max="5380" width="11.42578125" style="3"/>
    <col min="5381" max="5381" width="13.42578125" style="3" customWidth="1"/>
    <col min="5382" max="5382" width="12.7109375" style="3" customWidth="1"/>
    <col min="5383" max="5383" width="14" style="3" customWidth="1"/>
    <col min="5384" max="5384" width="7.42578125" style="3" customWidth="1"/>
    <col min="5385" max="5632" width="11.42578125" style="3"/>
    <col min="5633" max="5633" width="15.85546875" style="3" customWidth="1"/>
    <col min="5634" max="5634" width="14.85546875" style="3" customWidth="1"/>
    <col min="5635" max="5635" width="13.28515625" style="3" customWidth="1"/>
    <col min="5636" max="5636" width="11.42578125" style="3"/>
    <col min="5637" max="5637" width="13.42578125" style="3" customWidth="1"/>
    <col min="5638" max="5638" width="12.7109375" style="3" customWidth="1"/>
    <col min="5639" max="5639" width="14" style="3" customWidth="1"/>
    <col min="5640" max="5640" width="7.42578125" style="3" customWidth="1"/>
    <col min="5641" max="5888" width="11.42578125" style="3"/>
    <col min="5889" max="5889" width="15.85546875" style="3" customWidth="1"/>
    <col min="5890" max="5890" width="14.85546875" style="3" customWidth="1"/>
    <col min="5891" max="5891" width="13.28515625" style="3" customWidth="1"/>
    <col min="5892" max="5892" width="11.42578125" style="3"/>
    <col min="5893" max="5893" width="13.42578125" style="3" customWidth="1"/>
    <col min="5894" max="5894" width="12.7109375" style="3" customWidth="1"/>
    <col min="5895" max="5895" width="14" style="3" customWidth="1"/>
    <col min="5896" max="5896" width="7.42578125" style="3" customWidth="1"/>
    <col min="5897" max="6144" width="11.42578125" style="3"/>
    <col min="6145" max="6145" width="15.85546875" style="3" customWidth="1"/>
    <col min="6146" max="6146" width="14.85546875" style="3" customWidth="1"/>
    <col min="6147" max="6147" width="13.28515625" style="3" customWidth="1"/>
    <col min="6148" max="6148" width="11.42578125" style="3"/>
    <col min="6149" max="6149" width="13.42578125" style="3" customWidth="1"/>
    <col min="6150" max="6150" width="12.7109375" style="3" customWidth="1"/>
    <col min="6151" max="6151" width="14" style="3" customWidth="1"/>
    <col min="6152" max="6152" width="7.42578125" style="3" customWidth="1"/>
    <col min="6153" max="6400" width="11.42578125" style="3"/>
    <col min="6401" max="6401" width="15.85546875" style="3" customWidth="1"/>
    <col min="6402" max="6402" width="14.85546875" style="3" customWidth="1"/>
    <col min="6403" max="6403" width="13.28515625" style="3" customWidth="1"/>
    <col min="6404" max="6404" width="11.42578125" style="3"/>
    <col min="6405" max="6405" width="13.42578125" style="3" customWidth="1"/>
    <col min="6406" max="6406" width="12.7109375" style="3" customWidth="1"/>
    <col min="6407" max="6407" width="14" style="3" customWidth="1"/>
    <col min="6408" max="6408" width="7.42578125" style="3" customWidth="1"/>
    <col min="6409" max="6656" width="11.42578125" style="3"/>
    <col min="6657" max="6657" width="15.85546875" style="3" customWidth="1"/>
    <col min="6658" max="6658" width="14.85546875" style="3" customWidth="1"/>
    <col min="6659" max="6659" width="13.28515625" style="3" customWidth="1"/>
    <col min="6660" max="6660" width="11.42578125" style="3"/>
    <col min="6661" max="6661" width="13.42578125" style="3" customWidth="1"/>
    <col min="6662" max="6662" width="12.7109375" style="3" customWidth="1"/>
    <col min="6663" max="6663" width="14" style="3" customWidth="1"/>
    <col min="6664" max="6664" width="7.42578125" style="3" customWidth="1"/>
    <col min="6665" max="6912" width="11.42578125" style="3"/>
    <col min="6913" max="6913" width="15.85546875" style="3" customWidth="1"/>
    <col min="6914" max="6914" width="14.85546875" style="3" customWidth="1"/>
    <col min="6915" max="6915" width="13.28515625" style="3" customWidth="1"/>
    <col min="6916" max="6916" width="11.42578125" style="3"/>
    <col min="6917" max="6917" width="13.42578125" style="3" customWidth="1"/>
    <col min="6918" max="6918" width="12.7109375" style="3" customWidth="1"/>
    <col min="6919" max="6919" width="14" style="3" customWidth="1"/>
    <col min="6920" max="6920" width="7.42578125" style="3" customWidth="1"/>
    <col min="6921" max="7168" width="11.42578125" style="3"/>
    <col min="7169" max="7169" width="15.85546875" style="3" customWidth="1"/>
    <col min="7170" max="7170" width="14.85546875" style="3" customWidth="1"/>
    <col min="7171" max="7171" width="13.28515625" style="3" customWidth="1"/>
    <col min="7172" max="7172" width="11.42578125" style="3"/>
    <col min="7173" max="7173" width="13.42578125" style="3" customWidth="1"/>
    <col min="7174" max="7174" width="12.7109375" style="3" customWidth="1"/>
    <col min="7175" max="7175" width="14" style="3" customWidth="1"/>
    <col min="7176" max="7176" width="7.42578125" style="3" customWidth="1"/>
    <col min="7177" max="7424" width="11.42578125" style="3"/>
    <col min="7425" max="7425" width="15.85546875" style="3" customWidth="1"/>
    <col min="7426" max="7426" width="14.85546875" style="3" customWidth="1"/>
    <col min="7427" max="7427" width="13.28515625" style="3" customWidth="1"/>
    <col min="7428" max="7428" width="11.42578125" style="3"/>
    <col min="7429" max="7429" width="13.42578125" style="3" customWidth="1"/>
    <col min="7430" max="7430" width="12.7109375" style="3" customWidth="1"/>
    <col min="7431" max="7431" width="14" style="3" customWidth="1"/>
    <col min="7432" max="7432" width="7.42578125" style="3" customWidth="1"/>
    <col min="7433" max="7680" width="11.42578125" style="3"/>
    <col min="7681" max="7681" width="15.85546875" style="3" customWidth="1"/>
    <col min="7682" max="7682" width="14.85546875" style="3" customWidth="1"/>
    <col min="7683" max="7683" width="13.28515625" style="3" customWidth="1"/>
    <col min="7684" max="7684" width="11.42578125" style="3"/>
    <col min="7685" max="7685" width="13.42578125" style="3" customWidth="1"/>
    <col min="7686" max="7686" width="12.7109375" style="3" customWidth="1"/>
    <col min="7687" max="7687" width="14" style="3" customWidth="1"/>
    <col min="7688" max="7688" width="7.42578125" style="3" customWidth="1"/>
    <col min="7689" max="7936" width="11.42578125" style="3"/>
    <col min="7937" max="7937" width="15.85546875" style="3" customWidth="1"/>
    <col min="7938" max="7938" width="14.85546875" style="3" customWidth="1"/>
    <col min="7939" max="7939" width="13.28515625" style="3" customWidth="1"/>
    <col min="7940" max="7940" width="11.42578125" style="3"/>
    <col min="7941" max="7941" width="13.42578125" style="3" customWidth="1"/>
    <col min="7942" max="7942" width="12.7109375" style="3" customWidth="1"/>
    <col min="7943" max="7943" width="14" style="3" customWidth="1"/>
    <col min="7944" max="7944" width="7.42578125" style="3" customWidth="1"/>
    <col min="7945" max="8192" width="11.42578125" style="3"/>
    <col min="8193" max="8193" width="15.85546875" style="3" customWidth="1"/>
    <col min="8194" max="8194" width="14.85546875" style="3" customWidth="1"/>
    <col min="8195" max="8195" width="13.28515625" style="3" customWidth="1"/>
    <col min="8196" max="8196" width="11.42578125" style="3"/>
    <col min="8197" max="8197" width="13.42578125" style="3" customWidth="1"/>
    <col min="8198" max="8198" width="12.7109375" style="3" customWidth="1"/>
    <col min="8199" max="8199" width="14" style="3" customWidth="1"/>
    <col min="8200" max="8200" width="7.42578125" style="3" customWidth="1"/>
    <col min="8201" max="8448" width="11.42578125" style="3"/>
    <col min="8449" max="8449" width="15.85546875" style="3" customWidth="1"/>
    <col min="8450" max="8450" width="14.85546875" style="3" customWidth="1"/>
    <col min="8451" max="8451" width="13.28515625" style="3" customWidth="1"/>
    <col min="8452" max="8452" width="11.42578125" style="3"/>
    <col min="8453" max="8453" width="13.42578125" style="3" customWidth="1"/>
    <col min="8454" max="8454" width="12.7109375" style="3" customWidth="1"/>
    <col min="8455" max="8455" width="14" style="3" customWidth="1"/>
    <col min="8456" max="8456" width="7.42578125" style="3" customWidth="1"/>
    <col min="8457" max="8704" width="11.42578125" style="3"/>
    <col min="8705" max="8705" width="15.85546875" style="3" customWidth="1"/>
    <col min="8706" max="8706" width="14.85546875" style="3" customWidth="1"/>
    <col min="8707" max="8707" width="13.28515625" style="3" customWidth="1"/>
    <col min="8708" max="8708" width="11.42578125" style="3"/>
    <col min="8709" max="8709" width="13.42578125" style="3" customWidth="1"/>
    <col min="8710" max="8710" width="12.7109375" style="3" customWidth="1"/>
    <col min="8711" max="8711" width="14" style="3" customWidth="1"/>
    <col min="8712" max="8712" width="7.42578125" style="3" customWidth="1"/>
    <col min="8713" max="8960" width="11.42578125" style="3"/>
    <col min="8961" max="8961" width="15.85546875" style="3" customWidth="1"/>
    <col min="8962" max="8962" width="14.85546875" style="3" customWidth="1"/>
    <col min="8963" max="8963" width="13.28515625" style="3" customWidth="1"/>
    <col min="8964" max="8964" width="11.42578125" style="3"/>
    <col min="8965" max="8965" width="13.42578125" style="3" customWidth="1"/>
    <col min="8966" max="8966" width="12.7109375" style="3" customWidth="1"/>
    <col min="8967" max="8967" width="14" style="3" customWidth="1"/>
    <col min="8968" max="8968" width="7.42578125" style="3" customWidth="1"/>
    <col min="8969" max="9216" width="11.42578125" style="3"/>
    <col min="9217" max="9217" width="15.85546875" style="3" customWidth="1"/>
    <col min="9218" max="9218" width="14.85546875" style="3" customWidth="1"/>
    <col min="9219" max="9219" width="13.28515625" style="3" customWidth="1"/>
    <col min="9220" max="9220" width="11.42578125" style="3"/>
    <col min="9221" max="9221" width="13.42578125" style="3" customWidth="1"/>
    <col min="9222" max="9222" width="12.7109375" style="3" customWidth="1"/>
    <col min="9223" max="9223" width="14" style="3" customWidth="1"/>
    <col min="9224" max="9224" width="7.42578125" style="3" customWidth="1"/>
    <col min="9225" max="9472" width="11.42578125" style="3"/>
    <col min="9473" max="9473" width="15.85546875" style="3" customWidth="1"/>
    <col min="9474" max="9474" width="14.85546875" style="3" customWidth="1"/>
    <col min="9475" max="9475" width="13.28515625" style="3" customWidth="1"/>
    <col min="9476" max="9476" width="11.42578125" style="3"/>
    <col min="9477" max="9477" width="13.42578125" style="3" customWidth="1"/>
    <col min="9478" max="9478" width="12.7109375" style="3" customWidth="1"/>
    <col min="9479" max="9479" width="14" style="3" customWidth="1"/>
    <col min="9480" max="9480" width="7.42578125" style="3" customWidth="1"/>
    <col min="9481" max="9728" width="11.42578125" style="3"/>
    <col min="9729" max="9729" width="15.85546875" style="3" customWidth="1"/>
    <col min="9730" max="9730" width="14.85546875" style="3" customWidth="1"/>
    <col min="9731" max="9731" width="13.28515625" style="3" customWidth="1"/>
    <col min="9732" max="9732" width="11.42578125" style="3"/>
    <col min="9733" max="9733" width="13.42578125" style="3" customWidth="1"/>
    <col min="9734" max="9734" width="12.7109375" style="3" customWidth="1"/>
    <col min="9735" max="9735" width="14" style="3" customWidth="1"/>
    <col min="9736" max="9736" width="7.42578125" style="3" customWidth="1"/>
    <col min="9737" max="9984" width="11.42578125" style="3"/>
    <col min="9985" max="9985" width="15.85546875" style="3" customWidth="1"/>
    <col min="9986" max="9986" width="14.85546875" style="3" customWidth="1"/>
    <col min="9987" max="9987" width="13.28515625" style="3" customWidth="1"/>
    <col min="9988" max="9988" width="11.42578125" style="3"/>
    <col min="9989" max="9989" width="13.42578125" style="3" customWidth="1"/>
    <col min="9990" max="9990" width="12.7109375" style="3" customWidth="1"/>
    <col min="9991" max="9991" width="14" style="3" customWidth="1"/>
    <col min="9992" max="9992" width="7.42578125" style="3" customWidth="1"/>
    <col min="9993" max="10240" width="11.42578125" style="3"/>
    <col min="10241" max="10241" width="15.85546875" style="3" customWidth="1"/>
    <col min="10242" max="10242" width="14.85546875" style="3" customWidth="1"/>
    <col min="10243" max="10243" width="13.28515625" style="3" customWidth="1"/>
    <col min="10244" max="10244" width="11.42578125" style="3"/>
    <col min="10245" max="10245" width="13.42578125" style="3" customWidth="1"/>
    <col min="10246" max="10246" width="12.7109375" style="3" customWidth="1"/>
    <col min="10247" max="10247" width="14" style="3" customWidth="1"/>
    <col min="10248" max="10248" width="7.42578125" style="3" customWidth="1"/>
    <col min="10249" max="10496" width="11.42578125" style="3"/>
    <col min="10497" max="10497" width="15.85546875" style="3" customWidth="1"/>
    <col min="10498" max="10498" width="14.85546875" style="3" customWidth="1"/>
    <col min="10499" max="10499" width="13.28515625" style="3" customWidth="1"/>
    <col min="10500" max="10500" width="11.42578125" style="3"/>
    <col min="10501" max="10501" width="13.42578125" style="3" customWidth="1"/>
    <col min="10502" max="10502" width="12.7109375" style="3" customWidth="1"/>
    <col min="10503" max="10503" width="14" style="3" customWidth="1"/>
    <col min="10504" max="10504" width="7.42578125" style="3" customWidth="1"/>
    <col min="10505" max="10752" width="11.42578125" style="3"/>
    <col min="10753" max="10753" width="15.85546875" style="3" customWidth="1"/>
    <col min="10754" max="10754" width="14.85546875" style="3" customWidth="1"/>
    <col min="10755" max="10755" width="13.28515625" style="3" customWidth="1"/>
    <col min="10756" max="10756" width="11.42578125" style="3"/>
    <col min="10757" max="10757" width="13.42578125" style="3" customWidth="1"/>
    <col min="10758" max="10758" width="12.7109375" style="3" customWidth="1"/>
    <col min="10759" max="10759" width="14" style="3" customWidth="1"/>
    <col min="10760" max="10760" width="7.42578125" style="3" customWidth="1"/>
    <col min="10761" max="11008" width="11.42578125" style="3"/>
    <col min="11009" max="11009" width="15.85546875" style="3" customWidth="1"/>
    <col min="11010" max="11010" width="14.85546875" style="3" customWidth="1"/>
    <col min="11011" max="11011" width="13.28515625" style="3" customWidth="1"/>
    <col min="11012" max="11012" width="11.42578125" style="3"/>
    <col min="11013" max="11013" width="13.42578125" style="3" customWidth="1"/>
    <col min="11014" max="11014" width="12.7109375" style="3" customWidth="1"/>
    <col min="11015" max="11015" width="14" style="3" customWidth="1"/>
    <col min="11016" max="11016" width="7.42578125" style="3" customWidth="1"/>
    <col min="11017" max="11264" width="11.42578125" style="3"/>
    <col min="11265" max="11265" width="15.85546875" style="3" customWidth="1"/>
    <col min="11266" max="11266" width="14.85546875" style="3" customWidth="1"/>
    <col min="11267" max="11267" width="13.28515625" style="3" customWidth="1"/>
    <col min="11268" max="11268" width="11.42578125" style="3"/>
    <col min="11269" max="11269" width="13.42578125" style="3" customWidth="1"/>
    <col min="11270" max="11270" width="12.7109375" style="3" customWidth="1"/>
    <col min="11271" max="11271" width="14" style="3" customWidth="1"/>
    <col min="11272" max="11272" width="7.42578125" style="3" customWidth="1"/>
    <col min="11273" max="11520" width="11.42578125" style="3"/>
    <col min="11521" max="11521" width="15.85546875" style="3" customWidth="1"/>
    <col min="11522" max="11522" width="14.85546875" style="3" customWidth="1"/>
    <col min="11523" max="11523" width="13.28515625" style="3" customWidth="1"/>
    <col min="11524" max="11524" width="11.42578125" style="3"/>
    <col min="11525" max="11525" width="13.42578125" style="3" customWidth="1"/>
    <col min="11526" max="11526" width="12.7109375" style="3" customWidth="1"/>
    <col min="11527" max="11527" width="14" style="3" customWidth="1"/>
    <col min="11528" max="11528" width="7.42578125" style="3" customWidth="1"/>
    <col min="11529" max="11776" width="11.42578125" style="3"/>
    <col min="11777" max="11777" width="15.85546875" style="3" customWidth="1"/>
    <col min="11778" max="11778" width="14.85546875" style="3" customWidth="1"/>
    <col min="11779" max="11779" width="13.28515625" style="3" customWidth="1"/>
    <col min="11780" max="11780" width="11.42578125" style="3"/>
    <col min="11781" max="11781" width="13.42578125" style="3" customWidth="1"/>
    <col min="11782" max="11782" width="12.7109375" style="3" customWidth="1"/>
    <col min="11783" max="11783" width="14" style="3" customWidth="1"/>
    <col min="11784" max="11784" width="7.42578125" style="3" customWidth="1"/>
    <col min="11785" max="12032" width="11.42578125" style="3"/>
    <col min="12033" max="12033" width="15.85546875" style="3" customWidth="1"/>
    <col min="12034" max="12034" width="14.85546875" style="3" customWidth="1"/>
    <col min="12035" max="12035" width="13.28515625" style="3" customWidth="1"/>
    <col min="12036" max="12036" width="11.42578125" style="3"/>
    <col min="12037" max="12037" width="13.42578125" style="3" customWidth="1"/>
    <col min="12038" max="12038" width="12.7109375" style="3" customWidth="1"/>
    <col min="12039" max="12039" width="14" style="3" customWidth="1"/>
    <col min="12040" max="12040" width="7.42578125" style="3" customWidth="1"/>
    <col min="12041" max="12288" width="11.42578125" style="3"/>
    <col min="12289" max="12289" width="15.85546875" style="3" customWidth="1"/>
    <col min="12290" max="12290" width="14.85546875" style="3" customWidth="1"/>
    <col min="12291" max="12291" width="13.28515625" style="3" customWidth="1"/>
    <col min="12292" max="12292" width="11.42578125" style="3"/>
    <col min="12293" max="12293" width="13.42578125" style="3" customWidth="1"/>
    <col min="12294" max="12294" width="12.7109375" style="3" customWidth="1"/>
    <col min="12295" max="12295" width="14" style="3" customWidth="1"/>
    <col min="12296" max="12296" width="7.42578125" style="3" customWidth="1"/>
    <col min="12297" max="12544" width="11.42578125" style="3"/>
    <col min="12545" max="12545" width="15.85546875" style="3" customWidth="1"/>
    <col min="12546" max="12546" width="14.85546875" style="3" customWidth="1"/>
    <col min="12547" max="12547" width="13.28515625" style="3" customWidth="1"/>
    <col min="12548" max="12548" width="11.42578125" style="3"/>
    <col min="12549" max="12549" width="13.42578125" style="3" customWidth="1"/>
    <col min="12550" max="12550" width="12.7109375" style="3" customWidth="1"/>
    <col min="12551" max="12551" width="14" style="3" customWidth="1"/>
    <col min="12552" max="12552" width="7.42578125" style="3" customWidth="1"/>
    <col min="12553" max="12800" width="11.42578125" style="3"/>
    <col min="12801" max="12801" width="15.85546875" style="3" customWidth="1"/>
    <col min="12802" max="12802" width="14.85546875" style="3" customWidth="1"/>
    <col min="12803" max="12803" width="13.28515625" style="3" customWidth="1"/>
    <col min="12804" max="12804" width="11.42578125" style="3"/>
    <col min="12805" max="12805" width="13.42578125" style="3" customWidth="1"/>
    <col min="12806" max="12806" width="12.7109375" style="3" customWidth="1"/>
    <col min="12807" max="12807" width="14" style="3" customWidth="1"/>
    <col min="12808" max="12808" width="7.42578125" style="3" customWidth="1"/>
    <col min="12809" max="13056" width="11.42578125" style="3"/>
    <col min="13057" max="13057" width="15.85546875" style="3" customWidth="1"/>
    <col min="13058" max="13058" width="14.85546875" style="3" customWidth="1"/>
    <col min="13059" max="13059" width="13.28515625" style="3" customWidth="1"/>
    <col min="13060" max="13060" width="11.42578125" style="3"/>
    <col min="13061" max="13061" width="13.42578125" style="3" customWidth="1"/>
    <col min="13062" max="13062" width="12.7109375" style="3" customWidth="1"/>
    <col min="13063" max="13063" width="14" style="3" customWidth="1"/>
    <col min="13064" max="13064" width="7.42578125" style="3" customWidth="1"/>
    <col min="13065" max="13312" width="11.42578125" style="3"/>
    <col min="13313" max="13313" width="15.85546875" style="3" customWidth="1"/>
    <col min="13314" max="13314" width="14.85546875" style="3" customWidth="1"/>
    <col min="13315" max="13315" width="13.28515625" style="3" customWidth="1"/>
    <col min="13316" max="13316" width="11.42578125" style="3"/>
    <col min="13317" max="13317" width="13.42578125" style="3" customWidth="1"/>
    <col min="13318" max="13318" width="12.7109375" style="3" customWidth="1"/>
    <col min="13319" max="13319" width="14" style="3" customWidth="1"/>
    <col min="13320" max="13320" width="7.42578125" style="3" customWidth="1"/>
    <col min="13321" max="13568" width="11.42578125" style="3"/>
    <col min="13569" max="13569" width="15.85546875" style="3" customWidth="1"/>
    <col min="13570" max="13570" width="14.85546875" style="3" customWidth="1"/>
    <col min="13571" max="13571" width="13.28515625" style="3" customWidth="1"/>
    <col min="13572" max="13572" width="11.42578125" style="3"/>
    <col min="13573" max="13573" width="13.42578125" style="3" customWidth="1"/>
    <col min="13574" max="13574" width="12.7109375" style="3" customWidth="1"/>
    <col min="13575" max="13575" width="14" style="3" customWidth="1"/>
    <col min="13576" max="13576" width="7.42578125" style="3" customWidth="1"/>
    <col min="13577" max="13824" width="11.42578125" style="3"/>
    <col min="13825" max="13825" width="15.85546875" style="3" customWidth="1"/>
    <col min="13826" max="13826" width="14.85546875" style="3" customWidth="1"/>
    <col min="13827" max="13827" width="13.28515625" style="3" customWidth="1"/>
    <col min="13828" max="13828" width="11.42578125" style="3"/>
    <col min="13829" max="13829" width="13.42578125" style="3" customWidth="1"/>
    <col min="13830" max="13830" width="12.7109375" style="3" customWidth="1"/>
    <col min="13831" max="13831" width="14" style="3" customWidth="1"/>
    <col min="13832" max="13832" width="7.42578125" style="3" customWidth="1"/>
    <col min="13833" max="14080" width="11.42578125" style="3"/>
    <col min="14081" max="14081" width="15.85546875" style="3" customWidth="1"/>
    <col min="14082" max="14082" width="14.85546875" style="3" customWidth="1"/>
    <col min="14083" max="14083" width="13.28515625" style="3" customWidth="1"/>
    <col min="14084" max="14084" width="11.42578125" style="3"/>
    <col min="14085" max="14085" width="13.42578125" style="3" customWidth="1"/>
    <col min="14086" max="14086" width="12.7109375" style="3" customWidth="1"/>
    <col min="14087" max="14087" width="14" style="3" customWidth="1"/>
    <col min="14088" max="14088" width="7.42578125" style="3" customWidth="1"/>
    <col min="14089" max="14336" width="11.42578125" style="3"/>
    <col min="14337" max="14337" width="15.85546875" style="3" customWidth="1"/>
    <col min="14338" max="14338" width="14.85546875" style="3" customWidth="1"/>
    <col min="14339" max="14339" width="13.28515625" style="3" customWidth="1"/>
    <col min="14340" max="14340" width="11.42578125" style="3"/>
    <col min="14341" max="14341" width="13.42578125" style="3" customWidth="1"/>
    <col min="14342" max="14342" width="12.7109375" style="3" customWidth="1"/>
    <col min="14343" max="14343" width="14" style="3" customWidth="1"/>
    <col min="14344" max="14344" width="7.42578125" style="3" customWidth="1"/>
    <col min="14345" max="14592" width="11.42578125" style="3"/>
    <col min="14593" max="14593" width="15.85546875" style="3" customWidth="1"/>
    <col min="14594" max="14594" width="14.85546875" style="3" customWidth="1"/>
    <col min="14595" max="14595" width="13.28515625" style="3" customWidth="1"/>
    <col min="14596" max="14596" width="11.42578125" style="3"/>
    <col min="14597" max="14597" width="13.42578125" style="3" customWidth="1"/>
    <col min="14598" max="14598" width="12.7109375" style="3" customWidth="1"/>
    <col min="14599" max="14599" width="14" style="3" customWidth="1"/>
    <col min="14600" max="14600" width="7.42578125" style="3" customWidth="1"/>
    <col min="14601" max="14848" width="11.42578125" style="3"/>
    <col min="14849" max="14849" width="15.85546875" style="3" customWidth="1"/>
    <col min="14850" max="14850" width="14.85546875" style="3" customWidth="1"/>
    <col min="14851" max="14851" width="13.28515625" style="3" customWidth="1"/>
    <col min="14852" max="14852" width="11.42578125" style="3"/>
    <col min="14853" max="14853" width="13.42578125" style="3" customWidth="1"/>
    <col min="14854" max="14854" width="12.7109375" style="3" customWidth="1"/>
    <col min="14855" max="14855" width="14" style="3" customWidth="1"/>
    <col min="14856" max="14856" width="7.42578125" style="3" customWidth="1"/>
    <col min="14857" max="15104" width="11.42578125" style="3"/>
    <col min="15105" max="15105" width="15.85546875" style="3" customWidth="1"/>
    <col min="15106" max="15106" width="14.85546875" style="3" customWidth="1"/>
    <col min="15107" max="15107" width="13.28515625" style="3" customWidth="1"/>
    <col min="15108" max="15108" width="11.42578125" style="3"/>
    <col min="15109" max="15109" width="13.42578125" style="3" customWidth="1"/>
    <col min="15110" max="15110" width="12.7109375" style="3" customWidth="1"/>
    <col min="15111" max="15111" width="14" style="3" customWidth="1"/>
    <col min="15112" max="15112" width="7.42578125" style="3" customWidth="1"/>
    <col min="15113" max="15360" width="11.42578125" style="3"/>
    <col min="15361" max="15361" width="15.85546875" style="3" customWidth="1"/>
    <col min="15362" max="15362" width="14.85546875" style="3" customWidth="1"/>
    <col min="15363" max="15363" width="13.28515625" style="3" customWidth="1"/>
    <col min="15364" max="15364" width="11.42578125" style="3"/>
    <col min="15365" max="15365" width="13.42578125" style="3" customWidth="1"/>
    <col min="15366" max="15366" width="12.7109375" style="3" customWidth="1"/>
    <col min="15367" max="15367" width="14" style="3" customWidth="1"/>
    <col min="15368" max="15368" width="7.42578125" style="3" customWidth="1"/>
    <col min="15369" max="15616" width="11.42578125" style="3"/>
    <col min="15617" max="15617" width="15.85546875" style="3" customWidth="1"/>
    <col min="15618" max="15618" width="14.85546875" style="3" customWidth="1"/>
    <col min="15619" max="15619" width="13.28515625" style="3" customWidth="1"/>
    <col min="15620" max="15620" width="11.42578125" style="3"/>
    <col min="15621" max="15621" width="13.42578125" style="3" customWidth="1"/>
    <col min="15622" max="15622" width="12.7109375" style="3" customWidth="1"/>
    <col min="15623" max="15623" width="14" style="3" customWidth="1"/>
    <col min="15624" max="15624" width="7.42578125" style="3" customWidth="1"/>
    <col min="15625" max="15872" width="11.42578125" style="3"/>
    <col min="15873" max="15873" width="15.85546875" style="3" customWidth="1"/>
    <col min="15874" max="15874" width="14.85546875" style="3" customWidth="1"/>
    <col min="15875" max="15875" width="13.28515625" style="3" customWidth="1"/>
    <col min="15876" max="15876" width="11.42578125" style="3"/>
    <col min="15877" max="15877" width="13.42578125" style="3" customWidth="1"/>
    <col min="15878" max="15878" width="12.7109375" style="3" customWidth="1"/>
    <col min="15879" max="15879" width="14" style="3" customWidth="1"/>
    <col min="15880" max="15880" width="7.42578125" style="3" customWidth="1"/>
    <col min="15881" max="16128" width="11.42578125" style="3"/>
    <col min="16129" max="16129" width="15.85546875" style="3" customWidth="1"/>
    <col min="16130" max="16130" width="14.85546875" style="3" customWidth="1"/>
    <col min="16131" max="16131" width="13.28515625" style="3" customWidth="1"/>
    <col min="16132" max="16132" width="11.42578125" style="3"/>
    <col min="16133" max="16133" width="13.42578125" style="3" customWidth="1"/>
    <col min="16134" max="16134" width="12.7109375" style="3" customWidth="1"/>
    <col min="16135" max="16135" width="14" style="3" customWidth="1"/>
    <col min="16136" max="16136" width="7.42578125" style="3" customWidth="1"/>
    <col min="16137" max="16384" width="11.42578125" style="3"/>
  </cols>
  <sheetData>
    <row r="1" spans="1:21" ht="48" customHeight="1">
      <c r="A1" s="1346" t="str">
        <f>PPTO!D3</f>
        <v>PRESUPUESTO
MUNICIPIO EL BAGRE (ANTIOQUIA).</v>
      </c>
      <c r="B1" s="1347"/>
      <c r="C1" s="1347"/>
      <c r="D1" s="1347"/>
      <c r="E1" s="1347"/>
      <c r="F1" s="1347"/>
      <c r="G1" s="1348"/>
      <c r="H1" s="1"/>
      <c r="I1" s="2"/>
    </row>
    <row r="2" spans="1:21" ht="18" customHeight="1">
      <c r="A2" s="1362" t="s">
        <v>16</v>
      </c>
      <c r="B2" s="1363"/>
      <c r="C2" s="1363"/>
      <c r="D2" s="1363"/>
      <c r="E2" s="1363"/>
      <c r="F2" s="1363"/>
      <c r="G2" s="1364"/>
      <c r="H2" s="1"/>
      <c r="I2" s="2"/>
    </row>
    <row r="3" spans="1:21" ht="15.75" customHeight="1">
      <c r="A3" s="1367" t="str">
        <f>+PPTO!$D$5</f>
        <v>PROYECTO DE MEJORAMIENTO VIAL, ESPACIO PUBLICO Y OBRAS COMPLEMENTARIAS DE LA AVENIDA LA JUVENTUD Y TRAMOS ADYACENTES Y PRIORITARIOS DEL SECTOR URBANO EN EL MUNICIPIO EL BAGRE ANTIOQUIA.</v>
      </c>
      <c r="B3" s="1368"/>
      <c r="C3" s="1368"/>
      <c r="D3" s="1368"/>
      <c r="E3" s="1368"/>
      <c r="F3" s="1368"/>
      <c r="G3" s="1369"/>
      <c r="H3" s="1"/>
      <c r="I3" s="2"/>
    </row>
    <row r="4" spans="1:21" ht="30" customHeight="1">
      <c r="A4" s="1370"/>
      <c r="B4" s="1368"/>
      <c r="C4" s="1368"/>
      <c r="D4" s="1368"/>
      <c r="E4" s="1368"/>
      <c r="F4" s="1368"/>
      <c r="G4" s="1369"/>
      <c r="H4" s="1"/>
      <c r="I4" s="2"/>
    </row>
    <row r="5" spans="1:21" ht="6.75" customHeight="1">
      <c r="A5" s="222"/>
      <c r="B5" s="6"/>
      <c r="C5" s="24"/>
      <c r="D5" s="25"/>
      <c r="E5" s="6"/>
      <c r="F5" s="6"/>
      <c r="G5" s="223"/>
      <c r="H5" s="9"/>
    </row>
    <row r="6" spans="1:21" ht="52.5" customHeight="1">
      <c r="A6" s="368">
        <v>5.5</v>
      </c>
      <c r="B6" s="1349" t="str">
        <f>VLOOKUP(A6,PPTO!D10:I137,2,FALSE)</f>
        <v>Señal horizontal para cruce via en cebra en Pintura acrilica de Trafico. (Manual Señalizacion MinT Colombia 2015)</v>
      </c>
      <c r="C6" s="1350"/>
      <c r="D6" s="1350"/>
      <c r="E6" s="1351"/>
      <c r="F6" s="192" t="s">
        <v>118</v>
      </c>
      <c r="G6" s="248" t="str">
        <f>VLOOKUP(A6,PPTO!D10:I137,3,FALSE)</f>
        <v>m2</v>
      </c>
      <c r="H6" s="9"/>
    </row>
    <row r="7" spans="1:21" ht="3.75" customHeight="1">
      <c r="A7" s="226"/>
      <c r="B7" s="4"/>
      <c r="C7" s="6"/>
      <c r="D7" s="4"/>
      <c r="E7" s="4"/>
      <c r="F7" s="4"/>
      <c r="G7" s="227"/>
      <c r="H7" s="9"/>
    </row>
    <row r="8" spans="1:21" ht="22.5" customHeight="1">
      <c r="A8" s="1354" t="s">
        <v>69</v>
      </c>
      <c r="B8" s="1355"/>
      <c r="C8" s="1355"/>
      <c r="D8" s="1355"/>
      <c r="E8" s="1355"/>
      <c r="F8" s="1355"/>
      <c r="G8" s="1356"/>
      <c r="H8" s="9"/>
    </row>
    <row r="9" spans="1:21" ht="4.5" customHeight="1">
      <c r="A9" s="226"/>
      <c r="B9" s="4"/>
      <c r="C9" s="6"/>
      <c r="D9" s="4"/>
      <c r="E9" s="4"/>
      <c r="F9" s="4"/>
      <c r="G9" s="227"/>
      <c r="H9" s="9"/>
      <c r="I9" s="5"/>
      <c r="J9" s="5"/>
      <c r="K9" s="5"/>
      <c r="L9" s="26"/>
      <c r="M9" s="5"/>
      <c r="N9" s="5"/>
      <c r="O9" s="5"/>
      <c r="P9" s="5"/>
    </row>
    <row r="10" spans="1:21">
      <c r="A10" s="1373" t="s">
        <v>17</v>
      </c>
      <c r="B10" s="1374"/>
      <c r="C10" s="1374"/>
      <c r="D10" s="220" t="s">
        <v>18</v>
      </c>
      <c r="E10" s="220" t="s">
        <v>19</v>
      </c>
      <c r="F10" s="220" t="s">
        <v>20</v>
      </c>
      <c r="G10" s="228" t="s">
        <v>21</v>
      </c>
      <c r="H10" s="27"/>
      <c r="I10" s="28"/>
      <c r="J10" s="29"/>
      <c r="K10" s="30"/>
      <c r="L10" s="30"/>
      <c r="M10" s="30"/>
      <c r="N10" s="30"/>
      <c r="O10" s="30"/>
      <c r="P10" s="5"/>
    </row>
    <row r="11" spans="1:21">
      <c r="A11" s="1352" t="s">
        <v>47</v>
      </c>
      <c r="B11" s="1353"/>
      <c r="C11" s="1353"/>
      <c r="D11" s="220"/>
      <c r="E11" s="83"/>
      <c r="F11" s="97"/>
      <c r="G11" s="229">
        <f>+G39*10%+150</f>
        <v>528</v>
      </c>
      <c r="H11" s="9"/>
      <c r="I11" s="30"/>
      <c r="J11" s="31"/>
      <c r="K11" s="30"/>
      <c r="L11" s="30"/>
      <c r="M11" s="30"/>
      <c r="N11" s="30"/>
      <c r="O11" s="30"/>
      <c r="P11" s="5"/>
    </row>
    <row r="12" spans="1:21">
      <c r="A12" s="1371"/>
      <c r="B12" s="1372"/>
      <c r="C12" s="1372"/>
      <c r="D12" s="83"/>
      <c r="E12" s="83"/>
      <c r="F12" s="93"/>
      <c r="G12" s="229"/>
      <c r="H12" s="9"/>
      <c r="I12" s="16"/>
      <c r="J12" s="13"/>
      <c r="K12" s="8"/>
      <c r="L12" s="8"/>
      <c r="M12" s="8"/>
      <c r="N12" s="8"/>
      <c r="O12" s="8"/>
      <c r="P12" s="5"/>
    </row>
    <row r="13" spans="1:21">
      <c r="A13" s="1371"/>
      <c r="B13" s="1372"/>
      <c r="C13" s="1372"/>
      <c r="D13" s="83"/>
      <c r="E13" s="83"/>
      <c r="F13" s="93"/>
      <c r="G13" s="229"/>
      <c r="H13" s="9"/>
      <c r="I13" s="13"/>
      <c r="J13" s="13"/>
      <c r="K13" s="13"/>
      <c r="L13" s="13"/>
      <c r="M13" s="13"/>
      <c r="N13" s="13"/>
      <c r="O13" s="13"/>
      <c r="P13" s="5"/>
    </row>
    <row r="14" spans="1:21">
      <c r="A14" s="1371"/>
      <c r="B14" s="1372"/>
      <c r="C14" s="1372"/>
      <c r="D14" s="83"/>
      <c r="E14" s="83"/>
      <c r="F14" s="93"/>
      <c r="G14" s="229"/>
      <c r="H14" s="9"/>
      <c r="I14" s="8"/>
      <c r="J14" s="14"/>
      <c r="K14" s="32"/>
      <c r="L14" s="14"/>
      <c r="M14" s="15"/>
      <c r="N14" s="15"/>
      <c r="O14" s="19"/>
      <c r="P14" s="5"/>
    </row>
    <row r="15" spans="1:21">
      <c r="A15" s="1371"/>
      <c r="B15" s="1372"/>
      <c r="C15" s="1372"/>
      <c r="D15" s="83"/>
      <c r="E15" s="83"/>
      <c r="F15" s="98"/>
      <c r="G15" s="229"/>
      <c r="H15" s="9"/>
      <c r="I15" s="8"/>
      <c r="J15" s="33"/>
      <c r="K15" s="32"/>
      <c r="L15" s="14"/>
      <c r="M15" s="15"/>
      <c r="N15" s="15"/>
      <c r="O15" s="19"/>
      <c r="P15" s="5"/>
      <c r="Q15" s="5"/>
      <c r="R15" s="5"/>
      <c r="S15" s="5"/>
      <c r="T15" s="5"/>
      <c r="U15" s="5"/>
    </row>
    <row r="16" spans="1:21">
      <c r="A16" s="1371"/>
      <c r="B16" s="1372"/>
      <c r="C16" s="1372"/>
      <c r="D16" s="85" t="s">
        <v>37</v>
      </c>
      <c r="E16" s="50"/>
      <c r="F16" s="49"/>
      <c r="G16" s="230">
        <f>SUM(G11:G15)</f>
        <v>528</v>
      </c>
      <c r="H16" s="9"/>
      <c r="I16" s="34"/>
      <c r="J16" s="34"/>
      <c r="K16" s="35"/>
      <c r="L16" s="36"/>
      <c r="M16" s="7"/>
      <c r="N16" s="7"/>
      <c r="O16" s="19"/>
      <c r="P16" s="5"/>
      <c r="Q16" s="5"/>
      <c r="R16" s="5"/>
      <c r="S16" s="5"/>
      <c r="T16" s="5"/>
      <c r="U16" s="5"/>
    </row>
    <row r="17" spans="1:21" ht="4.5" customHeight="1">
      <c r="A17" s="226"/>
      <c r="B17" s="4"/>
      <c r="C17" s="6"/>
      <c r="D17" s="4"/>
      <c r="E17" s="4"/>
      <c r="F17" s="4"/>
      <c r="G17" s="227"/>
      <c r="H17" s="9"/>
      <c r="I17" s="34"/>
      <c r="J17" s="34"/>
      <c r="K17" s="35"/>
      <c r="L17" s="36"/>
      <c r="M17" s="7"/>
      <c r="N17" s="7"/>
      <c r="O17" s="19"/>
      <c r="P17" s="5"/>
      <c r="Q17" s="5"/>
      <c r="R17" s="5"/>
      <c r="S17" s="5"/>
      <c r="T17" s="5"/>
      <c r="U17" s="5"/>
    </row>
    <row r="18" spans="1:21" ht="22.5" customHeight="1">
      <c r="A18" s="1354" t="s">
        <v>70</v>
      </c>
      <c r="B18" s="1355"/>
      <c r="C18" s="1355"/>
      <c r="D18" s="1355"/>
      <c r="E18" s="1355"/>
      <c r="F18" s="1355"/>
      <c r="G18" s="1356"/>
      <c r="H18" s="9"/>
    </row>
    <row r="19" spans="1:21" ht="4.5" customHeight="1">
      <c r="A19" s="226"/>
      <c r="B19" s="4"/>
      <c r="C19" s="6"/>
      <c r="D19" s="4"/>
      <c r="E19" s="4"/>
      <c r="F19" s="38"/>
      <c r="G19" s="227"/>
      <c r="H19" s="9"/>
      <c r="I19" s="34"/>
      <c r="J19" s="34"/>
      <c r="K19" s="35"/>
      <c r="L19" s="39"/>
      <c r="M19" s="7"/>
      <c r="N19" s="7"/>
      <c r="O19" s="8"/>
      <c r="P19" s="5"/>
      <c r="Q19" s="5"/>
      <c r="R19" s="5"/>
      <c r="S19" s="5"/>
      <c r="T19" s="5"/>
      <c r="U19" s="5"/>
    </row>
    <row r="20" spans="1:21">
      <c r="A20" s="1373" t="s">
        <v>17</v>
      </c>
      <c r="B20" s="1374"/>
      <c r="C20" s="1374"/>
      <c r="D20" s="220" t="s">
        <v>3</v>
      </c>
      <c r="E20" s="220" t="s">
        <v>4</v>
      </c>
      <c r="F20" s="220" t="s">
        <v>25</v>
      </c>
      <c r="G20" s="228" t="s">
        <v>21</v>
      </c>
      <c r="H20" s="27"/>
      <c r="I20" s="34"/>
      <c r="J20" s="34"/>
      <c r="K20" s="35"/>
      <c r="L20" s="39"/>
      <c r="M20" s="7"/>
      <c r="N20" s="7"/>
      <c r="O20" s="8"/>
      <c r="P20" s="5"/>
      <c r="Q20" s="5"/>
      <c r="R20" s="5"/>
      <c r="S20" s="5"/>
      <c r="T20" s="5"/>
      <c r="U20" s="5"/>
    </row>
    <row r="21" spans="1:21">
      <c r="A21" s="1382" t="s">
        <v>58</v>
      </c>
      <c r="B21" s="1383"/>
      <c r="C21" s="1383"/>
      <c r="D21" s="79" t="s">
        <v>49</v>
      </c>
      <c r="E21" s="82">
        <f>1/20</f>
        <v>0.05</v>
      </c>
      <c r="F21" s="87">
        <v>90000</v>
      </c>
      <c r="G21" s="231">
        <f>ROUND(F21*E21,0)</f>
        <v>4500</v>
      </c>
      <c r="H21" s="9"/>
      <c r="I21" s="34"/>
      <c r="J21" s="34"/>
      <c r="K21" s="35"/>
      <c r="L21" s="39"/>
      <c r="M21" s="7"/>
      <c r="N21" s="7"/>
      <c r="O21" s="13"/>
      <c r="P21" s="5"/>
      <c r="Q21" s="5"/>
      <c r="R21" s="5"/>
      <c r="S21" s="5"/>
      <c r="T21" s="5"/>
      <c r="U21" s="5"/>
    </row>
    <row r="22" spans="1:21">
      <c r="A22" s="1382" t="s">
        <v>56</v>
      </c>
      <c r="B22" s="1383"/>
      <c r="C22" s="1383"/>
      <c r="D22" s="79" t="s">
        <v>49</v>
      </c>
      <c r="E22" s="88">
        <f>1/40</f>
        <v>2.5000000000000001E-2</v>
      </c>
      <c r="F22" s="78">
        <v>20000</v>
      </c>
      <c r="G22" s="231">
        <f>ROUND(F22*E22,0)</f>
        <v>500</v>
      </c>
      <c r="H22" s="9"/>
      <c r="I22" s="10"/>
      <c r="J22" s="10"/>
      <c r="K22" s="12"/>
      <c r="L22" s="39"/>
      <c r="M22" s="7"/>
      <c r="N22" s="7"/>
      <c r="O22" s="15"/>
      <c r="P22" s="5"/>
      <c r="Q22" s="5"/>
      <c r="R22" s="5"/>
      <c r="S22" s="5"/>
      <c r="T22" s="5"/>
      <c r="U22" s="5"/>
    </row>
    <row r="23" spans="1:21">
      <c r="A23" s="1352" t="s">
        <v>60</v>
      </c>
      <c r="B23" s="1353"/>
      <c r="C23" s="1353"/>
      <c r="D23" s="73" t="s">
        <v>59</v>
      </c>
      <c r="E23" s="88">
        <f>1/2/10</f>
        <v>0.05</v>
      </c>
      <c r="F23" s="78">
        <v>35500</v>
      </c>
      <c r="G23" s="231">
        <f>ROUND(F23*E23,0)</f>
        <v>1775</v>
      </c>
      <c r="H23" s="9"/>
      <c r="I23" s="10"/>
      <c r="J23" s="10"/>
      <c r="K23" s="12"/>
      <c r="L23" s="39"/>
      <c r="M23" s="7"/>
      <c r="N23" s="7"/>
      <c r="O23" s="15"/>
      <c r="P23" s="5"/>
      <c r="Q23" s="5"/>
      <c r="R23" s="5"/>
      <c r="S23" s="5"/>
      <c r="T23" s="5"/>
      <c r="U23" s="5"/>
    </row>
    <row r="24" spans="1:21">
      <c r="A24" s="1352"/>
      <c r="B24" s="1353"/>
      <c r="C24" s="1353"/>
      <c r="D24" s="81"/>
      <c r="E24" s="88"/>
      <c r="F24" s="78"/>
      <c r="G24" s="231"/>
      <c r="H24" s="9"/>
      <c r="I24" s="10"/>
      <c r="J24" s="40"/>
      <c r="K24" s="12"/>
      <c r="L24" s="13"/>
      <c r="M24" s="14"/>
      <c r="N24" s="14"/>
      <c r="O24" s="15"/>
      <c r="P24" s="5"/>
      <c r="Q24" s="5"/>
      <c r="R24" s="5"/>
      <c r="S24" s="5"/>
      <c r="T24" s="5"/>
      <c r="U24" s="5"/>
    </row>
    <row r="25" spans="1:21">
      <c r="A25" s="1352"/>
      <c r="B25" s="1353"/>
      <c r="C25" s="1353"/>
      <c r="D25" s="81"/>
      <c r="E25" s="82"/>
      <c r="F25" s="78"/>
      <c r="G25" s="231"/>
      <c r="H25" s="9"/>
      <c r="I25" s="10"/>
      <c r="J25" s="11"/>
      <c r="K25" s="12"/>
      <c r="L25" s="13"/>
      <c r="M25" s="14"/>
      <c r="N25" s="14"/>
      <c r="O25" s="15"/>
      <c r="P25" s="5"/>
      <c r="Q25" s="5"/>
      <c r="R25" s="5"/>
      <c r="S25" s="5"/>
      <c r="T25" s="5"/>
      <c r="U25" s="5"/>
    </row>
    <row r="26" spans="1:21">
      <c r="A26" s="1352"/>
      <c r="B26" s="1353"/>
      <c r="C26" s="1353"/>
      <c r="D26" s="79"/>
      <c r="E26" s="82"/>
      <c r="F26" s="78"/>
      <c r="G26" s="231"/>
      <c r="H26" s="9"/>
      <c r="I26" s="10"/>
      <c r="J26" s="11"/>
      <c r="K26" s="12"/>
      <c r="L26" s="13"/>
      <c r="M26" s="14"/>
      <c r="N26" s="14"/>
      <c r="O26" s="15"/>
      <c r="P26" s="5"/>
      <c r="Q26" s="5"/>
      <c r="R26" s="5"/>
      <c r="S26" s="5"/>
      <c r="T26" s="5"/>
      <c r="U26" s="5"/>
    </row>
    <row r="27" spans="1:21">
      <c r="A27" s="1352"/>
      <c r="B27" s="1353"/>
      <c r="C27" s="1353"/>
      <c r="D27" s="79"/>
      <c r="E27" s="82"/>
      <c r="F27" s="78"/>
      <c r="G27" s="231"/>
      <c r="H27" s="9"/>
      <c r="I27" s="10"/>
      <c r="J27" s="11"/>
      <c r="K27" s="12"/>
      <c r="L27" s="13"/>
      <c r="M27" s="14"/>
      <c r="N27" s="14"/>
      <c r="O27" s="15"/>
      <c r="P27" s="5"/>
      <c r="Q27" s="5"/>
      <c r="R27" s="5"/>
      <c r="S27" s="5"/>
      <c r="T27" s="5"/>
      <c r="U27" s="5"/>
    </row>
    <row r="28" spans="1:21">
      <c r="A28" s="1352"/>
      <c r="B28" s="1353"/>
      <c r="C28" s="1353"/>
      <c r="D28" s="79"/>
      <c r="E28" s="82"/>
      <c r="F28" s="83"/>
      <c r="G28" s="231"/>
      <c r="H28" s="9"/>
      <c r="I28" s="41"/>
      <c r="J28" s="41"/>
      <c r="K28" s="12"/>
      <c r="L28" s="13"/>
      <c r="M28" s="14"/>
      <c r="N28" s="14"/>
      <c r="O28" s="15"/>
      <c r="P28" s="5"/>
      <c r="Q28" s="5"/>
      <c r="R28" s="5"/>
      <c r="S28" s="5"/>
      <c r="T28" s="5"/>
      <c r="U28" s="5"/>
    </row>
    <row r="29" spans="1:21">
      <c r="A29" s="1352"/>
      <c r="B29" s="1353"/>
      <c r="C29" s="1353"/>
      <c r="D29" s="84"/>
      <c r="E29" s="84"/>
      <c r="F29" s="83"/>
      <c r="G29" s="231"/>
      <c r="H29" s="9"/>
      <c r="I29" s="42"/>
      <c r="J29" s="42"/>
      <c r="K29" s="42"/>
      <c r="L29" s="13"/>
      <c r="M29" s="14"/>
      <c r="N29" s="14"/>
      <c r="O29" s="15"/>
      <c r="P29" s="5"/>
      <c r="Q29" s="5"/>
      <c r="R29" s="5"/>
      <c r="S29" s="5"/>
      <c r="T29" s="5"/>
      <c r="U29" s="5"/>
    </row>
    <row r="30" spans="1:21">
      <c r="A30" s="1352"/>
      <c r="B30" s="1353"/>
      <c r="C30" s="1353"/>
      <c r="D30" s="85" t="s">
        <v>28</v>
      </c>
      <c r="E30" s="50"/>
      <c r="F30" s="49"/>
      <c r="G30" s="230">
        <f>SUM(G21:G29)</f>
        <v>6775</v>
      </c>
      <c r="H30" s="9"/>
      <c r="I30" s="8"/>
      <c r="J30" s="13"/>
      <c r="K30" s="8"/>
      <c r="L30" s="13"/>
      <c r="M30" s="14"/>
      <c r="N30" s="14"/>
      <c r="O30" s="15"/>
      <c r="P30" s="5"/>
    </row>
    <row r="31" spans="1:21" ht="3.75" customHeight="1">
      <c r="A31" s="226"/>
      <c r="B31" s="4"/>
      <c r="C31" s="6"/>
      <c r="D31" s="4"/>
      <c r="E31" s="4"/>
      <c r="F31" s="4"/>
      <c r="G31" s="227"/>
      <c r="H31" s="9"/>
      <c r="I31" s="8"/>
      <c r="J31" s="13"/>
      <c r="K31" s="18"/>
      <c r="L31" s="13"/>
      <c r="M31" s="33"/>
      <c r="N31" s="33"/>
      <c r="O31" s="15"/>
      <c r="P31" s="5"/>
    </row>
    <row r="32" spans="1:21" ht="22.5" customHeight="1">
      <c r="A32" s="1354" t="s">
        <v>71</v>
      </c>
      <c r="B32" s="1355"/>
      <c r="C32" s="1355"/>
      <c r="D32" s="1355"/>
      <c r="E32" s="1355"/>
      <c r="F32" s="1355"/>
      <c r="G32" s="1356"/>
      <c r="H32" s="9"/>
    </row>
    <row r="33" spans="1:16" ht="3.75" customHeight="1">
      <c r="A33" s="226"/>
      <c r="B33" s="4"/>
      <c r="C33" s="6"/>
      <c r="D33" s="4"/>
      <c r="E33" s="4"/>
      <c r="F33" s="4"/>
      <c r="G33" s="227"/>
      <c r="H33" s="9"/>
      <c r="I33" s="8"/>
      <c r="J33" s="13"/>
      <c r="K33" s="8"/>
      <c r="L33" s="8"/>
      <c r="M33" s="8"/>
      <c r="N33" s="8"/>
      <c r="O33" s="15"/>
      <c r="P33" s="5"/>
    </row>
    <row r="34" spans="1:16">
      <c r="A34" s="232" t="s">
        <v>5</v>
      </c>
      <c r="B34" s="60" t="s">
        <v>29</v>
      </c>
      <c r="C34" s="60" t="s">
        <v>30</v>
      </c>
      <c r="D34" s="60" t="s">
        <v>31</v>
      </c>
      <c r="E34" s="60" t="s">
        <v>32</v>
      </c>
      <c r="F34" s="60" t="s">
        <v>20</v>
      </c>
      <c r="G34" s="228" t="s">
        <v>33</v>
      </c>
      <c r="H34" s="27"/>
      <c r="I34" s="8"/>
      <c r="J34" s="13"/>
      <c r="K34" s="8"/>
      <c r="L34" s="8"/>
      <c r="M34" s="8"/>
      <c r="N34" s="8"/>
      <c r="O34" s="15"/>
      <c r="P34" s="5"/>
    </row>
    <row r="35" spans="1:16">
      <c r="A35" s="233" t="s">
        <v>41</v>
      </c>
      <c r="B35" s="63">
        <f>BOF</f>
        <v>51749</v>
      </c>
      <c r="C35" s="68">
        <f>ffpp</f>
        <v>0.64539999999999997</v>
      </c>
      <c r="D35" s="72">
        <v>0.5</v>
      </c>
      <c r="E35" s="66">
        <f>OF</f>
        <v>88696</v>
      </c>
      <c r="F35" s="65">
        <v>50</v>
      </c>
      <c r="G35" s="231">
        <f>ROUND(+D35*E35/F35,0)</f>
        <v>887</v>
      </c>
      <c r="H35" s="9"/>
      <c r="I35" s="16"/>
      <c r="J35" s="13"/>
      <c r="K35" s="8"/>
      <c r="L35" s="8"/>
      <c r="M35" s="8"/>
      <c r="N35" s="8"/>
      <c r="O35" s="15"/>
      <c r="P35" s="5"/>
    </row>
    <row r="36" spans="1:16">
      <c r="A36" s="233" t="s">
        <v>38</v>
      </c>
      <c r="B36" s="63">
        <f>BOB</f>
        <v>41749</v>
      </c>
      <c r="C36" s="68">
        <f>ffpp</f>
        <v>0.64539999999999997</v>
      </c>
      <c r="D36" s="72">
        <v>2</v>
      </c>
      <c r="E36" s="66">
        <f>OB</f>
        <v>72242</v>
      </c>
      <c r="F36" s="65">
        <f>+F35</f>
        <v>50</v>
      </c>
      <c r="G36" s="231">
        <f>ROUND(+D36*E36/F36,0)</f>
        <v>2890</v>
      </c>
      <c r="H36" s="9"/>
      <c r="I36" s="8"/>
      <c r="J36" s="8"/>
      <c r="K36" s="13"/>
      <c r="L36" s="13"/>
      <c r="M36" s="13"/>
      <c r="N36" s="13"/>
      <c r="O36" s="13"/>
      <c r="P36" s="5"/>
    </row>
    <row r="37" spans="1:16">
      <c r="A37" s="234"/>
      <c r="B37" s="50"/>
      <c r="C37" s="961"/>
      <c r="D37" s="50"/>
      <c r="E37" s="50"/>
      <c r="F37" s="50"/>
      <c r="G37" s="235"/>
      <c r="H37" s="9"/>
      <c r="I37" s="8"/>
      <c r="J37" s="13"/>
      <c r="K37" s="13"/>
      <c r="L37" s="13"/>
      <c r="M37" s="33"/>
      <c r="N37" s="33"/>
      <c r="O37" s="43"/>
      <c r="P37" s="5"/>
    </row>
    <row r="38" spans="1:16">
      <c r="A38" s="233"/>
      <c r="B38" s="65"/>
      <c r="C38" s="68"/>
      <c r="D38" s="65"/>
      <c r="E38" s="69"/>
      <c r="F38" s="69"/>
      <c r="G38" s="236"/>
      <c r="H38" s="9"/>
      <c r="I38" s="8"/>
      <c r="J38" s="13"/>
      <c r="K38" s="13"/>
      <c r="L38" s="13"/>
      <c r="M38" s="33"/>
      <c r="N38" s="33"/>
      <c r="O38" s="43"/>
      <c r="P38" s="5"/>
    </row>
    <row r="39" spans="1:16">
      <c r="A39" s="249"/>
      <c r="B39" s="71"/>
      <c r="C39" s="71"/>
      <c r="D39" s="71" t="s">
        <v>34</v>
      </c>
      <c r="E39" s="71"/>
      <c r="F39" s="71"/>
      <c r="G39" s="250">
        <f>SUM(G35:G38)</f>
        <v>3777</v>
      </c>
      <c r="H39" s="9"/>
      <c r="I39" s="8"/>
      <c r="J39" s="13"/>
      <c r="K39" s="13"/>
      <c r="L39" s="13"/>
      <c r="M39" s="14"/>
      <c r="N39" s="14"/>
      <c r="O39" s="15"/>
      <c r="P39" s="5"/>
    </row>
    <row r="40" spans="1:16">
      <c r="A40" s="226"/>
      <c r="B40" s="4"/>
      <c r="C40" s="6"/>
      <c r="D40" s="4"/>
      <c r="E40" s="4"/>
      <c r="F40" s="4"/>
      <c r="G40" s="227"/>
      <c r="H40" s="9"/>
      <c r="I40" s="8"/>
      <c r="J40" s="13"/>
      <c r="K40" s="13"/>
      <c r="L40" s="13"/>
      <c r="M40" s="14"/>
      <c r="N40" s="14"/>
      <c r="O40" s="19"/>
      <c r="P40" s="5"/>
    </row>
    <row r="41" spans="1:16">
      <c r="A41" s="226"/>
      <c r="B41" s="4"/>
      <c r="C41" s="6"/>
      <c r="D41" s="4"/>
      <c r="E41" s="4"/>
      <c r="F41" s="4"/>
      <c r="G41" s="227"/>
      <c r="H41" s="9"/>
      <c r="I41" s="8"/>
      <c r="J41" s="13"/>
      <c r="K41" s="13"/>
      <c r="L41" s="13"/>
      <c r="M41" s="17"/>
      <c r="N41" s="17"/>
      <c r="O41" s="37"/>
      <c r="P41" s="5"/>
    </row>
    <row r="42" spans="1:16" ht="14.25">
      <c r="A42" s="226"/>
      <c r="B42" s="4"/>
      <c r="C42" s="6"/>
      <c r="D42" s="1357" t="s">
        <v>35</v>
      </c>
      <c r="E42" s="1358"/>
      <c r="F42" s="1359"/>
      <c r="G42" s="239">
        <f>+G39+G30+G16</f>
        <v>11080</v>
      </c>
      <c r="H42" s="9"/>
      <c r="I42" s="48"/>
      <c r="J42" s="20"/>
      <c r="K42" s="8"/>
      <c r="L42" s="8"/>
      <c r="M42" s="8"/>
      <c r="N42" s="8"/>
      <c r="O42" s="8"/>
      <c r="P42" s="5"/>
    </row>
    <row r="43" spans="1:16" ht="14.25">
      <c r="A43" s="240"/>
      <c r="B43" s="57"/>
      <c r="C43" s="58"/>
      <c r="D43" s="99"/>
      <c r="E43" s="99"/>
      <c r="F43" s="99"/>
      <c r="G43" s="251"/>
      <c r="H43" s="9"/>
      <c r="I43" s="48"/>
      <c r="J43" s="20"/>
      <c r="K43" s="8"/>
      <c r="L43" s="8"/>
      <c r="M43" s="8"/>
      <c r="N43" s="8"/>
      <c r="O43" s="8"/>
      <c r="P43" s="5"/>
    </row>
    <row r="44" spans="1:16" ht="14.25">
      <c r="A44" s="374"/>
      <c r="B44" s="375"/>
      <c r="C44" s="375"/>
      <c r="D44" s="99"/>
      <c r="E44" s="99"/>
      <c r="F44" s="99"/>
      <c r="G44" s="251"/>
      <c r="H44" s="9"/>
      <c r="I44" s="48"/>
      <c r="J44" s="20"/>
      <c r="K44" s="8"/>
      <c r="L44" s="8"/>
      <c r="M44" s="8"/>
      <c r="N44" s="8"/>
      <c r="O44" s="8"/>
      <c r="P44" s="5"/>
    </row>
    <row r="45" spans="1:16" ht="14.25">
      <c r="A45" s="373"/>
      <c r="B45" s="376"/>
      <c r="C45" s="376"/>
      <c r="D45" s="99"/>
      <c r="E45" s="99"/>
      <c r="F45" s="99"/>
      <c r="G45" s="251"/>
      <c r="H45" s="9"/>
      <c r="I45" s="48"/>
      <c r="J45" s="20"/>
      <c r="K45" s="8"/>
      <c r="L45" s="8"/>
      <c r="M45" s="8"/>
      <c r="N45" s="8"/>
      <c r="O45" s="8"/>
      <c r="P45" s="5"/>
    </row>
    <row r="46" spans="1:16" ht="14.25">
      <c r="A46" s="373"/>
      <c r="B46" s="376"/>
      <c r="C46" s="376"/>
      <c r="D46" s="44"/>
      <c r="E46" s="45"/>
      <c r="F46" s="45"/>
      <c r="G46" s="251"/>
      <c r="H46" s="9"/>
      <c r="I46" s="8"/>
      <c r="J46" s="13"/>
      <c r="K46" s="8"/>
      <c r="L46" s="8"/>
      <c r="M46" s="8"/>
      <c r="N46" s="8"/>
      <c r="O46" s="8"/>
      <c r="P46" s="5"/>
    </row>
    <row r="47" spans="1:16" ht="15" thickBot="1">
      <c r="A47" s="242"/>
      <c r="B47" s="243"/>
      <c r="C47" s="244"/>
      <c r="D47" s="245"/>
      <c r="E47" s="246"/>
      <c r="F47" s="246"/>
      <c r="G47" s="247"/>
      <c r="H47" s="9"/>
      <c r="I47" s="8"/>
      <c r="J47" s="13"/>
      <c r="K47" s="8"/>
      <c r="L47" s="8"/>
      <c r="M47" s="8"/>
      <c r="N47" s="8"/>
      <c r="O47" s="8"/>
      <c r="P47" s="5"/>
    </row>
    <row r="48" spans="1:16">
      <c r="I48" s="5"/>
      <c r="J48" s="5"/>
      <c r="K48" s="5"/>
      <c r="L48" s="5"/>
      <c r="M48" s="5"/>
      <c r="N48" s="5"/>
      <c r="O48" s="5"/>
      <c r="P48" s="5"/>
    </row>
    <row r="49" spans="9:16">
      <c r="I49" s="5"/>
      <c r="J49" s="5"/>
      <c r="K49" s="5"/>
      <c r="L49" s="5"/>
      <c r="M49" s="5"/>
      <c r="N49" s="5"/>
      <c r="O49" s="5"/>
      <c r="P49" s="5"/>
    </row>
  </sheetData>
  <mergeCells count="26">
    <mergeCell ref="A10:C10"/>
    <mergeCell ref="A2:G2"/>
    <mergeCell ref="A3:G4"/>
    <mergeCell ref="B6:E6"/>
    <mergeCell ref="A8:G8"/>
    <mergeCell ref="A18:G18"/>
    <mergeCell ref="A20:C20"/>
    <mergeCell ref="A21:C21"/>
    <mergeCell ref="A22:C22"/>
    <mergeCell ref="A23:C23"/>
    <mergeCell ref="A1:G1"/>
    <mergeCell ref="A32:G32"/>
    <mergeCell ref="D42:F42"/>
    <mergeCell ref="A25:C25"/>
    <mergeCell ref="A26:C26"/>
    <mergeCell ref="A27:C27"/>
    <mergeCell ref="A28:C28"/>
    <mergeCell ref="A29:C29"/>
    <mergeCell ref="A30:C30"/>
    <mergeCell ref="A24:C24"/>
    <mergeCell ref="A11:C11"/>
    <mergeCell ref="A12:C12"/>
    <mergeCell ref="A13:C13"/>
    <mergeCell ref="A14:C14"/>
    <mergeCell ref="A15:C15"/>
    <mergeCell ref="A16:C16"/>
  </mergeCells>
  <printOptions horizontalCentered="1" verticalCentered="1"/>
  <pageMargins left="0.74803149606299213" right="0.74803149606299213" top="0" bottom="0.98425196850393704" header="0" footer="0"/>
  <pageSetup scale="90" orientation="portrait" r:id="rId1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2"/>
  <dimension ref="A1:U49"/>
  <sheetViews>
    <sheetView view="pageBreakPreview" topLeftCell="A4" zoomScaleNormal="100" zoomScaleSheetLayoutView="100" workbookViewId="0">
      <selection activeCell="I7" sqref="I7"/>
    </sheetView>
  </sheetViews>
  <sheetFormatPr baseColWidth="10" defaultColWidth="10.7109375" defaultRowHeight="12.75"/>
  <cols>
    <col min="1" max="1" width="15.85546875" style="3" customWidth="1"/>
    <col min="2" max="2" width="14.85546875" style="3" customWidth="1"/>
    <col min="3" max="3" width="13.28515625" style="3" customWidth="1"/>
    <col min="4" max="4" width="11.42578125" style="3"/>
    <col min="5" max="5" width="13.42578125" style="3" customWidth="1"/>
    <col min="6" max="6" width="12.7109375" style="3" customWidth="1"/>
    <col min="7" max="7" width="14" style="3" customWidth="1"/>
    <col min="8" max="8" width="7.42578125" style="3" customWidth="1"/>
    <col min="9" max="256" width="11.42578125" style="3"/>
    <col min="257" max="257" width="15.85546875" style="3" customWidth="1"/>
    <col min="258" max="258" width="14.85546875" style="3" customWidth="1"/>
    <col min="259" max="259" width="13.28515625" style="3" customWidth="1"/>
    <col min="260" max="260" width="11.42578125" style="3"/>
    <col min="261" max="261" width="13.42578125" style="3" customWidth="1"/>
    <col min="262" max="262" width="12.7109375" style="3" customWidth="1"/>
    <col min="263" max="263" width="14" style="3" customWidth="1"/>
    <col min="264" max="264" width="7.42578125" style="3" customWidth="1"/>
    <col min="265" max="512" width="11.42578125" style="3"/>
    <col min="513" max="513" width="15.85546875" style="3" customWidth="1"/>
    <col min="514" max="514" width="14.85546875" style="3" customWidth="1"/>
    <col min="515" max="515" width="13.28515625" style="3" customWidth="1"/>
    <col min="516" max="516" width="11.42578125" style="3"/>
    <col min="517" max="517" width="13.42578125" style="3" customWidth="1"/>
    <col min="518" max="518" width="12.7109375" style="3" customWidth="1"/>
    <col min="519" max="519" width="14" style="3" customWidth="1"/>
    <col min="520" max="520" width="7.42578125" style="3" customWidth="1"/>
    <col min="521" max="768" width="11.42578125" style="3"/>
    <col min="769" max="769" width="15.85546875" style="3" customWidth="1"/>
    <col min="770" max="770" width="14.85546875" style="3" customWidth="1"/>
    <col min="771" max="771" width="13.28515625" style="3" customWidth="1"/>
    <col min="772" max="772" width="11.42578125" style="3"/>
    <col min="773" max="773" width="13.42578125" style="3" customWidth="1"/>
    <col min="774" max="774" width="12.7109375" style="3" customWidth="1"/>
    <col min="775" max="775" width="14" style="3" customWidth="1"/>
    <col min="776" max="776" width="7.42578125" style="3" customWidth="1"/>
    <col min="777" max="1024" width="11.42578125" style="3"/>
    <col min="1025" max="1025" width="15.85546875" style="3" customWidth="1"/>
    <col min="1026" max="1026" width="14.85546875" style="3" customWidth="1"/>
    <col min="1027" max="1027" width="13.28515625" style="3" customWidth="1"/>
    <col min="1028" max="1028" width="11.42578125" style="3"/>
    <col min="1029" max="1029" width="13.42578125" style="3" customWidth="1"/>
    <col min="1030" max="1030" width="12.7109375" style="3" customWidth="1"/>
    <col min="1031" max="1031" width="14" style="3" customWidth="1"/>
    <col min="1032" max="1032" width="7.42578125" style="3" customWidth="1"/>
    <col min="1033" max="1280" width="11.42578125" style="3"/>
    <col min="1281" max="1281" width="15.85546875" style="3" customWidth="1"/>
    <col min="1282" max="1282" width="14.85546875" style="3" customWidth="1"/>
    <col min="1283" max="1283" width="13.28515625" style="3" customWidth="1"/>
    <col min="1284" max="1284" width="11.42578125" style="3"/>
    <col min="1285" max="1285" width="13.42578125" style="3" customWidth="1"/>
    <col min="1286" max="1286" width="12.7109375" style="3" customWidth="1"/>
    <col min="1287" max="1287" width="14" style="3" customWidth="1"/>
    <col min="1288" max="1288" width="7.42578125" style="3" customWidth="1"/>
    <col min="1289" max="1536" width="11.42578125" style="3"/>
    <col min="1537" max="1537" width="15.85546875" style="3" customWidth="1"/>
    <col min="1538" max="1538" width="14.85546875" style="3" customWidth="1"/>
    <col min="1539" max="1539" width="13.28515625" style="3" customWidth="1"/>
    <col min="1540" max="1540" width="11.42578125" style="3"/>
    <col min="1541" max="1541" width="13.42578125" style="3" customWidth="1"/>
    <col min="1542" max="1542" width="12.7109375" style="3" customWidth="1"/>
    <col min="1543" max="1543" width="14" style="3" customWidth="1"/>
    <col min="1544" max="1544" width="7.42578125" style="3" customWidth="1"/>
    <col min="1545" max="1792" width="11.42578125" style="3"/>
    <col min="1793" max="1793" width="15.85546875" style="3" customWidth="1"/>
    <col min="1794" max="1794" width="14.85546875" style="3" customWidth="1"/>
    <col min="1795" max="1795" width="13.28515625" style="3" customWidth="1"/>
    <col min="1796" max="1796" width="11.42578125" style="3"/>
    <col min="1797" max="1797" width="13.42578125" style="3" customWidth="1"/>
    <col min="1798" max="1798" width="12.7109375" style="3" customWidth="1"/>
    <col min="1799" max="1799" width="14" style="3" customWidth="1"/>
    <col min="1800" max="1800" width="7.42578125" style="3" customWidth="1"/>
    <col min="1801" max="2048" width="11.42578125" style="3"/>
    <col min="2049" max="2049" width="15.85546875" style="3" customWidth="1"/>
    <col min="2050" max="2050" width="14.85546875" style="3" customWidth="1"/>
    <col min="2051" max="2051" width="13.28515625" style="3" customWidth="1"/>
    <col min="2052" max="2052" width="11.42578125" style="3"/>
    <col min="2053" max="2053" width="13.42578125" style="3" customWidth="1"/>
    <col min="2054" max="2054" width="12.7109375" style="3" customWidth="1"/>
    <col min="2055" max="2055" width="14" style="3" customWidth="1"/>
    <col min="2056" max="2056" width="7.42578125" style="3" customWidth="1"/>
    <col min="2057" max="2304" width="11.42578125" style="3"/>
    <col min="2305" max="2305" width="15.85546875" style="3" customWidth="1"/>
    <col min="2306" max="2306" width="14.85546875" style="3" customWidth="1"/>
    <col min="2307" max="2307" width="13.28515625" style="3" customWidth="1"/>
    <col min="2308" max="2308" width="11.42578125" style="3"/>
    <col min="2309" max="2309" width="13.42578125" style="3" customWidth="1"/>
    <col min="2310" max="2310" width="12.7109375" style="3" customWidth="1"/>
    <col min="2311" max="2311" width="14" style="3" customWidth="1"/>
    <col min="2312" max="2312" width="7.42578125" style="3" customWidth="1"/>
    <col min="2313" max="2560" width="11.42578125" style="3"/>
    <col min="2561" max="2561" width="15.85546875" style="3" customWidth="1"/>
    <col min="2562" max="2562" width="14.85546875" style="3" customWidth="1"/>
    <col min="2563" max="2563" width="13.28515625" style="3" customWidth="1"/>
    <col min="2564" max="2564" width="11.42578125" style="3"/>
    <col min="2565" max="2565" width="13.42578125" style="3" customWidth="1"/>
    <col min="2566" max="2566" width="12.7109375" style="3" customWidth="1"/>
    <col min="2567" max="2567" width="14" style="3" customWidth="1"/>
    <col min="2568" max="2568" width="7.42578125" style="3" customWidth="1"/>
    <col min="2569" max="2816" width="11.42578125" style="3"/>
    <col min="2817" max="2817" width="15.85546875" style="3" customWidth="1"/>
    <col min="2818" max="2818" width="14.85546875" style="3" customWidth="1"/>
    <col min="2819" max="2819" width="13.28515625" style="3" customWidth="1"/>
    <col min="2820" max="2820" width="11.42578125" style="3"/>
    <col min="2821" max="2821" width="13.42578125" style="3" customWidth="1"/>
    <col min="2822" max="2822" width="12.7109375" style="3" customWidth="1"/>
    <col min="2823" max="2823" width="14" style="3" customWidth="1"/>
    <col min="2824" max="2824" width="7.42578125" style="3" customWidth="1"/>
    <col min="2825" max="3072" width="11.42578125" style="3"/>
    <col min="3073" max="3073" width="15.85546875" style="3" customWidth="1"/>
    <col min="3074" max="3074" width="14.85546875" style="3" customWidth="1"/>
    <col min="3075" max="3075" width="13.28515625" style="3" customWidth="1"/>
    <col min="3076" max="3076" width="11.42578125" style="3"/>
    <col min="3077" max="3077" width="13.42578125" style="3" customWidth="1"/>
    <col min="3078" max="3078" width="12.7109375" style="3" customWidth="1"/>
    <col min="3079" max="3079" width="14" style="3" customWidth="1"/>
    <col min="3080" max="3080" width="7.42578125" style="3" customWidth="1"/>
    <col min="3081" max="3328" width="11.42578125" style="3"/>
    <col min="3329" max="3329" width="15.85546875" style="3" customWidth="1"/>
    <col min="3330" max="3330" width="14.85546875" style="3" customWidth="1"/>
    <col min="3331" max="3331" width="13.28515625" style="3" customWidth="1"/>
    <col min="3332" max="3332" width="11.42578125" style="3"/>
    <col min="3333" max="3333" width="13.42578125" style="3" customWidth="1"/>
    <col min="3334" max="3334" width="12.7109375" style="3" customWidth="1"/>
    <col min="3335" max="3335" width="14" style="3" customWidth="1"/>
    <col min="3336" max="3336" width="7.42578125" style="3" customWidth="1"/>
    <col min="3337" max="3584" width="11.42578125" style="3"/>
    <col min="3585" max="3585" width="15.85546875" style="3" customWidth="1"/>
    <col min="3586" max="3586" width="14.85546875" style="3" customWidth="1"/>
    <col min="3587" max="3587" width="13.28515625" style="3" customWidth="1"/>
    <col min="3588" max="3588" width="11.42578125" style="3"/>
    <col min="3589" max="3589" width="13.42578125" style="3" customWidth="1"/>
    <col min="3590" max="3590" width="12.7109375" style="3" customWidth="1"/>
    <col min="3591" max="3591" width="14" style="3" customWidth="1"/>
    <col min="3592" max="3592" width="7.42578125" style="3" customWidth="1"/>
    <col min="3593" max="3840" width="11.42578125" style="3"/>
    <col min="3841" max="3841" width="15.85546875" style="3" customWidth="1"/>
    <col min="3842" max="3842" width="14.85546875" style="3" customWidth="1"/>
    <col min="3843" max="3843" width="13.28515625" style="3" customWidth="1"/>
    <col min="3844" max="3844" width="11.42578125" style="3"/>
    <col min="3845" max="3845" width="13.42578125" style="3" customWidth="1"/>
    <col min="3846" max="3846" width="12.7109375" style="3" customWidth="1"/>
    <col min="3847" max="3847" width="14" style="3" customWidth="1"/>
    <col min="3848" max="3848" width="7.42578125" style="3" customWidth="1"/>
    <col min="3849" max="4096" width="11.42578125" style="3"/>
    <col min="4097" max="4097" width="15.85546875" style="3" customWidth="1"/>
    <col min="4098" max="4098" width="14.85546875" style="3" customWidth="1"/>
    <col min="4099" max="4099" width="13.28515625" style="3" customWidth="1"/>
    <col min="4100" max="4100" width="11.42578125" style="3"/>
    <col min="4101" max="4101" width="13.42578125" style="3" customWidth="1"/>
    <col min="4102" max="4102" width="12.7109375" style="3" customWidth="1"/>
    <col min="4103" max="4103" width="14" style="3" customWidth="1"/>
    <col min="4104" max="4104" width="7.42578125" style="3" customWidth="1"/>
    <col min="4105" max="4352" width="11.42578125" style="3"/>
    <col min="4353" max="4353" width="15.85546875" style="3" customWidth="1"/>
    <col min="4354" max="4354" width="14.85546875" style="3" customWidth="1"/>
    <col min="4355" max="4355" width="13.28515625" style="3" customWidth="1"/>
    <col min="4356" max="4356" width="11.42578125" style="3"/>
    <col min="4357" max="4357" width="13.42578125" style="3" customWidth="1"/>
    <col min="4358" max="4358" width="12.7109375" style="3" customWidth="1"/>
    <col min="4359" max="4359" width="14" style="3" customWidth="1"/>
    <col min="4360" max="4360" width="7.42578125" style="3" customWidth="1"/>
    <col min="4361" max="4608" width="11.42578125" style="3"/>
    <col min="4609" max="4609" width="15.85546875" style="3" customWidth="1"/>
    <col min="4610" max="4610" width="14.85546875" style="3" customWidth="1"/>
    <col min="4611" max="4611" width="13.28515625" style="3" customWidth="1"/>
    <col min="4612" max="4612" width="11.42578125" style="3"/>
    <col min="4613" max="4613" width="13.42578125" style="3" customWidth="1"/>
    <col min="4614" max="4614" width="12.7109375" style="3" customWidth="1"/>
    <col min="4615" max="4615" width="14" style="3" customWidth="1"/>
    <col min="4616" max="4616" width="7.42578125" style="3" customWidth="1"/>
    <col min="4617" max="4864" width="11.42578125" style="3"/>
    <col min="4865" max="4865" width="15.85546875" style="3" customWidth="1"/>
    <col min="4866" max="4866" width="14.85546875" style="3" customWidth="1"/>
    <col min="4867" max="4867" width="13.28515625" style="3" customWidth="1"/>
    <col min="4868" max="4868" width="11.42578125" style="3"/>
    <col min="4869" max="4869" width="13.42578125" style="3" customWidth="1"/>
    <col min="4870" max="4870" width="12.7109375" style="3" customWidth="1"/>
    <col min="4871" max="4871" width="14" style="3" customWidth="1"/>
    <col min="4872" max="4872" width="7.42578125" style="3" customWidth="1"/>
    <col min="4873" max="5120" width="11.42578125" style="3"/>
    <col min="5121" max="5121" width="15.85546875" style="3" customWidth="1"/>
    <col min="5122" max="5122" width="14.85546875" style="3" customWidth="1"/>
    <col min="5123" max="5123" width="13.28515625" style="3" customWidth="1"/>
    <col min="5124" max="5124" width="11.42578125" style="3"/>
    <col min="5125" max="5125" width="13.42578125" style="3" customWidth="1"/>
    <col min="5126" max="5126" width="12.7109375" style="3" customWidth="1"/>
    <col min="5127" max="5127" width="14" style="3" customWidth="1"/>
    <col min="5128" max="5128" width="7.42578125" style="3" customWidth="1"/>
    <col min="5129" max="5376" width="11.42578125" style="3"/>
    <col min="5377" max="5377" width="15.85546875" style="3" customWidth="1"/>
    <col min="5378" max="5378" width="14.85546875" style="3" customWidth="1"/>
    <col min="5379" max="5379" width="13.28515625" style="3" customWidth="1"/>
    <col min="5380" max="5380" width="11.42578125" style="3"/>
    <col min="5381" max="5381" width="13.42578125" style="3" customWidth="1"/>
    <col min="5382" max="5382" width="12.7109375" style="3" customWidth="1"/>
    <col min="5383" max="5383" width="14" style="3" customWidth="1"/>
    <col min="5384" max="5384" width="7.42578125" style="3" customWidth="1"/>
    <col min="5385" max="5632" width="11.42578125" style="3"/>
    <col min="5633" max="5633" width="15.85546875" style="3" customWidth="1"/>
    <col min="5634" max="5634" width="14.85546875" style="3" customWidth="1"/>
    <col min="5635" max="5635" width="13.28515625" style="3" customWidth="1"/>
    <col min="5636" max="5636" width="11.42578125" style="3"/>
    <col min="5637" max="5637" width="13.42578125" style="3" customWidth="1"/>
    <col min="5638" max="5638" width="12.7109375" style="3" customWidth="1"/>
    <col min="5639" max="5639" width="14" style="3" customWidth="1"/>
    <col min="5640" max="5640" width="7.42578125" style="3" customWidth="1"/>
    <col min="5641" max="5888" width="11.42578125" style="3"/>
    <col min="5889" max="5889" width="15.85546875" style="3" customWidth="1"/>
    <col min="5890" max="5890" width="14.85546875" style="3" customWidth="1"/>
    <col min="5891" max="5891" width="13.28515625" style="3" customWidth="1"/>
    <col min="5892" max="5892" width="11.42578125" style="3"/>
    <col min="5893" max="5893" width="13.42578125" style="3" customWidth="1"/>
    <col min="5894" max="5894" width="12.7109375" style="3" customWidth="1"/>
    <col min="5895" max="5895" width="14" style="3" customWidth="1"/>
    <col min="5896" max="5896" width="7.42578125" style="3" customWidth="1"/>
    <col min="5897" max="6144" width="11.42578125" style="3"/>
    <col min="6145" max="6145" width="15.85546875" style="3" customWidth="1"/>
    <col min="6146" max="6146" width="14.85546875" style="3" customWidth="1"/>
    <col min="6147" max="6147" width="13.28515625" style="3" customWidth="1"/>
    <col min="6148" max="6148" width="11.42578125" style="3"/>
    <col min="6149" max="6149" width="13.42578125" style="3" customWidth="1"/>
    <col min="6150" max="6150" width="12.7109375" style="3" customWidth="1"/>
    <col min="6151" max="6151" width="14" style="3" customWidth="1"/>
    <col min="6152" max="6152" width="7.42578125" style="3" customWidth="1"/>
    <col min="6153" max="6400" width="11.42578125" style="3"/>
    <col min="6401" max="6401" width="15.85546875" style="3" customWidth="1"/>
    <col min="6402" max="6402" width="14.85546875" style="3" customWidth="1"/>
    <col min="6403" max="6403" width="13.28515625" style="3" customWidth="1"/>
    <col min="6404" max="6404" width="11.42578125" style="3"/>
    <col min="6405" max="6405" width="13.42578125" style="3" customWidth="1"/>
    <col min="6406" max="6406" width="12.7109375" style="3" customWidth="1"/>
    <col min="6407" max="6407" width="14" style="3" customWidth="1"/>
    <col min="6408" max="6408" width="7.42578125" style="3" customWidth="1"/>
    <col min="6409" max="6656" width="11.42578125" style="3"/>
    <col min="6657" max="6657" width="15.85546875" style="3" customWidth="1"/>
    <col min="6658" max="6658" width="14.85546875" style="3" customWidth="1"/>
    <col min="6659" max="6659" width="13.28515625" style="3" customWidth="1"/>
    <col min="6660" max="6660" width="11.42578125" style="3"/>
    <col min="6661" max="6661" width="13.42578125" style="3" customWidth="1"/>
    <col min="6662" max="6662" width="12.7109375" style="3" customWidth="1"/>
    <col min="6663" max="6663" width="14" style="3" customWidth="1"/>
    <col min="6664" max="6664" width="7.42578125" style="3" customWidth="1"/>
    <col min="6665" max="6912" width="11.42578125" style="3"/>
    <col min="6913" max="6913" width="15.85546875" style="3" customWidth="1"/>
    <col min="6914" max="6914" width="14.85546875" style="3" customWidth="1"/>
    <col min="6915" max="6915" width="13.28515625" style="3" customWidth="1"/>
    <col min="6916" max="6916" width="11.42578125" style="3"/>
    <col min="6917" max="6917" width="13.42578125" style="3" customWidth="1"/>
    <col min="6918" max="6918" width="12.7109375" style="3" customWidth="1"/>
    <col min="6919" max="6919" width="14" style="3" customWidth="1"/>
    <col min="6920" max="6920" width="7.42578125" style="3" customWidth="1"/>
    <col min="6921" max="7168" width="11.42578125" style="3"/>
    <col min="7169" max="7169" width="15.85546875" style="3" customWidth="1"/>
    <col min="7170" max="7170" width="14.85546875" style="3" customWidth="1"/>
    <col min="7171" max="7171" width="13.28515625" style="3" customWidth="1"/>
    <col min="7172" max="7172" width="11.42578125" style="3"/>
    <col min="7173" max="7173" width="13.42578125" style="3" customWidth="1"/>
    <col min="7174" max="7174" width="12.7109375" style="3" customWidth="1"/>
    <col min="7175" max="7175" width="14" style="3" customWidth="1"/>
    <col min="7176" max="7176" width="7.42578125" style="3" customWidth="1"/>
    <col min="7177" max="7424" width="11.42578125" style="3"/>
    <col min="7425" max="7425" width="15.85546875" style="3" customWidth="1"/>
    <col min="7426" max="7426" width="14.85546875" style="3" customWidth="1"/>
    <col min="7427" max="7427" width="13.28515625" style="3" customWidth="1"/>
    <col min="7428" max="7428" width="11.42578125" style="3"/>
    <col min="7429" max="7429" width="13.42578125" style="3" customWidth="1"/>
    <col min="7430" max="7430" width="12.7109375" style="3" customWidth="1"/>
    <col min="7431" max="7431" width="14" style="3" customWidth="1"/>
    <col min="7432" max="7432" width="7.42578125" style="3" customWidth="1"/>
    <col min="7433" max="7680" width="11.42578125" style="3"/>
    <col min="7681" max="7681" width="15.85546875" style="3" customWidth="1"/>
    <col min="7682" max="7682" width="14.85546875" style="3" customWidth="1"/>
    <col min="7683" max="7683" width="13.28515625" style="3" customWidth="1"/>
    <col min="7684" max="7684" width="11.42578125" style="3"/>
    <col min="7685" max="7685" width="13.42578125" style="3" customWidth="1"/>
    <col min="7686" max="7686" width="12.7109375" style="3" customWidth="1"/>
    <col min="7687" max="7687" width="14" style="3" customWidth="1"/>
    <col min="7688" max="7688" width="7.42578125" style="3" customWidth="1"/>
    <col min="7689" max="7936" width="11.42578125" style="3"/>
    <col min="7937" max="7937" width="15.85546875" style="3" customWidth="1"/>
    <col min="7938" max="7938" width="14.85546875" style="3" customWidth="1"/>
    <col min="7939" max="7939" width="13.28515625" style="3" customWidth="1"/>
    <col min="7940" max="7940" width="11.42578125" style="3"/>
    <col min="7941" max="7941" width="13.42578125" style="3" customWidth="1"/>
    <col min="7942" max="7942" width="12.7109375" style="3" customWidth="1"/>
    <col min="7943" max="7943" width="14" style="3" customWidth="1"/>
    <col min="7944" max="7944" width="7.42578125" style="3" customWidth="1"/>
    <col min="7945" max="8192" width="11.42578125" style="3"/>
    <col min="8193" max="8193" width="15.85546875" style="3" customWidth="1"/>
    <col min="8194" max="8194" width="14.85546875" style="3" customWidth="1"/>
    <col min="8195" max="8195" width="13.28515625" style="3" customWidth="1"/>
    <col min="8196" max="8196" width="11.42578125" style="3"/>
    <col min="8197" max="8197" width="13.42578125" style="3" customWidth="1"/>
    <col min="8198" max="8198" width="12.7109375" style="3" customWidth="1"/>
    <col min="8199" max="8199" width="14" style="3" customWidth="1"/>
    <col min="8200" max="8200" width="7.42578125" style="3" customWidth="1"/>
    <col min="8201" max="8448" width="11.42578125" style="3"/>
    <col min="8449" max="8449" width="15.85546875" style="3" customWidth="1"/>
    <col min="8450" max="8450" width="14.85546875" style="3" customWidth="1"/>
    <col min="8451" max="8451" width="13.28515625" style="3" customWidth="1"/>
    <col min="8452" max="8452" width="11.42578125" style="3"/>
    <col min="8453" max="8453" width="13.42578125" style="3" customWidth="1"/>
    <col min="8454" max="8454" width="12.7109375" style="3" customWidth="1"/>
    <col min="8455" max="8455" width="14" style="3" customWidth="1"/>
    <col min="8456" max="8456" width="7.42578125" style="3" customWidth="1"/>
    <col min="8457" max="8704" width="11.42578125" style="3"/>
    <col min="8705" max="8705" width="15.85546875" style="3" customWidth="1"/>
    <col min="8706" max="8706" width="14.85546875" style="3" customWidth="1"/>
    <col min="8707" max="8707" width="13.28515625" style="3" customWidth="1"/>
    <col min="8708" max="8708" width="11.42578125" style="3"/>
    <col min="8709" max="8709" width="13.42578125" style="3" customWidth="1"/>
    <col min="8710" max="8710" width="12.7109375" style="3" customWidth="1"/>
    <col min="8711" max="8711" width="14" style="3" customWidth="1"/>
    <col min="8712" max="8712" width="7.42578125" style="3" customWidth="1"/>
    <col min="8713" max="8960" width="11.42578125" style="3"/>
    <col min="8961" max="8961" width="15.85546875" style="3" customWidth="1"/>
    <col min="8962" max="8962" width="14.85546875" style="3" customWidth="1"/>
    <col min="8963" max="8963" width="13.28515625" style="3" customWidth="1"/>
    <col min="8964" max="8964" width="11.42578125" style="3"/>
    <col min="8965" max="8965" width="13.42578125" style="3" customWidth="1"/>
    <col min="8966" max="8966" width="12.7109375" style="3" customWidth="1"/>
    <col min="8967" max="8967" width="14" style="3" customWidth="1"/>
    <col min="8968" max="8968" width="7.42578125" style="3" customWidth="1"/>
    <col min="8969" max="9216" width="11.42578125" style="3"/>
    <col min="9217" max="9217" width="15.85546875" style="3" customWidth="1"/>
    <col min="9218" max="9218" width="14.85546875" style="3" customWidth="1"/>
    <col min="9219" max="9219" width="13.28515625" style="3" customWidth="1"/>
    <col min="9220" max="9220" width="11.42578125" style="3"/>
    <col min="9221" max="9221" width="13.42578125" style="3" customWidth="1"/>
    <col min="9222" max="9222" width="12.7109375" style="3" customWidth="1"/>
    <col min="9223" max="9223" width="14" style="3" customWidth="1"/>
    <col min="9224" max="9224" width="7.42578125" style="3" customWidth="1"/>
    <col min="9225" max="9472" width="11.42578125" style="3"/>
    <col min="9473" max="9473" width="15.85546875" style="3" customWidth="1"/>
    <col min="9474" max="9474" width="14.85546875" style="3" customWidth="1"/>
    <col min="9475" max="9475" width="13.28515625" style="3" customWidth="1"/>
    <col min="9476" max="9476" width="11.42578125" style="3"/>
    <col min="9477" max="9477" width="13.42578125" style="3" customWidth="1"/>
    <col min="9478" max="9478" width="12.7109375" style="3" customWidth="1"/>
    <col min="9479" max="9479" width="14" style="3" customWidth="1"/>
    <col min="9480" max="9480" width="7.42578125" style="3" customWidth="1"/>
    <col min="9481" max="9728" width="11.42578125" style="3"/>
    <col min="9729" max="9729" width="15.85546875" style="3" customWidth="1"/>
    <col min="9730" max="9730" width="14.85546875" style="3" customWidth="1"/>
    <col min="9731" max="9731" width="13.28515625" style="3" customWidth="1"/>
    <col min="9732" max="9732" width="11.42578125" style="3"/>
    <col min="9733" max="9733" width="13.42578125" style="3" customWidth="1"/>
    <col min="9734" max="9734" width="12.7109375" style="3" customWidth="1"/>
    <col min="9735" max="9735" width="14" style="3" customWidth="1"/>
    <col min="9736" max="9736" width="7.42578125" style="3" customWidth="1"/>
    <col min="9737" max="9984" width="11.42578125" style="3"/>
    <col min="9985" max="9985" width="15.85546875" style="3" customWidth="1"/>
    <col min="9986" max="9986" width="14.85546875" style="3" customWidth="1"/>
    <col min="9987" max="9987" width="13.28515625" style="3" customWidth="1"/>
    <col min="9988" max="9988" width="11.42578125" style="3"/>
    <col min="9989" max="9989" width="13.42578125" style="3" customWidth="1"/>
    <col min="9990" max="9990" width="12.7109375" style="3" customWidth="1"/>
    <col min="9991" max="9991" width="14" style="3" customWidth="1"/>
    <col min="9992" max="9992" width="7.42578125" style="3" customWidth="1"/>
    <col min="9993" max="10240" width="11.42578125" style="3"/>
    <col min="10241" max="10241" width="15.85546875" style="3" customWidth="1"/>
    <col min="10242" max="10242" width="14.85546875" style="3" customWidth="1"/>
    <col min="10243" max="10243" width="13.28515625" style="3" customWidth="1"/>
    <col min="10244" max="10244" width="11.42578125" style="3"/>
    <col min="10245" max="10245" width="13.42578125" style="3" customWidth="1"/>
    <col min="10246" max="10246" width="12.7109375" style="3" customWidth="1"/>
    <col min="10247" max="10247" width="14" style="3" customWidth="1"/>
    <col min="10248" max="10248" width="7.42578125" style="3" customWidth="1"/>
    <col min="10249" max="10496" width="11.42578125" style="3"/>
    <col min="10497" max="10497" width="15.85546875" style="3" customWidth="1"/>
    <col min="10498" max="10498" width="14.85546875" style="3" customWidth="1"/>
    <col min="10499" max="10499" width="13.28515625" style="3" customWidth="1"/>
    <col min="10500" max="10500" width="11.42578125" style="3"/>
    <col min="10501" max="10501" width="13.42578125" style="3" customWidth="1"/>
    <col min="10502" max="10502" width="12.7109375" style="3" customWidth="1"/>
    <col min="10503" max="10503" width="14" style="3" customWidth="1"/>
    <col min="10504" max="10504" width="7.42578125" style="3" customWidth="1"/>
    <col min="10505" max="10752" width="11.42578125" style="3"/>
    <col min="10753" max="10753" width="15.85546875" style="3" customWidth="1"/>
    <col min="10754" max="10754" width="14.85546875" style="3" customWidth="1"/>
    <col min="10755" max="10755" width="13.28515625" style="3" customWidth="1"/>
    <col min="10756" max="10756" width="11.42578125" style="3"/>
    <col min="10757" max="10757" width="13.42578125" style="3" customWidth="1"/>
    <col min="10758" max="10758" width="12.7109375" style="3" customWidth="1"/>
    <col min="10759" max="10759" width="14" style="3" customWidth="1"/>
    <col min="10760" max="10760" width="7.42578125" style="3" customWidth="1"/>
    <col min="10761" max="11008" width="11.42578125" style="3"/>
    <col min="11009" max="11009" width="15.85546875" style="3" customWidth="1"/>
    <col min="11010" max="11010" width="14.85546875" style="3" customWidth="1"/>
    <col min="11011" max="11011" width="13.28515625" style="3" customWidth="1"/>
    <col min="11012" max="11012" width="11.42578125" style="3"/>
    <col min="11013" max="11013" width="13.42578125" style="3" customWidth="1"/>
    <col min="11014" max="11014" width="12.7109375" style="3" customWidth="1"/>
    <col min="11015" max="11015" width="14" style="3" customWidth="1"/>
    <col min="11016" max="11016" width="7.42578125" style="3" customWidth="1"/>
    <col min="11017" max="11264" width="11.42578125" style="3"/>
    <col min="11265" max="11265" width="15.85546875" style="3" customWidth="1"/>
    <col min="11266" max="11266" width="14.85546875" style="3" customWidth="1"/>
    <col min="11267" max="11267" width="13.28515625" style="3" customWidth="1"/>
    <col min="11268" max="11268" width="11.42578125" style="3"/>
    <col min="11269" max="11269" width="13.42578125" style="3" customWidth="1"/>
    <col min="11270" max="11270" width="12.7109375" style="3" customWidth="1"/>
    <col min="11271" max="11271" width="14" style="3" customWidth="1"/>
    <col min="11272" max="11272" width="7.42578125" style="3" customWidth="1"/>
    <col min="11273" max="11520" width="11.42578125" style="3"/>
    <col min="11521" max="11521" width="15.85546875" style="3" customWidth="1"/>
    <col min="11522" max="11522" width="14.85546875" style="3" customWidth="1"/>
    <col min="11523" max="11523" width="13.28515625" style="3" customWidth="1"/>
    <col min="11524" max="11524" width="11.42578125" style="3"/>
    <col min="11525" max="11525" width="13.42578125" style="3" customWidth="1"/>
    <col min="11526" max="11526" width="12.7109375" style="3" customWidth="1"/>
    <col min="11527" max="11527" width="14" style="3" customWidth="1"/>
    <col min="11528" max="11528" width="7.42578125" style="3" customWidth="1"/>
    <col min="11529" max="11776" width="11.42578125" style="3"/>
    <col min="11777" max="11777" width="15.85546875" style="3" customWidth="1"/>
    <col min="11778" max="11778" width="14.85546875" style="3" customWidth="1"/>
    <col min="11779" max="11779" width="13.28515625" style="3" customWidth="1"/>
    <col min="11780" max="11780" width="11.42578125" style="3"/>
    <col min="11781" max="11781" width="13.42578125" style="3" customWidth="1"/>
    <col min="11782" max="11782" width="12.7109375" style="3" customWidth="1"/>
    <col min="11783" max="11783" width="14" style="3" customWidth="1"/>
    <col min="11784" max="11784" width="7.42578125" style="3" customWidth="1"/>
    <col min="11785" max="12032" width="11.42578125" style="3"/>
    <col min="12033" max="12033" width="15.85546875" style="3" customWidth="1"/>
    <col min="12034" max="12034" width="14.85546875" style="3" customWidth="1"/>
    <col min="12035" max="12035" width="13.28515625" style="3" customWidth="1"/>
    <col min="12036" max="12036" width="11.42578125" style="3"/>
    <col min="12037" max="12037" width="13.42578125" style="3" customWidth="1"/>
    <col min="12038" max="12038" width="12.7109375" style="3" customWidth="1"/>
    <col min="12039" max="12039" width="14" style="3" customWidth="1"/>
    <col min="12040" max="12040" width="7.42578125" style="3" customWidth="1"/>
    <col min="12041" max="12288" width="11.42578125" style="3"/>
    <col min="12289" max="12289" width="15.85546875" style="3" customWidth="1"/>
    <col min="12290" max="12290" width="14.85546875" style="3" customWidth="1"/>
    <col min="12291" max="12291" width="13.28515625" style="3" customWidth="1"/>
    <col min="12292" max="12292" width="11.42578125" style="3"/>
    <col min="12293" max="12293" width="13.42578125" style="3" customWidth="1"/>
    <col min="12294" max="12294" width="12.7109375" style="3" customWidth="1"/>
    <col min="12295" max="12295" width="14" style="3" customWidth="1"/>
    <col min="12296" max="12296" width="7.42578125" style="3" customWidth="1"/>
    <col min="12297" max="12544" width="11.42578125" style="3"/>
    <col min="12545" max="12545" width="15.85546875" style="3" customWidth="1"/>
    <col min="12546" max="12546" width="14.85546875" style="3" customWidth="1"/>
    <col min="12547" max="12547" width="13.28515625" style="3" customWidth="1"/>
    <col min="12548" max="12548" width="11.42578125" style="3"/>
    <col min="12549" max="12549" width="13.42578125" style="3" customWidth="1"/>
    <col min="12550" max="12550" width="12.7109375" style="3" customWidth="1"/>
    <col min="12551" max="12551" width="14" style="3" customWidth="1"/>
    <col min="12552" max="12552" width="7.42578125" style="3" customWidth="1"/>
    <col min="12553" max="12800" width="11.42578125" style="3"/>
    <col min="12801" max="12801" width="15.85546875" style="3" customWidth="1"/>
    <col min="12802" max="12802" width="14.85546875" style="3" customWidth="1"/>
    <col min="12803" max="12803" width="13.28515625" style="3" customWidth="1"/>
    <col min="12804" max="12804" width="11.42578125" style="3"/>
    <col min="12805" max="12805" width="13.42578125" style="3" customWidth="1"/>
    <col min="12806" max="12806" width="12.7109375" style="3" customWidth="1"/>
    <col min="12807" max="12807" width="14" style="3" customWidth="1"/>
    <col min="12808" max="12808" width="7.42578125" style="3" customWidth="1"/>
    <col min="12809" max="13056" width="11.42578125" style="3"/>
    <col min="13057" max="13057" width="15.85546875" style="3" customWidth="1"/>
    <col min="13058" max="13058" width="14.85546875" style="3" customWidth="1"/>
    <col min="13059" max="13059" width="13.28515625" style="3" customWidth="1"/>
    <col min="13060" max="13060" width="11.42578125" style="3"/>
    <col min="13061" max="13061" width="13.42578125" style="3" customWidth="1"/>
    <col min="13062" max="13062" width="12.7109375" style="3" customWidth="1"/>
    <col min="13063" max="13063" width="14" style="3" customWidth="1"/>
    <col min="13064" max="13064" width="7.42578125" style="3" customWidth="1"/>
    <col min="13065" max="13312" width="11.42578125" style="3"/>
    <col min="13313" max="13313" width="15.85546875" style="3" customWidth="1"/>
    <col min="13314" max="13314" width="14.85546875" style="3" customWidth="1"/>
    <col min="13315" max="13315" width="13.28515625" style="3" customWidth="1"/>
    <col min="13316" max="13316" width="11.42578125" style="3"/>
    <col min="13317" max="13317" width="13.42578125" style="3" customWidth="1"/>
    <col min="13318" max="13318" width="12.7109375" style="3" customWidth="1"/>
    <col min="13319" max="13319" width="14" style="3" customWidth="1"/>
    <col min="13320" max="13320" width="7.42578125" style="3" customWidth="1"/>
    <col min="13321" max="13568" width="11.42578125" style="3"/>
    <col min="13569" max="13569" width="15.85546875" style="3" customWidth="1"/>
    <col min="13570" max="13570" width="14.85546875" style="3" customWidth="1"/>
    <col min="13571" max="13571" width="13.28515625" style="3" customWidth="1"/>
    <col min="13572" max="13572" width="11.42578125" style="3"/>
    <col min="13573" max="13573" width="13.42578125" style="3" customWidth="1"/>
    <col min="13574" max="13574" width="12.7109375" style="3" customWidth="1"/>
    <col min="13575" max="13575" width="14" style="3" customWidth="1"/>
    <col min="13576" max="13576" width="7.42578125" style="3" customWidth="1"/>
    <col min="13577" max="13824" width="11.42578125" style="3"/>
    <col min="13825" max="13825" width="15.85546875" style="3" customWidth="1"/>
    <col min="13826" max="13826" width="14.85546875" style="3" customWidth="1"/>
    <col min="13827" max="13827" width="13.28515625" style="3" customWidth="1"/>
    <col min="13828" max="13828" width="11.42578125" style="3"/>
    <col min="13829" max="13829" width="13.42578125" style="3" customWidth="1"/>
    <col min="13830" max="13830" width="12.7109375" style="3" customWidth="1"/>
    <col min="13831" max="13831" width="14" style="3" customWidth="1"/>
    <col min="13832" max="13832" width="7.42578125" style="3" customWidth="1"/>
    <col min="13833" max="14080" width="11.42578125" style="3"/>
    <col min="14081" max="14081" width="15.85546875" style="3" customWidth="1"/>
    <col min="14082" max="14082" width="14.85546875" style="3" customWidth="1"/>
    <col min="14083" max="14083" width="13.28515625" style="3" customWidth="1"/>
    <col min="14084" max="14084" width="11.42578125" style="3"/>
    <col min="14085" max="14085" width="13.42578125" style="3" customWidth="1"/>
    <col min="14086" max="14086" width="12.7109375" style="3" customWidth="1"/>
    <col min="14087" max="14087" width="14" style="3" customWidth="1"/>
    <col min="14088" max="14088" width="7.42578125" style="3" customWidth="1"/>
    <col min="14089" max="14336" width="11.42578125" style="3"/>
    <col min="14337" max="14337" width="15.85546875" style="3" customWidth="1"/>
    <col min="14338" max="14338" width="14.85546875" style="3" customWidth="1"/>
    <col min="14339" max="14339" width="13.28515625" style="3" customWidth="1"/>
    <col min="14340" max="14340" width="11.42578125" style="3"/>
    <col min="14341" max="14341" width="13.42578125" style="3" customWidth="1"/>
    <col min="14342" max="14342" width="12.7109375" style="3" customWidth="1"/>
    <col min="14343" max="14343" width="14" style="3" customWidth="1"/>
    <col min="14344" max="14344" width="7.42578125" style="3" customWidth="1"/>
    <col min="14345" max="14592" width="11.42578125" style="3"/>
    <col min="14593" max="14593" width="15.85546875" style="3" customWidth="1"/>
    <col min="14594" max="14594" width="14.85546875" style="3" customWidth="1"/>
    <col min="14595" max="14595" width="13.28515625" style="3" customWidth="1"/>
    <col min="14596" max="14596" width="11.42578125" style="3"/>
    <col min="14597" max="14597" width="13.42578125" style="3" customWidth="1"/>
    <col min="14598" max="14598" width="12.7109375" style="3" customWidth="1"/>
    <col min="14599" max="14599" width="14" style="3" customWidth="1"/>
    <col min="14600" max="14600" width="7.42578125" style="3" customWidth="1"/>
    <col min="14601" max="14848" width="11.42578125" style="3"/>
    <col min="14849" max="14849" width="15.85546875" style="3" customWidth="1"/>
    <col min="14850" max="14850" width="14.85546875" style="3" customWidth="1"/>
    <col min="14851" max="14851" width="13.28515625" style="3" customWidth="1"/>
    <col min="14852" max="14852" width="11.42578125" style="3"/>
    <col min="14853" max="14853" width="13.42578125" style="3" customWidth="1"/>
    <col min="14854" max="14854" width="12.7109375" style="3" customWidth="1"/>
    <col min="14855" max="14855" width="14" style="3" customWidth="1"/>
    <col min="14856" max="14856" width="7.42578125" style="3" customWidth="1"/>
    <col min="14857" max="15104" width="11.42578125" style="3"/>
    <col min="15105" max="15105" width="15.85546875" style="3" customWidth="1"/>
    <col min="15106" max="15106" width="14.85546875" style="3" customWidth="1"/>
    <col min="15107" max="15107" width="13.28515625" style="3" customWidth="1"/>
    <col min="15108" max="15108" width="11.42578125" style="3"/>
    <col min="15109" max="15109" width="13.42578125" style="3" customWidth="1"/>
    <col min="15110" max="15110" width="12.7109375" style="3" customWidth="1"/>
    <col min="15111" max="15111" width="14" style="3" customWidth="1"/>
    <col min="15112" max="15112" width="7.42578125" style="3" customWidth="1"/>
    <col min="15113" max="15360" width="11.42578125" style="3"/>
    <col min="15361" max="15361" width="15.85546875" style="3" customWidth="1"/>
    <col min="15362" max="15362" width="14.85546875" style="3" customWidth="1"/>
    <col min="15363" max="15363" width="13.28515625" style="3" customWidth="1"/>
    <col min="15364" max="15364" width="11.42578125" style="3"/>
    <col min="15365" max="15365" width="13.42578125" style="3" customWidth="1"/>
    <col min="15366" max="15366" width="12.7109375" style="3" customWidth="1"/>
    <col min="15367" max="15367" width="14" style="3" customWidth="1"/>
    <col min="15368" max="15368" width="7.42578125" style="3" customWidth="1"/>
    <col min="15369" max="15616" width="11.42578125" style="3"/>
    <col min="15617" max="15617" width="15.85546875" style="3" customWidth="1"/>
    <col min="15618" max="15618" width="14.85546875" style="3" customWidth="1"/>
    <col min="15619" max="15619" width="13.28515625" style="3" customWidth="1"/>
    <col min="15620" max="15620" width="11.42578125" style="3"/>
    <col min="15621" max="15621" width="13.42578125" style="3" customWidth="1"/>
    <col min="15622" max="15622" width="12.7109375" style="3" customWidth="1"/>
    <col min="15623" max="15623" width="14" style="3" customWidth="1"/>
    <col min="15624" max="15624" width="7.42578125" style="3" customWidth="1"/>
    <col min="15625" max="15872" width="11.42578125" style="3"/>
    <col min="15873" max="15873" width="15.85546875" style="3" customWidth="1"/>
    <col min="15874" max="15874" width="14.85546875" style="3" customWidth="1"/>
    <col min="15875" max="15875" width="13.28515625" style="3" customWidth="1"/>
    <col min="15876" max="15876" width="11.42578125" style="3"/>
    <col min="15877" max="15877" width="13.42578125" style="3" customWidth="1"/>
    <col min="15878" max="15878" width="12.7109375" style="3" customWidth="1"/>
    <col min="15879" max="15879" width="14" style="3" customWidth="1"/>
    <col min="15880" max="15880" width="7.42578125" style="3" customWidth="1"/>
    <col min="15881" max="16128" width="11.42578125" style="3"/>
    <col min="16129" max="16129" width="15.85546875" style="3" customWidth="1"/>
    <col min="16130" max="16130" width="14.85546875" style="3" customWidth="1"/>
    <col min="16131" max="16131" width="13.28515625" style="3" customWidth="1"/>
    <col min="16132" max="16132" width="11.42578125" style="3"/>
    <col min="16133" max="16133" width="13.42578125" style="3" customWidth="1"/>
    <col min="16134" max="16134" width="12.7109375" style="3" customWidth="1"/>
    <col min="16135" max="16135" width="14" style="3" customWidth="1"/>
    <col min="16136" max="16136" width="7.42578125" style="3" customWidth="1"/>
    <col min="16137" max="16384" width="11.42578125" style="3"/>
  </cols>
  <sheetData>
    <row r="1" spans="1:21" ht="20.25">
      <c r="A1" s="1346" t="str">
        <f>PPTO!D3</f>
        <v>PRESUPUESTO
MUNICIPIO EL BAGRE (ANTIOQUIA).</v>
      </c>
      <c r="B1" s="1347"/>
      <c r="C1" s="1347"/>
      <c r="D1" s="1347"/>
      <c r="E1" s="1347"/>
      <c r="F1" s="1347"/>
      <c r="G1" s="1348"/>
      <c r="H1" s="1"/>
      <c r="I1" s="2"/>
    </row>
    <row r="2" spans="1:21" ht="18" customHeight="1">
      <c r="A2" s="1362" t="s">
        <v>16</v>
      </c>
      <c r="B2" s="1363"/>
      <c r="C2" s="1363"/>
      <c r="D2" s="1363"/>
      <c r="E2" s="1363"/>
      <c r="F2" s="1363"/>
      <c r="G2" s="1364"/>
      <c r="H2" s="1"/>
      <c r="I2" s="2"/>
    </row>
    <row r="3" spans="1:21" ht="21.75" customHeight="1">
      <c r="A3" s="1367" t="str">
        <f>+PPTO!$D$5</f>
        <v>PROYECTO DE MEJORAMIENTO VIAL, ESPACIO PUBLICO Y OBRAS COMPLEMENTARIAS DE LA AVENIDA LA JUVENTUD Y TRAMOS ADYACENTES Y PRIORITARIOS DEL SECTOR URBANO EN EL MUNICIPIO EL BAGRE ANTIOQUIA.</v>
      </c>
      <c r="B3" s="1368"/>
      <c r="C3" s="1368"/>
      <c r="D3" s="1368"/>
      <c r="E3" s="1368"/>
      <c r="F3" s="1368"/>
      <c r="G3" s="1369"/>
      <c r="H3" s="1"/>
      <c r="I3" s="2"/>
    </row>
    <row r="4" spans="1:21">
      <c r="A4" s="1370"/>
      <c r="B4" s="1368"/>
      <c r="C4" s="1368"/>
      <c r="D4" s="1368"/>
      <c r="E4" s="1368"/>
      <c r="F4" s="1368"/>
      <c r="G4" s="1369"/>
      <c r="H4" s="1"/>
      <c r="I4" s="2"/>
    </row>
    <row r="5" spans="1:21" ht="6.75" customHeight="1">
      <c r="A5" s="222"/>
      <c r="B5" s="6"/>
      <c r="C5" s="24"/>
      <c r="D5" s="25"/>
      <c r="E5" s="6"/>
      <c r="F5" s="6"/>
      <c r="G5" s="223"/>
      <c r="H5" s="9"/>
    </row>
    <row r="6" spans="1:21" ht="52.5" customHeight="1">
      <c r="A6" s="368">
        <v>5.6</v>
      </c>
      <c r="B6" s="1349" t="str">
        <f>VLOOKUP(A6,PPTO!D10:I137,2,FALSE)</f>
        <v>Suministro e Instalación de Señal vertical de gran tamaño con descripción de Destino y ubicación, en fondo reflectivo Tipo Alta Intensidad con tablero en lámina cal 16, terminados en pintura electrostática blanca. (Manual Señalización MinT Colombia 2015)</v>
      </c>
      <c r="C6" s="1350"/>
      <c r="D6" s="1350"/>
      <c r="E6" s="1351"/>
      <c r="F6" s="192" t="s">
        <v>118</v>
      </c>
      <c r="G6" s="248" t="str">
        <f>VLOOKUP(A6,PPTO!D10:I137,3,FALSE)</f>
        <v>und</v>
      </c>
      <c r="H6" s="9"/>
    </row>
    <row r="7" spans="1:21" ht="3.75" customHeight="1">
      <c r="A7" s="226"/>
      <c r="B7" s="4"/>
      <c r="C7" s="6"/>
      <c r="D7" s="4"/>
      <c r="E7" s="4"/>
      <c r="F7" s="4"/>
      <c r="G7" s="227"/>
      <c r="H7" s="9"/>
    </row>
    <row r="8" spans="1:21">
      <c r="A8" s="1354" t="s">
        <v>69</v>
      </c>
      <c r="B8" s="1355"/>
      <c r="C8" s="1355"/>
      <c r="D8" s="1355"/>
      <c r="E8" s="1355"/>
      <c r="F8" s="1355"/>
      <c r="G8" s="1356"/>
      <c r="H8" s="9"/>
    </row>
    <row r="9" spans="1:21" ht="4.5" customHeight="1">
      <c r="A9" s="226"/>
      <c r="B9" s="4"/>
      <c r="C9" s="6"/>
      <c r="D9" s="4"/>
      <c r="E9" s="4"/>
      <c r="F9" s="4"/>
      <c r="G9" s="227"/>
      <c r="H9" s="9"/>
      <c r="I9" s="5"/>
      <c r="J9" s="5"/>
      <c r="K9" s="5"/>
      <c r="L9" s="26"/>
      <c r="M9" s="5"/>
      <c r="N9" s="5"/>
      <c r="O9" s="5"/>
      <c r="P9" s="5"/>
    </row>
    <row r="10" spans="1:21">
      <c r="A10" s="1373" t="s">
        <v>17</v>
      </c>
      <c r="B10" s="1374"/>
      <c r="C10" s="1374"/>
      <c r="D10" s="220" t="s">
        <v>18</v>
      </c>
      <c r="E10" s="220" t="s">
        <v>19</v>
      </c>
      <c r="F10" s="220" t="s">
        <v>20</v>
      </c>
      <c r="G10" s="228" t="s">
        <v>21</v>
      </c>
      <c r="H10" s="27"/>
      <c r="I10" s="28"/>
      <c r="J10" s="29"/>
      <c r="K10" s="30"/>
      <c r="L10" s="30"/>
      <c r="M10" s="30"/>
      <c r="N10" s="30"/>
      <c r="O10" s="30"/>
      <c r="P10" s="5"/>
    </row>
    <row r="11" spans="1:21">
      <c r="A11" s="1352" t="s">
        <v>47</v>
      </c>
      <c r="B11" s="1353"/>
      <c r="C11" s="1353"/>
      <c r="D11" s="220"/>
      <c r="E11" s="83"/>
      <c r="F11" s="97"/>
      <c r="G11" s="229">
        <f>+G39*10%+150</f>
        <v>23468</v>
      </c>
      <c r="H11" s="9"/>
      <c r="I11" s="30"/>
      <c r="J11" s="31"/>
      <c r="K11" s="30"/>
      <c r="L11" s="30"/>
      <c r="M11" s="30"/>
      <c r="N11" s="30"/>
      <c r="O11" s="30"/>
      <c r="P11" s="5"/>
    </row>
    <row r="12" spans="1:21">
      <c r="A12" s="1371" t="s">
        <v>125</v>
      </c>
      <c r="B12" s="1372"/>
      <c r="C12" s="1372"/>
      <c r="D12" s="83"/>
      <c r="E12" s="83"/>
      <c r="F12" s="93"/>
      <c r="G12" s="229">
        <f>+F21*0.1</f>
        <v>85000</v>
      </c>
      <c r="H12" s="9"/>
      <c r="I12" s="16"/>
      <c r="J12" s="13"/>
      <c r="K12" s="8"/>
      <c r="L12" s="8"/>
      <c r="M12" s="8"/>
      <c r="N12" s="8"/>
      <c r="O12" s="8"/>
      <c r="P12" s="5"/>
    </row>
    <row r="13" spans="1:21">
      <c r="A13" s="1371"/>
      <c r="B13" s="1372"/>
      <c r="C13" s="1372"/>
      <c r="D13" s="83"/>
      <c r="E13" s="83"/>
      <c r="F13" s="93"/>
      <c r="G13" s="229"/>
      <c r="H13" s="9"/>
      <c r="I13" s="13"/>
      <c r="J13" s="13"/>
      <c r="K13" s="13"/>
      <c r="L13" s="13"/>
      <c r="M13" s="13"/>
      <c r="N13" s="13"/>
      <c r="O13" s="13"/>
      <c r="P13" s="5"/>
    </row>
    <row r="14" spans="1:21">
      <c r="A14" s="1371"/>
      <c r="B14" s="1372"/>
      <c r="C14" s="1372"/>
      <c r="D14" s="83"/>
      <c r="E14" s="83"/>
      <c r="F14" s="93"/>
      <c r="G14" s="229"/>
      <c r="H14" s="9"/>
      <c r="I14" s="8"/>
      <c r="J14" s="14"/>
      <c r="K14" s="32"/>
      <c r="L14" s="14"/>
      <c r="M14" s="15"/>
      <c r="N14" s="15"/>
      <c r="O14" s="19"/>
      <c r="P14" s="5"/>
    </row>
    <row r="15" spans="1:21">
      <c r="A15" s="1371"/>
      <c r="B15" s="1372"/>
      <c r="C15" s="1372"/>
      <c r="D15" s="83"/>
      <c r="E15" s="83"/>
      <c r="F15" s="98"/>
      <c r="G15" s="229"/>
      <c r="H15" s="9"/>
      <c r="I15" s="8"/>
      <c r="J15" s="33"/>
      <c r="K15" s="32"/>
      <c r="L15" s="14"/>
      <c r="M15" s="15"/>
      <c r="N15" s="15"/>
      <c r="O15" s="19"/>
      <c r="P15" s="5"/>
      <c r="Q15" s="5"/>
      <c r="R15" s="5"/>
      <c r="S15" s="5"/>
      <c r="T15" s="5"/>
      <c r="U15" s="5"/>
    </row>
    <row r="16" spans="1:21">
      <c r="A16" s="1371"/>
      <c r="B16" s="1372"/>
      <c r="C16" s="1372"/>
      <c r="D16" s="85" t="s">
        <v>37</v>
      </c>
      <c r="E16" s="50"/>
      <c r="F16" s="49"/>
      <c r="G16" s="230">
        <f>SUM(G11:G15)</f>
        <v>108468</v>
      </c>
      <c r="H16" s="9"/>
      <c r="I16" s="34"/>
      <c r="J16" s="34"/>
      <c r="K16" s="35"/>
      <c r="L16" s="36"/>
      <c r="M16" s="7"/>
      <c r="N16" s="7"/>
      <c r="O16" s="19"/>
      <c r="P16" s="5"/>
      <c r="Q16" s="5"/>
      <c r="R16" s="5"/>
      <c r="S16" s="5"/>
      <c r="T16" s="5"/>
      <c r="U16" s="5"/>
    </row>
    <row r="17" spans="1:21" ht="4.5" customHeight="1">
      <c r="A17" s="226"/>
      <c r="B17" s="4"/>
      <c r="C17" s="6"/>
      <c r="D17" s="4"/>
      <c r="E17" s="4"/>
      <c r="F17" s="4"/>
      <c r="G17" s="227"/>
      <c r="H17" s="9"/>
      <c r="I17" s="34"/>
      <c r="J17" s="34"/>
      <c r="K17" s="35"/>
      <c r="L17" s="36"/>
      <c r="M17" s="7"/>
      <c r="N17" s="7"/>
      <c r="O17" s="19"/>
      <c r="P17" s="5"/>
      <c r="Q17" s="5"/>
      <c r="R17" s="5"/>
      <c r="S17" s="5"/>
      <c r="T17" s="5"/>
      <c r="U17" s="5"/>
    </row>
    <row r="18" spans="1:21">
      <c r="A18" s="1354" t="s">
        <v>70</v>
      </c>
      <c r="B18" s="1355"/>
      <c r="C18" s="1355"/>
      <c r="D18" s="1355"/>
      <c r="E18" s="1355"/>
      <c r="F18" s="1355"/>
      <c r="G18" s="1356"/>
      <c r="H18" s="9"/>
    </row>
    <row r="19" spans="1:21" ht="4.5" customHeight="1">
      <c r="A19" s="226"/>
      <c r="B19" s="4"/>
      <c r="C19" s="6"/>
      <c r="D19" s="4"/>
      <c r="E19" s="4"/>
      <c r="F19" s="38"/>
      <c r="G19" s="227"/>
      <c r="H19" s="9"/>
      <c r="I19" s="34"/>
      <c r="J19" s="34"/>
      <c r="K19" s="35"/>
      <c r="L19" s="39"/>
      <c r="M19" s="7"/>
      <c r="N19" s="7"/>
      <c r="O19" s="8"/>
      <c r="P19" s="5"/>
      <c r="Q19" s="5"/>
      <c r="R19" s="5"/>
      <c r="S19" s="5"/>
      <c r="T19" s="5"/>
      <c r="U19" s="5"/>
    </row>
    <row r="20" spans="1:21">
      <c r="A20" s="1373" t="s">
        <v>17</v>
      </c>
      <c r="B20" s="1374"/>
      <c r="C20" s="1374"/>
      <c r="D20" s="220" t="s">
        <v>3</v>
      </c>
      <c r="E20" s="220" t="s">
        <v>4</v>
      </c>
      <c r="F20" s="220" t="s">
        <v>25</v>
      </c>
      <c r="G20" s="228" t="s">
        <v>21</v>
      </c>
      <c r="H20" s="27"/>
      <c r="I20" s="34"/>
      <c r="J20" s="34"/>
      <c r="K20" s="35"/>
      <c r="L20" s="39"/>
      <c r="M20" s="7"/>
      <c r="N20" s="7"/>
      <c r="O20" s="8"/>
      <c r="P20" s="5"/>
      <c r="Q20" s="5"/>
      <c r="R20" s="5"/>
      <c r="S20" s="5"/>
      <c r="T20" s="5"/>
      <c r="U20" s="5"/>
    </row>
    <row r="21" spans="1:21" ht="24.75" customHeight="1">
      <c r="A21" s="1441" t="str">
        <f>+B6</f>
        <v>Suministro e Instalación de Señal vertical de gran tamaño con descripción de Destino y ubicación, en fondo reflectivo Tipo Alta Intensidad con tablero en lámina cal 16, terminados en pintura electrostática blanca. (Manual Señalización MinT Colombia 2015)</v>
      </c>
      <c r="B21" s="1442"/>
      <c r="C21" s="1443"/>
      <c r="D21" s="118" t="s">
        <v>51</v>
      </c>
      <c r="E21" s="119">
        <v>1</v>
      </c>
      <c r="F21" s="87">
        <v>850000</v>
      </c>
      <c r="G21" s="231">
        <f>ROUND(F21*E21,0)</f>
        <v>850000</v>
      </c>
      <c r="H21" s="9"/>
      <c r="I21" s="34"/>
      <c r="J21" s="34"/>
      <c r="K21" s="35"/>
      <c r="L21" s="39"/>
      <c r="M21" s="7"/>
      <c r="N21" s="7"/>
      <c r="O21" s="13"/>
      <c r="P21" s="5"/>
      <c r="Q21" s="5"/>
      <c r="R21" s="5"/>
      <c r="S21" s="5"/>
      <c r="T21" s="5"/>
      <c r="U21" s="5"/>
    </row>
    <row r="22" spans="1:21">
      <c r="A22" s="1382" t="s">
        <v>55</v>
      </c>
      <c r="B22" s="1383"/>
      <c r="C22" s="1383"/>
      <c r="D22" s="79" t="s">
        <v>44</v>
      </c>
      <c r="E22" s="88">
        <v>0.03</v>
      </c>
      <c r="F22" s="87">
        <v>374906</v>
      </c>
      <c r="G22" s="231">
        <f>ROUND(F22*E22,0)</f>
        <v>11247</v>
      </c>
      <c r="H22" s="9"/>
      <c r="I22" s="10"/>
      <c r="J22" s="10"/>
      <c r="K22" s="12"/>
      <c r="L22" s="39"/>
      <c r="M22" s="7"/>
      <c r="N22" s="7"/>
      <c r="O22" s="15"/>
      <c r="P22" s="5"/>
      <c r="Q22" s="5"/>
      <c r="R22" s="5"/>
      <c r="S22" s="5"/>
      <c r="T22" s="5"/>
      <c r="U22" s="5"/>
    </row>
    <row r="23" spans="1:21">
      <c r="A23" s="1352"/>
      <c r="B23" s="1353"/>
      <c r="C23" s="1353"/>
      <c r="D23" s="73"/>
      <c r="E23" s="82"/>
      <c r="F23" s="78"/>
      <c r="G23" s="231"/>
      <c r="H23" s="9"/>
      <c r="I23" s="10"/>
      <c r="J23" s="10"/>
      <c r="K23" s="12"/>
      <c r="L23" s="39"/>
      <c r="M23" s="7"/>
      <c r="N23" s="7"/>
      <c r="O23" s="15"/>
      <c r="P23" s="5"/>
      <c r="Q23" s="5"/>
      <c r="R23" s="5"/>
      <c r="S23" s="5"/>
      <c r="T23" s="5"/>
      <c r="U23" s="5"/>
    </row>
    <row r="24" spans="1:21">
      <c r="A24" s="1352"/>
      <c r="B24" s="1353"/>
      <c r="C24" s="1353"/>
      <c r="D24" s="81"/>
      <c r="E24" s="88"/>
      <c r="F24" s="78"/>
      <c r="G24" s="231"/>
      <c r="H24" s="9"/>
      <c r="I24" s="10"/>
      <c r="J24" s="40"/>
      <c r="K24" s="12"/>
      <c r="L24" s="13"/>
      <c r="M24" s="14"/>
      <c r="N24" s="14"/>
      <c r="O24" s="15"/>
      <c r="P24" s="5"/>
      <c r="Q24" s="5"/>
      <c r="R24" s="5"/>
      <c r="S24" s="5"/>
      <c r="T24" s="5"/>
      <c r="U24" s="5"/>
    </row>
    <row r="25" spans="1:21">
      <c r="A25" s="1352"/>
      <c r="B25" s="1353"/>
      <c r="C25" s="1353"/>
      <c r="D25" s="81"/>
      <c r="E25" s="82"/>
      <c r="F25" s="78"/>
      <c r="G25" s="231"/>
      <c r="H25" s="9"/>
      <c r="I25" s="10"/>
      <c r="J25" s="11"/>
      <c r="K25" s="12"/>
      <c r="L25" s="13"/>
      <c r="M25" s="14"/>
      <c r="N25" s="14"/>
      <c r="O25" s="15"/>
      <c r="P25" s="5"/>
      <c r="Q25" s="5"/>
      <c r="R25" s="5"/>
      <c r="S25" s="5"/>
      <c r="T25" s="5"/>
      <c r="U25" s="5"/>
    </row>
    <row r="26" spans="1:21">
      <c r="A26" s="1352"/>
      <c r="B26" s="1353"/>
      <c r="C26" s="1353"/>
      <c r="D26" s="79"/>
      <c r="E26" s="82"/>
      <c r="F26" s="78"/>
      <c r="G26" s="231"/>
      <c r="H26" s="9"/>
      <c r="I26" s="10"/>
      <c r="J26" s="11"/>
      <c r="K26" s="12"/>
      <c r="L26" s="13"/>
      <c r="M26" s="14"/>
      <c r="N26" s="14"/>
      <c r="O26" s="15"/>
      <c r="P26" s="5"/>
      <c r="Q26" s="5"/>
      <c r="R26" s="5"/>
      <c r="S26" s="5"/>
      <c r="T26" s="5"/>
      <c r="U26" s="5"/>
    </row>
    <row r="27" spans="1:21">
      <c r="A27" s="1352"/>
      <c r="B27" s="1353"/>
      <c r="C27" s="1353"/>
      <c r="D27" s="79"/>
      <c r="E27" s="82"/>
      <c r="F27" s="78"/>
      <c r="G27" s="231"/>
      <c r="H27" s="9"/>
      <c r="I27" s="10"/>
      <c r="J27" s="11"/>
      <c r="K27" s="12"/>
      <c r="L27" s="13"/>
      <c r="M27" s="14"/>
      <c r="N27" s="14"/>
      <c r="O27" s="15"/>
      <c r="P27" s="5"/>
      <c r="Q27" s="5"/>
      <c r="R27" s="5"/>
      <c r="S27" s="5"/>
      <c r="T27" s="5"/>
      <c r="U27" s="5"/>
    </row>
    <row r="28" spans="1:21">
      <c r="A28" s="1352"/>
      <c r="B28" s="1353"/>
      <c r="C28" s="1353"/>
      <c r="D28" s="79"/>
      <c r="E28" s="82"/>
      <c r="F28" s="83"/>
      <c r="G28" s="231"/>
      <c r="H28" s="9"/>
      <c r="I28" s="41"/>
      <c r="J28" s="41"/>
      <c r="K28" s="12"/>
      <c r="L28" s="13"/>
      <c r="M28" s="14"/>
      <c r="N28" s="14"/>
      <c r="O28" s="15"/>
      <c r="P28" s="5"/>
      <c r="Q28" s="5"/>
      <c r="R28" s="5"/>
      <c r="S28" s="5"/>
      <c r="T28" s="5"/>
      <c r="U28" s="5"/>
    </row>
    <row r="29" spans="1:21">
      <c r="A29" s="1352"/>
      <c r="B29" s="1353"/>
      <c r="C29" s="1353"/>
      <c r="D29" s="84"/>
      <c r="E29" s="84"/>
      <c r="F29" s="83"/>
      <c r="G29" s="231"/>
      <c r="H29" s="9"/>
      <c r="I29" s="42"/>
      <c r="J29" s="42"/>
      <c r="K29" s="42"/>
      <c r="L29" s="13"/>
      <c r="M29" s="14"/>
      <c r="N29" s="14"/>
      <c r="O29" s="15"/>
      <c r="P29" s="5"/>
      <c r="Q29" s="5"/>
      <c r="R29" s="5"/>
      <c r="S29" s="5"/>
      <c r="T29" s="5"/>
      <c r="U29" s="5"/>
    </row>
    <row r="30" spans="1:21">
      <c r="A30" s="1352"/>
      <c r="B30" s="1353"/>
      <c r="C30" s="1353"/>
      <c r="D30" s="85" t="s">
        <v>28</v>
      </c>
      <c r="E30" s="50"/>
      <c r="F30" s="49"/>
      <c r="G30" s="230">
        <f>SUM(G21:G29)</f>
        <v>861247</v>
      </c>
      <c r="H30" s="9"/>
      <c r="I30" s="8"/>
      <c r="J30" s="13"/>
      <c r="K30" s="8"/>
      <c r="L30" s="13"/>
      <c r="M30" s="14"/>
      <c r="N30" s="14"/>
      <c r="O30" s="15"/>
      <c r="P30" s="5"/>
    </row>
    <row r="31" spans="1:21" ht="3.75" customHeight="1">
      <c r="A31" s="226"/>
      <c r="B31" s="4"/>
      <c r="C31" s="6"/>
      <c r="D31" s="4"/>
      <c r="E31" s="4"/>
      <c r="F31" s="4"/>
      <c r="G31" s="227"/>
      <c r="H31" s="9"/>
      <c r="I31" s="8"/>
      <c r="J31" s="13"/>
      <c r="K31" s="18"/>
      <c r="L31" s="13"/>
      <c r="M31" s="33"/>
      <c r="N31" s="33"/>
      <c r="O31" s="15"/>
      <c r="P31" s="5"/>
    </row>
    <row r="32" spans="1:21">
      <c r="A32" s="1354" t="s">
        <v>71</v>
      </c>
      <c r="B32" s="1355"/>
      <c r="C32" s="1355"/>
      <c r="D32" s="1355"/>
      <c r="E32" s="1355"/>
      <c r="F32" s="1355"/>
      <c r="G32" s="1356"/>
      <c r="H32" s="9"/>
    </row>
    <row r="33" spans="1:16" ht="3.75" customHeight="1">
      <c r="A33" s="226"/>
      <c r="B33" s="4"/>
      <c r="C33" s="6"/>
      <c r="D33" s="4"/>
      <c r="E33" s="4"/>
      <c r="F33" s="4"/>
      <c r="G33" s="227"/>
      <c r="H33" s="9"/>
      <c r="I33" s="8"/>
      <c r="J33" s="13"/>
      <c r="K33" s="8"/>
      <c r="L33" s="8"/>
      <c r="M33" s="8"/>
      <c r="N33" s="8"/>
      <c r="O33" s="15"/>
      <c r="P33" s="5"/>
    </row>
    <row r="34" spans="1:16">
      <c r="A34" s="232" t="s">
        <v>5</v>
      </c>
      <c r="B34" s="60" t="s">
        <v>29</v>
      </c>
      <c r="C34" s="60" t="s">
        <v>30</v>
      </c>
      <c r="D34" s="60" t="s">
        <v>31</v>
      </c>
      <c r="E34" s="60" t="s">
        <v>32</v>
      </c>
      <c r="F34" s="60" t="s">
        <v>20</v>
      </c>
      <c r="G34" s="228" t="s">
        <v>33</v>
      </c>
      <c r="H34" s="27"/>
      <c r="I34" s="8"/>
      <c r="J34" s="13"/>
      <c r="K34" s="8"/>
      <c r="L34" s="8"/>
      <c r="M34" s="8"/>
      <c r="N34" s="8"/>
      <c r="O34" s="15"/>
      <c r="P34" s="5"/>
    </row>
    <row r="35" spans="1:16">
      <c r="A35" s="436" t="s">
        <v>709</v>
      </c>
      <c r="B35" s="63">
        <f>BOF</f>
        <v>51749</v>
      </c>
      <c r="C35" s="68">
        <f>ffpp</f>
        <v>0.64539999999999997</v>
      </c>
      <c r="D35" s="72">
        <v>1</v>
      </c>
      <c r="E35" s="66">
        <f>OF</f>
        <v>88696</v>
      </c>
      <c r="F35" s="65">
        <v>1</v>
      </c>
      <c r="G35" s="231">
        <f>ROUND(+D35*E35/F35,0)</f>
        <v>88696</v>
      </c>
      <c r="H35" s="9"/>
      <c r="I35" s="16"/>
      <c r="J35" s="13"/>
      <c r="K35" s="8"/>
      <c r="L35" s="8"/>
      <c r="M35" s="8"/>
      <c r="N35" s="8"/>
      <c r="O35" s="15"/>
      <c r="P35" s="5"/>
    </row>
    <row r="36" spans="1:16">
      <c r="A36" s="233" t="s">
        <v>38</v>
      </c>
      <c r="B36" s="63">
        <f>BOB</f>
        <v>41749</v>
      </c>
      <c r="C36" s="68">
        <f>ffpp</f>
        <v>0.64539999999999997</v>
      </c>
      <c r="D36" s="72">
        <v>2</v>
      </c>
      <c r="E36" s="66">
        <f>OB</f>
        <v>72242</v>
      </c>
      <c r="F36" s="65">
        <v>1</v>
      </c>
      <c r="G36" s="231">
        <f>ROUND(+D36*E36/F36,0)</f>
        <v>144484</v>
      </c>
      <c r="H36" s="9"/>
      <c r="I36" s="8"/>
      <c r="J36" s="8"/>
      <c r="K36" s="13"/>
      <c r="L36" s="13"/>
      <c r="M36" s="13"/>
      <c r="N36" s="13"/>
      <c r="O36" s="13"/>
      <c r="P36" s="5"/>
    </row>
    <row r="37" spans="1:16">
      <c r="A37" s="234"/>
      <c r="B37" s="50"/>
      <c r="C37" s="961"/>
      <c r="D37" s="50"/>
      <c r="E37" s="50"/>
      <c r="F37" s="50"/>
      <c r="G37" s="235"/>
      <c r="H37" s="9"/>
      <c r="I37" s="8"/>
      <c r="J37" s="13"/>
      <c r="K37" s="13"/>
      <c r="L37" s="13"/>
      <c r="M37" s="33"/>
      <c r="N37" s="33"/>
      <c r="O37" s="43"/>
      <c r="P37" s="5"/>
    </row>
    <row r="38" spans="1:16">
      <c r="A38" s="233"/>
      <c r="B38" s="65"/>
      <c r="C38" s="68"/>
      <c r="D38" s="65"/>
      <c r="E38" s="69"/>
      <c r="F38" s="69"/>
      <c r="G38" s="236"/>
      <c r="H38" s="9"/>
      <c r="I38" s="8"/>
      <c r="J38" s="13"/>
      <c r="K38" s="13"/>
      <c r="L38" s="13"/>
      <c r="M38" s="33"/>
      <c r="N38" s="33"/>
      <c r="O38" s="43"/>
      <c r="P38" s="5"/>
    </row>
    <row r="39" spans="1:16">
      <c r="A39" s="249"/>
      <c r="B39" s="71"/>
      <c r="C39" s="71"/>
      <c r="D39" s="71" t="s">
        <v>34</v>
      </c>
      <c r="E39" s="71"/>
      <c r="F39" s="71"/>
      <c r="G39" s="250">
        <f>SUM(G35:G38)</f>
        <v>233180</v>
      </c>
      <c r="H39" s="9"/>
      <c r="I39" s="8"/>
      <c r="J39" s="13"/>
      <c r="K39" s="13"/>
      <c r="L39" s="13"/>
      <c r="M39" s="14"/>
      <c r="N39" s="14"/>
      <c r="O39" s="15"/>
      <c r="P39" s="5"/>
    </row>
    <row r="40" spans="1:16">
      <c r="A40" s="226"/>
      <c r="B40" s="4"/>
      <c r="C40" s="6"/>
      <c r="D40" s="4"/>
      <c r="E40" s="4"/>
      <c r="F40" s="4"/>
      <c r="G40" s="227"/>
      <c r="H40" s="9"/>
      <c r="I40" s="8"/>
      <c r="J40" s="13"/>
      <c r="K40" s="13"/>
      <c r="L40" s="13"/>
      <c r="M40" s="14"/>
      <c r="N40" s="14"/>
      <c r="O40" s="19"/>
      <c r="P40" s="5"/>
    </row>
    <row r="41" spans="1:16">
      <c r="A41" s="226"/>
      <c r="B41" s="4"/>
      <c r="C41" s="6"/>
      <c r="D41" s="4"/>
      <c r="E41" s="4"/>
      <c r="F41" s="4"/>
      <c r="G41" s="227"/>
      <c r="H41" s="9"/>
      <c r="I41" s="8"/>
      <c r="J41" s="13"/>
      <c r="K41" s="13"/>
      <c r="L41" s="13"/>
      <c r="M41" s="17"/>
      <c r="N41" s="17"/>
      <c r="O41" s="37"/>
      <c r="P41" s="5"/>
    </row>
    <row r="42" spans="1:16" ht="14.25">
      <c r="A42" s="226"/>
      <c r="B42" s="4"/>
      <c r="C42" s="6"/>
      <c r="D42" s="1357" t="s">
        <v>35</v>
      </c>
      <c r="E42" s="1358"/>
      <c r="F42" s="1359"/>
      <c r="G42" s="239">
        <f>+G39+G30+G16</f>
        <v>1202895</v>
      </c>
      <c r="H42" s="9"/>
      <c r="I42" s="48"/>
      <c r="J42" s="20"/>
      <c r="K42" s="8"/>
      <c r="L42" s="8"/>
      <c r="M42" s="8"/>
      <c r="N42" s="8"/>
      <c r="O42" s="8"/>
      <c r="P42" s="5"/>
    </row>
    <row r="43" spans="1:16" ht="14.25">
      <c r="A43" s="240"/>
      <c r="B43" s="57"/>
      <c r="C43" s="58"/>
      <c r="D43" s="99"/>
      <c r="E43" s="99"/>
      <c r="F43" s="99"/>
      <c r="G43" s="251"/>
      <c r="H43" s="9"/>
      <c r="I43" s="48"/>
      <c r="J43" s="20"/>
      <c r="K43" s="8"/>
      <c r="L43" s="8"/>
      <c r="M43" s="8"/>
      <c r="N43" s="8"/>
      <c r="O43" s="8"/>
      <c r="P43" s="5"/>
    </row>
    <row r="44" spans="1:16" ht="14.25">
      <c r="A44" s="374"/>
      <c r="B44" s="375"/>
      <c r="C44" s="375"/>
      <c r="D44" s="99"/>
      <c r="E44" s="99"/>
      <c r="F44" s="99"/>
      <c r="G44" s="251"/>
      <c r="H44" s="9"/>
      <c r="I44" s="48"/>
      <c r="J44" s="20"/>
      <c r="K44" s="8"/>
      <c r="L44" s="8"/>
      <c r="M44" s="8"/>
      <c r="N44" s="8"/>
      <c r="O44" s="8"/>
      <c r="P44" s="5"/>
    </row>
    <row r="45" spans="1:16" ht="14.25">
      <c r="A45" s="373"/>
      <c r="B45" s="376"/>
      <c r="C45" s="376"/>
      <c r="D45" s="99"/>
      <c r="E45" s="99"/>
      <c r="F45" s="99"/>
      <c r="G45" s="251"/>
      <c r="H45" s="9"/>
      <c r="I45" s="48"/>
      <c r="J45" s="20"/>
      <c r="K45" s="8"/>
      <c r="L45" s="8"/>
      <c r="M45" s="8"/>
      <c r="N45" s="8"/>
      <c r="O45" s="8"/>
      <c r="P45" s="5"/>
    </row>
    <row r="46" spans="1:16" ht="14.25">
      <c r="A46" s="373"/>
      <c r="B46" s="376"/>
      <c r="C46" s="376"/>
      <c r="D46" s="44"/>
      <c r="E46" s="45"/>
      <c r="F46" s="45"/>
      <c r="G46" s="251"/>
      <c r="H46" s="9"/>
      <c r="I46" s="8"/>
      <c r="J46" s="13"/>
      <c r="K46" s="8"/>
      <c r="L46" s="8"/>
      <c r="M46" s="8"/>
      <c r="N46" s="8"/>
      <c r="O46" s="8"/>
      <c r="P46" s="5"/>
    </row>
    <row r="47" spans="1:16" ht="15" thickBot="1">
      <c r="A47" s="242"/>
      <c r="B47" s="243"/>
      <c r="C47" s="244"/>
      <c r="D47" s="245"/>
      <c r="E47" s="246"/>
      <c r="F47" s="246"/>
      <c r="G47" s="247"/>
      <c r="H47" s="9"/>
      <c r="I47" s="8"/>
      <c r="J47" s="13"/>
      <c r="K47" s="8"/>
      <c r="L47" s="8"/>
      <c r="M47" s="8"/>
      <c r="N47" s="8"/>
      <c r="O47" s="8"/>
      <c r="P47" s="5"/>
    </row>
    <row r="48" spans="1:16">
      <c r="I48" s="5"/>
      <c r="J48" s="5"/>
      <c r="K48" s="5"/>
      <c r="L48" s="5"/>
      <c r="M48" s="5"/>
      <c r="N48" s="5"/>
      <c r="O48" s="5"/>
      <c r="P48" s="5"/>
    </row>
    <row r="49" spans="9:16">
      <c r="I49" s="5"/>
      <c r="J49" s="5"/>
      <c r="K49" s="5"/>
      <c r="L49" s="5"/>
      <c r="M49" s="5"/>
      <c r="N49" s="5"/>
      <c r="O49" s="5"/>
      <c r="P49" s="5"/>
    </row>
  </sheetData>
  <mergeCells count="26">
    <mergeCell ref="A32:G32"/>
    <mergeCell ref="D42:F42"/>
    <mergeCell ref="A25:C25"/>
    <mergeCell ref="A26:C26"/>
    <mergeCell ref="A27:C27"/>
    <mergeCell ref="A28:C28"/>
    <mergeCell ref="A29:C29"/>
    <mergeCell ref="A30:C30"/>
    <mergeCell ref="A24:C24"/>
    <mergeCell ref="A11:C11"/>
    <mergeCell ref="A12:C12"/>
    <mergeCell ref="A13:C13"/>
    <mergeCell ref="A14:C14"/>
    <mergeCell ref="A15:C15"/>
    <mergeCell ref="A16:C16"/>
    <mergeCell ref="A18:G18"/>
    <mergeCell ref="A20:C20"/>
    <mergeCell ref="A21:C21"/>
    <mergeCell ref="A22:C22"/>
    <mergeCell ref="A23:C23"/>
    <mergeCell ref="A1:G1"/>
    <mergeCell ref="A10:C10"/>
    <mergeCell ref="A2:G2"/>
    <mergeCell ref="A3:G4"/>
    <mergeCell ref="B6:E6"/>
    <mergeCell ref="A8:G8"/>
  </mergeCells>
  <printOptions horizontalCentered="1" verticalCentered="1"/>
  <pageMargins left="0.74803149606299213" right="0.74803149606299213" top="0" bottom="0.98425196850393704" header="0" footer="0"/>
  <pageSetup scale="90" orientation="portrait" r:id="rId1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7"/>
  <dimension ref="A1:U49"/>
  <sheetViews>
    <sheetView view="pageBreakPreview" topLeftCell="A15" zoomScaleNormal="100" zoomScaleSheetLayoutView="100" workbookViewId="0">
      <selection activeCell="F36" sqref="F36"/>
    </sheetView>
  </sheetViews>
  <sheetFormatPr baseColWidth="10" defaultColWidth="10.7109375" defaultRowHeight="12.75"/>
  <cols>
    <col min="1" max="1" width="15.85546875" style="3" customWidth="1"/>
    <col min="2" max="2" width="14.85546875" style="3" customWidth="1"/>
    <col min="3" max="3" width="13.28515625" style="3" customWidth="1"/>
    <col min="4" max="4" width="11.42578125" style="3"/>
    <col min="5" max="5" width="13.42578125" style="3" customWidth="1"/>
    <col min="6" max="6" width="12.7109375" style="3" customWidth="1"/>
    <col min="7" max="7" width="14" style="3" customWidth="1"/>
    <col min="8" max="8" width="7.42578125" style="3" customWidth="1"/>
    <col min="9" max="256" width="11.42578125" style="3"/>
    <col min="257" max="257" width="15.85546875" style="3" customWidth="1"/>
    <col min="258" max="258" width="14.85546875" style="3" customWidth="1"/>
    <col min="259" max="259" width="13.28515625" style="3" customWidth="1"/>
    <col min="260" max="260" width="11.42578125" style="3"/>
    <col min="261" max="261" width="13.42578125" style="3" customWidth="1"/>
    <col min="262" max="262" width="12.7109375" style="3" customWidth="1"/>
    <col min="263" max="263" width="14" style="3" customWidth="1"/>
    <col min="264" max="264" width="7.42578125" style="3" customWidth="1"/>
    <col min="265" max="512" width="11.42578125" style="3"/>
    <col min="513" max="513" width="15.85546875" style="3" customWidth="1"/>
    <col min="514" max="514" width="14.85546875" style="3" customWidth="1"/>
    <col min="515" max="515" width="13.28515625" style="3" customWidth="1"/>
    <col min="516" max="516" width="11.42578125" style="3"/>
    <col min="517" max="517" width="13.42578125" style="3" customWidth="1"/>
    <col min="518" max="518" width="12.7109375" style="3" customWidth="1"/>
    <col min="519" max="519" width="14" style="3" customWidth="1"/>
    <col min="520" max="520" width="7.42578125" style="3" customWidth="1"/>
    <col min="521" max="768" width="11.42578125" style="3"/>
    <col min="769" max="769" width="15.85546875" style="3" customWidth="1"/>
    <col min="770" max="770" width="14.85546875" style="3" customWidth="1"/>
    <col min="771" max="771" width="13.28515625" style="3" customWidth="1"/>
    <col min="772" max="772" width="11.42578125" style="3"/>
    <col min="773" max="773" width="13.42578125" style="3" customWidth="1"/>
    <col min="774" max="774" width="12.7109375" style="3" customWidth="1"/>
    <col min="775" max="775" width="14" style="3" customWidth="1"/>
    <col min="776" max="776" width="7.42578125" style="3" customWidth="1"/>
    <col min="777" max="1024" width="11.42578125" style="3"/>
    <col min="1025" max="1025" width="15.85546875" style="3" customWidth="1"/>
    <col min="1026" max="1026" width="14.85546875" style="3" customWidth="1"/>
    <col min="1027" max="1027" width="13.28515625" style="3" customWidth="1"/>
    <col min="1028" max="1028" width="11.42578125" style="3"/>
    <col min="1029" max="1029" width="13.42578125" style="3" customWidth="1"/>
    <col min="1030" max="1030" width="12.7109375" style="3" customWidth="1"/>
    <col min="1031" max="1031" width="14" style="3" customWidth="1"/>
    <col min="1032" max="1032" width="7.42578125" style="3" customWidth="1"/>
    <col min="1033" max="1280" width="11.42578125" style="3"/>
    <col min="1281" max="1281" width="15.85546875" style="3" customWidth="1"/>
    <col min="1282" max="1282" width="14.85546875" style="3" customWidth="1"/>
    <col min="1283" max="1283" width="13.28515625" style="3" customWidth="1"/>
    <col min="1284" max="1284" width="11.42578125" style="3"/>
    <col min="1285" max="1285" width="13.42578125" style="3" customWidth="1"/>
    <col min="1286" max="1286" width="12.7109375" style="3" customWidth="1"/>
    <col min="1287" max="1287" width="14" style="3" customWidth="1"/>
    <col min="1288" max="1288" width="7.42578125" style="3" customWidth="1"/>
    <col min="1289" max="1536" width="11.42578125" style="3"/>
    <col min="1537" max="1537" width="15.85546875" style="3" customWidth="1"/>
    <col min="1538" max="1538" width="14.85546875" style="3" customWidth="1"/>
    <col min="1539" max="1539" width="13.28515625" style="3" customWidth="1"/>
    <col min="1540" max="1540" width="11.42578125" style="3"/>
    <col min="1541" max="1541" width="13.42578125" style="3" customWidth="1"/>
    <col min="1542" max="1542" width="12.7109375" style="3" customWidth="1"/>
    <col min="1543" max="1543" width="14" style="3" customWidth="1"/>
    <col min="1544" max="1544" width="7.42578125" style="3" customWidth="1"/>
    <col min="1545" max="1792" width="11.42578125" style="3"/>
    <col min="1793" max="1793" width="15.85546875" style="3" customWidth="1"/>
    <col min="1794" max="1794" width="14.85546875" style="3" customWidth="1"/>
    <col min="1795" max="1795" width="13.28515625" style="3" customWidth="1"/>
    <col min="1796" max="1796" width="11.42578125" style="3"/>
    <col min="1797" max="1797" width="13.42578125" style="3" customWidth="1"/>
    <col min="1798" max="1798" width="12.7109375" style="3" customWidth="1"/>
    <col min="1799" max="1799" width="14" style="3" customWidth="1"/>
    <col min="1800" max="1800" width="7.42578125" style="3" customWidth="1"/>
    <col min="1801" max="2048" width="11.42578125" style="3"/>
    <col min="2049" max="2049" width="15.85546875" style="3" customWidth="1"/>
    <col min="2050" max="2050" width="14.85546875" style="3" customWidth="1"/>
    <col min="2051" max="2051" width="13.28515625" style="3" customWidth="1"/>
    <col min="2052" max="2052" width="11.42578125" style="3"/>
    <col min="2053" max="2053" width="13.42578125" style="3" customWidth="1"/>
    <col min="2054" max="2054" width="12.7109375" style="3" customWidth="1"/>
    <col min="2055" max="2055" width="14" style="3" customWidth="1"/>
    <col min="2056" max="2056" width="7.42578125" style="3" customWidth="1"/>
    <col min="2057" max="2304" width="11.42578125" style="3"/>
    <col min="2305" max="2305" width="15.85546875" style="3" customWidth="1"/>
    <col min="2306" max="2306" width="14.85546875" style="3" customWidth="1"/>
    <col min="2307" max="2307" width="13.28515625" style="3" customWidth="1"/>
    <col min="2308" max="2308" width="11.42578125" style="3"/>
    <col min="2309" max="2309" width="13.42578125" style="3" customWidth="1"/>
    <col min="2310" max="2310" width="12.7109375" style="3" customWidth="1"/>
    <col min="2311" max="2311" width="14" style="3" customWidth="1"/>
    <col min="2312" max="2312" width="7.42578125" style="3" customWidth="1"/>
    <col min="2313" max="2560" width="11.42578125" style="3"/>
    <col min="2561" max="2561" width="15.85546875" style="3" customWidth="1"/>
    <col min="2562" max="2562" width="14.85546875" style="3" customWidth="1"/>
    <col min="2563" max="2563" width="13.28515625" style="3" customWidth="1"/>
    <col min="2564" max="2564" width="11.42578125" style="3"/>
    <col min="2565" max="2565" width="13.42578125" style="3" customWidth="1"/>
    <col min="2566" max="2566" width="12.7109375" style="3" customWidth="1"/>
    <col min="2567" max="2567" width="14" style="3" customWidth="1"/>
    <col min="2568" max="2568" width="7.42578125" style="3" customWidth="1"/>
    <col min="2569" max="2816" width="11.42578125" style="3"/>
    <col min="2817" max="2817" width="15.85546875" style="3" customWidth="1"/>
    <col min="2818" max="2818" width="14.85546875" style="3" customWidth="1"/>
    <col min="2819" max="2819" width="13.28515625" style="3" customWidth="1"/>
    <col min="2820" max="2820" width="11.42578125" style="3"/>
    <col min="2821" max="2821" width="13.42578125" style="3" customWidth="1"/>
    <col min="2822" max="2822" width="12.7109375" style="3" customWidth="1"/>
    <col min="2823" max="2823" width="14" style="3" customWidth="1"/>
    <col min="2824" max="2824" width="7.42578125" style="3" customWidth="1"/>
    <col min="2825" max="3072" width="11.42578125" style="3"/>
    <col min="3073" max="3073" width="15.85546875" style="3" customWidth="1"/>
    <col min="3074" max="3074" width="14.85546875" style="3" customWidth="1"/>
    <col min="3075" max="3075" width="13.28515625" style="3" customWidth="1"/>
    <col min="3076" max="3076" width="11.42578125" style="3"/>
    <col min="3077" max="3077" width="13.42578125" style="3" customWidth="1"/>
    <col min="3078" max="3078" width="12.7109375" style="3" customWidth="1"/>
    <col min="3079" max="3079" width="14" style="3" customWidth="1"/>
    <col min="3080" max="3080" width="7.42578125" style="3" customWidth="1"/>
    <col min="3081" max="3328" width="11.42578125" style="3"/>
    <col min="3329" max="3329" width="15.85546875" style="3" customWidth="1"/>
    <col min="3330" max="3330" width="14.85546875" style="3" customWidth="1"/>
    <col min="3331" max="3331" width="13.28515625" style="3" customWidth="1"/>
    <col min="3332" max="3332" width="11.42578125" style="3"/>
    <col min="3333" max="3333" width="13.42578125" style="3" customWidth="1"/>
    <col min="3334" max="3334" width="12.7109375" style="3" customWidth="1"/>
    <col min="3335" max="3335" width="14" style="3" customWidth="1"/>
    <col min="3336" max="3336" width="7.42578125" style="3" customWidth="1"/>
    <col min="3337" max="3584" width="11.42578125" style="3"/>
    <col min="3585" max="3585" width="15.85546875" style="3" customWidth="1"/>
    <col min="3586" max="3586" width="14.85546875" style="3" customWidth="1"/>
    <col min="3587" max="3587" width="13.28515625" style="3" customWidth="1"/>
    <col min="3588" max="3588" width="11.42578125" style="3"/>
    <col min="3589" max="3589" width="13.42578125" style="3" customWidth="1"/>
    <col min="3590" max="3590" width="12.7109375" style="3" customWidth="1"/>
    <col min="3591" max="3591" width="14" style="3" customWidth="1"/>
    <col min="3592" max="3592" width="7.42578125" style="3" customWidth="1"/>
    <col min="3593" max="3840" width="11.42578125" style="3"/>
    <col min="3841" max="3841" width="15.85546875" style="3" customWidth="1"/>
    <col min="3842" max="3842" width="14.85546875" style="3" customWidth="1"/>
    <col min="3843" max="3843" width="13.28515625" style="3" customWidth="1"/>
    <col min="3844" max="3844" width="11.42578125" style="3"/>
    <col min="3845" max="3845" width="13.42578125" style="3" customWidth="1"/>
    <col min="3846" max="3846" width="12.7109375" style="3" customWidth="1"/>
    <col min="3847" max="3847" width="14" style="3" customWidth="1"/>
    <col min="3848" max="3848" width="7.42578125" style="3" customWidth="1"/>
    <col min="3849" max="4096" width="11.42578125" style="3"/>
    <col min="4097" max="4097" width="15.85546875" style="3" customWidth="1"/>
    <col min="4098" max="4098" width="14.85546875" style="3" customWidth="1"/>
    <col min="4099" max="4099" width="13.28515625" style="3" customWidth="1"/>
    <col min="4100" max="4100" width="11.42578125" style="3"/>
    <col min="4101" max="4101" width="13.42578125" style="3" customWidth="1"/>
    <col min="4102" max="4102" width="12.7109375" style="3" customWidth="1"/>
    <col min="4103" max="4103" width="14" style="3" customWidth="1"/>
    <col min="4104" max="4104" width="7.42578125" style="3" customWidth="1"/>
    <col min="4105" max="4352" width="11.42578125" style="3"/>
    <col min="4353" max="4353" width="15.85546875" style="3" customWidth="1"/>
    <col min="4354" max="4354" width="14.85546875" style="3" customWidth="1"/>
    <col min="4355" max="4355" width="13.28515625" style="3" customWidth="1"/>
    <col min="4356" max="4356" width="11.42578125" style="3"/>
    <col min="4357" max="4357" width="13.42578125" style="3" customWidth="1"/>
    <col min="4358" max="4358" width="12.7109375" style="3" customWidth="1"/>
    <col min="4359" max="4359" width="14" style="3" customWidth="1"/>
    <col min="4360" max="4360" width="7.42578125" style="3" customWidth="1"/>
    <col min="4361" max="4608" width="11.42578125" style="3"/>
    <col min="4609" max="4609" width="15.85546875" style="3" customWidth="1"/>
    <col min="4610" max="4610" width="14.85546875" style="3" customWidth="1"/>
    <col min="4611" max="4611" width="13.28515625" style="3" customWidth="1"/>
    <col min="4612" max="4612" width="11.42578125" style="3"/>
    <col min="4613" max="4613" width="13.42578125" style="3" customWidth="1"/>
    <col min="4614" max="4614" width="12.7109375" style="3" customWidth="1"/>
    <col min="4615" max="4615" width="14" style="3" customWidth="1"/>
    <col min="4616" max="4616" width="7.42578125" style="3" customWidth="1"/>
    <col min="4617" max="4864" width="11.42578125" style="3"/>
    <col min="4865" max="4865" width="15.85546875" style="3" customWidth="1"/>
    <col min="4866" max="4866" width="14.85546875" style="3" customWidth="1"/>
    <col min="4867" max="4867" width="13.28515625" style="3" customWidth="1"/>
    <col min="4868" max="4868" width="11.42578125" style="3"/>
    <col min="4869" max="4869" width="13.42578125" style="3" customWidth="1"/>
    <col min="4870" max="4870" width="12.7109375" style="3" customWidth="1"/>
    <col min="4871" max="4871" width="14" style="3" customWidth="1"/>
    <col min="4872" max="4872" width="7.42578125" style="3" customWidth="1"/>
    <col min="4873" max="5120" width="11.42578125" style="3"/>
    <col min="5121" max="5121" width="15.85546875" style="3" customWidth="1"/>
    <col min="5122" max="5122" width="14.85546875" style="3" customWidth="1"/>
    <col min="5123" max="5123" width="13.28515625" style="3" customWidth="1"/>
    <col min="5124" max="5124" width="11.42578125" style="3"/>
    <col min="5125" max="5125" width="13.42578125" style="3" customWidth="1"/>
    <col min="5126" max="5126" width="12.7109375" style="3" customWidth="1"/>
    <col min="5127" max="5127" width="14" style="3" customWidth="1"/>
    <col min="5128" max="5128" width="7.42578125" style="3" customWidth="1"/>
    <col min="5129" max="5376" width="11.42578125" style="3"/>
    <col min="5377" max="5377" width="15.85546875" style="3" customWidth="1"/>
    <col min="5378" max="5378" width="14.85546875" style="3" customWidth="1"/>
    <col min="5379" max="5379" width="13.28515625" style="3" customWidth="1"/>
    <col min="5380" max="5380" width="11.42578125" style="3"/>
    <col min="5381" max="5381" width="13.42578125" style="3" customWidth="1"/>
    <col min="5382" max="5382" width="12.7109375" style="3" customWidth="1"/>
    <col min="5383" max="5383" width="14" style="3" customWidth="1"/>
    <col min="5384" max="5384" width="7.42578125" style="3" customWidth="1"/>
    <col min="5385" max="5632" width="11.42578125" style="3"/>
    <col min="5633" max="5633" width="15.85546875" style="3" customWidth="1"/>
    <col min="5634" max="5634" width="14.85546875" style="3" customWidth="1"/>
    <col min="5635" max="5635" width="13.28515625" style="3" customWidth="1"/>
    <col min="5636" max="5636" width="11.42578125" style="3"/>
    <col min="5637" max="5637" width="13.42578125" style="3" customWidth="1"/>
    <col min="5638" max="5638" width="12.7109375" style="3" customWidth="1"/>
    <col min="5639" max="5639" width="14" style="3" customWidth="1"/>
    <col min="5640" max="5640" width="7.42578125" style="3" customWidth="1"/>
    <col min="5641" max="5888" width="11.42578125" style="3"/>
    <col min="5889" max="5889" width="15.85546875" style="3" customWidth="1"/>
    <col min="5890" max="5890" width="14.85546875" style="3" customWidth="1"/>
    <col min="5891" max="5891" width="13.28515625" style="3" customWidth="1"/>
    <col min="5892" max="5892" width="11.42578125" style="3"/>
    <col min="5893" max="5893" width="13.42578125" style="3" customWidth="1"/>
    <col min="5894" max="5894" width="12.7109375" style="3" customWidth="1"/>
    <col min="5895" max="5895" width="14" style="3" customWidth="1"/>
    <col min="5896" max="5896" width="7.42578125" style="3" customWidth="1"/>
    <col min="5897" max="6144" width="11.42578125" style="3"/>
    <col min="6145" max="6145" width="15.85546875" style="3" customWidth="1"/>
    <col min="6146" max="6146" width="14.85546875" style="3" customWidth="1"/>
    <col min="6147" max="6147" width="13.28515625" style="3" customWidth="1"/>
    <col min="6148" max="6148" width="11.42578125" style="3"/>
    <col min="6149" max="6149" width="13.42578125" style="3" customWidth="1"/>
    <col min="6150" max="6150" width="12.7109375" style="3" customWidth="1"/>
    <col min="6151" max="6151" width="14" style="3" customWidth="1"/>
    <col min="6152" max="6152" width="7.42578125" style="3" customWidth="1"/>
    <col min="6153" max="6400" width="11.42578125" style="3"/>
    <col min="6401" max="6401" width="15.85546875" style="3" customWidth="1"/>
    <col min="6402" max="6402" width="14.85546875" style="3" customWidth="1"/>
    <col min="6403" max="6403" width="13.28515625" style="3" customWidth="1"/>
    <col min="6404" max="6404" width="11.42578125" style="3"/>
    <col min="6405" max="6405" width="13.42578125" style="3" customWidth="1"/>
    <col min="6406" max="6406" width="12.7109375" style="3" customWidth="1"/>
    <col min="6407" max="6407" width="14" style="3" customWidth="1"/>
    <col min="6408" max="6408" width="7.42578125" style="3" customWidth="1"/>
    <col min="6409" max="6656" width="11.42578125" style="3"/>
    <col min="6657" max="6657" width="15.85546875" style="3" customWidth="1"/>
    <col min="6658" max="6658" width="14.85546875" style="3" customWidth="1"/>
    <col min="6659" max="6659" width="13.28515625" style="3" customWidth="1"/>
    <col min="6660" max="6660" width="11.42578125" style="3"/>
    <col min="6661" max="6661" width="13.42578125" style="3" customWidth="1"/>
    <col min="6662" max="6662" width="12.7109375" style="3" customWidth="1"/>
    <col min="6663" max="6663" width="14" style="3" customWidth="1"/>
    <col min="6664" max="6664" width="7.42578125" style="3" customWidth="1"/>
    <col min="6665" max="6912" width="11.42578125" style="3"/>
    <col min="6913" max="6913" width="15.85546875" style="3" customWidth="1"/>
    <col min="6914" max="6914" width="14.85546875" style="3" customWidth="1"/>
    <col min="6915" max="6915" width="13.28515625" style="3" customWidth="1"/>
    <col min="6916" max="6916" width="11.42578125" style="3"/>
    <col min="6917" max="6917" width="13.42578125" style="3" customWidth="1"/>
    <col min="6918" max="6918" width="12.7109375" style="3" customWidth="1"/>
    <col min="6919" max="6919" width="14" style="3" customWidth="1"/>
    <col min="6920" max="6920" width="7.42578125" style="3" customWidth="1"/>
    <col min="6921" max="7168" width="11.42578125" style="3"/>
    <col min="7169" max="7169" width="15.85546875" style="3" customWidth="1"/>
    <col min="7170" max="7170" width="14.85546875" style="3" customWidth="1"/>
    <col min="7171" max="7171" width="13.28515625" style="3" customWidth="1"/>
    <col min="7172" max="7172" width="11.42578125" style="3"/>
    <col min="7173" max="7173" width="13.42578125" style="3" customWidth="1"/>
    <col min="7174" max="7174" width="12.7109375" style="3" customWidth="1"/>
    <col min="7175" max="7175" width="14" style="3" customWidth="1"/>
    <col min="7176" max="7176" width="7.42578125" style="3" customWidth="1"/>
    <col min="7177" max="7424" width="11.42578125" style="3"/>
    <col min="7425" max="7425" width="15.85546875" style="3" customWidth="1"/>
    <col min="7426" max="7426" width="14.85546875" style="3" customWidth="1"/>
    <col min="7427" max="7427" width="13.28515625" style="3" customWidth="1"/>
    <col min="7428" max="7428" width="11.42578125" style="3"/>
    <col min="7429" max="7429" width="13.42578125" style="3" customWidth="1"/>
    <col min="7430" max="7430" width="12.7109375" style="3" customWidth="1"/>
    <col min="7431" max="7431" width="14" style="3" customWidth="1"/>
    <col min="7432" max="7432" width="7.42578125" style="3" customWidth="1"/>
    <col min="7433" max="7680" width="11.42578125" style="3"/>
    <col min="7681" max="7681" width="15.85546875" style="3" customWidth="1"/>
    <col min="7682" max="7682" width="14.85546875" style="3" customWidth="1"/>
    <col min="7683" max="7683" width="13.28515625" style="3" customWidth="1"/>
    <col min="7684" max="7684" width="11.42578125" style="3"/>
    <col min="7685" max="7685" width="13.42578125" style="3" customWidth="1"/>
    <col min="7686" max="7686" width="12.7109375" style="3" customWidth="1"/>
    <col min="7687" max="7687" width="14" style="3" customWidth="1"/>
    <col min="7688" max="7688" width="7.42578125" style="3" customWidth="1"/>
    <col min="7689" max="7936" width="11.42578125" style="3"/>
    <col min="7937" max="7937" width="15.85546875" style="3" customWidth="1"/>
    <col min="7938" max="7938" width="14.85546875" style="3" customWidth="1"/>
    <col min="7939" max="7939" width="13.28515625" style="3" customWidth="1"/>
    <col min="7940" max="7940" width="11.42578125" style="3"/>
    <col min="7941" max="7941" width="13.42578125" style="3" customWidth="1"/>
    <col min="7942" max="7942" width="12.7109375" style="3" customWidth="1"/>
    <col min="7943" max="7943" width="14" style="3" customWidth="1"/>
    <col min="7944" max="7944" width="7.42578125" style="3" customWidth="1"/>
    <col min="7945" max="8192" width="11.42578125" style="3"/>
    <col min="8193" max="8193" width="15.85546875" style="3" customWidth="1"/>
    <col min="8194" max="8194" width="14.85546875" style="3" customWidth="1"/>
    <col min="8195" max="8195" width="13.28515625" style="3" customWidth="1"/>
    <col min="8196" max="8196" width="11.42578125" style="3"/>
    <col min="8197" max="8197" width="13.42578125" style="3" customWidth="1"/>
    <col min="8198" max="8198" width="12.7109375" style="3" customWidth="1"/>
    <col min="8199" max="8199" width="14" style="3" customWidth="1"/>
    <col min="8200" max="8200" width="7.42578125" style="3" customWidth="1"/>
    <col min="8201" max="8448" width="11.42578125" style="3"/>
    <col min="8449" max="8449" width="15.85546875" style="3" customWidth="1"/>
    <col min="8450" max="8450" width="14.85546875" style="3" customWidth="1"/>
    <col min="8451" max="8451" width="13.28515625" style="3" customWidth="1"/>
    <col min="8452" max="8452" width="11.42578125" style="3"/>
    <col min="8453" max="8453" width="13.42578125" style="3" customWidth="1"/>
    <col min="8454" max="8454" width="12.7109375" style="3" customWidth="1"/>
    <col min="8455" max="8455" width="14" style="3" customWidth="1"/>
    <col min="8456" max="8456" width="7.42578125" style="3" customWidth="1"/>
    <col min="8457" max="8704" width="11.42578125" style="3"/>
    <col min="8705" max="8705" width="15.85546875" style="3" customWidth="1"/>
    <col min="8706" max="8706" width="14.85546875" style="3" customWidth="1"/>
    <col min="8707" max="8707" width="13.28515625" style="3" customWidth="1"/>
    <col min="8708" max="8708" width="11.42578125" style="3"/>
    <col min="8709" max="8709" width="13.42578125" style="3" customWidth="1"/>
    <col min="8710" max="8710" width="12.7109375" style="3" customWidth="1"/>
    <col min="8711" max="8711" width="14" style="3" customWidth="1"/>
    <col min="8712" max="8712" width="7.42578125" style="3" customWidth="1"/>
    <col min="8713" max="8960" width="11.42578125" style="3"/>
    <col min="8961" max="8961" width="15.85546875" style="3" customWidth="1"/>
    <col min="8962" max="8962" width="14.85546875" style="3" customWidth="1"/>
    <col min="8963" max="8963" width="13.28515625" style="3" customWidth="1"/>
    <col min="8964" max="8964" width="11.42578125" style="3"/>
    <col min="8965" max="8965" width="13.42578125" style="3" customWidth="1"/>
    <col min="8966" max="8966" width="12.7109375" style="3" customWidth="1"/>
    <col min="8967" max="8967" width="14" style="3" customWidth="1"/>
    <col min="8968" max="8968" width="7.42578125" style="3" customWidth="1"/>
    <col min="8969" max="9216" width="11.42578125" style="3"/>
    <col min="9217" max="9217" width="15.85546875" style="3" customWidth="1"/>
    <col min="9218" max="9218" width="14.85546875" style="3" customWidth="1"/>
    <col min="9219" max="9219" width="13.28515625" style="3" customWidth="1"/>
    <col min="9220" max="9220" width="11.42578125" style="3"/>
    <col min="9221" max="9221" width="13.42578125" style="3" customWidth="1"/>
    <col min="9222" max="9222" width="12.7109375" style="3" customWidth="1"/>
    <col min="9223" max="9223" width="14" style="3" customWidth="1"/>
    <col min="9224" max="9224" width="7.42578125" style="3" customWidth="1"/>
    <col min="9225" max="9472" width="11.42578125" style="3"/>
    <col min="9473" max="9473" width="15.85546875" style="3" customWidth="1"/>
    <col min="9474" max="9474" width="14.85546875" style="3" customWidth="1"/>
    <col min="9475" max="9475" width="13.28515625" style="3" customWidth="1"/>
    <col min="9476" max="9476" width="11.42578125" style="3"/>
    <col min="9477" max="9477" width="13.42578125" style="3" customWidth="1"/>
    <col min="9478" max="9478" width="12.7109375" style="3" customWidth="1"/>
    <col min="9479" max="9479" width="14" style="3" customWidth="1"/>
    <col min="9480" max="9480" width="7.42578125" style="3" customWidth="1"/>
    <col min="9481" max="9728" width="11.42578125" style="3"/>
    <col min="9729" max="9729" width="15.85546875" style="3" customWidth="1"/>
    <col min="9730" max="9730" width="14.85546875" style="3" customWidth="1"/>
    <col min="9731" max="9731" width="13.28515625" style="3" customWidth="1"/>
    <col min="9732" max="9732" width="11.42578125" style="3"/>
    <col min="9733" max="9733" width="13.42578125" style="3" customWidth="1"/>
    <col min="9734" max="9734" width="12.7109375" style="3" customWidth="1"/>
    <col min="9735" max="9735" width="14" style="3" customWidth="1"/>
    <col min="9736" max="9736" width="7.42578125" style="3" customWidth="1"/>
    <col min="9737" max="9984" width="11.42578125" style="3"/>
    <col min="9985" max="9985" width="15.85546875" style="3" customWidth="1"/>
    <col min="9986" max="9986" width="14.85546875" style="3" customWidth="1"/>
    <col min="9987" max="9987" width="13.28515625" style="3" customWidth="1"/>
    <col min="9988" max="9988" width="11.42578125" style="3"/>
    <col min="9989" max="9989" width="13.42578125" style="3" customWidth="1"/>
    <col min="9990" max="9990" width="12.7109375" style="3" customWidth="1"/>
    <col min="9991" max="9991" width="14" style="3" customWidth="1"/>
    <col min="9992" max="9992" width="7.42578125" style="3" customWidth="1"/>
    <col min="9993" max="10240" width="11.42578125" style="3"/>
    <col min="10241" max="10241" width="15.85546875" style="3" customWidth="1"/>
    <col min="10242" max="10242" width="14.85546875" style="3" customWidth="1"/>
    <col min="10243" max="10243" width="13.28515625" style="3" customWidth="1"/>
    <col min="10244" max="10244" width="11.42578125" style="3"/>
    <col min="10245" max="10245" width="13.42578125" style="3" customWidth="1"/>
    <col min="10246" max="10246" width="12.7109375" style="3" customWidth="1"/>
    <col min="10247" max="10247" width="14" style="3" customWidth="1"/>
    <col min="10248" max="10248" width="7.42578125" style="3" customWidth="1"/>
    <col min="10249" max="10496" width="11.42578125" style="3"/>
    <col min="10497" max="10497" width="15.85546875" style="3" customWidth="1"/>
    <col min="10498" max="10498" width="14.85546875" style="3" customWidth="1"/>
    <col min="10499" max="10499" width="13.28515625" style="3" customWidth="1"/>
    <col min="10500" max="10500" width="11.42578125" style="3"/>
    <col min="10501" max="10501" width="13.42578125" style="3" customWidth="1"/>
    <col min="10502" max="10502" width="12.7109375" style="3" customWidth="1"/>
    <col min="10503" max="10503" width="14" style="3" customWidth="1"/>
    <col min="10504" max="10504" width="7.42578125" style="3" customWidth="1"/>
    <col min="10505" max="10752" width="11.42578125" style="3"/>
    <col min="10753" max="10753" width="15.85546875" style="3" customWidth="1"/>
    <col min="10754" max="10754" width="14.85546875" style="3" customWidth="1"/>
    <col min="10755" max="10755" width="13.28515625" style="3" customWidth="1"/>
    <col min="10756" max="10756" width="11.42578125" style="3"/>
    <col min="10757" max="10757" width="13.42578125" style="3" customWidth="1"/>
    <col min="10758" max="10758" width="12.7109375" style="3" customWidth="1"/>
    <col min="10759" max="10759" width="14" style="3" customWidth="1"/>
    <col min="10760" max="10760" width="7.42578125" style="3" customWidth="1"/>
    <col min="10761" max="11008" width="11.42578125" style="3"/>
    <col min="11009" max="11009" width="15.85546875" style="3" customWidth="1"/>
    <col min="11010" max="11010" width="14.85546875" style="3" customWidth="1"/>
    <col min="11011" max="11011" width="13.28515625" style="3" customWidth="1"/>
    <col min="11012" max="11012" width="11.42578125" style="3"/>
    <col min="11013" max="11013" width="13.42578125" style="3" customWidth="1"/>
    <col min="11014" max="11014" width="12.7109375" style="3" customWidth="1"/>
    <col min="11015" max="11015" width="14" style="3" customWidth="1"/>
    <col min="11016" max="11016" width="7.42578125" style="3" customWidth="1"/>
    <col min="11017" max="11264" width="11.42578125" style="3"/>
    <col min="11265" max="11265" width="15.85546875" style="3" customWidth="1"/>
    <col min="11266" max="11266" width="14.85546875" style="3" customWidth="1"/>
    <col min="11267" max="11267" width="13.28515625" style="3" customWidth="1"/>
    <col min="11268" max="11268" width="11.42578125" style="3"/>
    <col min="11269" max="11269" width="13.42578125" style="3" customWidth="1"/>
    <col min="11270" max="11270" width="12.7109375" style="3" customWidth="1"/>
    <col min="11271" max="11271" width="14" style="3" customWidth="1"/>
    <col min="11272" max="11272" width="7.42578125" style="3" customWidth="1"/>
    <col min="11273" max="11520" width="11.42578125" style="3"/>
    <col min="11521" max="11521" width="15.85546875" style="3" customWidth="1"/>
    <col min="11522" max="11522" width="14.85546875" style="3" customWidth="1"/>
    <col min="11523" max="11523" width="13.28515625" style="3" customWidth="1"/>
    <col min="11524" max="11524" width="11.42578125" style="3"/>
    <col min="11525" max="11525" width="13.42578125" style="3" customWidth="1"/>
    <col min="11526" max="11526" width="12.7109375" style="3" customWidth="1"/>
    <col min="11527" max="11527" width="14" style="3" customWidth="1"/>
    <col min="11528" max="11528" width="7.42578125" style="3" customWidth="1"/>
    <col min="11529" max="11776" width="11.42578125" style="3"/>
    <col min="11777" max="11777" width="15.85546875" style="3" customWidth="1"/>
    <col min="11778" max="11778" width="14.85546875" style="3" customWidth="1"/>
    <col min="11779" max="11779" width="13.28515625" style="3" customWidth="1"/>
    <col min="11780" max="11780" width="11.42578125" style="3"/>
    <col min="11781" max="11781" width="13.42578125" style="3" customWidth="1"/>
    <col min="11782" max="11782" width="12.7109375" style="3" customWidth="1"/>
    <col min="11783" max="11783" width="14" style="3" customWidth="1"/>
    <col min="11784" max="11784" width="7.42578125" style="3" customWidth="1"/>
    <col min="11785" max="12032" width="11.42578125" style="3"/>
    <col min="12033" max="12033" width="15.85546875" style="3" customWidth="1"/>
    <col min="12034" max="12034" width="14.85546875" style="3" customWidth="1"/>
    <col min="12035" max="12035" width="13.28515625" style="3" customWidth="1"/>
    <col min="12036" max="12036" width="11.42578125" style="3"/>
    <col min="12037" max="12037" width="13.42578125" style="3" customWidth="1"/>
    <col min="12038" max="12038" width="12.7109375" style="3" customWidth="1"/>
    <col min="12039" max="12039" width="14" style="3" customWidth="1"/>
    <col min="12040" max="12040" width="7.42578125" style="3" customWidth="1"/>
    <col min="12041" max="12288" width="11.42578125" style="3"/>
    <col min="12289" max="12289" width="15.85546875" style="3" customWidth="1"/>
    <col min="12290" max="12290" width="14.85546875" style="3" customWidth="1"/>
    <col min="12291" max="12291" width="13.28515625" style="3" customWidth="1"/>
    <col min="12292" max="12292" width="11.42578125" style="3"/>
    <col min="12293" max="12293" width="13.42578125" style="3" customWidth="1"/>
    <col min="12294" max="12294" width="12.7109375" style="3" customWidth="1"/>
    <col min="12295" max="12295" width="14" style="3" customWidth="1"/>
    <col min="12296" max="12296" width="7.42578125" style="3" customWidth="1"/>
    <col min="12297" max="12544" width="11.42578125" style="3"/>
    <col min="12545" max="12545" width="15.85546875" style="3" customWidth="1"/>
    <col min="12546" max="12546" width="14.85546875" style="3" customWidth="1"/>
    <col min="12547" max="12547" width="13.28515625" style="3" customWidth="1"/>
    <col min="12548" max="12548" width="11.42578125" style="3"/>
    <col min="12549" max="12549" width="13.42578125" style="3" customWidth="1"/>
    <col min="12550" max="12550" width="12.7109375" style="3" customWidth="1"/>
    <col min="12551" max="12551" width="14" style="3" customWidth="1"/>
    <col min="12552" max="12552" width="7.42578125" style="3" customWidth="1"/>
    <col min="12553" max="12800" width="11.42578125" style="3"/>
    <col min="12801" max="12801" width="15.85546875" style="3" customWidth="1"/>
    <col min="12802" max="12802" width="14.85546875" style="3" customWidth="1"/>
    <col min="12803" max="12803" width="13.28515625" style="3" customWidth="1"/>
    <col min="12804" max="12804" width="11.42578125" style="3"/>
    <col min="12805" max="12805" width="13.42578125" style="3" customWidth="1"/>
    <col min="12806" max="12806" width="12.7109375" style="3" customWidth="1"/>
    <col min="12807" max="12807" width="14" style="3" customWidth="1"/>
    <col min="12808" max="12808" width="7.42578125" style="3" customWidth="1"/>
    <col min="12809" max="13056" width="11.42578125" style="3"/>
    <col min="13057" max="13057" width="15.85546875" style="3" customWidth="1"/>
    <col min="13058" max="13058" width="14.85546875" style="3" customWidth="1"/>
    <col min="13059" max="13059" width="13.28515625" style="3" customWidth="1"/>
    <col min="13060" max="13060" width="11.42578125" style="3"/>
    <col min="13061" max="13061" width="13.42578125" style="3" customWidth="1"/>
    <col min="13062" max="13062" width="12.7109375" style="3" customWidth="1"/>
    <col min="13063" max="13063" width="14" style="3" customWidth="1"/>
    <col min="13064" max="13064" width="7.42578125" style="3" customWidth="1"/>
    <col min="13065" max="13312" width="11.42578125" style="3"/>
    <col min="13313" max="13313" width="15.85546875" style="3" customWidth="1"/>
    <col min="13314" max="13314" width="14.85546875" style="3" customWidth="1"/>
    <col min="13315" max="13315" width="13.28515625" style="3" customWidth="1"/>
    <col min="13316" max="13316" width="11.42578125" style="3"/>
    <col min="13317" max="13317" width="13.42578125" style="3" customWidth="1"/>
    <col min="13318" max="13318" width="12.7109375" style="3" customWidth="1"/>
    <col min="13319" max="13319" width="14" style="3" customWidth="1"/>
    <col min="13320" max="13320" width="7.42578125" style="3" customWidth="1"/>
    <col min="13321" max="13568" width="11.42578125" style="3"/>
    <col min="13569" max="13569" width="15.85546875" style="3" customWidth="1"/>
    <col min="13570" max="13570" width="14.85546875" style="3" customWidth="1"/>
    <col min="13571" max="13571" width="13.28515625" style="3" customWidth="1"/>
    <col min="13572" max="13572" width="11.42578125" style="3"/>
    <col min="13573" max="13573" width="13.42578125" style="3" customWidth="1"/>
    <col min="13574" max="13574" width="12.7109375" style="3" customWidth="1"/>
    <col min="13575" max="13575" width="14" style="3" customWidth="1"/>
    <col min="13576" max="13576" width="7.42578125" style="3" customWidth="1"/>
    <col min="13577" max="13824" width="11.42578125" style="3"/>
    <col min="13825" max="13825" width="15.85546875" style="3" customWidth="1"/>
    <col min="13826" max="13826" width="14.85546875" style="3" customWidth="1"/>
    <col min="13827" max="13827" width="13.28515625" style="3" customWidth="1"/>
    <col min="13828" max="13828" width="11.42578125" style="3"/>
    <col min="13829" max="13829" width="13.42578125" style="3" customWidth="1"/>
    <col min="13830" max="13830" width="12.7109375" style="3" customWidth="1"/>
    <col min="13831" max="13831" width="14" style="3" customWidth="1"/>
    <col min="13832" max="13832" width="7.42578125" style="3" customWidth="1"/>
    <col min="13833" max="14080" width="11.42578125" style="3"/>
    <col min="14081" max="14081" width="15.85546875" style="3" customWidth="1"/>
    <col min="14082" max="14082" width="14.85546875" style="3" customWidth="1"/>
    <col min="14083" max="14083" width="13.28515625" style="3" customWidth="1"/>
    <col min="14084" max="14084" width="11.42578125" style="3"/>
    <col min="14085" max="14085" width="13.42578125" style="3" customWidth="1"/>
    <col min="14086" max="14086" width="12.7109375" style="3" customWidth="1"/>
    <col min="14087" max="14087" width="14" style="3" customWidth="1"/>
    <col min="14088" max="14088" width="7.42578125" style="3" customWidth="1"/>
    <col min="14089" max="14336" width="11.42578125" style="3"/>
    <col min="14337" max="14337" width="15.85546875" style="3" customWidth="1"/>
    <col min="14338" max="14338" width="14.85546875" style="3" customWidth="1"/>
    <col min="14339" max="14339" width="13.28515625" style="3" customWidth="1"/>
    <col min="14340" max="14340" width="11.42578125" style="3"/>
    <col min="14341" max="14341" width="13.42578125" style="3" customWidth="1"/>
    <col min="14342" max="14342" width="12.7109375" style="3" customWidth="1"/>
    <col min="14343" max="14343" width="14" style="3" customWidth="1"/>
    <col min="14344" max="14344" width="7.42578125" style="3" customWidth="1"/>
    <col min="14345" max="14592" width="11.42578125" style="3"/>
    <col min="14593" max="14593" width="15.85546875" style="3" customWidth="1"/>
    <col min="14594" max="14594" width="14.85546875" style="3" customWidth="1"/>
    <col min="14595" max="14595" width="13.28515625" style="3" customWidth="1"/>
    <col min="14596" max="14596" width="11.42578125" style="3"/>
    <col min="14597" max="14597" width="13.42578125" style="3" customWidth="1"/>
    <col min="14598" max="14598" width="12.7109375" style="3" customWidth="1"/>
    <col min="14599" max="14599" width="14" style="3" customWidth="1"/>
    <col min="14600" max="14600" width="7.42578125" style="3" customWidth="1"/>
    <col min="14601" max="14848" width="11.42578125" style="3"/>
    <col min="14849" max="14849" width="15.85546875" style="3" customWidth="1"/>
    <col min="14850" max="14850" width="14.85546875" style="3" customWidth="1"/>
    <col min="14851" max="14851" width="13.28515625" style="3" customWidth="1"/>
    <col min="14852" max="14852" width="11.42578125" style="3"/>
    <col min="14853" max="14853" width="13.42578125" style="3" customWidth="1"/>
    <col min="14854" max="14854" width="12.7109375" style="3" customWidth="1"/>
    <col min="14855" max="14855" width="14" style="3" customWidth="1"/>
    <col min="14856" max="14856" width="7.42578125" style="3" customWidth="1"/>
    <col min="14857" max="15104" width="11.42578125" style="3"/>
    <col min="15105" max="15105" width="15.85546875" style="3" customWidth="1"/>
    <col min="15106" max="15106" width="14.85546875" style="3" customWidth="1"/>
    <col min="15107" max="15107" width="13.28515625" style="3" customWidth="1"/>
    <col min="15108" max="15108" width="11.42578125" style="3"/>
    <col min="15109" max="15109" width="13.42578125" style="3" customWidth="1"/>
    <col min="15110" max="15110" width="12.7109375" style="3" customWidth="1"/>
    <col min="15111" max="15111" width="14" style="3" customWidth="1"/>
    <col min="15112" max="15112" width="7.42578125" style="3" customWidth="1"/>
    <col min="15113" max="15360" width="11.42578125" style="3"/>
    <col min="15361" max="15361" width="15.85546875" style="3" customWidth="1"/>
    <col min="15362" max="15362" width="14.85546875" style="3" customWidth="1"/>
    <col min="15363" max="15363" width="13.28515625" style="3" customWidth="1"/>
    <col min="15364" max="15364" width="11.42578125" style="3"/>
    <col min="15365" max="15365" width="13.42578125" style="3" customWidth="1"/>
    <col min="15366" max="15366" width="12.7109375" style="3" customWidth="1"/>
    <col min="15367" max="15367" width="14" style="3" customWidth="1"/>
    <col min="15368" max="15368" width="7.42578125" style="3" customWidth="1"/>
    <col min="15369" max="15616" width="11.42578125" style="3"/>
    <col min="15617" max="15617" width="15.85546875" style="3" customWidth="1"/>
    <col min="15618" max="15618" width="14.85546875" style="3" customWidth="1"/>
    <col min="15619" max="15619" width="13.28515625" style="3" customWidth="1"/>
    <col min="15620" max="15620" width="11.42578125" style="3"/>
    <col min="15621" max="15621" width="13.42578125" style="3" customWidth="1"/>
    <col min="15622" max="15622" width="12.7109375" style="3" customWidth="1"/>
    <col min="15623" max="15623" width="14" style="3" customWidth="1"/>
    <col min="15624" max="15624" width="7.42578125" style="3" customWidth="1"/>
    <col min="15625" max="15872" width="11.42578125" style="3"/>
    <col min="15873" max="15873" width="15.85546875" style="3" customWidth="1"/>
    <col min="15874" max="15874" width="14.85546875" style="3" customWidth="1"/>
    <col min="15875" max="15875" width="13.28515625" style="3" customWidth="1"/>
    <col min="15876" max="15876" width="11.42578125" style="3"/>
    <col min="15877" max="15877" width="13.42578125" style="3" customWidth="1"/>
    <col min="15878" max="15878" width="12.7109375" style="3" customWidth="1"/>
    <col min="15879" max="15879" width="14" style="3" customWidth="1"/>
    <col min="15880" max="15880" width="7.42578125" style="3" customWidth="1"/>
    <col min="15881" max="16128" width="11.42578125" style="3"/>
    <col min="16129" max="16129" width="15.85546875" style="3" customWidth="1"/>
    <col min="16130" max="16130" width="14.85546875" style="3" customWidth="1"/>
    <col min="16131" max="16131" width="13.28515625" style="3" customWidth="1"/>
    <col min="16132" max="16132" width="11.42578125" style="3"/>
    <col min="16133" max="16133" width="13.42578125" style="3" customWidth="1"/>
    <col min="16134" max="16134" width="12.7109375" style="3" customWidth="1"/>
    <col min="16135" max="16135" width="14" style="3" customWidth="1"/>
    <col min="16136" max="16136" width="7.42578125" style="3" customWidth="1"/>
    <col min="16137" max="16384" width="11.42578125" style="3"/>
  </cols>
  <sheetData>
    <row r="1" spans="1:21" ht="48" customHeight="1">
      <c r="A1" s="1346" t="str">
        <f>PPTO!D3</f>
        <v>PRESUPUESTO
MUNICIPIO EL BAGRE (ANTIOQUIA).</v>
      </c>
      <c r="B1" s="1347"/>
      <c r="C1" s="1347"/>
      <c r="D1" s="1347"/>
      <c r="E1" s="1347"/>
      <c r="F1" s="1347"/>
      <c r="G1" s="1348"/>
      <c r="H1" s="1"/>
      <c r="I1" s="2"/>
    </row>
    <row r="2" spans="1:21" ht="18" customHeight="1">
      <c r="A2" s="1362" t="s">
        <v>16</v>
      </c>
      <c r="B2" s="1363"/>
      <c r="C2" s="1363"/>
      <c r="D2" s="1363"/>
      <c r="E2" s="1363"/>
      <c r="F2" s="1363"/>
      <c r="G2" s="1364"/>
      <c r="H2" s="1"/>
      <c r="I2" s="2"/>
    </row>
    <row r="3" spans="1:21" ht="24" customHeight="1">
      <c r="A3" s="1367" t="str">
        <f>+PPTO!$D$5</f>
        <v>PROYECTO DE MEJORAMIENTO VIAL, ESPACIO PUBLICO Y OBRAS COMPLEMENTARIAS DE LA AVENIDA LA JUVENTUD Y TRAMOS ADYACENTES Y PRIORITARIOS DEL SECTOR URBANO EN EL MUNICIPIO EL BAGRE ANTIOQUIA.</v>
      </c>
      <c r="B3" s="1368"/>
      <c r="C3" s="1368"/>
      <c r="D3" s="1368"/>
      <c r="E3" s="1368"/>
      <c r="F3" s="1368"/>
      <c r="G3" s="1369"/>
      <c r="H3" s="1"/>
      <c r="I3" s="2"/>
    </row>
    <row r="4" spans="1:21" ht="30" customHeight="1">
      <c r="A4" s="1370"/>
      <c r="B4" s="1368"/>
      <c r="C4" s="1368"/>
      <c r="D4" s="1368"/>
      <c r="E4" s="1368"/>
      <c r="F4" s="1368"/>
      <c r="G4" s="1369"/>
      <c r="H4" s="1"/>
      <c r="I4" s="2"/>
    </row>
    <row r="5" spans="1:21" ht="6.75" customHeight="1">
      <c r="A5" s="222"/>
      <c r="B5" s="6"/>
      <c r="C5" s="24"/>
      <c r="D5" s="25"/>
      <c r="E5" s="6"/>
      <c r="F5" s="6"/>
      <c r="G5" s="223"/>
      <c r="H5" s="9"/>
    </row>
    <row r="6" spans="1:21" ht="52.5" customHeight="1">
      <c r="A6" s="368">
        <v>5.7</v>
      </c>
      <c r="B6" s="1349" t="str">
        <f>VLOOKUP(A6,PPTO!D10:I137,2,FALSE)</f>
        <v>Señal horizontal de PARE  con linea delimitadora en Pintura acrilica de Trafico. (Manual Señalizacion MinT Colombia 2015)</v>
      </c>
      <c r="C6" s="1350"/>
      <c r="D6" s="1350"/>
      <c r="E6" s="1351"/>
      <c r="F6" s="192" t="s">
        <v>118</v>
      </c>
      <c r="G6" s="248" t="str">
        <f>VLOOKUP(A6,PPTO!D10:I137,3,FALSE)</f>
        <v>und</v>
      </c>
      <c r="H6" s="9"/>
    </row>
    <row r="7" spans="1:21" ht="3.75" customHeight="1">
      <c r="A7" s="226"/>
      <c r="B7" s="4"/>
      <c r="C7" s="6"/>
      <c r="D7" s="4"/>
      <c r="E7" s="4"/>
      <c r="F7" s="4"/>
      <c r="G7" s="227"/>
      <c r="H7" s="9"/>
    </row>
    <row r="8" spans="1:21" ht="22.5" customHeight="1">
      <c r="A8" s="1354" t="s">
        <v>69</v>
      </c>
      <c r="B8" s="1355"/>
      <c r="C8" s="1355"/>
      <c r="D8" s="1355"/>
      <c r="E8" s="1355"/>
      <c r="F8" s="1355"/>
      <c r="G8" s="1356"/>
      <c r="H8" s="9"/>
    </row>
    <row r="9" spans="1:21" ht="4.5" customHeight="1">
      <c r="A9" s="226"/>
      <c r="B9" s="4"/>
      <c r="C9" s="6"/>
      <c r="D9" s="4"/>
      <c r="E9" s="4"/>
      <c r="F9" s="4"/>
      <c r="G9" s="227"/>
      <c r="H9" s="9"/>
      <c r="I9" s="5"/>
      <c r="J9" s="5"/>
      <c r="K9" s="5"/>
      <c r="L9" s="26"/>
      <c r="M9" s="5"/>
      <c r="N9" s="5"/>
      <c r="O9" s="5"/>
      <c r="P9" s="5"/>
    </row>
    <row r="10" spans="1:21">
      <c r="A10" s="1373" t="s">
        <v>17</v>
      </c>
      <c r="B10" s="1374"/>
      <c r="C10" s="1374"/>
      <c r="D10" s="353" t="s">
        <v>18</v>
      </c>
      <c r="E10" s="353" t="s">
        <v>19</v>
      </c>
      <c r="F10" s="353" t="s">
        <v>20</v>
      </c>
      <c r="G10" s="228" t="s">
        <v>21</v>
      </c>
      <c r="H10" s="27"/>
      <c r="I10" s="28"/>
      <c r="J10" s="29"/>
      <c r="K10" s="30"/>
      <c r="L10" s="30"/>
      <c r="M10" s="30"/>
      <c r="N10" s="30"/>
      <c r="O10" s="30"/>
      <c r="P10" s="5"/>
    </row>
    <row r="11" spans="1:21">
      <c r="A11" s="1352" t="s">
        <v>47</v>
      </c>
      <c r="B11" s="1353"/>
      <c r="C11" s="1353"/>
      <c r="D11" s="353"/>
      <c r="E11" s="83"/>
      <c r="F11" s="97"/>
      <c r="G11" s="229">
        <f>+G39*10%+165</f>
        <v>3942</v>
      </c>
      <c r="H11" s="9"/>
      <c r="I11" s="30"/>
      <c r="J11" s="31"/>
      <c r="K11" s="30"/>
      <c r="L11" s="30"/>
      <c r="M11" s="30"/>
      <c r="N11" s="30"/>
      <c r="O11" s="30"/>
      <c r="P11" s="5"/>
    </row>
    <row r="12" spans="1:21">
      <c r="A12" s="1371"/>
      <c r="B12" s="1372"/>
      <c r="C12" s="1372"/>
      <c r="D12" s="83"/>
      <c r="E12" s="83"/>
      <c r="F12" s="93"/>
      <c r="G12" s="229"/>
      <c r="H12" s="9"/>
      <c r="I12" s="16"/>
      <c r="J12" s="13"/>
      <c r="K12" s="8"/>
      <c r="L12" s="8"/>
      <c r="M12" s="8"/>
      <c r="N12" s="8"/>
      <c r="O12" s="8"/>
      <c r="P12" s="5"/>
    </row>
    <row r="13" spans="1:21">
      <c r="A13" s="1371"/>
      <c r="B13" s="1372"/>
      <c r="C13" s="1372"/>
      <c r="D13" s="83"/>
      <c r="E13" s="83"/>
      <c r="F13" s="93"/>
      <c r="G13" s="229"/>
      <c r="H13" s="9"/>
      <c r="I13" s="13"/>
      <c r="J13" s="13"/>
      <c r="K13" s="13"/>
      <c r="L13" s="13"/>
      <c r="M13" s="13"/>
      <c r="N13" s="13"/>
      <c r="O13" s="13"/>
      <c r="P13" s="5"/>
    </row>
    <row r="14" spans="1:21">
      <c r="A14" s="1371"/>
      <c r="B14" s="1372"/>
      <c r="C14" s="1372"/>
      <c r="D14" s="83"/>
      <c r="E14" s="83"/>
      <c r="F14" s="93"/>
      <c r="G14" s="229"/>
      <c r="H14" s="9"/>
      <c r="I14" s="8"/>
      <c r="J14" s="14"/>
      <c r="K14" s="32"/>
      <c r="L14" s="14"/>
      <c r="M14" s="15"/>
      <c r="N14" s="15"/>
      <c r="O14" s="19"/>
      <c r="P14" s="5"/>
    </row>
    <row r="15" spans="1:21">
      <c r="A15" s="1371"/>
      <c r="B15" s="1372"/>
      <c r="C15" s="1372"/>
      <c r="D15" s="83"/>
      <c r="E15" s="83"/>
      <c r="F15" s="98"/>
      <c r="G15" s="229"/>
      <c r="H15" s="9"/>
      <c r="I15" s="8"/>
      <c r="J15" s="33"/>
      <c r="K15" s="32"/>
      <c r="L15" s="14"/>
      <c r="M15" s="15"/>
      <c r="N15" s="15"/>
      <c r="O15" s="19"/>
      <c r="P15" s="5"/>
      <c r="Q15" s="5"/>
      <c r="R15" s="5"/>
      <c r="S15" s="5"/>
      <c r="T15" s="5"/>
      <c r="U15" s="5"/>
    </row>
    <row r="16" spans="1:21">
      <c r="A16" s="1371"/>
      <c r="B16" s="1372"/>
      <c r="C16" s="1372"/>
      <c r="D16" s="85" t="s">
        <v>37</v>
      </c>
      <c r="E16" s="50"/>
      <c r="F16" s="49"/>
      <c r="G16" s="230">
        <f>SUM(G11:G15)</f>
        <v>3942</v>
      </c>
      <c r="H16" s="9"/>
      <c r="I16" s="34"/>
      <c r="J16" s="34"/>
      <c r="K16" s="35"/>
      <c r="L16" s="36"/>
      <c r="M16" s="7"/>
      <c r="N16" s="7"/>
      <c r="O16" s="19"/>
      <c r="P16" s="5"/>
      <c r="Q16" s="5"/>
      <c r="R16" s="5"/>
      <c r="S16" s="5"/>
      <c r="T16" s="5"/>
      <c r="U16" s="5"/>
    </row>
    <row r="17" spans="1:21" ht="4.5" customHeight="1">
      <c r="A17" s="226"/>
      <c r="B17" s="4"/>
      <c r="C17" s="6"/>
      <c r="D17" s="4"/>
      <c r="E17" s="4"/>
      <c r="F17" s="4"/>
      <c r="G17" s="227"/>
      <c r="H17" s="9"/>
      <c r="I17" s="34"/>
      <c r="J17" s="34"/>
      <c r="K17" s="35"/>
      <c r="L17" s="36"/>
      <c r="M17" s="7"/>
      <c r="N17" s="7"/>
      <c r="O17" s="19"/>
      <c r="P17" s="5"/>
      <c r="Q17" s="5"/>
      <c r="R17" s="5"/>
      <c r="S17" s="5"/>
      <c r="T17" s="5"/>
      <c r="U17" s="5"/>
    </row>
    <row r="18" spans="1:21" ht="22.5" customHeight="1">
      <c r="A18" s="1354" t="s">
        <v>70</v>
      </c>
      <c r="B18" s="1355"/>
      <c r="C18" s="1355"/>
      <c r="D18" s="1355"/>
      <c r="E18" s="1355"/>
      <c r="F18" s="1355"/>
      <c r="G18" s="1356"/>
      <c r="H18" s="9"/>
    </row>
    <row r="19" spans="1:21" ht="4.5" customHeight="1">
      <c r="A19" s="226"/>
      <c r="B19" s="4"/>
      <c r="C19" s="6"/>
      <c r="D19" s="4"/>
      <c r="E19" s="4"/>
      <c r="F19" s="38"/>
      <c r="G19" s="227"/>
      <c r="H19" s="9"/>
      <c r="I19" s="34"/>
      <c r="J19" s="34"/>
      <c r="K19" s="35"/>
      <c r="L19" s="39"/>
      <c r="M19" s="7"/>
      <c r="N19" s="7"/>
      <c r="O19" s="8"/>
      <c r="P19" s="5"/>
      <c r="Q19" s="5"/>
      <c r="R19" s="5"/>
      <c r="S19" s="5"/>
      <c r="T19" s="5"/>
      <c r="U19" s="5"/>
    </row>
    <row r="20" spans="1:21">
      <c r="A20" s="1373" t="s">
        <v>17</v>
      </c>
      <c r="B20" s="1374"/>
      <c r="C20" s="1374"/>
      <c r="D20" s="353" t="s">
        <v>3</v>
      </c>
      <c r="E20" s="353" t="s">
        <v>4</v>
      </c>
      <c r="F20" s="353" t="s">
        <v>25</v>
      </c>
      <c r="G20" s="228" t="s">
        <v>21</v>
      </c>
      <c r="H20" s="27"/>
      <c r="I20" s="34"/>
      <c r="J20" s="34"/>
      <c r="K20" s="35"/>
      <c r="L20" s="39"/>
      <c r="M20" s="7"/>
      <c r="N20" s="7"/>
      <c r="O20" s="8"/>
      <c r="P20" s="5"/>
      <c r="Q20" s="5"/>
      <c r="R20" s="5"/>
      <c r="S20" s="5"/>
      <c r="T20" s="5"/>
      <c r="U20" s="5"/>
    </row>
    <row r="21" spans="1:21">
      <c r="A21" s="1382" t="s">
        <v>58</v>
      </c>
      <c r="B21" s="1383"/>
      <c r="C21" s="1383"/>
      <c r="D21" s="79" t="s">
        <v>49</v>
      </c>
      <c r="E21" s="82">
        <v>0.3</v>
      </c>
      <c r="F21" s="87">
        <v>90000</v>
      </c>
      <c r="G21" s="231">
        <f>ROUND(F21*E21,0)</f>
        <v>27000</v>
      </c>
      <c r="H21" s="9"/>
      <c r="I21" s="34"/>
      <c r="J21" s="34"/>
      <c r="K21" s="35"/>
      <c r="L21" s="39"/>
      <c r="M21" s="7"/>
      <c r="N21" s="7"/>
      <c r="O21" s="13"/>
      <c r="P21" s="5"/>
      <c r="Q21" s="5"/>
      <c r="R21" s="5"/>
      <c r="S21" s="5"/>
      <c r="T21" s="5"/>
      <c r="U21" s="5"/>
    </row>
    <row r="22" spans="1:21">
      <c r="A22" s="1382" t="s">
        <v>56</v>
      </c>
      <c r="B22" s="1383"/>
      <c r="C22" s="1383"/>
      <c r="D22" s="79" t="s">
        <v>49</v>
      </c>
      <c r="E22" s="82">
        <f>E21</f>
        <v>0.3</v>
      </c>
      <c r="F22" s="78">
        <v>20000</v>
      </c>
      <c r="G22" s="231">
        <f>ROUND(F22*E22,0)</f>
        <v>6000</v>
      </c>
      <c r="H22" s="9"/>
      <c r="I22" s="10"/>
      <c r="J22" s="10"/>
      <c r="K22" s="12"/>
      <c r="L22" s="39"/>
      <c r="M22" s="7"/>
      <c r="N22" s="7"/>
      <c r="O22" s="15"/>
      <c r="P22" s="5"/>
      <c r="Q22" s="5"/>
      <c r="R22" s="5"/>
      <c r="S22" s="5"/>
      <c r="T22" s="5"/>
      <c r="U22" s="5"/>
    </row>
    <row r="23" spans="1:21">
      <c r="A23" s="1352" t="s">
        <v>60</v>
      </c>
      <c r="B23" s="1353"/>
      <c r="C23" s="1353"/>
      <c r="D23" s="73" t="s">
        <v>59</v>
      </c>
      <c r="E23" s="82">
        <f>E21</f>
        <v>0.3</v>
      </c>
      <c r="F23" s="78">
        <v>35500</v>
      </c>
      <c r="G23" s="231">
        <f>ROUND(F23*E23,0)</f>
        <v>10650</v>
      </c>
      <c r="H23" s="9"/>
      <c r="I23" s="10"/>
      <c r="J23" s="10"/>
      <c r="K23" s="12"/>
      <c r="L23" s="39"/>
      <c r="M23" s="7"/>
      <c r="N23" s="7"/>
      <c r="O23" s="15"/>
      <c r="P23" s="5"/>
      <c r="Q23" s="5"/>
      <c r="R23" s="5"/>
      <c r="S23" s="5"/>
      <c r="T23" s="5"/>
      <c r="U23" s="5"/>
    </row>
    <row r="24" spans="1:21">
      <c r="A24" s="1352"/>
      <c r="B24" s="1353"/>
      <c r="C24" s="1353"/>
      <c r="D24" s="81"/>
      <c r="E24" s="88"/>
      <c r="F24" s="78"/>
      <c r="G24" s="231"/>
      <c r="H24" s="9"/>
      <c r="I24" s="10"/>
      <c r="J24" s="40"/>
      <c r="K24" s="12"/>
      <c r="L24" s="13"/>
      <c r="M24" s="14"/>
      <c r="N24" s="14"/>
      <c r="O24" s="15"/>
      <c r="P24" s="5"/>
      <c r="Q24" s="5"/>
      <c r="R24" s="5"/>
      <c r="S24" s="5"/>
      <c r="T24" s="5"/>
      <c r="U24" s="5"/>
    </row>
    <row r="25" spans="1:21">
      <c r="A25" s="1352"/>
      <c r="B25" s="1353"/>
      <c r="C25" s="1353"/>
      <c r="D25" s="81"/>
      <c r="E25" s="82"/>
      <c r="F25" s="78"/>
      <c r="G25" s="231"/>
      <c r="H25" s="9"/>
      <c r="I25" s="10"/>
      <c r="J25" s="11"/>
      <c r="K25" s="12"/>
      <c r="L25" s="13"/>
      <c r="M25" s="14"/>
      <c r="N25" s="14"/>
      <c r="O25" s="15"/>
      <c r="P25" s="5"/>
      <c r="Q25" s="5"/>
      <c r="R25" s="5"/>
      <c r="S25" s="5"/>
      <c r="T25" s="5"/>
      <c r="U25" s="5"/>
    </row>
    <row r="26" spans="1:21">
      <c r="A26" s="1352"/>
      <c r="B26" s="1353"/>
      <c r="C26" s="1353"/>
      <c r="D26" s="79"/>
      <c r="E26" s="82"/>
      <c r="F26" s="78"/>
      <c r="G26" s="231"/>
      <c r="H26" s="9"/>
      <c r="I26" s="10"/>
      <c r="J26" s="11"/>
      <c r="K26" s="12"/>
      <c r="L26" s="13"/>
      <c r="M26" s="14"/>
      <c r="N26" s="14"/>
      <c r="O26" s="15"/>
      <c r="P26" s="5"/>
      <c r="Q26" s="5"/>
      <c r="R26" s="5"/>
      <c r="S26" s="5"/>
      <c r="T26" s="5"/>
      <c r="U26" s="5"/>
    </row>
    <row r="27" spans="1:21">
      <c r="A27" s="1352"/>
      <c r="B27" s="1353"/>
      <c r="C27" s="1353"/>
      <c r="D27" s="79"/>
      <c r="E27" s="82"/>
      <c r="F27" s="78"/>
      <c r="G27" s="231"/>
      <c r="H27" s="9"/>
      <c r="I27" s="10"/>
      <c r="J27" s="11"/>
      <c r="K27" s="12"/>
      <c r="L27" s="13"/>
      <c r="M27" s="14"/>
      <c r="N27" s="14"/>
      <c r="O27" s="15"/>
      <c r="P27" s="5"/>
      <c r="Q27" s="5"/>
      <c r="R27" s="5"/>
      <c r="S27" s="5"/>
      <c r="T27" s="5"/>
      <c r="U27" s="5"/>
    </row>
    <row r="28" spans="1:21">
      <c r="A28" s="1352"/>
      <c r="B28" s="1353"/>
      <c r="C28" s="1353"/>
      <c r="D28" s="79"/>
      <c r="E28" s="82"/>
      <c r="F28" s="83"/>
      <c r="G28" s="231"/>
      <c r="H28" s="9"/>
      <c r="I28" s="41"/>
      <c r="J28" s="41"/>
      <c r="K28" s="12"/>
      <c r="L28" s="13"/>
      <c r="M28" s="14"/>
      <c r="N28" s="14"/>
      <c r="O28" s="15"/>
      <c r="P28" s="5"/>
      <c r="Q28" s="5"/>
      <c r="R28" s="5"/>
      <c r="S28" s="5"/>
      <c r="T28" s="5"/>
      <c r="U28" s="5"/>
    </row>
    <row r="29" spans="1:21">
      <c r="A29" s="1352"/>
      <c r="B29" s="1353"/>
      <c r="C29" s="1353"/>
      <c r="D29" s="84"/>
      <c r="E29" s="84"/>
      <c r="F29" s="83"/>
      <c r="G29" s="231"/>
      <c r="H29" s="9"/>
      <c r="I29" s="42"/>
      <c r="J29" s="42"/>
      <c r="K29" s="42"/>
      <c r="L29" s="13"/>
      <c r="M29" s="14"/>
      <c r="N29" s="14"/>
      <c r="O29" s="15"/>
      <c r="P29" s="5"/>
      <c r="Q29" s="5"/>
      <c r="R29" s="5"/>
      <c r="S29" s="5"/>
      <c r="T29" s="5"/>
      <c r="U29" s="5"/>
    </row>
    <row r="30" spans="1:21">
      <c r="A30" s="1352"/>
      <c r="B30" s="1353"/>
      <c r="C30" s="1353"/>
      <c r="D30" s="85" t="s">
        <v>28</v>
      </c>
      <c r="E30" s="50"/>
      <c r="F30" s="49"/>
      <c r="G30" s="230">
        <f>SUM(G21:G29)</f>
        <v>43650</v>
      </c>
      <c r="H30" s="9"/>
      <c r="I30" s="8"/>
      <c r="J30" s="13"/>
      <c r="K30" s="8"/>
      <c r="L30" s="13"/>
      <c r="M30" s="14"/>
      <c r="N30" s="14"/>
      <c r="O30" s="15"/>
      <c r="P30" s="5"/>
    </row>
    <row r="31" spans="1:21" ht="3.75" customHeight="1">
      <c r="A31" s="226"/>
      <c r="B31" s="4"/>
      <c r="C31" s="6"/>
      <c r="D31" s="4"/>
      <c r="E31" s="4"/>
      <c r="F31" s="4"/>
      <c r="G31" s="227"/>
      <c r="H31" s="9"/>
      <c r="I31" s="8"/>
      <c r="J31" s="13"/>
      <c r="K31" s="18"/>
      <c r="L31" s="13"/>
      <c r="M31" s="33"/>
      <c r="N31" s="33"/>
      <c r="O31" s="15"/>
      <c r="P31" s="5"/>
    </row>
    <row r="32" spans="1:21" ht="22.5" customHeight="1">
      <c r="A32" s="1354" t="s">
        <v>71</v>
      </c>
      <c r="B32" s="1355"/>
      <c r="C32" s="1355"/>
      <c r="D32" s="1355"/>
      <c r="E32" s="1355"/>
      <c r="F32" s="1355"/>
      <c r="G32" s="1356"/>
      <c r="H32" s="9"/>
    </row>
    <row r="33" spans="1:16" ht="3.75" customHeight="1">
      <c r="A33" s="226"/>
      <c r="B33" s="4"/>
      <c r="C33" s="6"/>
      <c r="D33" s="4"/>
      <c r="E33" s="4"/>
      <c r="F33" s="4"/>
      <c r="G33" s="227"/>
      <c r="H33" s="9"/>
      <c r="I33" s="8"/>
      <c r="J33" s="13"/>
      <c r="K33" s="8"/>
      <c r="L33" s="8"/>
      <c r="M33" s="8"/>
      <c r="N33" s="8"/>
      <c r="O33" s="15"/>
      <c r="P33" s="5"/>
    </row>
    <row r="34" spans="1:16">
      <c r="A34" s="232" t="s">
        <v>5</v>
      </c>
      <c r="B34" s="60" t="s">
        <v>29</v>
      </c>
      <c r="C34" s="60" t="s">
        <v>30</v>
      </c>
      <c r="D34" s="60" t="s">
        <v>31</v>
      </c>
      <c r="E34" s="60" t="s">
        <v>32</v>
      </c>
      <c r="F34" s="60" t="s">
        <v>20</v>
      </c>
      <c r="G34" s="228" t="s">
        <v>33</v>
      </c>
      <c r="H34" s="27"/>
      <c r="I34" s="8"/>
      <c r="J34" s="13"/>
      <c r="K34" s="8"/>
      <c r="L34" s="8"/>
      <c r="M34" s="8"/>
      <c r="N34" s="8"/>
      <c r="O34" s="15"/>
      <c r="P34" s="5"/>
    </row>
    <row r="35" spans="1:16">
      <c r="A35" s="233" t="s">
        <v>41</v>
      </c>
      <c r="B35" s="63">
        <f>BOF</f>
        <v>51749</v>
      </c>
      <c r="C35" s="68">
        <f>ffpp</f>
        <v>0.64539999999999997</v>
      </c>
      <c r="D35" s="72">
        <v>0.5</v>
      </c>
      <c r="E35" s="66">
        <f>OF</f>
        <v>88696</v>
      </c>
      <c r="F35" s="65">
        <v>5</v>
      </c>
      <c r="G35" s="231">
        <f>ROUND(+D35*E35/F35,0)</f>
        <v>8870</v>
      </c>
      <c r="H35" s="9"/>
      <c r="I35" s="16"/>
      <c r="J35" s="13"/>
      <c r="K35" s="8"/>
      <c r="L35" s="8"/>
      <c r="M35" s="8"/>
      <c r="N35" s="8"/>
      <c r="O35" s="15"/>
      <c r="P35" s="5"/>
    </row>
    <row r="36" spans="1:16">
      <c r="A36" s="233" t="s">
        <v>38</v>
      </c>
      <c r="B36" s="63">
        <f>BOB</f>
        <v>41749</v>
      </c>
      <c r="C36" s="68">
        <f>ffpp</f>
        <v>0.64539999999999997</v>
      </c>
      <c r="D36" s="72">
        <v>2</v>
      </c>
      <c r="E36" s="66">
        <f>OB</f>
        <v>72242</v>
      </c>
      <c r="F36" s="65">
        <f>+F35</f>
        <v>5</v>
      </c>
      <c r="G36" s="231">
        <f>ROUND(+D36*E36/F36,0)</f>
        <v>28897</v>
      </c>
      <c r="H36" s="9"/>
      <c r="I36" s="8"/>
      <c r="J36" s="8"/>
      <c r="K36" s="13"/>
      <c r="L36" s="13"/>
      <c r="M36" s="13"/>
      <c r="N36" s="13"/>
      <c r="O36" s="13"/>
      <c r="P36" s="5"/>
    </row>
    <row r="37" spans="1:16">
      <c r="A37" s="234"/>
      <c r="B37" s="50"/>
      <c r="C37" s="961"/>
      <c r="D37" s="50"/>
      <c r="E37" s="50"/>
      <c r="F37" s="50"/>
      <c r="G37" s="235"/>
      <c r="H37" s="9"/>
      <c r="I37" s="8"/>
      <c r="J37" s="13"/>
      <c r="K37" s="13"/>
      <c r="L37" s="13"/>
      <c r="M37" s="33"/>
      <c r="N37" s="33"/>
      <c r="O37" s="43"/>
      <c r="P37" s="5"/>
    </row>
    <row r="38" spans="1:16">
      <c r="A38" s="233"/>
      <c r="B38" s="65"/>
      <c r="C38" s="68"/>
      <c r="D38" s="65"/>
      <c r="E38" s="69"/>
      <c r="F38" s="69"/>
      <c r="G38" s="236"/>
      <c r="H38" s="9"/>
      <c r="I38" s="8"/>
      <c r="J38" s="13"/>
      <c r="K38" s="13"/>
      <c r="L38" s="13"/>
      <c r="M38" s="33"/>
      <c r="N38" s="33"/>
      <c r="O38" s="43"/>
      <c r="P38" s="5"/>
    </row>
    <row r="39" spans="1:16">
      <c r="A39" s="249"/>
      <c r="B39" s="71"/>
      <c r="C39" s="71"/>
      <c r="D39" s="71" t="s">
        <v>34</v>
      </c>
      <c r="E39" s="71"/>
      <c r="F39" s="71"/>
      <c r="G39" s="250">
        <f>SUM(G35:G38)</f>
        <v>37767</v>
      </c>
      <c r="H39" s="9"/>
      <c r="I39" s="8"/>
      <c r="J39" s="13"/>
      <c r="K39" s="13"/>
      <c r="L39" s="13"/>
      <c r="M39" s="14"/>
      <c r="N39" s="14"/>
      <c r="O39" s="15"/>
      <c r="P39" s="5"/>
    </row>
    <row r="40" spans="1:16">
      <c r="A40" s="226"/>
      <c r="B40" s="4"/>
      <c r="C40" s="6"/>
      <c r="D40" s="4"/>
      <c r="E40" s="4"/>
      <c r="F40" s="4"/>
      <c r="G40" s="227"/>
      <c r="H40" s="9"/>
      <c r="I40" s="8"/>
      <c r="J40" s="13"/>
      <c r="K40" s="13"/>
      <c r="L40" s="13"/>
      <c r="M40" s="14"/>
      <c r="N40" s="14"/>
      <c r="O40" s="19"/>
      <c r="P40" s="5"/>
    </row>
    <row r="41" spans="1:16">
      <c r="A41" s="226"/>
      <c r="B41" s="4"/>
      <c r="C41" s="6"/>
      <c r="D41" s="4"/>
      <c r="E41" s="4"/>
      <c r="F41" s="4"/>
      <c r="G41" s="227"/>
      <c r="H41" s="9"/>
      <c r="I41" s="8"/>
      <c r="J41" s="13"/>
      <c r="K41" s="13"/>
      <c r="L41" s="13"/>
      <c r="M41" s="17"/>
      <c r="N41" s="17"/>
      <c r="O41" s="37"/>
      <c r="P41" s="5"/>
    </row>
    <row r="42" spans="1:16" ht="14.25">
      <c r="A42" s="226"/>
      <c r="B42" s="4"/>
      <c r="C42" s="6"/>
      <c r="D42" s="1357" t="s">
        <v>35</v>
      </c>
      <c r="E42" s="1358"/>
      <c r="F42" s="1359"/>
      <c r="G42" s="239">
        <f>+G39+G30+G16</f>
        <v>85359</v>
      </c>
      <c r="H42" s="9"/>
      <c r="I42" s="48"/>
      <c r="J42" s="20"/>
      <c r="K42" s="8"/>
      <c r="L42" s="8"/>
      <c r="M42" s="8"/>
      <c r="N42" s="8"/>
      <c r="O42" s="8"/>
      <c r="P42" s="5"/>
    </row>
    <row r="43" spans="1:16" ht="14.25">
      <c r="A43" s="240"/>
      <c r="B43" s="57"/>
      <c r="C43" s="58"/>
      <c r="D43" s="99"/>
      <c r="E43" s="99"/>
      <c r="F43" s="99"/>
      <c r="G43" s="251"/>
      <c r="H43" s="9"/>
      <c r="I43" s="48"/>
      <c r="J43" s="20"/>
      <c r="K43" s="8"/>
      <c r="L43" s="8"/>
      <c r="M43" s="8"/>
      <c r="N43" s="8"/>
      <c r="O43" s="8"/>
      <c r="P43" s="5"/>
    </row>
    <row r="44" spans="1:16" ht="14.25">
      <c r="A44" s="374"/>
      <c r="B44" s="375"/>
      <c r="C44" s="375"/>
      <c r="D44" s="99"/>
      <c r="E44" s="99"/>
      <c r="F44" s="99"/>
      <c r="G44" s="251"/>
      <c r="H44" s="9"/>
      <c r="I44" s="48"/>
      <c r="J44" s="20"/>
      <c r="K44" s="8"/>
      <c r="L44" s="8"/>
      <c r="M44" s="8"/>
      <c r="N44" s="8"/>
      <c r="O44" s="8"/>
      <c r="P44" s="5"/>
    </row>
    <row r="45" spans="1:16" ht="14.25">
      <c r="A45" s="373"/>
      <c r="B45" s="376"/>
      <c r="C45" s="376"/>
      <c r="D45" s="99"/>
      <c r="E45" s="99"/>
      <c r="F45" s="99"/>
      <c r="G45" s="251"/>
      <c r="H45" s="9"/>
      <c r="I45" s="48"/>
      <c r="J45" s="20"/>
      <c r="K45" s="8"/>
      <c r="L45" s="8"/>
      <c r="M45" s="8"/>
      <c r="N45" s="8"/>
      <c r="O45" s="8"/>
      <c r="P45" s="5"/>
    </row>
    <row r="46" spans="1:16" ht="14.25">
      <c r="A46" s="373"/>
      <c r="B46" s="376"/>
      <c r="C46" s="376"/>
      <c r="D46" s="44"/>
      <c r="E46" s="45"/>
      <c r="F46" s="45"/>
      <c r="G46" s="251"/>
      <c r="H46" s="9"/>
      <c r="I46" s="8"/>
      <c r="J46" s="13"/>
      <c r="K46" s="8"/>
      <c r="L46" s="8"/>
      <c r="M46" s="8"/>
      <c r="N46" s="8"/>
      <c r="O46" s="8"/>
      <c r="P46" s="5"/>
    </row>
    <row r="47" spans="1:16" ht="15" thickBot="1">
      <c r="A47" s="242"/>
      <c r="B47" s="243"/>
      <c r="C47" s="244"/>
      <c r="D47" s="245"/>
      <c r="E47" s="246"/>
      <c r="F47" s="246"/>
      <c r="G47" s="247"/>
      <c r="H47" s="9"/>
      <c r="I47" s="8"/>
      <c r="J47" s="13"/>
      <c r="K47" s="8"/>
      <c r="L47" s="8"/>
      <c r="M47" s="8"/>
      <c r="N47" s="8"/>
      <c r="O47" s="8"/>
      <c r="P47" s="5"/>
    </row>
    <row r="48" spans="1:16">
      <c r="I48" s="5"/>
      <c r="J48" s="5"/>
      <c r="K48" s="5"/>
      <c r="L48" s="5"/>
      <c r="M48" s="5"/>
      <c r="N48" s="5"/>
      <c r="O48" s="5"/>
      <c r="P48" s="5"/>
    </row>
    <row r="49" spans="9:16">
      <c r="I49" s="5"/>
      <c r="J49" s="5"/>
      <c r="K49" s="5"/>
      <c r="L49" s="5"/>
      <c r="M49" s="5"/>
      <c r="N49" s="5"/>
      <c r="O49" s="5"/>
      <c r="P49" s="5"/>
    </row>
  </sheetData>
  <mergeCells count="26">
    <mergeCell ref="A10:C10"/>
    <mergeCell ref="A1:G1"/>
    <mergeCell ref="A2:G2"/>
    <mergeCell ref="A3:G4"/>
    <mergeCell ref="B6:E6"/>
    <mergeCell ref="A8:G8"/>
    <mergeCell ref="A24:C24"/>
    <mergeCell ref="A11:C11"/>
    <mergeCell ref="A12:C12"/>
    <mergeCell ref="A13:C13"/>
    <mergeCell ref="A14:C14"/>
    <mergeCell ref="A15:C15"/>
    <mergeCell ref="A16:C16"/>
    <mergeCell ref="A18:G18"/>
    <mergeCell ref="A20:C20"/>
    <mergeCell ref="A21:C21"/>
    <mergeCell ref="A22:C22"/>
    <mergeCell ref="A23:C23"/>
    <mergeCell ref="A32:G32"/>
    <mergeCell ref="D42:F42"/>
    <mergeCell ref="A25:C25"/>
    <mergeCell ref="A26:C26"/>
    <mergeCell ref="A27:C27"/>
    <mergeCell ref="A28:C28"/>
    <mergeCell ref="A29:C29"/>
    <mergeCell ref="A30:C30"/>
  </mergeCells>
  <printOptions horizontalCentered="1" verticalCentered="1"/>
  <pageMargins left="0.74803149606299213" right="0.74803149606299213" top="0" bottom="0.98425196850393704" header="0" footer="0"/>
  <pageSetup scale="90" orientation="portrait" r:id="rId1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8"/>
  <dimension ref="A1:U49"/>
  <sheetViews>
    <sheetView view="pageBreakPreview" topLeftCell="A22" zoomScaleNormal="100" zoomScaleSheetLayoutView="100" workbookViewId="0">
      <selection activeCell="I7" sqref="I7"/>
    </sheetView>
  </sheetViews>
  <sheetFormatPr baseColWidth="10" defaultColWidth="10.7109375" defaultRowHeight="12.75"/>
  <cols>
    <col min="1" max="1" width="15.85546875" style="3" customWidth="1"/>
    <col min="2" max="2" width="14.85546875" style="3" customWidth="1"/>
    <col min="3" max="3" width="13.28515625" style="3" customWidth="1"/>
    <col min="4" max="4" width="11.42578125" style="3"/>
    <col min="5" max="5" width="13.42578125" style="3" customWidth="1"/>
    <col min="6" max="6" width="12.7109375" style="3" customWidth="1"/>
    <col min="7" max="7" width="14" style="3" customWidth="1"/>
    <col min="8" max="8" width="7.42578125" style="3" customWidth="1"/>
    <col min="9" max="256" width="11.42578125" style="3"/>
    <col min="257" max="257" width="15.85546875" style="3" customWidth="1"/>
    <col min="258" max="258" width="14.85546875" style="3" customWidth="1"/>
    <col min="259" max="259" width="13.28515625" style="3" customWidth="1"/>
    <col min="260" max="260" width="11.42578125" style="3"/>
    <col min="261" max="261" width="13.42578125" style="3" customWidth="1"/>
    <col min="262" max="262" width="12.7109375" style="3" customWidth="1"/>
    <col min="263" max="263" width="14" style="3" customWidth="1"/>
    <col min="264" max="264" width="7.42578125" style="3" customWidth="1"/>
    <col min="265" max="512" width="11.42578125" style="3"/>
    <col min="513" max="513" width="15.85546875" style="3" customWidth="1"/>
    <col min="514" max="514" width="14.85546875" style="3" customWidth="1"/>
    <col min="515" max="515" width="13.28515625" style="3" customWidth="1"/>
    <col min="516" max="516" width="11.42578125" style="3"/>
    <col min="517" max="517" width="13.42578125" style="3" customWidth="1"/>
    <col min="518" max="518" width="12.7109375" style="3" customWidth="1"/>
    <col min="519" max="519" width="14" style="3" customWidth="1"/>
    <col min="520" max="520" width="7.42578125" style="3" customWidth="1"/>
    <col min="521" max="768" width="11.42578125" style="3"/>
    <col min="769" max="769" width="15.85546875" style="3" customWidth="1"/>
    <col min="770" max="770" width="14.85546875" style="3" customWidth="1"/>
    <col min="771" max="771" width="13.28515625" style="3" customWidth="1"/>
    <col min="772" max="772" width="11.42578125" style="3"/>
    <col min="773" max="773" width="13.42578125" style="3" customWidth="1"/>
    <col min="774" max="774" width="12.7109375" style="3" customWidth="1"/>
    <col min="775" max="775" width="14" style="3" customWidth="1"/>
    <col min="776" max="776" width="7.42578125" style="3" customWidth="1"/>
    <col min="777" max="1024" width="11.42578125" style="3"/>
    <col min="1025" max="1025" width="15.85546875" style="3" customWidth="1"/>
    <col min="1026" max="1026" width="14.85546875" style="3" customWidth="1"/>
    <col min="1027" max="1027" width="13.28515625" style="3" customWidth="1"/>
    <col min="1028" max="1028" width="11.42578125" style="3"/>
    <col min="1029" max="1029" width="13.42578125" style="3" customWidth="1"/>
    <col min="1030" max="1030" width="12.7109375" style="3" customWidth="1"/>
    <col min="1031" max="1031" width="14" style="3" customWidth="1"/>
    <col min="1032" max="1032" width="7.42578125" style="3" customWidth="1"/>
    <col min="1033" max="1280" width="11.42578125" style="3"/>
    <col min="1281" max="1281" width="15.85546875" style="3" customWidth="1"/>
    <col min="1282" max="1282" width="14.85546875" style="3" customWidth="1"/>
    <col min="1283" max="1283" width="13.28515625" style="3" customWidth="1"/>
    <col min="1284" max="1284" width="11.42578125" style="3"/>
    <col min="1285" max="1285" width="13.42578125" style="3" customWidth="1"/>
    <col min="1286" max="1286" width="12.7109375" style="3" customWidth="1"/>
    <col min="1287" max="1287" width="14" style="3" customWidth="1"/>
    <col min="1288" max="1288" width="7.42578125" style="3" customWidth="1"/>
    <col min="1289" max="1536" width="11.42578125" style="3"/>
    <col min="1537" max="1537" width="15.85546875" style="3" customWidth="1"/>
    <col min="1538" max="1538" width="14.85546875" style="3" customWidth="1"/>
    <col min="1539" max="1539" width="13.28515625" style="3" customWidth="1"/>
    <col min="1540" max="1540" width="11.42578125" style="3"/>
    <col min="1541" max="1541" width="13.42578125" style="3" customWidth="1"/>
    <col min="1542" max="1542" width="12.7109375" style="3" customWidth="1"/>
    <col min="1543" max="1543" width="14" style="3" customWidth="1"/>
    <col min="1544" max="1544" width="7.42578125" style="3" customWidth="1"/>
    <col min="1545" max="1792" width="11.42578125" style="3"/>
    <col min="1793" max="1793" width="15.85546875" style="3" customWidth="1"/>
    <col min="1794" max="1794" width="14.85546875" style="3" customWidth="1"/>
    <col min="1795" max="1795" width="13.28515625" style="3" customWidth="1"/>
    <col min="1796" max="1796" width="11.42578125" style="3"/>
    <col min="1797" max="1797" width="13.42578125" style="3" customWidth="1"/>
    <col min="1798" max="1798" width="12.7109375" style="3" customWidth="1"/>
    <col min="1799" max="1799" width="14" style="3" customWidth="1"/>
    <col min="1800" max="1800" width="7.42578125" style="3" customWidth="1"/>
    <col min="1801" max="2048" width="11.42578125" style="3"/>
    <col min="2049" max="2049" width="15.85546875" style="3" customWidth="1"/>
    <col min="2050" max="2050" width="14.85546875" style="3" customWidth="1"/>
    <col min="2051" max="2051" width="13.28515625" style="3" customWidth="1"/>
    <col min="2052" max="2052" width="11.42578125" style="3"/>
    <col min="2053" max="2053" width="13.42578125" style="3" customWidth="1"/>
    <col min="2054" max="2054" width="12.7109375" style="3" customWidth="1"/>
    <col min="2055" max="2055" width="14" style="3" customWidth="1"/>
    <col min="2056" max="2056" width="7.42578125" style="3" customWidth="1"/>
    <col min="2057" max="2304" width="11.42578125" style="3"/>
    <col min="2305" max="2305" width="15.85546875" style="3" customWidth="1"/>
    <col min="2306" max="2306" width="14.85546875" style="3" customWidth="1"/>
    <col min="2307" max="2307" width="13.28515625" style="3" customWidth="1"/>
    <col min="2308" max="2308" width="11.42578125" style="3"/>
    <col min="2309" max="2309" width="13.42578125" style="3" customWidth="1"/>
    <col min="2310" max="2310" width="12.7109375" style="3" customWidth="1"/>
    <col min="2311" max="2311" width="14" style="3" customWidth="1"/>
    <col min="2312" max="2312" width="7.42578125" style="3" customWidth="1"/>
    <col min="2313" max="2560" width="11.42578125" style="3"/>
    <col min="2561" max="2561" width="15.85546875" style="3" customWidth="1"/>
    <col min="2562" max="2562" width="14.85546875" style="3" customWidth="1"/>
    <col min="2563" max="2563" width="13.28515625" style="3" customWidth="1"/>
    <col min="2564" max="2564" width="11.42578125" style="3"/>
    <col min="2565" max="2565" width="13.42578125" style="3" customWidth="1"/>
    <col min="2566" max="2566" width="12.7109375" style="3" customWidth="1"/>
    <col min="2567" max="2567" width="14" style="3" customWidth="1"/>
    <col min="2568" max="2568" width="7.42578125" style="3" customWidth="1"/>
    <col min="2569" max="2816" width="11.42578125" style="3"/>
    <col min="2817" max="2817" width="15.85546875" style="3" customWidth="1"/>
    <col min="2818" max="2818" width="14.85546875" style="3" customWidth="1"/>
    <col min="2819" max="2819" width="13.28515625" style="3" customWidth="1"/>
    <col min="2820" max="2820" width="11.42578125" style="3"/>
    <col min="2821" max="2821" width="13.42578125" style="3" customWidth="1"/>
    <col min="2822" max="2822" width="12.7109375" style="3" customWidth="1"/>
    <col min="2823" max="2823" width="14" style="3" customWidth="1"/>
    <col min="2824" max="2824" width="7.42578125" style="3" customWidth="1"/>
    <col min="2825" max="3072" width="11.42578125" style="3"/>
    <col min="3073" max="3073" width="15.85546875" style="3" customWidth="1"/>
    <col min="3074" max="3074" width="14.85546875" style="3" customWidth="1"/>
    <col min="3075" max="3075" width="13.28515625" style="3" customWidth="1"/>
    <col min="3076" max="3076" width="11.42578125" style="3"/>
    <col min="3077" max="3077" width="13.42578125" style="3" customWidth="1"/>
    <col min="3078" max="3078" width="12.7109375" style="3" customWidth="1"/>
    <col min="3079" max="3079" width="14" style="3" customWidth="1"/>
    <col min="3080" max="3080" width="7.42578125" style="3" customWidth="1"/>
    <col min="3081" max="3328" width="11.42578125" style="3"/>
    <col min="3329" max="3329" width="15.85546875" style="3" customWidth="1"/>
    <col min="3330" max="3330" width="14.85546875" style="3" customWidth="1"/>
    <col min="3331" max="3331" width="13.28515625" style="3" customWidth="1"/>
    <col min="3332" max="3332" width="11.42578125" style="3"/>
    <col min="3333" max="3333" width="13.42578125" style="3" customWidth="1"/>
    <col min="3334" max="3334" width="12.7109375" style="3" customWidth="1"/>
    <col min="3335" max="3335" width="14" style="3" customWidth="1"/>
    <col min="3336" max="3336" width="7.42578125" style="3" customWidth="1"/>
    <col min="3337" max="3584" width="11.42578125" style="3"/>
    <col min="3585" max="3585" width="15.85546875" style="3" customWidth="1"/>
    <col min="3586" max="3586" width="14.85546875" style="3" customWidth="1"/>
    <col min="3587" max="3587" width="13.28515625" style="3" customWidth="1"/>
    <col min="3588" max="3588" width="11.42578125" style="3"/>
    <col min="3589" max="3589" width="13.42578125" style="3" customWidth="1"/>
    <col min="3590" max="3590" width="12.7109375" style="3" customWidth="1"/>
    <col min="3591" max="3591" width="14" style="3" customWidth="1"/>
    <col min="3592" max="3592" width="7.42578125" style="3" customWidth="1"/>
    <col min="3593" max="3840" width="11.42578125" style="3"/>
    <col min="3841" max="3841" width="15.85546875" style="3" customWidth="1"/>
    <col min="3842" max="3842" width="14.85546875" style="3" customWidth="1"/>
    <col min="3843" max="3843" width="13.28515625" style="3" customWidth="1"/>
    <col min="3844" max="3844" width="11.42578125" style="3"/>
    <col min="3845" max="3845" width="13.42578125" style="3" customWidth="1"/>
    <col min="3846" max="3846" width="12.7109375" style="3" customWidth="1"/>
    <col min="3847" max="3847" width="14" style="3" customWidth="1"/>
    <col min="3848" max="3848" width="7.42578125" style="3" customWidth="1"/>
    <col min="3849" max="4096" width="11.42578125" style="3"/>
    <col min="4097" max="4097" width="15.85546875" style="3" customWidth="1"/>
    <col min="4098" max="4098" width="14.85546875" style="3" customWidth="1"/>
    <col min="4099" max="4099" width="13.28515625" style="3" customWidth="1"/>
    <col min="4100" max="4100" width="11.42578125" style="3"/>
    <col min="4101" max="4101" width="13.42578125" style="3" customWidth="1"/>
    <col min="4102" max="4102" width="12.7109375" style="3" customWidth="1"/>
    <col min="4103" max="4103" width="14" style="3" customWidth="1"/>
    <col min="4104" max="4104" width="7.42578125" style="3" customWidth="1"/>
    <col min="4105" max="4352" width="11.42578125" style="3"/>
    <col min="4353" max="4353" width="15.85546875" style="3" customWidth="1"/>
    <col min="4354" max="4354" width="14.85546875" style="3" customWidth="1"/>
    <col min="4355" max="4355" width="13.28515625" style="3" customWidth="1"/>
    <col min="4356" max="4356" width="11.42578125" style="3"/>
    <col min="4357" max="4357" width="13.42578125" style="3" customWidth="1"/>
    <col min="4358" max="4358" width="12.7109375" style="3" customWidth="1"/>
    <col min="4359" max="4359" width="14" style="3" customWidth="1"/>
    <col min="4360" max="4360" width="7.42578125" style="3" customWidth="1"/>
    <col min="4361" max="4608" width="11.42578125" style="3"/>
    <col min="4609" max="4609" width="15.85546875" style="3" customWidth="1"/>
    <col min="4610" max="4610" width="14.85546875" style="3" customWidth="1"/>
    <col min="4611" max="4611" width="13.28515625" style="3" customWidth="1"/>
    <col min="4612" max="4612" width="11.42578125" style="3"/>
    <col min="4613" max="4613" width="13.42578125" style="3" customWidth="1"/>
    <col min="4614" max="4614" width="12.7109375" style="3" customWidth="1"/>
    <col min="4615" max="4615" width="14" style="3" customWidth="1"/>
    <col min="4616" max="4616" width="7.42578125" style="3" customWidth="1"/>
    <col min="4617" max="4864" width="11.42578125" style="3"/>
    <col min="4865" max="4865" width="15.85546875" style="3" customWidth="1"/>
    <col min="4866" max="4866" width="14.85546875" style="3" customWidth="1"/>
    <col min="4867" max="4867" width="13.28515625" style="3" customWidth="1"/>
    <col min="4868" max="4868" width="11.42578125" style="3"/>
    <col min="4869" max="4869" width="13.42578125" style="3" customWidth="1"/>
    <col min="4870" max="4870" width="12.7109375" style="3" customWidth="1"/>
    <col min="4871" max="4871" width="14" style="3" customWidth="1"/>
    <col min="4872" max="4872" width="7.42578125" style="3" customWidth="1"/>
    <col min="4873" max="5120" width="11.42578125" style="3"/>
    <col min="5121" max="5121" width="15.85546875" style="3" customWidth="1"/>
    <col min="5122" max="5122" width="14.85546875" style="3" customWidth="1"/>
    <col min="5123" max="5123" width="13.28515625" style="3" customWidth="1"/>
    <col min="5124" max="5124" width="11.42578125" style="3"/>
    <col min="5125" max="5125" width="13.42578125" style="3" customWidth="1"/>
    <col min="5126" max="5126" width="12.7109375" style="3" customWidth="1"/>
    <col min="5127" max="5127" width="14" style="3" customWidth="1"/>
    <col min="5128" max="5128" width="7.42578125" style="3" customWidth="1"/>
    <col min="5129" max="5376" width="11.42578125" style="3"/>
    <col min="5377" max="5377" width="15.85546875" style="3" customWidth="1"/>
    <col min="5378" max="5378" width="14.85546875" style="3" customWidth="1"/>
    <col min="5379" max="5379" width="13.28515625" style="3" customWidth="1"/>
    <col min="5380" max="5380" width="11.42578125" style="3"/>
    <col min="5381" max="5381" width="13.42578125" style="3" customWidth="1"/>
    <col min="5382" max="5382" width="12.7109375" style="3" customWidth="1"/>
    <col min="5383" max="5383" width="14" style="3" customWidth="1"/>
    <col min="5384" max="5384" width="7.42578125" style="3" customWidth="1"/>
    <col min="5385" max="5632" width="11.42578125" style="3"/>
    <col min="5633" max="5633" width="15.85546875" style="3" customWidth="1"/>
    <col min="5634" max="5634" width="14.85546875" style="3" customWidth="1"/>
    <col min="5635" max="5635" width="13.28515625" style="3" customWidth="1"/>
    <col min="5636" max="5636" width="11.42578125" style="3"/>
    <col min="5637" max="5637" width="13.42578125" style="3" customWidth="1"/>
    <col min="5638" max="5638" width="12.7109375" style="3" customWidth="1"/>
    <col min="5639" max="5639" width="14" style="3" customWidth="1"/>
    <col min="5640" max="5640" width="7.42578125" style="3" customWidth="1"/>
    <col min="5641" max="5888" width="11.42578125" style="3"/>
    <col min="5889" max="5889" width="15.85546875" style="3" customWidth="1"/>
    <col min="5890" max="5890" width="14.85546875" style="3" customWidth="1"/>
    <col min="5891" max="5891" width="13.28515625" style="3" customWidth="1"/>
    <col min="5892" max="5892" width="11.42578125" style="3"/>
    <col min="5893" max="5893" width="13.42578125" style="3" customWidth="1"/>
    <col min="5894" max="5894" width="12.7109375" style="3" customWidth="1"/>
    <col min="5895" max="5895" width="14" style="3" customWidth="1"/>
    <col min="5896" max="5896" width="7.42578125" style="3" customWidth="1"/>
    <col min="5897" max="6144" width="11.42578125" style="3"/>
    <col min="6145" max="6145" width="15.85546875" style="3" customWidth="1"/>
    <col min="6146" max="6146" width="14.85546875" style="3" customWidth="1"/>
    <col min="6147" max="6147" width="13.28515625" style="3" customWidth="1"/>
    <col min="6148" max="6148" width="11.42578125" style="3"/>
    <col min="6149" max="6149" width="13.42578125" style="3" customWidth="1"/>
    <col min="6150" max="6150" width="12.7109375" style="3" customWidth="1"/>
    <col min="6151" max="6151" width="14" style="3" customWidth="1"/>
    <col min="6152" max="6152" width="7.42578125" style="3" customWidth="1"/>
    <col min="6153" max="6400" width="11.42578125" style="3"/>
    <col min="6401" max="6401" width="15.85546875" style="3" customWidth="1"/>
    <col min="6402" max="6402" width="14.85546875" style="3" customWidth="1"/>
    <col min="6403" max="6403" width="13.28515625" style="3" customWidth="1"/>
    <col min="6404" max="6404" width="11.42578125" style="3"/>
    <col min="6405" max="6405" width="13.42578125" style="3" customWidth="1"/>
    <col min="6406" max="6406" width="12.7109375" style="3" customWidth="1"/>
    <col min="6407" max="6407" width="14" style="3" customWidth="1"/>
    <col min="6408" max="6408" width="7.42578125" style="3" customWidth="1"/>
    <col min="6409" max="6656" width="11.42578125" style="3"/>
    <col min="6657" max="6657" width="15.85546875" style="3" customWidth="1"/>
    <col min="6658" max="6658" width="14.85546875" style="3" customWidth="1"/>
    <col min="6659" max="6659" width="13.28515625" style="3" customWidth="1"/>
    <col min="6660" max="6660" width="11.42578125" style="3"/>
    <col min="6661" max="6661" width="13.42578125" style="3" customWidth="1"/>
    <col min="6662" max="6662" width="12.7109375" style="3" customWidth="1"/>
    <col min="6663" max="6663" width="14" style="3" customWidth="1"/>
    <col min="6664" max="6664" width="7.42578125" style="3" customWidth="1"/>
    <col min="6665" max="6912" width="11.42578125" style="3"/>
    <col min="6913" max="6913" width="15.85546875" style="3" customWidth="1"/>
    <col min="6914" max="6914" width="14.85546875" style="3" customWidth="1"/>
    <col min="6915" max="6915" width="13.28515625" style="3" customWidth="1"/>
    <col min="6916" max="6916" width="11.42578125" style="3"/>
    <col min="6917" max="6917" width="13.42578125" style="3" customWidth="1"/>
    <col min="6918" max="6918" width="12.7109375" style="3" customWidth="1"/>
    <col min="6919" max="6919" width="14" style="3" customWidth="1"/>
    <col min="6920" max="6920" width="7.42578125" style="3" customWidth="1"/>
    <col min="6921" max="7168" width="11.42578125" style="3"/>
    <col min="7169" max="7169" width="15.85546875" style="3" customWidth="1"/>
    <col min="7170" max="7170" width="14.85546875" style="3" customWidth="1"/>
    <col min="7171" max="7171" width="13.28515625" style="3" customWidth="1"/>
    <col min="7172" max="7172" width="11.42578125" style="3"/>
    <col min="7173" max="7173" width="13.42578125" style="3" customWidth="1"/>
    <col min="7174" max="7174" width="12.7109375" style="3" customWidth="1"/>
    <col min="7175" max="7175" width="14" style="3" customWidth="1"/>
    <col min="7176" max="7176" width="7.42578125" style="3" customWidth="1"/>
    <col min="7177" max="7424" width="11.42578125" style="3"/>
    <col min="7425" max="7425" width="15.85546875" style="3" customWidth="1"/>
    <col min="7426" max="7426" width="14.85546875" style="3" customWidth="1"/>
    <col min="7427" max="7427" width="13.28515625" style="3" customWidth="1"/>
    <col min="7428" max="7428" width="11.42578125" style="3"/>
    <col min="7429" max="7429" width="13.42578125" style="3" customWidth="1"/>
    <col min="7430" max="7430" width="12.7109375" style="3" customWidth="1"/>
    <col min="7431" max="7431" width="14" style="3" customWidth="1"/>
    <col min="7432" max="7432" width="7.42578125" style="3" customWidth="1"/>
    <col min="7433" max="7680" width="11.42578125" style="3"/>
    <col min="7681" max="7681" width="15.85546875" style="3" customWidth="1"/>
    <col min="7682" max="7682" width="14.85546875" style="3" customWidth="1"/>
    <col min="7683" max="7683" width="13.28515625" style="3" customWidth="1"/>
    <col min="7684" max="7684" width="11.42578125" style="3"/>
    <col min="7685" max="7685" width="13.42578125" style="3" customWidth="1"/>
    <col min="7686" max="7686" width="12.7109375" style="3" customWidth="1"/>
    <col min="7687" max="7687" width="14" style="3" customWidth="1"/>
    <col min="7688" max="7688" width="7.42578125" style="3" customWidth="1"/>
    <col min="7689" max="7936" width="11.42578125" style="3"/>
    <col min="7937" max="7937" width="15.85546875" style="3" customWidth="1"/>
    <col min="7938" max="7938" width="14.85546875" style="3" customWidth="1"/>
    <col min="7939" max="7939" width="13.28515625" style="3" customWidth="1"/>
    <col min="7940" max="7940" width="11.42578125" style="3"/>
    <col min="7941" max="7941" width="13.42578125" style="3" customWidth="1"/>
    <col min="7942" max="7942" width="12.7109375" style="3" customWidth="1"/>
    <col min="7943" max="7943" width="14" style="3" customWidth="1"/>
    <col min="7944" max="7944" width="7.42578125" style="3" customWidth="1"/>
    <col min="7945" max="8192" width="11.42578125" style="3"/>
    <col min="8193" max="8193" width="15.85546875" style="3" customWidth="1"/>
    <col min="8194" max="8194" width="14.85546875" style="3" customWidth="1"/>
    <col min="8195" max="8195" width="13.28515625" style="3" customWidth="1"/>
    <col min="8196" max="8196" width="11.42578125" style="3"/>
    <col min="8197" max="8197" width="13.42578125" style="3" customWidth="1"/>
    <col min="8198" max="8198" width="12.7109375" style="3" customWidth="1"/>
    <col min="8199" max="8199" width="14" style="3" customWidth="1"/>
    <col min="8200" max="8200" width="7.42578125" style="3" customWidth="1"/>
    <col min="8201" max="8448" width="11.42578125" style="3"/>
    <col min="8449" max="8449" width="15.85546875" style="3" customWidth="1"/>
    <col min="8450" max="8450" width="14.85546875" style="3" customWidth="1"/>
    <col min="8451" max="8451" width="13.28515625" style="3" customWidth="1"/>
    <col min="8452" max="8452" width="11.42578125" style="3"/>
    <col min="8453" max="8453" width="13.42578125" style="3" customWidth="1"/>
    <col min="8454" max="8454" width="12.7109375" style="3" customWidth="1"/>
    <col min="8455" max="8455" width="14" style="3" customWidth="1"/>
    <col min="8456" max="8456" width="7.42578125" style="3" customWidth="1"/>
    <col min="8457" max="8704" width="11.42578125" style="3"/>
    <col min="8705" max="8705" width="15.85546875" style="3" customWidth="1"/>
    <col min="8706" max="8706" width="14.85546875" style="3" customWidth="1"/>
    <col min="8707" max="8707" width="13.28515625" style="3" customWidth="1"/>
    <col min="8708" max="8708" width="11.42578125" style="3"/>
    <col min="8709" max="8709" width="13.42578125" style="3" customWidth="1"/>
    <col min="8710" max="8710" width="12.7109375" style="3" customWidth="1"/>
    <col min="8711" max="8711" width="14" style="3" customWidth="1"/>
    <col min="8712" max="8712" width="7.42578125" style="3" customWidth="1"/>
    <col min="8713" max="8960" width="11.42578125" style="3"/>
    <col min="8961" max="8961" width="15.85546875" style="3" customWidth="1"/>
    <col min="8962" max="8962" width="14.85546875" style="3" customWidth="1"/>
    <col min="8963" max="8963" width="13.28515625" style="3" customWidth="1"/>
    <col min="8964" max="8964" width="11.42578125" style="3"/>
    <col min="8965" max="8965" width="13.42578125" style="3" customWidth="1"/>
    <col min="8966" max="8966" width="12.7109375" style="3" customWidth="1"/>
    <col min="8967" max="8967" width="14" style="3" customWidth="1"/>
    <col min="8968" max="8968" width="7.42578125" style="3" customWidth="1"/>
    <col min="8969" max="9216" width="11.42578125" style="3"/>
    <col min="9217" max="9217" width="15.85546875" style="3" customWidth="1"/>
    <col min="9218" max="9218" width="14.85546875" style="3" customWidth="1"/>
    <col min="9219" max="9219" width="13.28515625" style="3" customWidth="1"/>
    <col min="9220" max="9220" width="11.42578125" style="3"/>
    <col min="9221" max="9221" width="13.42578125" style="3" customWidth="1"/>
    <col min="9222" max="9222" width="12.7109375" style="3" customWidth="1"/>
    <col min="9223" max="9223" width="14" style="3" customWidth="1"/>
    <col min="9224" max="9224" width="7.42578125" style="3" customWidth="1"/>
    <col min="9225" max="9472" width="11.42578125" style="3"/>
    <col min="9473" max="9473" width="15.85546875" style="3" customWidth="1"/>
    <col min="9474" max="9474" width="14.85546875" style="3" customWidth="1"/>
    <col min="9475" max="9475" width="13.28515625" style="3" customWidth="1"/>
    <col min="9476" max="9476" width="11.42578125" style="3"/>
    <col min="9477" max="9477" width="13.42578125" style="3" customWidth="1"/>
    <col min="9478" max="9478" width="12.7109375" style="3" customWidth="1"/>
    <col min="9479" max="9479" width="14" style="3" customWidth="1"/>
    <col min="9480" max="9480" width="7.42578125" style="3" customWidth="1"/>
    <col min="9481" max="9728" width="11.42578125" style="3"/>
    <col min="9729" max="9729" width="15.85546875" style="3" customWidth="1"/>
    <col min="9730" max="9730" width="14.85546875" style="3" customWidth="1"/>
    <col min="9731" max="9731" width="13.28515625" style="3" customWidth="1"/>
    <col min="9732" max="9732" width="11.42578125" style="3"/>
    <col min="9733" max="9733" width="13.42578125" style="3" customWidth="1"/>
    <col min="9734" max="9734" width="12.7109375" style="3" customWidth="1"/>
    <col min="9735" max="9735" width="14" style="3" customWidth="1"/>
    <col min="9736" max="9736" width="7.42578125" style="3" customWidth="1"/>
    <col min="9737" max="9984" width="11.42578125" style="3"/>
    <col min="9985" max="9985" width="15.85546875" style="3" customWidth="1"/>
    <col min="9986" max="9986" width="14.85546875" style="3" customWidth="1"/>
    <col min="9987" max="9987" width="13.28515625" style="3" customWidth="1"/>
    <col min="9988" max="9988" width="11.42578125" style="3"/>
    <col min="9989" max="9989" width="13.42578125" style="3" customWidth="1"/>
    <col min="9990" max="9990" width="12.7109375" style="3" customWidth="1"/>
    <col min="9991" max="9991" width="14" style="3" customWidth="1"/>
    <col min="9992" max="9992" width="7.42578125" style="3" customWidth="1"/>
    <col min="9993" max="10240" width="11.42578125" style="3"/>
    <col min="10241" max="10241" width="15.85546875" style="3" customWidth="1"/>
    <col min="10242" max="10242" width="14.85546875" style="3" customWidth="1"/>
    <col min="10243" max="10243" width="13.28515625" style="3" customWidth="1"/>
    <col min="10244" max="10244" width="11.42578125" style="3"/>
    <col min="10245" max="10245" width="13.42578125" style="3" customWidth="1"/>
    <col min="10246" max="10246" width="12.7109375" style="3" customWidth="1"/>
    <col min="10247" max="10247" width="14" style="3" customWidth="1"/>
    <col min="10248" max="10248" width="7.42578125" style="3" customWidth="1"/>
    <col min="10249" max="10496" width="11.42578125" style="3"/>
    <col min="10497" max="10497" width="15.85546875" style="3" customWidth="1"/>
    <col min="10498" max="10498" width="14.85546875" style="3" customWidth="1"/>
    <col min="10499" max="10499" width="13.28515625" style="3" customWidth="1"/>
    <col min="10500" max="10500" width="11.42578125" style="3"/>
    <col min="10501" max="10501" width="13.42578125" style="3" customWidth="1"/>
    <col min="10502" max="10502" width="12.7109375" style="3" customWidth="1"/>
    <col min="10503" max="10503" width="14" style="3" customWidth="1"/>
    <col min="10504" max="10504" width="7.42578125" style="3" customWidth="1"/>
    <col min="10505" max="10752" width="11.42578125" style="3"/>
    <col min="10753" max="10753" width="15.85546875" style="3" customWidth="1"/>
    <col min="10754" max="10754" width="14.85546875" style="3" customWidth="1"/>
    <col min="10755" max="10755" width="13.28515625" style="3" customWidth="1"/>
    <col min="10756" max="10756" width="11.42578125" style="3"/>
    <col min="10757" max="10757" width="13.42578125" style="3" customWidth="1"/>
    <col min="10758" max="10758" width="12.7109375" style="3" customWidth="1"/>
    <col min="10759" max="10759" width="14" style="3" customWidth="1"/>
    <col min="10760" max="10760" width="7.42578125" style="3" customWidth="1"/>
    <col min="10761" max="11008" width="11.42578125" style="3"/>
    <col min="11009" max="11009" width="15.85546875" style="3" customWidth="1"/>
    <col min="11010" max="11010" width="14.85546875" style="3" customWidth="1"/>
    <col min="11011" max="11011" width="13.28515625" style="3" customWidth="1"/>
    <col min="11012" max="11012" width="11.42578125" style="3"/>
    <col min="11013" max="11013" width="13.42578125" style="3" customWidth="1"/>
    <col min="11014" max="11014" width="12.7109375" style="3" customWidth="1"/>
    <col min="11015" max="11015" width="14" style="3" customWidth="1"/>
    <col min="11016" max="11016" width="7.42578125" style="3" customWidth="1"/>
    <col min="11017" max="11264" width="11.42578125" style="3"/>
    <col min="11265" max="11265" width="15.85546875" style="3" customWidth="1"/>
    <col min="11266" max="11266" width="14.85546875" style="3" customWidth="1"/>
    <col min="11267" max="11267" width="13.28515625" style="3" customWidth="1"/>
    <col min="11268" max="11268" width="11.42578125" style="3"/>
    <col min="11269" max="11269" width="13.42578125" style="3" customWidth="1"/>
    <col min="11270" max="11270" width="12.7109375" style="3" customWidth="1"/>
    <col min="11271" max="11271" width="14" style="3" customWidth="1"/>
    <col min="11272" max="11272" width="7.42578125" style="3" customWidth="1"/>
    <col min="11273" max="11520" width="11.42578125" style="3"/>
    <col min="11521" max="11521" width="15.85546875" style="3" customWidth="1"/>
    <col min="11522" max="11522" width="14.85546875" style="3" customWidth="1"/>
    <col min="11523" max="11523" width="13.28515625" style="3" customWidth="1"/>
    <col min="11524" max="11524" width="11.42578125" style="3"/>
    <col min="11525" max="11525" width="13.42578125" style="3" customWidth="1"/>
    <col min="11526" max="11526" width="12.7109375" style="3" customWidth="1"/>
    <col min="11527" max="11527" width="14" style="3" customWidth="1"/>
    <col min="11528" max="11528" width="7.42578125" style="3" customWidth="1"/>
    <col min="11529" max="11776" width="11.42578125" style="3"/>
    <col min="11777" max="11777" width="15.85546875" style="3" customWidth="1"/>
    <col min="11778" max="11778" width="14.85546875" style="3" customWidth="1"/>
    <col min="11779" max="11779" width="13.28515625" style="3" customWidth="1"/>
    <col min="11780" max="11780" width="11.42578125" style="3"/>
    <col min="11781" max="11781" width="13.42578125" style="3" customWidth="1"/>
    <col min="11782" max="11782" width="12.7109375" style="3" customWidth="1"/>
    <col min="11783" max="11783" width="14" style="3" customWidth="1"/>
    <col min="11784" max="11784" width="7.42578125" style="3" customWidth="1"/>
    <col min="11785" max="12032" width="11.42578125" style="3"/>
    <col min="12033" max="12033" width="15.85546875" style="3" customWidth="1"/>
    <col min="12034" max="12034" width="14.85546875" style="3" customWidth="1"/>
    <col min="12035" max="12035" width="13.28515625" style="3" customWidth="1"/>
    <col min="12036" max="12036" width="11.42578125" style="3"/>
    <col min="12037" max="12037" width="13.42578125" style="3" customWidth="1"/>
    <col min="12038" max="12038" width="12.7109375" style="3" customWidth="1"/>
    <col min="12039" max="12039" width="14" style="3" customWidth="1"/>
    <col min="12040" max="12040" width="7.42578125" style="3" customWidth="1"/>
    <col min="12041" max="12288" width="11.42578125" style="3"/>
    <col min="12289" max="12289" width="15.85546875" style="3" customWidth="1"/>
    <col min="12290" max="12290" width="14.85546875" style="3" customWidth="1"/>
    <col min="12291" max="12291" width="13.28515625" style="3" customWidth="1"/>
    <col min="12292" max="12292" width="11.42578125" style="3"/>
    <col min="12293" max="12293" width="13.42578125" style="3" customWidth="1"/>
    <col min="12294" max="12294" width="12.7109375" style="3" customWidth="1"/>
    <col min="12295" max="12295" width="14" style="3" customWidth="1"/>
    <col min="12296" max="12296" width="7.42578125" style="3" customWidth="1"/>
    <col min="12297" max="12544" width="11.42578125" style="3"/>
    <col min="12545" max="12545" width="15.85546875" style="3" customWidth="1"/>
    <col min="12546" max="12546" width="14.85546875" style="3" customWidth="1"/>
    <col min="12547" max="12547" width="13.28515625" style="3" customWidth="1"/>
    <col min="12548" max="12548" width="11.42578125" style="3"/>
    <col min="12549" max="12549" width="13.42578125" style="3" customWidth="1"/>
    <col min="12550" max="12550" width="12.7109375" style="3" customWidth="1"/>
    <col min="12551" max="12551" width="14" style="3" customWidth="1"/>
    <col min="12552" max="12552" width="7.42578125" style="3" customWidth="1"/>
    <col min="12553" max="12800" width="11.42578125" style="3"/>
    <col min="12801" max="12801" width="15.85546875" style="3" customWidth="1"/>
    <col min="12802" max="12802" width="14.85546875" style="3" customWidth="1"/>
    <col min="12803" max="12803" width="13.28515625" style="3" customWidth="1"/>
    <col min="12804" max="12804" width="11.42578125" style="3"/>
    <col min="12805" max="12805" width="13.42578125" style="3" customWidth="1"/>
    <col min="12806" max="12806" width="12.7109375" style="3" customWidth="1"/>
    <col min="12807" max="12807" width="14" style="3" customWidth="1"/>
    <col min="12808" max="12808" width="7.42578125" style="3" customWidth="1"/>
    <col min="12809" max="13056" width="11.42578125" style="3"/>
    <col min="13057" max="13057" width="15.85546875" style="3" customWidth="1"/>
    <col min="13058" max="13058" width="14.85546875" style="3" customWidth="1"/>
    <col min="13059" max="13059" width="13.28515625" style="3" customWidth="1"/>
    <col min="13060" max="13060" width="11.42578125" style="3"/>
    <col min="13061" max="13061" width="13.42578125" style="3" customWidth="1"/>
    <col min="13062" max="13062" width="12.7109375" style="3" customWidth="1"/>
    <col min="13063" max="13063" width="14" style="3" customWidth="1"/>
    <col min="13064" max="13064" width="7.42578125" style="3" customWidth="1"/>
    <col min="13065" max="13312" width="11.42578125" style="3"/>
    <col min="13313" max="13313" width="15.85546875" style="3" customWidth="1"/>
    <col min="13314" max="13314" width="14.85546875" style="3" customWidth="1"/>
    <col min="13315" max="13315" width="13.28515625" style="3" customWidth="1"/>
    <col min="13316" max="13316" width="11.42578125" style="3"/>
    <col min="13317" max="13317" width="13.42578125" style="3" customWidth="1"/>
    <col min="13318" max="13318" width="12.7109375" style="3" customWidth="1"/>
    <col min="13319" max="13319" width="14" style="3" customWidth="1"/>
    <col min="13320" max="13320" width="7.42578125" style="3" customWidth="1"/>
    <col min="13321" max="13568" width="11.42578125" style="3"/>
    <col min="13569" max="13569" width="15.85546875" style="3" customWidth="1"/>
    <col min="13570" max="13570" width="14.85546875" style="3" customWidth="1"/>
    <col min="13571" max="13571" width="13.28515625" style="3" customWidth="1"/>
    <col min="13572" max="13572" width="11.42578125" style="3"/>
    <col min="13573" max="13573" width="13.42578125" style="3" customWidth="1"/>
    <col min="13574" max="13574" width="12.7109375" style="3" customWidth="1"/>
    <col min="13575" max="13575" width="14" style="3" customWidth="1"/>
    <col min="13576" max="13576" width="7.42578125" style="3" customWidth="1"/>
    <col min="13577" max="13824" width="11.42578125" style="3"/>
    <col min="13825" max="13825" width="15.85546875" style="3" customWidth="1"/>
    <col min="13826" max="13826" width="14.85546875" style="3" customWidth="1"/>
    <col min="13827" max="13827" width="13.28515625" style="3" customWidth="1"/>
    <col min="13828" max="13828" width="11.42578125" style="3"/>
    <col min="13829" max="13829" width="13.42578125" style="3" customWidth="1"/>
    <col min="13830" max="13830" width="12.7109375" style="3" customWidth="1"/>
    <col min="13831" max="13831" width="14" style="3" customWidth="1"/>
    <col min="13832" max="13832" width="7.42578125" style="3" customWidth="1"/>
    <col min="13833" max="14080" width="11.42578125" style="3"/>
    <col min="14081" max="14081" width="15.85546875" style="3" customWidth="1"/>
    <col min="14082" max="14082" width="14.85546875" style="3" customWidth="1"/>
    <col min="14083" max="14083" width="13.28515625" style="3" customWidth="1"/>
    <col min="14084" max="14084" width="11.42578125" style="3"/>
    <col min="14085" max="14085" width="13.42578125" style="3" customWidth="1"/>
    <col min="14086" max="14086" width="12.7109375" style="3" customWidth="1"/>
    <col min="14087" max="14087" width="14" style="3" customWidth="1"/>
    <col min="14088" max="14088" width="7.42578125" style="3" customWidth="1"/>
    <col min="14089" max="14336" width="11.42578125" style="3"/>
    <col min="14337" max="14337" width="15.85546875" style="3" customWidth="1"/>
    <col min="14338" max="14338" width="14.85546875" style="3" customWidth="1"/>
    <col min="14339" max="14339" width="13.28515625" style="3" customWidth="1"/>
    <col min="14340" max="14340" width="11.42578125" style="3"/>
    <col min="14341" max="14341" width="13.42578125" style="3" customWidth="1"/>
    <col min="14342" max="14342" width="12.7109375" style="3" customWidth="1"/>
    <col min="14343" max="14343" width="14" style="3" customWidth="1"/>
    <col min="14344" max="14344" width="7.42578125" style="3" customWidth="1"/>
    <col min="14345" max="14592" width="11.42578125" style="3"/>
    <col min="14593" max="14593" width="15.85546875" style="3" customWidth="1"/>
    <col min="14594" max="14594" width="14.85546875" style="3" customWidth="1"/>
    <col min="14595" max="14595" width="13.28515625" style="3" customWidth="1"/>
    <col min="14596" max="14596" width="11.42578125" style="3"/>
    <col min="14597" max="14597" width="13.42578125" style="3" customWidth="1"/>
    <col min="14598" max="14598" width="12.7109375" style="3" customWidth="1"/>
    <col min="14599" max="14599" width="14" style="3" customWidth="1"/>
    <col min="14600" max="14600" width="7.42578125" style="3" customWidth="1"/>
    <col min="14601" max="14848" width="11.42578125" style="3"/>
    <col min="14849" max="14849" width="15.85546875" style="3" customWidth="1"/>
    <col min="14850" max="14850" width="14.85546875" style="3" customWidth="1"/>
    <col min="14851" max="14851" width="13.28515625" style="3" customWidth="1"/>
    <col min="14852" max="14852" width="11.42578125" style="3"/>
    <col min="14853" max="14853" width="13.42578125" style="3" customWidth="1"/>
    <col min="14854" max="14854" width="12.7109375" style="3" customWidth="1"/>
    <col min="14855" max="14855" width="14" style="3" customWidth="1"/>
    <col min="14856" max="14856" width="7.42578125" style="3" customWidth="1"/>
    <col min="14857" max="15104" width="11.42578125" style="3"/>
    <col min="15105" max="15105" width="15.85546875" style="3" customWidth="1"/>
    <col min="15106" max="15106" width="14.85546875" style="3" customWidth="1"/>
    <col min="15107" max="15107" width="13.28515625" style="3" customWidth="1"/>
    <col min="15108" max="15108" width="11.42578125" style="3"/>
    <col min="15109" max="15109" width="13.42578125" style="3" customWidth="1"/>
    <col min="15110" max="15110" width="12.7109375" style="3" customWidth="1"/>
    <col min="15111" max="15111" width="14" style="3" customWidth="1"/>
    <col min="15112" max="15112" width="7.42578125" style="3" customWidth="1"/>
    <col min="15113" max="15360" width="11.42578125" style="3"/>
    <col min="15361" max="15361" width="15.85546875" style="3" customWidth="1"/>
    <col min="15362" max="15362" width="14.85546875" style="3" customWidth="1"/>
    <col min="15363" max="15363" width="13.28515625" style="3" customWidth="1"/>
    <col min="15364" max="15364" width="11.42578125" style="3"/>
    <col min="15365" max="15365" width="13.42578125" style="3" customWidth="1"/>
    <col min="15366" max="15366" width="12.7109375" style="3" customWidth="1"/>
    <col min="15367" max="15367" width="14" style="3" customWidth="1"/>
    <col min="15368" max="15368" width="7.42578125" style="3" customWidth="1"/>
    <col min="15369" max="15616" width="11.42578125" style="3"/>
    <col min="15617" max="15617" width="15.85546875" style="3" customWidth="1"/>
    <col min="15618" max="15618" width="14.85546875" style="3" customWidth="1"/>
    <col min="15619" max="15619" width="13.28515625" style="3" customWidth="1"/>
    <col min="15620" max="15620" width="11.42578125" style="3"/>
    <col min="15621" max="15621" width="13.42578125" style="3" customWidth="1"/>
    <col min="15622" max="15622" width="12.7109375" style="3" customWidth="1"/>
    <col min="15623" max="15623" width="14" style="3" customWidth="1"/>
    <col min="15624" max="15624" width="7.42578125" style="3" customWidth="1"/>
    <col min="15625" max="15872" width="11.42578125" style="3"/>
    <col min="15873" max="15873" width="15.85546875" style="3" customWidth="1"/>
    <col min="15874" max="15874" width="14.85546875" style="3" customWidth="1"/>
    <col min="15875" max="15875" width="13.28515625" style="3" customWidth="1"/>
    <col min="15876" max="15876" width="11.42578125" style="3"/>
    <col min="15877" max="15877" width="13.42578125" style="3" customWidth="1"/>
    <col min="15878" max="15878" width="12.7109375" style="3" customWidth="1"/>
    <col min="15879" max="15879" width="14" style="3" customWidth="1"/>
    <col min="15880" max="15880" width="7.42578125" style="3" customWidth="1"/>
    <col min="15881" max="16128" width="11.42578125" style="3"/>
    <col min="16129" max="16129" width="15.85546875" style="3" customWidth="1"/>
    <col min="16130" max="16130" width="14.85546875" style="3" customWidth="1"/>
    <col min="16131" max="16131" width="13.28515625" style="3" customWidth="1"/>
    <col min="16132" max="16132" width="11.42578125" style="3"/>
    <col min="16133" max="16133" width="13.42578125" style="3" customWidth="1"/>
    <col min="16134" max="16134" width="12.7109375" style="3" customWidth="1"/>
    <col min="16135" max="16135" width="14" style="3" customWidth="1"/>
    <col min="16136" max="16136" width="7.42578125" style="3" customWidth="1"/>
    <col min="16137" max="16384" width="11.42578125" style="3"/>
  </cols>
  <sheetData>
    <row r="1" spans="1:21" ht="48" customHeight="1">
      <c r="A1" s="1346" t="str">
        <f>PPTO!D3</f>
        <v>PRESUPUESTO
MUNICIPIO EL BAGRE (ANTIOQUIA).</v>
      </c>
      <c r="B1" s="1347"/>
      <c r="C1" s="1347"/>
      <c r="D1" s="1347"/>
      <c r="E1" s="1347"/>
      <c r="F1" s="1347"/>
      <c r="G1" s="1348"/>
      <c r="H1" s="1"/>
      <c r="I1" s="2"/>
    </row>
    <row r="2" spans="1:21" ht="18" customHeight="1">
      <c r="A2" s="1362" t="s">
        <v>16</v>
      </c>
      <c r="B2" s="1363"/>
      <c r="C2" s="1363"/>
      <c r="D2" s="1363"/>
      <c r="E2" s="1363"/>
      <c r="F2" s="1363"/>
      <c r="G2" s="1364"/>
      <c r="H2" s="1"/>
      <c r="I2" s="2"/>
    </row>
    <row r="3" spans="1:21" ht="24" customHeight="1">
      <c r="A3" s="1367" t="str">
        <f>+PPTO!$D$5</f>
        <v>PROYECTO DE MEJORAMIENTO VIAL, ESPACIO PUBLICO Y OBRAS COMPLEMENTARIAS DE LA AVENIDA LA JUVENTUD Y TRAMOS ADYACENTES Y PRIORITARIOS DEL SECTOR URBANO EN EL MUNICIPIO EL BAGRE ANTIOQUIA.</v>
      </c>
      <c r="B3" s="1368"/>
      <c r="C3" s="1368"/>
      <c r="D3" s="1368"/>
      <c r="E3" s="1368"/>
      <c r="F3" s="1368"/>
      <c r="G3" s="1369"/>
      <c r="H3" s="1"/>
      <c r="I3" s="2"/>
    </row>
    <row r="4" spans="1:21" ht="30" customHeight="1">
      <c r="A4" s="1370"/>
      <c r="B4" s="1368"/>
      <c r="C4" s="1368"/>
      <c r="D4" s="1368"/>
      <c r="E4" s="1368"/>
      <c r="F4" s="1368"/>
      <c r="G4" s="1369"/>
      <c r="H4" s="1"/>
      <c r="I4" s="2"/>
    </row>
    <row r="5" spans="1:21" ht="6.75" customHeight="1">
      <c r="A5" s="222"/>
      <c r="B5" s="6"/>
      <c r="C5" s="24"/>
      <c r="D5" s="25"/>
      <c r="E5" s="6"/>
      <c r="F5" s="6"/>
      <c r="G5" s="223"/>
      <c r="H5" s="9"/>
    </row>
    <row r="6" spans="1:21" ht="52.5" customHeight="1">
      <c r="A6" s="368">
        <v>5.8</v>
      </c>
      <c r="B6" s="1349" t="str">
        <f>VLOOKUP(A6,PPTO!D10:I137,2,FALSE)</f>
        <v>Suministro e Instalacion deTachas reflectivas Bidireccionales. (Manual Señalizacion MinT Colombia 2015)</v>
      </c>
      <c r="C6" s="1350"/>
      <c r="D6" s="1350"/>
      <c r="E6" s="1351"/>
      <c r="F6" s="192" t="s">
        <v>118</v>
      </c>
      <c r="G6" s="248" t="str">
        <f>VLOOKUP(A6,PPTO!D10:I137,3,FALSE)</f>
        <v>und</v>
      </c>
      <c r="H6" s="9"/>
    </row>
    <row r="7" spans="1:21" ht="3.75" customHeight="1">
      <c r="A7" s="226"/>
      <c r="B7" s="4"/>
      <c r="C7" s="6"/>
      <c r="D7" s="4"/>
      <c r="E7" s="4"/>
      <c r="F7" s="4"/>
      <c r="G7" s="227"/>
      <c r="H7" s="9"/>
    </row>
    <row r="8" spans="1:21" ht="22.5" customHeight="1">
      <c r="A8" s="1354" t="s">
        <v>69</v>
      </c>
      <c r="B8" s="1355"/>
      <c r="C8" s="1355"/>
      <c r="D8" s="1355"/>
      <c r="E8" s="1355"/>
      <c r="F8" s="1355"/>
      <c r="G8" s="1356"/>
      <c r="H8" s="9"/>
    </row>
    <row r="9" spans="1:21" ht="4.5" customHeight="1">
      <c r="A9" s="226"/>
      <c r="B9" s="4"/>
      <c r="C9" s="6"/>
      <c r="D9" s="4"/>
      <c r="E9" s="4"/>
      <c r="F9" s="4"/>
      <c r="G9" s="227"/>
      <c r="H9" s="9"/>
      <c r="I9" s="5"/>
      <c r="J9" s="5"/>
      <c r="K9" s="5"/>
      <c r="L9" s="26"/>
      <c r="M9" s="5"/>
      <c r="N9" s="5"/>
      <c r="O9" s="5"/>
      <c r="P9" s="5"/>
    </row>
    <row r="10" spans="1:21">
      <c r="A10" s="1373" t="s">
        <v>17</v>
      </c>
      <c r="B10" s="1374"/>
      <c r="C10" s="1374"/>
      <c r="D10" s="353" t="s">
        <v>18</v>
      </c>
      <c r="E10" s="353" t="s">
        <v>19</v>
      </c>
      <c r="F10" s="353" t="s">
        <v>20</v>
      </c>
      <c r="G10" s="228" t="s">
        <v>21</v>
      </c>
      <c r="H10" s="27"/>
      <c r="I10" s="28"/>
      <c r="J10" s="29"/>
      <c r="K10" s="30"/>
      <c r="L10" s="30"/>
      <c r="M10" s="30"/>
      <c r="N10" s="30"/>
      <c r="O10" s="30"/>
      <c r="P10" s="5"/>
    </row>
    <row r="11" spans="1:21">
      <c r="A11" s="1352" t="s">
        <v>47</v>
      </c>
      <c r="B11" s="1353"/>
      <c r="C11" s="1353"/>
      <c r="D11" s="353"/>
      <c r="E11" s="83"/>
      <c r="F11" s="97"/>
      <c r="G11" s="229">
        <f>+G39*10%+165</f>
        <v>543</v>
      </c>
      <c r="H11" s="9"/>
      <c r="I11" s="30"/>
      <c r="J11" s="31"/>
      <c r="K11" s="30"/>
      <c r="L11" s="30"/>
      <c r="M11" s="30"/>
      <c r="N11" s="30"/>
      <c r="O11" s="30"/>
      <c r="P11" s="5"/>
    </row>
    <row r="12" spans="1:21">
      <c r="A12" s="1371"/>
      <c r="B12" s="1372"/>
      <c r="C12" s="1372"/>
      <c r="D12" s="83"/>
      <c r="E12" s="83"/>
      <c r="F12" s="93"/>
      <c r="G12" s="229"/>
      <c r="H12" s="9"/>
      <c r="I12" s="16"/>
      <c r="J12" s="13"/>
      <c r="K12" s="8"/>
      <c r="L12" s="8"/>
      <c r="M12" s="8"/>
      <c r="N12" s="8"/>
      <c r="O12" s="8"/>
      <c r="P12" s="5"/>
    </row>
    <row r="13" spans="1:21">
      <c r="A13" s="1371"/>
      <c r="B13" s="1372"/>
      <c r="C13" s="1372"/>
      <c r="D13" s="83"/>
      <c r="E13" s="83"/>
      <c r="F13" s="93"/>
      <c r="G13" s="229"/>
      <c r="H13" s="9"/>
      <c r="I13" s="13"/>
      <c r="J13" s="13"/>
      <c r="K13" s="13"/>
      <c r="L13" s="13"/>
      <c r="M13" s="13"/>
      <c r="N13" s="13"/>
      <c r="O13" s="13"/>
      <c r="P13" s="5"/>
    </row>
    <row r="14" spans="1:21">
      <c r="A14" s="1371"/>
      <c r="B14" s="1372"/>
      <c r="C14" s="1372"/>
      <c r="D14" s="83"/>
      <c r="E14" s="83"/>
      <c r="F14" s="93"/>
      <c r="G14" s="229"/>
      <c r="H14" s="9"/>
      <c r="I14" s="8"/>
      <c r="J14" s="14"/>
      <c r="K14" s="32"/>
      <c r="L14" s="14"/>
      <c r="M14" s="15"/>
      <c r="N14" s="15"/>
      <c r="O14" s="19"/>
      <c r="P14" s="5"/>
    </row>
    <row r="15" spans="1:21">
      <c r="A15" s="1371"/>
      <c r="B15" s="1372"/>
      <c r="C15" s="1372"/>
      <c r="D15" s="83"/>
      <c r="E15" s="83"/>
      <c r="F15" s="98"/>
      <c r="G15" s="229"/>
      <c r="H15" s="9"/>
      <c r="I15" s="8"/>
      <c r="J15" s="33"/>
      <c r="K15" s="32"/>
      <c r="L15" s="14"/>
      <c r="M15" s="15"/>
      <c r="N15" s="15"/>
      <c r="O15" s="19"/>
      <c r="P15" s="5"/>
      <c r="Q15" s="5"/>
      <c r="R15" s="5"/>
      <c r="S15" s="5"/>
      <c r="T15" s="5"/>
      <c r="U15" s="5"/>
    </row>
    <row r="16" spans="1:21">
      <c r="A16" s="1371"/>
      <c r="B16" s="1372"/>
      <c r="C16" s="1372"/>
      <c r="D16" s="85" t="s">
        <v>37</v>
      </c>
      <c r="E16" s="50"/>
      <c r="F16" s="49"/>
      <c r="G16" s="230">
        <f>SUM(G11:G15)</f>
        <v>543</v>
      </c>
      <c r="H16" s="9"/>
      <c r="I16" s="34"/>
      <c r="J16" s="34"/>
      <c r="K16" s="35"/>
      <c r="L16" s="36"/>
      <c r="M16" s="7"/>
      <c r="N16" s="7"/>
      <c r="O16" s="19"/>
      <c r="P16" s="5"/>
      <c r="Q16" s="5"/>
      <c r="R16" s="5"/>
      <c r="S16" s="5"/>
      <c r="T16" s="5"/>
      <c r="U16" s="5"/>
    </row>
    <row r="17" spans="1:21" ht="4.5" customHeight="1">
      <c r="A17" s="226"/>
      <c r="B17" s="4"/>
      <c r="C17" s="6"/>
      <c r="D17" s="4"/>
      <c r="E17" s="4"/>
      <c r="F17" s="4"/>
      <c r="G17" s="227"/>
      <c r="H17" s="9"/>
      <c r="I17" s="34"/>
      <c r="J17" s="34"/>
      <c r="K17" s="35"/>
      <c r="L17" s="36"/>
      <c r="M17" s="7"/>
      <c r="N17" s="7"/>
      <c r="O17" s="19"/>
      <c r="P17" s="5"/>
      <c r="Q17" s="5"/>
      <c r="R17" s="5"/>
      <c r="S17" s="5"/>
      <c r="T17" s="5"/>
      <c r="U17" s="5"/>
    </row>
    <row r="18" spans="1:21" ht="22.5" customHeight="1">
      <c r="A18" s="1354" t="s">
        <v>70</v>
      </c>
      <c r="B18" s="1355"/>
      <c r="C18" s="1355"/>
      <c r="D18" s="1355"/>
      <c r="E18" s="1355"/>
      <c r="F18" s="1355"/>
      <c r="G18" s="1356"/>
      <c r="H18" s="9"/>
    </row>
    <row r="19" spans="1:21" ht="4.5" customHeight="1">
      <c r="A19" s="226"/>
      <c r="B19" s="4"/>
      <c r="C19" s="6"/>
      <c r="D19" s="4"/>
      <c r="E19" s="4"/>
      <c r="F19" s="38"/>
      <c r="G19" s="227"/>
      <c r="H19" s="9"/>
      <c r="I19" s="34"/>
      <c r="J19" s="34"/>
      <c r="K19" s="35"/>
      <c r="L19" s="39"/>
      <c r="M19" s="7"/>
      <c r="N19" s="7"/>
      <c r="O19" s="8"/>
      <c r="P19" s="5"/>
      <c r="Q19" s="5"/>
      <c r="R19" s="5"/>
      <c r="S19" s="5"/>
      <c r="T19" s="5"/>
      <c r="U19" s="5"/>
    </row>
    <row r="20" spans="1:21">
      <c r="A20" s="1373" t="s">
        <v>17</v>
      </c>
      <c r="B20" s="1374"/>
      <c r="C20" s="1374"/>
      <c r="D20" s="353" t="s">
        <v>3</v>
      </c>
      <c r="E20" s="353" t="s">
        <v>4</v>
      </c>
      <c r="F20" s="353" t="s">
        <v>25</v>
      </c>
      <c r="G20" s="228" t="s">
        <v>21</v>
      </c>
      <c r="H20" s="27"/>
      <c r="I20" s="34"/>
      <c r="J20" s="34"/>
      <c r="K20" s="35"/>
      <c r="L20" s="39"/>
      <c r="M20" s="7"/>
      <c r="N20" s="7"/>
      <c r="O20" s="8"/>
      <c r="P20" s="5"/>
      <c r="Q20" s="5"/>
      <c r="R20" s="5"/>
      <c r="S20" s="5"/>
      <c r="T20" s="5"/>
      <c r="U20" s="5"/>
    </row>
    <row r="21" spans="1:21">
      <c r="A21" s="1413" t="str">
        <f>+B6</f>
        <v>Suministro e Instalacion deTachas reflectivas Bidireccionales. (Manual Señalizacion MinT Colombia 2015)</v>
      </c>
      <c r="B21" s="1414"/>
      <c r="C21" s="1414"/>
      <c r="D21" s="418" t="s">
        <v>7</v>
      </c>
      <c r="E21" s="427">
        <v>1</v>
      </c>
      <c r="F21" s="420">
        <v>7500</v>
      </c>
      <c r="G21" s="421">
        <f>ROUND(F21*E21,0)</f>
        <v>7500</v>
      </c>
      <c r="H21" s="9"/>
      <c r="I21" s="34"/>
      <c r="J21" s="34"/>
      <c r="K21" s="35"/>
      <c r="L21" s="39"/>
      <c r="M21" s="7"/>
      <c r="N21" s="7"/>
      <c r="O21" s="13"/>
      <c r="P21" s="5"/>
      <c r="Q21" s="5"/>
      <c r="R21" s="5"/>
      <c r="S21" s="5"/>
      <c r="T21" s="5"/>
      <c r="U21" s="5"/>
    </row>
    <row r="22" spans="1:21">
      <c r="A22" s="1413" t="s">
        <v>310</v>
      </c>
      <c r="B22" s="1414"/>
      <c r="C22" s="1414"/>
      <c r="D22" s="418" t="s">
        <v>311</v>
      </c>
      <c r="E22" s="427">
        <v>1</v>
      </c>
      <c r="F22" s="424">
        <v>3000</v>
      </c>
      <c r="G22" s="421">
        <f>ROUND(F22*E22,0)</f>
        <v>3000</v>
      </c>
      <c r="H22" s="9"/>
      <c r="I22" s="10"/>
      <c r="J22" s="10"/>
      <c r="K22" s="12"/>
      <c r="L22" s="39"/>
      <c r="M22" s="7"/>
      <c r="N22" s="7"/>
      <c r="O22" s="15"/>
      <c r="P22" s="5"/>
      <c r="Q22" s="5"/>
      <c r="R22" s="5"/>
      <c r="S22" s="5"/>
      <c r="T22" s="5"/>
      <c r="U22" s="5"/>
    </row>
    <row r="23" spans="1:21">
      <c r="A23" s="1352"/>
      <c r="B23" s="1353"/>
      <c r="C23" s="1353"/>
      <c r="D23" s="73"/>
      <c r="E23" s="82"/>
      <c r="F23" s="78"/>
      <c r="G23" s="231"/>
      <c r="H23" s="9"/>
      <c r="I23" s="10"/>
      <c r="J23" s="10"/>
      <c r="K23" s="12"/>
      <c r="L23" s="39"/>
      <c r="M23" s="7"/>
      <c r="N23" s="7"/>
      <c r="O23" s="15"/>
      <c r="P23" s="5"/>
      <c r="Q23" s="5"/>
      <c r="R23" s="5"/>
      <c r="S23" s="5"/>
      <c r="T23" s="5"/>
      <c r="U23" s="5"/>
    </row>
    <row r="24" spans="1:21">
      <c r="A24" s="1352"/>
      <c r="B24" s="1353"/>
      <c r="C24" s="1353"/>
      <c r="D24" s="81"/>
      <c r="E24" s="88"/>
      <c r="F24" s="78"/>
      <c r="G24" s="231"/>
      <c r="H24" s="9"/>
      <c r="I24" s="10"/>
      <c r="J24" s="40"/>
      <c r="K24" s="12"/>
      <c r="L24" s="13"/>
      <c r="M24" s="14"/>
      <c r="N24" s="14"/>
      <c r="O24" s="15"/>
      <c r="P24" s="5"/>
      <c r="Q24" s="5"/>
      <c r="R24" s="5"/>
      <c r="S24" s="5"/>
      <c r="T24" s="5"/>
      <c r="U24" s="5"/>
    </row>
    <row r="25" spans="1:21">
      <c r="A25" s="1352"/>
      <c r="B25" s="1353"/>
      <c r="C25" s="1353"/>
      <c r="D25" s="81"/>
      <c r="E25" s="82"/>
      <c r="F25" s="78"/>
      <c r="G25" s="231"/>
      <c r="H25" s="9"/>
      <c r="I25" s="10"/>
      <c r="J25" s="11"/>
      <c r="K25" s="12"/>
      <c r="L25" s="13"/>
      <c r="M25" s="14"/>
      <c r="N25" s="14"/>
      <c r="O25" s="15"/>
      <c r="P25" s="5"/>
      <c r="Q25" s="5"/>
      <c r="R25" s="5"/>
      <c r="S25" s="5"/>
      <c r="T25" s="5"/>
      <c r="U25" s="5"/>
    </row>
    <row r="26" spans="1:21">
      <c r="A26" s="1352"/>
      <c r="B26" s="1353"/>
      <c r="C26" s="1353"/>
      <c r="D26" s="79"/>
      <c r="E26" s="82"/>
      <c r="F26" s="78"/>
      <c r="G26" s="231"/>
      <c r="H26" s="9"/>
      <c r="I26" s="10"/>
      <c r="J26" s="11"/>
      <c r="K26" s="12"/>
      <c r="L26" s="13"/>
      <c r="M26" s="14"/>
      <c r="N26" s="14"/>
      <c r="O26" s="15"/>
      <c r="P26" s="5"/>
      <c r="Q26" s="5"/>
      <c r="R26" s="5"/>
      <c r="S26" s="5"/>
      <c r="T26" s="5"/>
      <c r="U26" s="5"/>
    </row>
    <row r="27" spans="1:21">
      <c r="A27" s="1352"/>
      <c r="B27" s="1353"/>
      <c r="C27" s="1353"/>
      <c r="D27" s="79"/>
      <c r="E27" s="82"/>
      <c r="F27" s="78"/>
      <c r="G27" s="231"/>
      <c r="H27" s="9"/>
      <c r="I27" s="10"/>
      <c r="J27" s="11"/>
      <c r="K27" s="12"/>
      <c r="L27" s="13"/>
      <c r="M27" s="14"/>
      <c r="N27" s="14"/>
      <c r="O27" s="15"/>
      <c r="P27" s="5"/>
      <c r="Q27" s="5"/>
      <c r="R27" s="5"/>
      <c r="S27" s="5"/>
      <c r="T27" s="5"/>
      <c r="U27" s="5"/>
    </row>
    <row r="28" spans="1:21">
      <c r="A28" s="1352"/>
      <c r="B28" s="1353"/>
      <c r="C28" s="1353"/>
      <c r="D28" s="79"/>
      <c r="E28" s="82"/>
      <c r="F28" s="83"/>
      <c r="G28" s="231"/>
      <c r="H28" s="9"/>
      <c r="I28" s="41"/>
      <c r="J28" s="41"/>
      <c r="K28" s="12"/>
      <c r="L28" s="13"/>
      <c r="M28" s="14"/>
      <c r="N28" s="14"/>
      <c r="O28" s="15"/>
      <c r="P28" s="5"/>
      <c r="Q28" s="5"/>
      <c r="R28" s="5"/>
      <c r="S28" s="5"/>
      <c r="T28" s="5"/>
      <c r="U28" s="5"/>
    </row>
    <row r="29" spans="1:21">
      <c r="A29" s="1352"/>
      <c r="B29" s="1353"/>
      <c r="C29" s="1353"/>
      <c r="D29" s="84"/>
      <c r="E29" s="84"/>
      <c r="F29" s="83"/>
      <c r="G29" s="231"/>
      <c r="H29" s="9"/>
      <c r="I29" s="42"/>
      <c r="J29" s="42"/>
      <c r="K29" s="42"/>
      <c r="L29" s="13"/>
      <c r="M29" s="14"/>
      <c r="N29" s="14"/>
      <c r="O29" s="15"/>
      <c r="P29" s="5"/>
      <c r="Q29" s="5"/>
      <c r="R29" s="5"/>
      <c r="S29" s="5"/>
      <c r="T29" s="5"/>
      <c r="U29" s="5"/>
    </row>
    <row r="30" spans="1:21">
      <c r="A30" s="1352"/>
      <c r="B30" s="1353"/>
      <c r="C30" s="1353"/>
      <c r="D30" s="85" t="s">
        <v>28</v>
      </c>
      <c r="E30" s="50"/>
      <c r="F30" s="49"/>
      <c r="G30" s="230">
        <f>SUM(G21:G29)</f>
        <v>10500</v>
      </c>
      <c r="H30" s="9"/>
      <c r="I30" s="8"/>
      <c r="J30" s="13"/>
      <c r="K30" s="8"/>
      <c r="L30" s="13"/>
      <c r="M30" s="14"/>
      <c r="N30" s="14"/>
      <c r="O30" s="15"/>
      <c r="P30" s="5"/>
    </row>
    <row r="31" spans="1:21" ht="3.75" customHeight="1">
      <c r="A31" s="226"/>
      <c r="B31" s="4"/>
      <c r="C31" s="6"/>
      <c r="D31" s="4"/>
      <c r="E31" s="4"/>
      <c r="F31" s="4"/>
      <c r="G31" s="227"/>
      <c r="H31" s="9"/>
      <c r="I31" s="8"/>
      <c r="J31" s="13"/>
      <c r="K31" s="18"/>
      <c r="L31" s="13"/>
      <c r="M31" s="33"/>
      <c r="N31" s="33"/>
      <c r="O31" s="15"/>
      <c r="P31" s="5"/>
    </row>
    <row r="32" spans="1:21" ht="22.5" customHeight="1">
      <c r="A32" s="1354" t="s">
        <v>71</v>
      </c>
      <c r="B32" s="1355"/>
      <c r="C32" s="1355"/>
      <c r="D32" s="1355"/>
      <c r="E32" s="1355"/>
      <c r="F32" s="1355"/>
      <c r="G32" s="1356"/>
      <c r="H32" s="9"/>
    </row>
    <row r="33" spans="1:16" ht="3.75" customHeight="1">
      <c r="A33" s="226"/>
      <c r="B33" s="4"/>
      <c r="C33" s="6"/>
      <c r="D33" s="4"/>
      <c r="E33" s="4"/>
      <c r="F33" s="4"/>
      <c r="G33" s="227"/>
      <c r="H33" s="9"/>
      <c r="I33" s="8"/>
      <c r="J33" s="13"/>
      <c r="K33" s="8"/>
      <c r="L33" s="8"/>
      <c r="M33" s="8"/>
      <c r="N33" s="8"/>
      <c r="O33" s="15"/>
      <c r="P33" s="5"/>
    </row>
    <row r="34" spans="1:16">
      <c r="A34" s="232" t="s">
        <v>5</v>
      </c>
      <c r="B34" s="60" t="s">
        <v>29</v>
      </c>
      <c r="C34" s="60" t="s">
        <v>30</v>
      </c>
      <c r="D34" s="60" t="s">
        <v>31</v>
      </c>
      <c r="E34" s="60" t="s">
        <v>32</v>
      </c>
      <c r="F34" s="60" t="s">
        <v>20</v>
      </c>
      <c r="G34" s="228" t="s">
        <v>33</v>
      </c>
      <c r="H34" s="27"/>
      <c r="I34" s="8"/>
      <c r="J34" s="13"/>
      <c r="K34" s="8"/>
      <c r="L34" s="8"/>
      <c r="M34" s="8"/>
      <c r="N34" s="8"/>
      <c r="O34" s="15"/>
      <c r="P34" s="5"/>
    </row>
    <row r="35" spans="1:16">
      <c r="A35" s="233" t="s">
        <v>41</v>
      </c>
      <c r="B35" s="63">
        <f>BOF</f>
        <v>51749</v>
      </c>
      <c r="C35" s="68">
        <f>ffpp</f>
        <v>0.64539999999999997</v>
      </c>
      <c r="D35" s="72">
        <v>0.5</v>
      </c>
      <c r="E35" s="66">
        <f>OF</f>
        <v>88696</v>
      </c>
      <c r="F35" s="65">
        <v>50</v>
      </c>
      <c r="G35" s="231">
        <f>ROUND(+D35*E35/F35,0)</f>
        <v>887</v>
      </c>
      <c r="H35" s="9"/>
      <c r="I35" s="16"/>
      <c r="J35" s="13"/>
      <c r="K35" s="8"/>
      <c r="L35" s="8"/>
      <c r="M35" s="8"/>
      <c r="N35" s="8"/>
      <c r="O35" s="15"/>
      <c r="P35" s="5"/>
    </row>
    <row r="36" spans="1:16">
      <c r="A36" s="233" t="s">
        <v>38</v>
      </c>
      <c r="B36" s="63">
        <f>BOB</f>
        <v>41749</v>
      </c>
      <c r="C36" s="68">
        <f>ffpp</f>
        <v>0.64539999999999997</v>
      </c>
      <c r="D36" s="72">
        <v>2</v>
      </c>
      <c r="E36" s="66">
        <f>OB</f>
        <v>72242</v>
      </c>
      <c r="F36" s="65">
        <f>F35</f>
        <v>50</v>
      </c>
      <c r="G36" s="231">
        <f>ROUND(+D36*E36/F36,0)</f>
        <v>2890</v>
      </c>
      <c r="H36" s="9"/>
      <c r="I36" s="8"/>
      <c r="J36" s="8"/>
      <c r="K36" s="13"/>
      <c r="L36" s="13"/>
      <c r="M36" s="13"/>
      <c r="N36" s="13"/>
      <c r="O36" s="13"/>
      <c r="P36" s="5"/>
    </row>
    <row r="37" spans="1:16">
      <c r="A37" s="234"/>
      <c r="B37" s="50"/>
      <c r="C37" s="961"/>
      <c r="D37" s="50"/>
      <c r="E37" s="50"/>
      <c r="F37" s="50"/>
      <c r="G37" s="235"/>
      <c r="H37" s="9"/>
      <c r="I37" s="8"/>
      <c r="J37" s="13"/>
      <c r="K37" s="13"/>
      <c r="L37" s="13"/>
      <c r="M37" s="33"/>
      <c r="N37" s="33"/>
      <c r="O37" s="43"/>
      <c r="P37" s="5"/>
    </row>
    <row r="38" spans="1:16">
      <c r="A38" s="233"/>
      <c r="B38" s="65"/>
      <c r="C38" s="68"/>
      <c r="D38" s="65"/>
      <c r="E38" s="69"/>
      <c r="F38" s="69"/>
      <c r="G38" s="236"/>
      <c r="H38" s="9"/>
      <c r="I38" s="8"/>
      <c r="J38" s="13"/>
      <c r="K38" s="13"/>
      <c r="L38" s="13"/>
      <c r="M38" s="33"/>
      <c r="N38" s="33"/>
      <c r="O38" s="43"/>
      <c r="P38" s="5"/>
    </row>
    <row r="39" spans="1:16">
      <c r="A39" s="249"/>
      <c r="B39" s="71"/>
      <c r="C39" s="71"/>
      <c r="D39" s="71" t="s">
        <v>34</v>
      </c>
      <c r="E39" s="71"/>
      <c r="F39" s="71"/>
      <c r="G39" s="250">
        <f>SUM(G35:G38)</f>
        <v>3777</v>
      </c>
      <c r="H39" s="9"/>
      <c r="I39" s="8"/>
      <c r="J39" s="13"/>
      <c r="K39" s="13"/>
      <c r="L39" s="13"/>
      <c r="M39" s="14"/>
      <c r="N39" s="14"/>
      <c r="O39" s="15"/>
      <c r="P39" s="5"/>
    </row>
    <row r="40" spans="1:16">
      <c r="A40" s="226"/>
      <c r="B40" s="4"/>
      <c r="C40" s="6"/>
      <c r="D40" s="4"/>
      <c r="E40" s="4"/>
      <c r="F40" s="4"/>
      <c r="G40" s="227"/>
      <c r="H40" s="9"/>
      <c r="I40" s="8"/>
      <c r="J40" s="13"/>
      <c r="K40" s="13"/>
      <c r="L40" s="13"/>
      <c r="M40" s="14"/>
      <c r="N40" s="14"/>
      <c r="O40" s="19"/>
      <c r="P40" s="5"/>
    </row>
    <row r="41" spans="1:16">
      <c r="A41" s="226"/>
      <c r="B41" s="4"/>
      <c r="C41" s="6"/>
      <c r="D41" s="4"/>
      <c r="E41" s="4"/>
      <c r="F41" s="4"/>
      <c r="G41" s="227"/>
      <c r="H41" s="9"/>
      <c r="I41" s="8"/>
      <c r="J41" s="13"/>
      <c r="K41" s="13"/>
      <c r="L41" s="13"/>
      <c r="M41" s="17"/>
      <c r="N41" s="17"/>
      <c r="O41" s="37"/>
      <c r="P41" s="5"/>
    </row>
    <row r="42" spans="1:16" ht="14.25">
      <c r="A42" s="226"/>
      <c r="B42" s="4"/>
      <c r="C42" s="6"/>
      <c r="D42" s="1357" t="s">
        <v>35</v>
      </c>
      <c r="E42" s="1358"/>
      <c r="F42" s="1359"/>
      <c r="G42" s="239">
        <f>+G39+G30+G16</f>
        <v>14820</v>
      </c>
      <c r="H42" s="9"/>
      <c r="I42" s="48"/>
      <c r="J42" s="20"/>
      <c r="K42" s="8"/>
      <c r="L42" s="8"/>
      <c r="M42" s="8"/>
      <c r="N42" s="8"/>
      <c r="O42" s="8"/>
      <c r="P42" s="5"/>
    </row>
    <row r="43" spans="1:16" ht="14.25">
      <c r="A43" s="240"/>
      <c r="B43" s="57"/>
      <c r="C43" s="58"/>
      <c r="D43" s="99"/>
      <c r="E43" s="99"/>
      <c r="F43" s="99"/>
      <c r="G43" s="251"/>
      <c r="H43" s="9"/>
      <c r="I43" s="48"/>
      <c r="J43" s="20"/>
      <c r="K43" s="8"/>
      <c r="L43" s="8"/>
      <c r="M43" s="8"/>
      <c r="N43" s="8"/>
      <c r="O43" s="8"/>
      <c r="P43" s="5"/>
    </row>
    <row r="44" spans="1:16" ht="14.25">
      <c r="A44" s="374"/>
      <c r="B44" s="375"/>
      <c r="C44" s="375"/>
      <c r="D44" s="99"/>
      <c r="E44" s="99"/>
      <c r="F44" s="99"/>
      <c r="G44" s="251"/>
      <c r="H44" s="9"/>
      <c r="I44" s="48"/>
      <c r="J44" s="20"/>
      <c r="K44" s="8"/>
      <c r="L44" s="8"/>
      <c r="M44" s="8"/>
      <c r="N44" s="8"/>
      <c r="O44" s="8"/>
      <c r="P44" s="5"/>
    </row>
    <row r="45" spans="1:16" ht="14.25">
      <c r="A45" s="373"/>
      <c r="B45" s="376"/>
      <c r="C45" s="376"/>
      <c r="D45" s="99"/>
      <c r="E45" s="99"/>
      <c r="F45" s="99"/>
      <c r="G45" s="251"/>
      <c r="H45" s="9"/>
      <c r="I45" s="48"/>
      <c r="J45" s="20"/>
      <c r="K45" s="8"/>
      <c r="L45" s="8"/>
      <c r="M45" s="8"/>
      <c r="N45" s="8"/>
      <c r="O45" s="8"/>
      <c r="P45" s="5"/>
    </row>
    <row r="46" spans="1:16" ht="14.25">
      <c r="A46" s="373"/>
      <c r="B46" s="376"/>
      <c r="C46" s="376"/>
      <c r="D46" s="44"/>
      <c r="E46" s="45"/>
      <c r="F46" s="45"/>
      <c r="G46" s="251"/>
      <c r="H46" s="9"/>
      <c r="I46" s="8"/>
      <c r="J46" s="13"/>
      <c r="K46" s="8"/>
      <c r="L46" s="8"/>
      <c r="M46" s="8"/>
      <c r="N46" s="8"/>
      <c r="O46" s="8"/>
      <c r="P46" s="5"/>
    </row>
    <row r="47" spans="1:16" ht="15" thickBot="1">
      <c r="A47" s="242"/>
      <c r="B47" s="243"/>
      <c r="C47" s="244"/>
      <c r="D47" s="245"/>
      <c r="E47" s="246"/>
      <c r="F47" s="246"/>
      <c r="G47" s="247"/>
      <c r="H47" s="9"/>
      <c r="I47" s="8"/>
      <c r="J47" s="13"/>
      <c r="K47" s="8"/>
      <c r="L47" s="8"/>
      <c r="M47" s="8"/>
      <c r="N47" s="8"/>
      <c r="O47" s="8"/>
      <c r="P47" s="5"/>
    </row>
    <row r="48" spans="1:16">
      <c r="I48" s="5"/>
      <c r="J48" s="5"/>
      <c r="K48" s="5"/>
      <c r="L48" s="5"/>
      <c r="M48" s="5"/>
      <c r="N48" s="5"/>
      <c r="O48" s="5"/>
      <c r="P48" s="5"/>
    </row>
    <row r="49" spans="9:16">
      <c r="I49" s="5"/>
      <c r="J49" s="5"/>
      <c r="K49" s="5"/>
      <c r="L49" s="5"/>
      <c r="M49" s="5"/>
      <c r="N49" s="5"/>
      <c r="O49" s="5"/>
      <c r="P49" s="5"/>
    </row>
  </sheetData>
  <mergeCells count="26">
    <mergeCell ref="A10:C10"/>
    <mergeCell ref="A1:G1"/>
    <mergeCell ref="A2:G2"/>
    <mergeCell ref="A3:G4"/>
    <mergeCell ref="B6:E6"/>
    <mergeCell ref="A8:G8"/>
    <mergeCell ref="A24:C24"/>
    <mergeCell ref="A11:C11"/>
    <mergeCell ref="A12:C12"/>
    <mergeCell ref="A13:C13"/>
    <mergeCell ref="A14:C14"/>
    <mergeCell ref="A15:C15"/>
    <mergeCell ref="A16:C16"/>
    <mergeCell ref="A18:G18"/>
    <mergeCell ref="A20:C20"/>
    <mergeCell ref="A21:C21"/>
    <mergeCell ref="A22:C22"/>
    <mergeCell ref="A23:C23"/>
    <mergeCell ref="A32:G32"/>
    <mergeCell ref="D42:F42"/>
    <mergeCell ref="A25:C25"/>
    <mergeCell ref="A26:C26"/>
    <mergeCell ref="A27:C27"/>
    <mergeCell ref="A28:C28"/>
    <mergeCell ref="A29:C29"/>
    <mergeCell ref="A30:C30"/>
  </mergeCells>
  <printOptions horizontalCentered="1" verticalCentered="1"/>
  <pageMargins left="0.74803149606299213" right="0.74803149606299213" top="0" bottom="0.98425196850393704" header="0" footer="0"/>
  <pageSetup scale="90" orientation="portrait" r:id="rId1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9"/>
  <dimension ref="A1:U49"/>
  <sheetViews>
    <sheetView view="pageBreakPreview" topLeftCell="A16" zoomScaleNormal="100" zoomScaleSheetLayoutView="100" workbookViewId="0">
      <selection activeCell="I7" sqref="I7"/>
    </sheetView>
  </sheetViews>
  <sheetFormatPr baseColWidth="10" defaultColWidth="10.7109375" defaultRowHeight="12.75"/>
  <cols>
    <col min="1" max="1" width="15.85546875" style="3" customWidth="1"/>
    <col min="2" max="2" width="14.85546875" style="3" customWidth="1"/>
    <col min="3" max="3" width="13.28515625" style="3" customWidth="1"/>
    <col min="4" max="4" width="11.42578125" style="3"/>
    <col min="5" max="5" width="13.42578125" style="3" customWidth="1"/>
    <col min="6" max="6" width="12.7109375" style="3" customWidth="1"/>
    <col min="7" max="7" width="14" style="3" customWidth="1"/>
    <col min="8" max="8" width="7.42578125" style="3" customWidth="1"/>
    <col min="9" max="256" width="11.42578125" style="3"/>
    <col min="257" max="257" width="15.85546875" style="3" customWidth="1"/>
    <col min="258" max="258" width="14.85546875" style="3" customWidth="1"/>
    <col min="259" max="259" width="13.28515625" style="3" customWidth="1"/>
    <col min="260" max="260" width="11.42578125" style="3"/>
    <col min="261" max="261" width="13.42578125" style="3" customWidth="1"/>
    <col min="262" max="262" width="12.7109375" style="3" customWidth="1"/>
    <col min="263" max="263" width="14" style="3" customWidth="1"/>
    <col min="264" max="264" width="7.42578125" style="3" customWidth="1"/>
    <col min="265" max="512" width="11.42578125" style="3"/>
    <col min="513" max="513" width="15.85546875" style="3" customWidth="1"/>
    <col min="514" max="514" width="14.85546875" style="3" customWidth="1"/>
    <col min="515" max="515" width="13.28515625" style="3" customWidth="1"/>
    <col min="516" max="516" width="11.42578125" style="3"/>
    <col min="517" max="517" width="13.42578125" style="3" customWidth="1"/>
    <col min="518" max="518" width="12.7109375" style="3" customWidth="1"/>
    <col min="519" max="519" width="14" style="3" customWidth="1"/>
    <col min="520" max="520" width="7.42578125" style="3" customWidth="1"/>
    <col min="521" max="768" width="11.42578125" style="3"/>
    <col min="769" max="769" width="15.85546875" style="3" customWidth="1"/>
    <col min="770" max="770" width="14.85546875" style="3" customWidth="1"/>
    <col min="771" max="771" width="13.28515625" style="3" customWidth="1"/>
    <col min="772" max="772" width="11.42578125" style="3"/>
    <col min="773" max="773" width="13.42578125" style="3" customWidth="1"/>
    <col min="774" max="774" width="12.7109375" style="3" customWidth="1"/>
    <col min="775" max="775" width="14" style="3" customWidth="1"/>
    <col min="776" max="776" width="7.42578125" style="3" customWidth="1"/>
    <col min="777" max="1024" width="11.42578125" style="3"/>
    <col min="1025" max="1025" width="15.85546875" style="3" customWidth="1"/>
    <col min="1026" max="1026" width="14.85546875" style="3" customWidth="1"/>
    <col min="1027" max="1027" width="13.28515625" style="3" customWidth="1"/>
    <col min="1028" max="1028" width="11.42578125" style="3"/>
    <col min="1029" max="1029" width="13.42578125" style="3" customWidth="1"/>
    <col min="1030" max="1030" width="12.7109375" style="3" customWidth="1"/>
    <col min="1031" max="1031" width="14" style="3" customWidth="1"/>
    <col min="1032" max="1032" width="7.42578125" style="3" customWidth="1"/>
    <col min="1033" max="1280" width="11.42578125" style="3"/>
    <col min="1281" max="1281" width="15.85546875" style="3" customWidth="1"/>
    <col min="1282" max="1282" width="14.85546875" style="3" customWidth="1"/>
    <col min="1283" max="1283" width="13.28515625" style="3" customWidth="1"/>
    <col min="1284" max="1284" width="11.42578125" style="3"/>
    <col min="1285" max="1285" width="13.42578125" style="3" customWidth="1"/>
    <col min="1286" max="1286" width="12.7109375" style="3" customWidth="1"/>
    <col min="1287" max="1287" width="14" style="3" customWidth="1"/>
    <col min="1288" max="1288" width="7.42578125" style="3" customWidth="1"/>
    <col min="1289" max="1536" width="11.42578125" style="3"/>
    <col min="1537" max="1537" width="15.85546875" style="3" customWidth="1"/>
    <col min="1538" max="1538" width="14.85546875" style="3" customWidth="1"/>
    <col min="1539" max="1539" width="13.28515625" style="3" customWidth="1"/>
    <col min="1540" max="1540" width="11.42578125" style="3"/>
    <col min="1541" max="1541" width="13.42578125" style="3" customWidth="1"/>
    <col min="1542" max="1542" width="12.7109375" style="3" customWidth="1"/>
    <col min="1543" max="1543" width="14" style="3" customWidth="1"/>
    <col min="1544" max="1544" width="7.42578125" style="3" customWidth="1"/>
    <col min="1545" max="1792" width="11.42578125" style="3"/>
    <col min="1793" max="1793" width="15.85546875" style="3" customWidth="1"/>
    <col min="1794" max="1794" width="14.85546875" style="3" customWidth="1"/>
    <col min="1795" max="1795" width="13.28515625" style="3" customWidth="1"/>
    <col min="1796" max="1796" width="11.42578125" style="3"/>
    <col min="1797" max="1797" width="13.42578125" style="3" customWidth="1"/>
    <col min="1798" max="1798" width="12.7109375" style="3" customWidth="1"/>
    <col min="1799" max="1799" width="14" style="3" customWidth="1"/>
    <col min="1800" max="1800" width="7.42578125" style="3" customWidth="1"/>
    <col min="1801" max="2048" width="11.42578125" style="3"/>
    <col min="2049" max="2049" width="15.85546875" style="3" customWidth="1"/>
    <col min="2050" max="2050" width="14.85546875" style="3" customWidth="1"/>
    <col min="2051" max="2051" width="13.28515625" style="3" customWidth="1"/>
    <col min="2052" max="2052" width="11.42578125" style="3"/>
    <col min="2053" max="2053" width="13.42578125" style="3" customWidth="1"/>
    <col min="2054" max="2054" width="12.7109375" style="3" customWidth="1"/>
    <col min="2055" max="2055" width="14" style="3" customWidth="1"/>
    <col min="2056" max="2056" width="7.42578125" style="3" customWidth="1"/>
    <col min="2057" max="2304" width="11.42578125" style="3"/>
    <col min="2305" max="2305" width="15.85546875" style="3" customWidth="1"/>
    <col min="2306" max="2306" width="14.85546875" style="3" customWidth="1"/>
    <col min="2307" max="2307" width="13.28515625" style="3" customWidth="1"/>
    <col min="2308" max="2308" width="11.42578125" style="3"/>
    <col min="2309" max="2309" width="13.42578125" style="3" customWidth="1"/>
    <col min="2310" max="2310" width="12.7109375" style="3" customWidth="1"/>
    <col min="2311" max="2311" width="14" style="3" customWidth="1"/>
    <col min="2312" max="2312" width="7.42578125" style="3" customWidth="1"/>
    <col min="2313" max="2560" width="11.42578125" style="3"/>
    <col min="2561" max="2561" width="15.85546875" style="3" customWidth="1"/>
    <col min="2562" max="2562" width="14.85546875" style="3" customWidth="1"/>
    <col min="2563" max="2563" width="13.28515625" style="3" customWidth="1"/>
    <col min="2564" max="2564" width="11.42578125" style="3"/>
    <col min="2565" max="2565" width="13.42578125" style="3" customWidth="1"/>
    <col min="2566" max="2566" width="12.7109375" style="3" customWidth="1"/>
    <col min="2567" max="2567" width="14" style="3" customWidth="1"/>
    <col min="2568" max="2568" width="7.42578125" style="3" customWidth="1"/>
    <col min="2569" max="2816" width="11.42578125" style="3"/>
    <col min="2817" max="2817" width="15.85546875" style="3" customWidth="1"/>
    <col min="2818" max="2818" width="14.85546875" style="3" customWidth="1"/>
    <col min="2819" max="2819" width="13.28515625" style="3" customWidth="1"/>
    <col min="2820" max="2820" width="11.42578125" style="3"/>
    <col min="2821" max="2821" width="13.42578125" style="3" customWidth="1"/>
    <col min="2822" max="2822" width="12.7109375" style="3" customWidth="1"/>
    <col min="2823" max="2823" width="14" style="3" customWidth="1"/>
    <col min="2824" max="2824" width="7.42578125" style="3" customWidth="1"/>
    <col min="2825" max="3072" width="11.42578125" style="3"/>
    <col min="3073" max="3073" width="15.85546875" style="3" customWidth="1"/>
    <col min="3074" max="3074" width="14.85546875" style="3" customWidth="1"/>
    <col min="3075" max="3075" width="13.28515625" style="3" customWidth="1"/>
    <col min="3076" max="3076" width="11.42578125" style="3"/>
    <col min="3077" max="3077" width="13.42578125" style="3" customWidth="1"/>
    <col min="3078" max="3078" width="12.7109375" style="3" customWidth="1"/>
    <col min="3079" max="3079" width="14" style="3" customWidth="1"/>
    <col min="3080" max="3080" width="7.42578125" style="3" customWidth="1"/>
    <col min="3081" max="3328" width="11.42578125" style="3"/>
    <col min="3329" max="3329" width="15.85546875" style="3" customWidth="1"/>
    <col min="3330" max="3330" width="14.85546875" style="3" customWidth="1"/>
    <col min="3331" max="3331" width="13.28515625" style="3" customWidth="1"/>
    <col min="3332" max="3332" width="11.42578125" style="3"/>
    <col min="3333" max="3333" width="13.42578125" style="3" customWidth="1"/>
    <col min="3334" max="3334" width="12.7109375" style="3" customWidth="1"/>
    <col min="3335" max="3335" width="14" style="3" customWidth="1"/>
    <col min="3336" max="3336" width="7.42578125" style="3" customWidth="1"/>
    <col min="3337" max="3584" width="11.42578125" style="3"/>
    <col min="3585" max="3585" width="15.85546875" style="3" customWidth="1"/>
    <col min="3586" max="3586" width="14.85546875" style="3" customWidth="1"/>
    <col min="3587" max="3587" width="13.28515625" style="3" customWidth="1"/>
    <col min="3588" max="3588" width="11.42578125" style="3"/>
    <col min="3589" max="3589" width="13.42578125" style="3" customWidth="1"/>
    <col min="3590" max="3590" width="12.7109375" style="3" customWidth="1"/>
    <col min="3591" max="3591" width="14" style="3" customWidth="1"/>
    <col min="3592" max="3592" width="7.42578125" style="3" customWidth="1"/>
    <col min="3593" max="3840" width="11.42578125" style="3"/>
    <col min="3841" max="3841" width="15.85546875" style="3" customWidth="1"/>
    <col min="3842" max="3842" width="14.85546875" style="3" customWidth="1"/>
    <col min="3843" max="3843" width="13.28515625" style="3" customWidth="1"/>
    <col min="3844" max="3844" width="11.42578125" style="3"/>
    <col min="3845" max="3845" width="13.42578125" style="3" customWidth="1"/>
    <col min="3846" max="3846" width="12.7109375" style="3" customWidth="1"/>
    <col min="3847" max="3847" width="14" style="3" customWidth="1"/>
    <col min="3848" max="3848" width="7.42578125" style="3" customWidth="1"/>
    <col min="3849" max="4096" width="11.42578125" style="3"/>
    <col min="4097" max="4097" width="15.85546875" style="3" customWidth="1"/>
    <col min="4098" max="4098" width="14.85546875" style="3" customWidth="1"/>
    <col min="4099" max="4099" width="13.28515625" style="3" customWidth="1"/>
    <col min="4100" max="4100" width="11.42578125" style="3"/>
    <col min="4101" max="4101" width="13.42578125" style="3" customWidth="1"/>
    <col min="4102" max="4102" width="12.7109375" style="3" customWidth="1"/>
    <col min="4103" max="4103" width="14" style="3" customWidth="1"/>
    <col min="4104" max="4104" width="7.42578125" style="3" customWidth="1"/>
    <col min="4105" max="4352" width="11.42578125" style="3"/>
    <col min="4353" max="4353" width="15.85546875" style="3" customWidth="1"/>
    <col min="4354" max="4354" width="14.85546875" style="3" customWidth="1"/>
    <col min="4355" max="4355" width="13.28515625" style="3" customWidth="1"/>
    <col min="4356" max="4356" width="11.42578125" style="3"/>
    <col min="4357" max="4357" width="13.42578125" style="3" customWidth="1"/>
    <col min="4358" max="4358" width="12.7109375" style="3" customWidth="1"/>
    <col min="4359" max="4359" width="14" style="3" customWidth="1"/>
    <col min="4360" max="4360" width="7.42578125" style="3" customWidth="1"/>
    <col min="4361" max="4608" width="11.42578125" style="3"/>
    <col min="4609" max="4609" width="15.85546875" style="3" customWidth="1"/>
    <col min="4610" max="4610" width="14.85546875" style="3" customWidth="1"/>
    <col min="4611" max="4611" width="13.28515625" style="3" customWidth="1"/>
    <col min="4612" max="4612" width="11.42578125" style="3"/>
    <col min="4613" max="4613" width="13.42578125" style="3" customWidth="1"/>
    <col min="4614" max="4614" width="12.7109375" style="3" customWidth="1"/>
    <col min="4615" max="4615" width="14" style="3" customWidth="1"/>
    <col min="4616" max="4616" width="7.42578125" style="3" customWidth="1"/>
    <col min="4617" max="4864" width="11.42578125" style="3"/>
    <col min="4865" max="4865" width="15.85546875" style="3" customWidth="1"/>
    <col min="4866" max="4866" width="14.85546875" style="3" customWidth="1"/>
    <col min="4867" max="4867" width="13.28515625" style="3" customWidth="1"/>
    <col min="4868" max="4868" width="11.42578125" style="3"/>
    <col min="4869" max="4869" width="13.42578125" style="3" customWidth="1"/>
    <col min="4870" max="4870" width="12.7109375" style="3" customWidth="1"/>
    <col min="4871" max="4871" width="14" style="3" customWidth="1"/>
    <col min="4872" max="4872" width="7.42578125" style="3" customWidth="1"/>
    <col min="4873" max="5120" width="11.42578125" style="3"/>
    <col min="5121" max="5121" width="15.85546875" style="3" customWidth="1"/>
    <col min="5122" max="5122" width="14.85546875" style="3" customWidth="1"/>
    <col min="5123" max="5123" width="13.28515625" style="3" customWidth="1"/>
    <col min="5124" max="5124" width="11.42578125" style="3"/>
    <col min="5125" max="5125" width="13.42578125" style="3" customWidth="1"/>
    <col min="5126" max="5126" width="12.7109375" style="3" customWidth="1"/>
    <col min="5127" max="5127" width="14" style="3" customWidth="1"/>
    <col min="5128" max="5128" width="7.42578125" style="3" customWidth="1"/>
    <col min="5129" max="5376" width="11.42578125" style="3"/>
    <col min="5377" max="5377" width="15.85546875" style="3" customWidth="1"/>
    <col min="5378" max="5378" width="14.85546875" style="3" customWidth="1"/>
    <col min="5379" max="5379" width="13.28515625" style="3" customWidth="1"/>
    <col min="5380" max="5380" width="11.42578125" style="3"/>
    <col min="5381" max="5381" width="13.42578125" style="3" customWidth="1"/>
    <col min="5382" max="5382" width="12.7109375" style="3" customWidth="1"/>
    <col min="5383" max="5383" width="14" style="3" customWidth="1"/>
    <col min="5384" max="5384" width="7.42578125" style="3" customWidth="1"/>
    <col min="5385" max="5632" width="11.42578125" style="3"/>
    <col min="5633" max="5633" width="15.85546875" style="3" customWidth="1"/>
    <col min="5634" max="5634" width="14.85546875" style="3" customWidth="1"/>
    <col min="5635" max="5635" width="13.28515625" style="3" customWidth="1"/>
    <col min="5636" max="5636" width="11.42578125" style="3"/>
    <col min="5637" max="5637" width="13.42578125" style="3" customWidth="1"/>
    <col min="5638" max="5638" width="12.7109375" style="3" customWidth="1"/>
    <col min="5639" max="5639" width="14" style="3" customWidth="1"/>
    <col min="5640" max="5640" width="7.42578125" style="3" customWidth="1"/>
    <col min="5641" max="5888" width="11.42578125" style="3"/>
    <col min="5889" max="5889" width="15.85546875" style="3" customWidth="1"/>
    <col min="5890" max="5890" width="14.85546875" style="3" customWidth="1"/>
    <col min="5891" max="5891" width="13.28515625" style="3" customWidth="1"/>
    <col min="5892" max="5892" width="11.42578125" style="3"/>
    <col min="5893" max="5893" width="13.42578125" style="3" customWidth="1"/>
    <col min="5894" max="5894" width="12.7109375" style="3" customWidth="1"/>
    <col min="5895" max="5895" width="14" style="3" customWidth="1"/>
    <col min="5896" max="5896" width="7.42578125" style="3" customWidth="1"/>
    <col min="5897" max="6144" width="11.42578125" style="3"/>
    <col min="6145" max="6145" width="15.85546875" style="3" customWidth="1"/>
    <col min="6146" max="6146" width="14.85546875" style="3" customWidth="1"/>
    <col min="6147" max="6147" width="13.28515625" style="3" customWidth="1"/>
    <col min="6148" max="6148" width="11.42578125" style="3"/>
    <col min="6149" max="6149" width="13.42578125" style="3" customWidth="1"/>
    <col min="6150" max="6150" width="12.7109375" style="3" customWidth="1"/>
    <col min="6151" max="6151" width="14" style="3" customWidth="1"/>
    <col min="6152" max="6152" width="7.42578125" style="3" customWidth="1"/>
    <col min="6153" max="6400" width="11.42578125" style="3"/>
    <col min="6401" max="6401" width="15.85546875" style="3" customWidth="1"/>
    <col min="6402" max="6402" width="14.85546875" style="3" customWidth="1"/>
    <col min="6403" max="6403" width="13.28515625" style="3" customWidth="1"/>
    <col min="6404" max="6404" width="11.42578125" style="3"/>
    <col min="6405" max="6405" width="13.42578125" style="3" customWidth="1"/>
    <col min="6406" max="6406" width="12.7109375" style="3" customWidth="1"/>
    <col min="6407" max="6407" width="14" style="3" customWidth="1"/>
    <col min="6408" max="6408" width="7.42578125" style="3" customWidth="1"/>
    <col min="6409" max="6656" width="11.42578125" style="3"/>
    <col min="6657" max="6657" width="15.85546875" style="3" customWidth="1"/>
    <col min="6658" max="6658" width="14.85546875" style="3" customWidth="1"/>
    <col min="6659" max="6659" width="13.28515625" style="3" customWidth="1"/>
    <col min="6660" max="6660" width="11.42578125" style="3"/>
    <col min="6661" max="6661" width="13.42578125" style="3" customWidth="1"/>
    <col min="6662" max="6662" width="12.7109375" style="3" customWidth="1"/>
    <col min="6663" max="6663" width="14" style="3" customWidth="1"/>
    <col min="6664" max="6664" width="7.42578125" style="3" customWidth="1"/>
    <col min="6665" max="6912" width="11.42578125" style="3"/>
    <col min="6913" max="6913" width="15.85546875" style="3" customWidth="1"/>
    <col min="6914" max="6914" width="14.85546875" style="3" customWidth="1"/>
    <col min="6915" max="6915" width="13.28515625" style="3" customWidth="1"/>
    <col min="6916" max="6916" width="11.42578125" style="3"/>
    <col min="6917" max="6917" width="13.42578125" style="3" customWidth="1"/>
    <col min="6918" max="6918" width="12.7109375" style="3" customWidth="1"/>
    <col min="6919" max="6919" width="14" style="3" customWidth="1"/>
    <col min="6920" max="6920" width="7.42578125" style="3" customWidth="1"/>
    <col min="6921" max="7168" width="11.42578125" style="3"/>
    <col min="7169" max="7169" width="15.85546875" style="3" customWidth="1"/>
    <col min="7170" max="7170" width="14.85546875" style="3" customWidth="1"/>
    <col min="7171" max="7171" width="13.28515625" style="3" customWidth="1"/>
    <col min="7172" max="7172" width="11.42578125" style="3"/>
    <col min="7173" max="7173" width="13.42578125" style="3" customWidth="1"/>
    <col min="7174" max="7174" width="12.7109375" style="3" customWidth="1"/>
    <col min="7175" max="7175" width="14" style="3" customWidth="1"/>
    <col min="7176" max="7176" width="7.42578125" style="3" customWidth="1"/>
    <col min="7177" max="7424" width="11.42578125" style="3"/>
    <col min="7425" max="7425" width="15.85546875" style="3" customWidth="1"/>
    <col min="7426" max="7426" width="14.85546875" style="3" customWidth="1"/>
    <col min="7427" max="7427" width="13.28515625" style="3" customWidth="1"/>
    <col min="7428" max="7428" width="11.42578125" style="3"/>
    <col min="7429" max="7429" width="13.42578125" style="3" customWidth="1"/>
    <col min="7430" max="7430" width="12.7109375" style="3" customWidth="1"/>
    <col min="7431" max="7431" width="14" style="3" customWidth="1"/>
    <col min="7432" max="7432" width="7.42578125" style="3" customWidth="1"/>
    <col min="7433" max="7680" width="11.42578125" style="3"/>
    <col min="7681" max="7681" width="15.85546875" style="3" customWidth="1"/>
    <col min="7682" max="7682" width="14.85546875" style="3" customWidth="1"/>
    <col min="7683" max="7683" width="13.28515625" style="3" customWidth="1"/>
    <col min="7684" max="7684" width="11.42578125" style="3"/>
    <col min="7685" max="7685" width="13.42578125" style="3" customWidth="1"/>
    <col min="7686" max="7686" width="12.7109375" style="3" customWidth="1"/>
    <col min="7687" max="7687" width="14" style="3" customWidth="1"/>
    <col min="7688" max="7688" width="7.42578125" style="3" customWidth="1"/>
    <col min="7689" max="7936" width="11.42578125" style="3"/>
    <col min="7937" max="7937" width="15.85546875" style="3" customWidth="1"/>
    <col min="7938" max="7938" width="14.85546875" style="3" customWidth="1"/>
    <col min="7939" max="7939" width="13.28515625" style="3" customWidth="1"/>
    <col min="7940" max="7940" width="11.42578125" style="3"/>
    <col min="7941" max="7941" width="13.42578125" style="3" customWidth="1"/>
    <col min="7942" max="7942" width="12.7109375" style="3" customWidth="1"/>
    <col min="7943" max="7943" width="14" style="3" customWidth="1"/>
    <col min="7944" max="7944" width="7.42578125" style="3" customWidth="1"/>
    <col min="7945" max="8192" width="11.42578125" style="3"/>
    <col min="8193" max="8193" width="15.85546875" style="3" customWidth="1"/>
    <col min="8194" max="8194" width="14.85546875" style="3" customWidth="1"/>
    <col min="8195" max="8195" width="13.28515625" style="3" customWidth="1"/>
    <col min="8196" max="8196" width="11.42578125" style="3"/>
    <col min="8197" max="8197" width="13.42578125" style="3" customWidth="1"/>
    <col min="8198" max="8198" width="12.7109375" style="3" customWidth="1"/>
    <col min="8199" max="8199" width="14" style="3" customWidth="1"/>
    <col min="8200" max="8200" width="7.42578125" style="3" customWidth="1"/>
    <col min="8201" max="8448" width="11.42578125" style="3"/>
    <col min="8449" max="8449" width="15.85546875" style="3" customWidth="1"/>
    <col min="8450" max="8450" width="14.85546875" style="3" customWidth="1"/>
    <col min="8451" max="8451" width="13.28515625" style="3" customWidth="1"/>
    <col min="8452" max="8452" width="11.42578125" style="3"/>
    <col min="8453" max="8453" width="13.42578125" style="3" customWidth="1"/>
    <col min="8454" max="8454" width="12.7109375" style="3" customWidth="1"/>
    <col min="8455" max="8455" width="14" style="3" customWidth="1"/>
    <col min="8456" max="8456" width="7.42578125" style="3" customWidth="1"/>
    <col min="8457" max="8704" width="11.42578125" style="3"/>
    <col min="8705" max="8705" width="15.85546875" style="3" customWidth="1"/>
    <col min="8706" max="8706" width="14.85546875" style="3" customWidth="1"/>
    <col min="8707" max="8707" width="13.28515625" style="3" customWidth="1"/>
    <col min="8708" max="8708" width="11.42578125" style="3"/>
    <col min="8709" max="8709" width="13.42578125" style="3" customWidth="1"/>
    <col min="8710" max="8710" width="12.7109375" style="3" customWidth="1"/>
    <col min="8711" max="8711" width="14" style="3" customWidth="1"/>
    <col min="8712" max="8712" width="7.42578125" style="3" customWidth="1"/>
    <col min="8713" max="8960" width="11.42578125" style="3"/>
    <col min="8961" max="8961" width="15.85546875" style="3" customWidth="1"/>
    <col min="8962" max="8962" width="14.85546875" style="3" customWidth="1"/>
    <col min="8963" max="8963" width="13.28515625" style="3" customWidth="1"/>
    <col min="8964" max="8964" width="11.42578125" style="3"/>
    <col min="8965" max="8965" width="13.42578125" style="3" customWidth="1"/>
    <col min="8966" max="8966" width="12.7109375" style="3" customWidth="1"/>
    <col min="8967" max="8967" width="14" style="3" customWidth="1"/>
    <col min="8968" max="8968" width="7.42578125" style="3" customWidth="1"/>
    <col min="8969" max="9216" width="11.42578125" style="3"/>
    <col min="9217" max="9217" width="15.85546875" style="3" customWidth="1"/>
    <col min="9218" max="9218" width="14.85546875" style="3" customWidth="1"/>
    <col min="9219" max="9219" width="13.28515625" style="3" customWidth="1"/>
    <col min="9220" max="9220" width="11.42578125" style="3"/>
    <col min="9221" max="9221" width="13.42578125" style="3" customWidth="1"/>
    <col min="9222" max="9222" width="12.7109375" style="3" customWidth="1"/>
    <col min="9223" max="9223" width="14" style="3" customWidth="1"/>
    <col min="9224" max="9224" width="7.42578125" style="3" customWidth="1"/>
    <col min="9225" max="9472" width="11.42578125" style="3"/>
    <col min="9473" max="9473" width="15.85546875" style="3" customWidth="1"/>
    <col min="9474" max="9474" width="14.85546875" style="3" customWidth="1"/>
    <col min="9475" max="9475" width="13.28515625" style="3" customWidth="1"/>
    <col min="9476" max="9476" width="11.42578125" style="3"/>
    <col min="9477" max="9477" width="13.42578125" style="3" customWidth="1"/>
    <col min="9478" max="9478" width="12.7109375" style="3" customWidth="1"/>
    <col min="9479" max="9479" width="14" style="3" customWidth="1"/>
    <col min="9480" max="9480" width="7.42578125" style="3" customWidth="1"/>
    <col min="9481" max="9728" width="11.42578125" style="3"/>
    <col min="9729" max="9729" width="15.85546875" style="3" customWidth="1"/>
    <col min="9730" max="9730" width="14.85546875" style="3" customWidth="1"/>
    <col min="9731" max="9731" width="13.28515625" style="3" customWidth="1"/>
    <col min="9732" max="9732" width="11.42578125" style="3"/>
    <col min="9733" max="9733" width="13.42578125" style="3" customWidth="1"/>
    <col min="9734" max="9734" width="12.7109375" style="3" customWidth="1"/>
    <col min="9735" max="9735" width="14" style="3" customWidth="1"/>
    <col min="9736" max="9736" width="7.42578125" style="3" customWidth="1"/>
    <col min="9737" max="9984" width="11.42578125" style="3"/>
    <col min="9985" max="9985" width="15.85546875" style="3" customWidth="1"/>
    <col min="9986" max="9986" width="14.85546875" style="3" customWidth="1"/>
    <col min="9987" max="9987" width="13.28515625" style="3" customWidth="1"/>
    <col min="9988" max="9988" width="11.42578125" style="3"/>
    <col min="9989" max="9989" width="13.42578125" style="3" customWidth="1"/>
    <col min="9990" max="9990" width="12.7109375" style="3" customWidth="1"/>
    <col min="9991" max="9991" width="14" style="3" customWidth="1"/>
    <col min="9992" max="9992" width="7.42578125" style="3" customWidth="1"/>
    <col min="9993" max="10240" width="11.42578125" style="3"/>
    <col min="10241" max="10241" width="15.85546875" style="3" customWidth="1"/>
    <col min="10242" max="10242" width="14.85546875" style="3" customWidth="1"/>
    <col min="10243" max="10243" width="13.28515625" style="3" customWidth="1"/>
    <col min="10244" max="10244" width="11.42578125" style="3"/>
    <col min="10245" max="10245" width="13.42578125" style="3" customWidth="1"/>
    <col min="10246" max="10246" width="12.7109375" style="3" customWidth="1"/>
    <col min="10247" max="10247" width="14" style="3" customWidth="1"/>
    <col min="10248" max="10248" width="7.42578125" style="3" customWidth="1"/>
    <col min="10249" max="10496" width="11.42578125" style="3"/>
    <col min="10497" max="10497" width="15.85546875" style="3" customWidth="1"/>
    <col min="10498" max="10498" width="14.85546875" style="3" customWidth="1"/>
    <col min="10499" max="10499" width="13.28515625" style="3" customWidth="1"/>
    <col min="10500" max="10500" width="11.42578125" style="3"/>
    <col min="10501" max="10501" width="13.42578125" style="3" customWidth="1"/>
    <col min="10502" max="10502" width="12.7109375" style="3" customWidth="1"/>
    <col min="10503" max="10503" width="14" style="3" customWidth="1"/>
    <col min="10504" max="10504" width="7.42578125" style="3" customWidth="1"/>
    <col min="10505" max="10752" width="11.42578125" style="3"/>
    <col min="10753" max="10753" width="15.85546875" style="3" customWidth="1"/>
    <col min="10754" max="10754" width="14.85546875" style="3" customWidth="1"/>
    <col min="10755" max="10755" width="13.28515625" style="3" customWidth="1"/>
    <col min="10756" max="10756" width="11.42578125" style="3"/>
    <col min="10757" max="10757" width="13.42578125" style="3" customWidth="1"/>
    <col min="10758" max="10758" width="12.7109375" style="3" customWidth="1"/>
    <col min="10759" max="10759" width="14" style="3" customWidth="1"/>
    <col min="10760" max="10760" width="7.42578125" style="3" customWidth="1"/>
    <col min="10761" max="11008" width="11.42578125" style="3"/>
    <col min="11009" max="11009" width="15.85546875" style="3" customWidth="1"/>
    <col min="11010" max="11010" width="14.85546875" style="3" customWidth="1"/>
    <col min="11011" max="11011" width="13.28515625" style="3" customWidth="1"/>
    <col min="11012" max="11012" width="11.42578125" style="3"/>
    <col min="11013" max="11013" width="13.42578125" style="3" customWidth="1"/>
    <col min="11014" max="11014" width="12.7109375" style="3" customWidth="1"/>
    <col min="11015" max="11015" width="14" style="3" customWidth="1"/>
    <col min="11016" max="11016" width="7.42578125" style="3" customWidth="1"/>
    <col min="11017" max="11264" width="11.42578125" style="3"/>
    <col min="11265" max="11265" width="15.85546875" style="3" customWidth="1"/>
    <col min="11266" max="11266" width="14.85546875" style="3" customWidth="1"/>
    <col min="11267" max="11267" width="13.28515625" style="3" customWidth="1"/>
    <col min="11268" max="11268" width="11.42578125" style="3"/>
    <col min="11269" max="11269" width="13.42578125" style="3" customWidth="1"/>
    <col min="11270" max="11270" width="12.7109375" style="3" customWidth="1"/>
    <col min="11271" max="11271" width="14" style="3" customWidth="1"/>
    <col min="11272" max="11272" width="7.42578125" style="3" customWidth="1"/>
    <col min="11273" max="11520" width="11.42578125" style="3"/>
    <col min="11521" max="11521" width="15.85546875" style="3" customWidth="1"/>
    <col min="11522" max="11522" width="14.85546875" style="3" customWidth="1"/>
    <col min="11523" max="11523" width="13.28515625" style="3" customWidth="1"/>
    <col min="11524" max="11524" width="11.42578125" style="3"/>
    <col min="11525" max="11525" width="13.42578125" style="3" customWidth="1"/>
    <col min="11526" max="11526" width="12.7109375" style="3" customWidth="1"/>
    <col min="11527" max="11527" width="14" style="3" customWidth="1"/>
    <col min="11528" max="11528" width="7.42578125" style="3" customWidth="1"/>
    <col min="11529" max="11776" width="11.42578125" style="3"/>
    <col min="11777" max="11777" width="15.85546875" style="3" customWidth="1"/>
    <col min="11778" max="11778" width="14.85546875" style="3" customWidth="1"/>
    <col min="11779" max="11779" width="13.28515625" style="3" customWidth="1"/>
    <col min="11780" max="11780" width="11.42578125" style="3"/>
    <col min="11781" max="11781" width="13.42578125" style="3" customWidth="1"/>
    <col min="11782" max="11782" width="12.7109375" style="3" customWidth="1"/>
    <col min="11783" max="11783" width="14" style="3" customWidth="1"/>
    <col min="11784" max="11784" width="7.42578125" style="3" customWidth="1"/>
    <col min="11785" max="12032" width="11.42578125" style="3"/>
    <col min="12033" max="12033" width="15.85546875" style="3" customWidth="1"/>
    <col min="12034" max="12034" width="14.85546875" style="3" customWidth="1"/>
    <col min="12035" max="12035" width="13.28515625" style="3" customWidth="1"/>
    <col min="12036" max="12036" width="11.42578125" style="3"/>
    <col min="12037" max="12037" width="13.42578125" style="3" customWidth="1"/>
    <col min="12038" max="12038" width="12.7109375" style="3" customWidth="1"/>
    <col min="12039" max="12039" width="14" style="3" customWidth="1"/>
    <col min="12040" max="12040" width="7.42578125" style="3" customWidth="1"/>
    <col min="12041" max="12288" width="11.42578125" style="3"/>
    <col min="12289" max="12289" width="15.85546875" style="3" customWidth="1"/>
    <col min="12290" max="12290" width="14.85546875" style="3" customWidth="1"/>
    <col min="12291" max="12291" width="13.28515625" style="3" customWidth="1"/>
    <col min="12292" max="12292" width="11.42578125" style="3"/>
    <col min="12293" max="12293" width="13.42578125" style="3" customWidth="1"/>
    <col min="12294" max="12294" width="12.7109375" style="3" customWidth="1"/>
    <col min="12295" max="12295" width="14" style="3" customWidth="1"/>
    <col min="12296" max="12296" width="7.42578125" style="3" customWidth="1"/>
    <col min="12297" max="12544" width="11.42578125" style="3"/>
    <col min="12545" max="12545" width="15.85546875" style="3" customWidth="1"/>
    <col min="12546" max="12546" width="14.85546875" style="3" customWidth="1"/>
    <col min="12547" max="12547" width="13.28515625" style="3" customWidth="1"/>
    <col min="12548" max="12548" width="11.42578125" style="3"/>
    <col min="12549" max="12549" width="13.42578125" style="3" customWidth="1"/>
    <col min="12550" max="12550" width="12.7109375" style="3" customWidth="1"/>
    <col min="12551" max="12551" width="14" style="3" customWidth="1"/>
    <col min="12552" max="12552" width="7.42578125" style="3" customWidth="1"/>
    <col min="12553" max="12800" width="11.42578125" style="3"/>
    <col min="12801" max="12801" width="15.85546875" style="3" customWidth="1"/>
    <col min="12802" max="12802" width="14.85546875" style="3" customWidth="1"/>
    <col min="12803" max="12803" width="13.28515625" style="3" customWidth="1"/>
    <col min="12804" max="12804" width="11.42578125" style="3"/>
    <col min="12805" max="12805" width="13.42578125" style="3" customWidth="1"/>
    <col min="12806" max="12806" width="12.7109375" style="3" customWidth="1"/>
    <col min="12807" max="12807" width="14" style="3" customWidth="1"/>
    <col min="12808" max="12808" width="7.42578125" style="3" customWidth="1"/>
    <col min="12809" max="13056" width="11.42578125" style="3"/>
    <col min="13057" max="13057" width="15.85546875" style="3" customWidth="1"/>
    <col min="13058" max="13058" width="14.85546875" style="3" customWidth="1"/>
    <col min="13059" max="13059" width="13.28515625" style="3" customWidth="1"/>
    <col min="13060" max="13060" width="11.42578125" style="3"/>
    <col min="13061" max="13061" width="13.42578125" style="3" customWidth="1"/>
    <col min="13062" max="13062" width="12.7109375" style="3" customWidth="1"/>
    <col min="13063" max="13063" width="14" style="3" customWidth="1"/>
    <col min="13064" max="13064" width="7.42578125" style="3" customWidth="1"/>
    <col min="13065" max="13312" width="11.42578125" style="3"/>
    <col min="13313" max="13313" width="15.85546875" style="3" customWidth="1"/>
    <col min="13314" max="13314" width="14.85546875" style="3" customWidth="1"/>
    <col min="13315" max="13315" width="13.28515625" style="3" customWidth="1"/>
    <col min="13316" max="13316" width="11.42578125" style="3"/>
    <col min="13317" max="13317" width="13.42578125" style="3" customWidth="1"/>
    <col min="13318" max="13318" width="12.7109375" style="3" customWidth="1"/>
    <col min="13319" max="13319" width="14" style="3" customWidth="1"/>
    <col min="13320" max="13320" width="7.42578125" style="3" customWidth="1"/>
    <col min="13321" max="13568" width="11.42578125" style="3"/>
    <col min="13569" max="13569" width="15.85546875" style="3" customWidth="1"/>
    <col min="13570" max="13570" width="14.85546875" style="3" customWidth="1"/>
    <col min="13571" max="13571" width="13.28515625" style="3" customWidth="1"/>
    <col min="13572" max="13572" width="11.42578125" style="3"/>
    <col min="13573" max="13573" width="13.42578125" style="3" customWidth="1"/>
    <col min="13574" max="13574" width="12.7109375" style="3" customWidth="1"/>
    <col min="13575" max="13575" width="14" style="3" customWidth="1"/>
    <col min="13576" max="13576" width="7.42578125" style="3" customWidth="1"/>
    <col min="13577" max="13824" width="11.42578125" style="3"/>
    <col min="13825" max="13825" width="15.85546875" style="3" customWidth="1"/>
    <col min="13826" max="13826" width="14.85546875" style="3" customWidth="1"/>
    <col min="13827" max="13827" width="13.28515625" style="3" customWidth="1"/>
    <col min="13828" max="13828" width="11.42578125" style="3"/>
    <col min="13829" max="13829" width="13.42578125" style="3" customWidth="1"/>
    <col min="13830" max="13830" width="12.7109375" style="3" customWidth="1"/>
    <col min="13831" max="13831" width="14" style="3" customWidth="1"/>
    <col min="13832" max="13832" width="7.42578125" style="3" customWidth="1"/>
    <col min="13833" max="14080" width="11.42578125" style="3"/>
    <col min="14081" max="14081" width="15.85546875" style="3" customWidth="1"/>
    <col min="14082" max="14082" width="14.85546875" style="3" customWidth="1"/>
    <col min="14083" max="14083" width="13.28515625" style="3" customWidth="1"/>
    <col min="14084" max="14084" width="11.42578125" style="3"/>
    <col min="14085" max="14085" width="13.42578125" style="3" customWidth="1"/>
    <col min="14086" max="14086" width="12.7109375" style="3" customWidth="1"/>
    <col min="14087" max="14087" width="14" style="3" customWidth="1"/>
    <col min="14088" max="14088" width="7.42578125" style="3" customWidth="1"/>
    <col min="14089" max="14336" width="11.42578125" style="3"/>
    <col min="14337" max="14337" width="15.85546875" style="3" customWidth="1"/>
    <col min="14338" max="14338" width="14.85546875" style="3" customWidth="1"/>
    <col min="14339" max="14339" width="13.28515625" style="3" customWidth="1"/>
    <col min="14340" max="14340" width="11.42578125" style="3"/>
    <col min="14341" max="14341" width="13.42578125" style="3" customWidth="1"/>
    <col min="14342" max="14342" width="12.7109375" style="3" customWidth="1"/>
    <col min="14343" max="14343" width="14" style="3" customWidth="1"/>
    <col min="14344" max="14344" width="7.42578125" style="3" customWidth="1"/>
    <col min="14345" max="14592" width="11.42578125" style="3"/>
    <col min="14593" max="14593" width="15.85546875" style="3" customWidth="1"/>
    <col min="14594" max="14594" width="14.85546875" style="3" customWidth="1"/>
    <col min="14595" max="14595" width="13.28515625" style="3" customWidth="1"/>
    <col min="14596" max="14596" width="11.42578125" style="3"/>
    <col min="14597" max="14597" width="13.42578125" style="3" customWidth="1"/>
    <col min="14598" max="14598" width="12.7109375" style="3" customWidth="1"/>
    <col min="14599" max="14599" width="14" style="3" customWidth="1"/>
    <col min="14600" max="14600" width="7.42578125" style="3" customWidth="1"/>
    <col min="14601" max="14848" width="11.42578125" style="3"/>
    <col min="14849" max="14849" width="15.85546875" style="3" customWidth="1"/>
    <col min="14850" max="14850" width="14.85546875" style="3" customWidth="1"/>
    <col min="14851" max="14851" width="13.28515625" style="3" customWidth="1"/>
    <col min="14852" max="14852" width="11.42578125" style="3"/>
    <col min="14853" max="14853" width="13.42578125" style="3" customWidth="1"/>
    <col min="14854" max="14854" width="12.7109375" style="3" customWidth="1"/>
    <col min="14855" max="14855" width="14" style="3" customWidth="1"/>
    <col min="14856" max="14856" width="7.42578125" style="3" customWidth="1"/>
    <col min="14857" max="15104" width="11.42578125" style="3"/>
    <col min="15105" max="15105" width="15.85546875" style="3" customWidth="1"/>
    <col min="15106" max="15106" width="14.85546875" style="3" customWidth="1"/>
    <col min="15107" max="15107" width="13.28515625" style="3" customWidth="1"/>
    <col min="15108" max="15108" width="11.42578125" style="3"/>
    <col min="15109" max="15109" width="13.42578125" style="3" customWidth="1"/>
    <col min="15110" max="15110" width="12.7109375" style="3" customWidth="1"/>
    <col min="15111" max="15111" width="14" style="3" customWidth="1"/>
    <col min="15112" max="15112" width="7.42578125" style="3" customWidth="1"/>
    <col min="15113" max="15360" width="11.42578125" style="3"/>
    <col min="15361" max="15361" width="15.85546875" style="3" customWidth="1"/>
    <col min="15362" max="15362" width="14.85546875" style="3" customWidth="1"/>
    <col min="15363" max="15363" width="13.28515625" style="3" customWidth="1"/>
    <col min="15364" max="15364" width="11.42578125" style="3"/>
    <col min="15365" max="15365" width="13.42578125" style="3" customWidth="1"/>
    <col min="15366" max="15366" width="12.7109375" style="3" customWidth="1"/>
    <col min="15367" max="15367" width="14" style="3" customWidth="1"/>
    <col min="15368" max="15368" width="7.42578125" style="3" customWidth="1"/>
    <col min="15369" max="15616" width="11.42578125" style="3"/>
    <col min="15617" max="15617" width="15.85546875" style="3" customWidth="1"/>
    <col min="15618" max="15618" width="14.85546875" style="3" customWidth="1"/>
    <col min="15619" max="15619" width="13.28515625" style="3" customWidth="1"/>
    <col min="15620" max="15620" width="11.42578125" style="3"/>
    <col min="15621" max="15621" width="13.42578125" style="3" customWidth="1"/>
    <col min="15622" max="15622" width="12.7109375" style="3" customWidth="1"/>
    <col min="15623" max="15623" width="14" style="3" customWidth="1"/>
    <col min="15624" max="15624" width="7.42578125" style="3" customWidth="1"/>
    <col min="15625" max="15872" width="11.42578125" style="3"/>
    <col min="15873" max="15873" width="15.85546875" style="3" customWidth="1"/>
    <col min="15874" max="15874" width="14.85546875" style="3" customWidth="1"/>
    <col min="15875" max="15875" width="13.28515625" style="3" customWidth="1"/>
    <col min="15876" max="15876" width="11.42578125" style="3"/>
    <col min="15877" max="15877" width="13.42578125" style="3" customWidth="1"/>
    <col min="15878" max="15878" width="12.7109375" style="3" customWidth="1"/>
    <col min="15879" max="15879" width="14" style="3" customWidth="1"/>
    <col min="15880" max="15880" width="7.42578125" style="3" customWidth="1"/>
    <col min="15881" max="16128" width="11.42578125" style="3"/>
    <col min="16129" max="16129" width="15.85546875" style="3" customWidth="1"/>
    <col min="16130" max="16130" width="14.85546875" style="3" customWidth="1"/>
    <col min="16131" max="16131" width="13.28515625" style="3" customWidth="1"/>
    <col min="16132" max="16132" width="11.42578125" style="3"/>
    <col min="16133" max="16133" width="13.42578125" style="3" customWidth="1"/>
    <col min="16134" max="16134" width="12.7109375" style="3" customWidth="1"/>
    <col min="16135" max="16135" width="14" style="3" customWidth="1"/>
    <col min="16136" max="16136" width="7.42578125" style="3" customWidth="1"/>
    <col min="16137" max="16384" width="11.42578125" style="3"/>
  </cols>
  <sheetData>
    <row r="1" spans="1:21" ht="48" customHeight="1">
      <c r="A1" s="1346" t="str">
        <f>PPTO!D3</f>
        <v>PRESUPUESTO
MUNICIPIO EL BAGRE (ANTIOQUIA).</v>
      </c>
      <c r="B1" s="1347"/>
      <c r="C1" s="1347"/>
      <c r="D1" s="1347"/>
      <c r="E1" s="1347"/>
      <c r="F1" s="1347"/>
      <c r="G1" s="1348"/>
      <c r="H1" s="1"/>
      <c r="I1" s="2"/>
    </row>
    <row r="2" spans="1:21" ht="18" customHeight="1">
      <c r="A2" s="1362" t="s">
        <v>16</v>
      </c>
      <c r="B2" s="1363"/>
      <c r="C2" s="1363"/>
      <c r="D2" s="1363"/>
      <c r="E2" s="1363"/>
      <c r="F2" s="1363"/>
      <c r="G2" s="1364"/>
      <c r="H2" s="1"/>
      <c r="I2" s="2"/>
    </row>
    <row r="3" spans="1:21" ht="24" customHeight="1">
      <c r="A3" s="1367" t="str">
        <f>+PPTO!$D$5</f>
        <v>PROYECTO DE MEJORAMIENTO VIAL, ESPACIO PUBLICO Y OBRAS COMPLEMENTARIAS DE LA AVENIDA LA JUVENTUD Y TRAMOS ADYACENTES Y PRIORITARIOS DEL SECTOR URBANO EN EL MUNICIPIO EL BAGRE ANTIOQUIA.</v>
      </c>
      <c r="B3" s="1368"/>
      <c r="C3" s="1368"/>
      <c r="D3" s="1368"/>
      <c r="E3" s="1368"/>
      <c r="F3" s="1368"/>
      <c r="G3" s="1369"/>
      <c r="H3" s="1"/>
      <c r="I3" s="2"/>
    </row>
    <row r="4" spans="1:21" ht="30" customHeight="1">
      <c r="A4" s="1370"/>
      <c r="B4" s="1368"/>
      <c r="C4" s="1368"/>
      <c r="D4" s="1368"/>
      <c r="E4" s="1368"/>
      <c r="F4" s="1368"/>
      <c r="G4" s="1369"/>
      <c r="H4" s="1"/>
      <c r="I4" s="2"/>
    </row>
    <row r="5" spans="1:21" ht="6.75" customHeight="1">
      <c r="A5" s="222"/>
      <c r="B5" s="6"/>
      <c r="C5" s="24"/>
      <c r="D5" s="25"/>
      <c r="E5" s="6"/>
      <c r="F5" s="6"/>
      <c r="G5" s="223"/>
      <c r="H5" s="9"/>
    </row>
    <row r="6" spans="1:21" ht="52.5" customHeight="1">
      <c r="A6" s="368">
        <v>5.9</v>
      </c>
      <c r="B6" s="1349" t="str">
        <f>VLOOKUP(A6,PPTO!D10:I137,2,FALSE)</f>
        <v xml:space="preserve">Suministro e Instalacion de Tachas Solares. </v>
      </c>
      <c r="C6" s="1350"/>
      <c r="D6" s="1350"/>
      <c r="E6" s="1351"/>
      <c r="F6" s="192" t="s">
        <v>118</v>
      </c>
      <c r="G6" s="248" t="str">
        <f>VLOOKUP(A6,PPTO!D10:I137,3,FALSE)</f>
        <v>und</v>
      </c>
      <c r="H6" s="9"/>
    </row>
    <row r="7" spans="1:21" ht="3.75" customHeight="1">
      <c r="A7" s="226"/>
      <c r="B7" s="4"/>
      <c r="C7" s="6"/>
      <c r="D7" s="4"/>
      <c r="E7" s="4"/>
      <c r="F7" s="4"/>
      <c r="G7" s="227"/>
      <c r="H7" s="9"/>
    </row>
    <row r="8" spans="1:21" ht="22.5" customHeight="1">
      <c r="A8" s="1354" t="s">
        <v>69</v>
      </c>
      <c r="B8" s="1355"/>
      <c r="C8" s="1355"/>
      <c r="D8" s="1355"/>
      <c r="E8" s="1355"/>
      <c r="F8" s="1355"/>
      <c r="G8" s="1356"/>
      <c r="H8" s="9"/>
    </row>
    <row r="9" spans="1:21" ht="4.5" customHeight="1">
      <c r="A9" s="226"/>
      <c r="B9" s="4"/>
      <c r="C9" s="6"/>
      <c r="D9" s="4"/>
      <c r="E9" s="4"/>
      <c r="F9" s="4"/>
      <c r="G9" s="227"/>
      <c r="H9" s="9"/>
      <c r="I9" s="5"/>
      <c r="J9" s="5"/>
      <c r="K9" s="5"/>
      <c r="L9" s="26"/>
      <c r="M9" s="5"/>
      <c r="N9" s="5"/>
      <c r="O9" s="5"/>
      <c r="P9" s="5"/>
    </row>
    <row r="10" spans="1:21">
      <c r="A10" s="1373" t="s">
        <v>17</v>
      </c>
      <c r="B10" s="1374"/>
      <c r="C10" s="1374"/>
      <c r="D10" s="353" t="s">
        <v>18</v>
      </c>
      <c r="E10" s="353" t="s">
        <v>19</v>
      </c>
      <c r="F10" s="353" t="s">
        <v>20</v>
      </c>
      <c r="G10" s="228" t="s">
        <v>21</v>
      </c>
      <c r="H10" s="27"/>
      <c r="I10" s="28"/>
      <c r="J10" s="29"/>
      <c r="K10" s="30"/>
      <c r="L10" s="30"/>
      <c r="M10" s="30"/>
      <c r="N10" s="30"/>
      <c r="O10" s="30"/>
      <c r="P10" s="5"/>
    </row>
    <row r="11" spans="1:21">
      <c r="A11" s="1352" t="s">
        <v>47</v>
      </c>
      <c r="B11" s="1353"/>
      <c r="C11" s="1353"/>
      <c r="D11" s="353"/>
      <c r="E11" s="83"/>
      <c r="F11" s="97"/>
      <c r="G11" s="229">
        <f>+G39*10%+165</f>
        <v>637</v>
      </c>
      <c r="H11" s="9"/>
      <c r="I11" s="30"/>
      <c r="J11" s="31"/>
      <c r="K11" s="30"/>
      <c r="L11" s="30"/>
      <c r="M11" s="30"/>
      <c r="N11" s="30"/>
      <c r="O11" s="30"/>
      <c r="P11" s="5"/>
    </row>
    <row r="12" spans="1:21">
      <c r="A12" s="1371"/>
      <c r="B12" s="1372"/>
      <c r="C12" s="1372"/>
      <c r="D12" s="83"/>
      <c r="E12" s="83"/>
      <c r="F12" s="93"/>
      <c r="G12" s="229"/>
      <c r="H12" s="9"/>
      <c r="I12" s="16"/>
      <c r="J12" s="13"/>
      <c r="K12" s="8"/>
      <c r="L12" s="8"/>
      <c r="M12" s="8"/>
      <c r="N12" s="8"/>
      <c r="O12" s="8"/>
      <c r="P12" s="5"/>
    </row>
    <row r="13" spans="1:21">
      <c r="A13" s="1371"/>
      <c r="B13" s="1372"/>
      <c r="C13" s="1372"/>
      <c r="D13" s="83"/>
      <c r="E13" s="83"/>
      <c r="F13" s="93"/>
      <c r="G13" s="229"/>
      <c r="H13" s="9"/>
      <c r="I13" s="13"/>
      <c r="J13" s="13"/>
      <c r="K13" s="13"/>
      <c r="L13" s="13"/>
      <c r="M13" s="13"/>
      <c r="N13" s="13"/>
      <c r="O13" s="13"/>
      <c r="P13" s="5"/>
    </row>
    <row r="14" spans="1:21">
      <c r="A14" s="1371"/>
      <c r="B14" s="1372"/>
      <c r="C14" s="1372"/>
      <c r="D14" s="83"/>
      <c r="E14" s="83"/>
      <c r="F14" s="93"/>
      <c r="G14" s="229"/>
      <c r="H14" s="9"/>
      <c r="I14" s="8"/>
      <c r="J14" s="14"/>
      <c r="K14" s="32"/>
      <c r="L14" s="14"/>
      <c r="M14" s="15"/>
      <c r="N14" s="15"/>
      <c r="O14" s="19"/>
      <c r="P14" s="5"/>
    </row>
    <row r="15" spans="1:21">
      <c r="A15" s="1371"/>
      <c r="B15" s="1372"/>
      <c r="C15" s="1372"/>
      <c r="D15" s="83"/>
      <c r="E15" s="83"/>
      <c r="F15" s="98"/>
      <c r="G15" s="229"/>
      <c r="H15" s="9"/>
      <c r="I15" s="8"/>
      <c r="J15" s="33"/>
      <c r="K15" s="32"/>
      <c r="L15" s="14"/>
      <c r="M15" s="15"/>
      <c r="N15" s="15"/>
      <c r="O15" s="19"/>
      <c r="P15" s="5"/>
      <c r="Q15" s="5"/>
      <c r="R15" s="5"/>
      <c r="S15" s="5"/>
      <c r="T15" s="5"/>
      <c r="U15" s="5"/>
    </row>
    <row r="16" spans="1:21">
      <c r="A16" s="1371"/>
      <c r="B16" s="1372"/>
      <c r="C16" s="1372"/>
      <c r="D16" s="85" t="s">
        <v>37</v>
      </c>
      <c r="E16" s="50"/>
      <c r="F16" s="49"/>
      <c r="G16" s="230">
        <f>SUM(G11:G15)</f>
        <v>637</v>
      </c>
      <c r="H16" s="9"/>
      <c r="I16" s="34"/>
      <c r="J16" s="34"/>
      <c r="K16" s="35"/>
      <c r="L16" s="36"/>
      <c r="M16" s="7"/>
      <c r="N16" s="7"/>
      <c r="O16" s="19"/>
      <c r="P16" s="5"/>
      <c r="Q16" s="5"/>
      <c r="R16" s="5"/>
      <c r="S16" s="5"/>
      <c r="T16" s="5"/>
      <c r="U16" s="5"/>
    </row>
    <row r="17" spans="1:21" ht="4.5" customHeight="1">
      <c r="A17" s="226"/>
      <c r="B17" s="4"/>
      <c r="C17" s="6"/>
      <c r="D17" s="4"/>
      <c r="E17" s="4"/>
      <c r="F17" s="4"/>
      <c r="G17" s="227"/>
      <c r="H17" s="9"/>
      <c r="I17" s="34"/>
      <c r="J17" s="34"/>
      <c r="K17" s="35"/>
      <c r="L17" s="36"/>
      <c r="M17" s="7"/>
      <c r="N17" s="7"/>
      <c r="O17" s="19"/>
      <c r="P17" s="5"/>
      <c r="Q17" s="5"/>
      <c r="R17" s="5"/>
      <c r="S17" s="5"/>
      <c r="T17" s="5"/>
      <c r="U17" s="5"/>
    </row>
    <row r="18" spans="1:21" ht="22.5" customHeight="1">
      <c r="A18" s="1354" t="s">
        <v>70</v>
      </c>
      <c r="B18" s="1355"/>
      <c r="C18" s="1355"/>
      <c r="D18" s="1355"/>
      <c r="E18" s="1355"/>
      <c r="F18" s="1355"/>
      <c r="G18" s="1356"/>
      <c r="H18" s="9"/>
    </row>
    <row r="19" spans="1:21" ht="4.5" customHeight="1">
      <c r="A19" s="226"/>
      <c r="B19" s="4"/>
      <c r="C19" s="6"/>
      <c r="D19" s="4"/>
      <c r="E19" s="4"/>
      <c r="F19" s="38"/>
      <c r="G19" s="227"/>
      <c r="H19" s="9"/>
      <c r="I19" s="34"/>
      <c r="J19" s="34"/>
      <c r="K19" s="35"/>
      <c r="L19" s="39"/>
      <c r="M19" s="7"/>
      <c r="N19" s="7"/>
      <c r="O19" s="8"/>
      <c r="P19" s="5"/>
      <c r="Q19" s="5"/>
      <c r="R19" s="5"/>
      <c r="S19" s="5"/>
      <c r="T19" s="5"/>
      <c r="U19" s="5"/>
    </row>
    <row r="20" spans="1:21">
      <c r="A20" s="1373" t="s">
        <v>17</v>
      </c>
      <c r="B20" s="1374"/>
      <c r="C20" s="1374"/>
      <c r="D20" s="353" t="s">
        <v>3</v>
      </c>
      <c r="E20" s="353" t="s">
        <v>4</v>
      </c>
      <c r="F20" s="353" t="s">
        <v>25</v>
      </c>
      <c r="G20" s="228" t="s">
        <v>21</v>
      </c>
      <c r="H20" s="27"/>
      <c r="I20" s="34"/>
      <c r="J20" s="34"/>
      <c r="K20" s="35"/>
      <c r="L20" s="39"/>
      <c r="M20" s="7"/>
      <c r="N20" s="7"/>
      <c r="O20" s="8"/>
      <c r="P20" s="5"/>
      <c r="Q20" s="5"/>
      <c r="R20" s="5"/>
      <c r="S20" s="5"/>
      <c r="T20" s="5"/>
      <c r="U20" s="5"/>
    </row>
    <row r="21" spans="1:21">
      <c r="A21" s="1413" t="str">
        <f>+B6</f>
        <v xml:space="preserve">Suministro e Instalacion de Tachas Solares. </v>
      </c>
      <c r="B21" s="1414"/>
      <c r="C21" s="1414"/>
      <c r="D21" s="418" t="s">
        <v>7</v>
      </c>
      <c r="E21" s="427">
        <v>1</v>
      </c>
      <c r="F21" s="420">
        <v>46300</v>
      </c>
      <c r="G21" s="421">
        <f>ROUND(F21*E21,0)</f>
        <v>46300</v>
      </c>
      <c r="H21" s="9"/>
      <c r="I21" s="34"/>
      <c r="J21" s="34"/>
      <c r="K21" s="35"/>
      <c r="L21" s="39"/>
      <c r="M21" s="7"/>
      <c r="N21" s="7"/>
      <c r="O21" s="13"/>
      <c r="P21" s="5"/>
      <c r="Q21" s="5"/>
      <c r="R21" s="5"/>
      <c r="S21" s="5"/>
      <c r="T21" s="5"/>
      <c r="U21" s="5"/>
    </row>
    <row r="22" spans="1:21">
      <c r="A22" s="1413" t="s">
        <v>310</v>
      </c>
      <c r="B22" s="1414"/>
      <c r="C22" s="1414"/>
      <c r="D22" s="418" t="s">
        <v>311</v>
      </c>
      <c r="E22" s="427">
        <v>1</v>
      </c>
      <c r="F22" s="424">
        <v>3000</v>
      </c>
      <c r="G22" s="421">
        <f>ROUND(F22*E22,0)</f>
        <v>3000</v>
      </c>
      <c r="H22" s="9"/>
      <c r="I22" s="10"/>
      <c r="J22" s="10"/>
      <c r="K22" s="12"/>
      <c r="L22" s="39"/>
      <c r="M22" s="7"/>
      <c r="N22" s="7"/>
      <c r="O22" s="15"/>
      <c r="P22" s="5"/>
      <c r="Q22" s="5"/>
      <c r="R22" s="5"/>
      <c r="S22" s="5"/>
      <c r="T22" s="5"/>
      <c r="U22" s="5"/>
    </row>
    <row r="23" spans="1:21">
      <c r="A23" s="1352"/>
      <c r="B23" s="1353"/>
      <c r="C23" s="1353"/>
      <c r="D23" s="73"/>
      <c r="E23" s="82"/>
      <c r="F23" s="78"/>
      <c r="G23" s="231"/>
      <c r="H23" s="9"/>
      <c r="I23" s="10"/>
      <c r="J23" s="10"/>
      <c r="K23" s="12"/>
      <c r="L23" s="39"/>
      <c r="M23" s="7"/>
      <c r="N23" s="7"/>
      <c r="O23" s="15"/>
      <c r="P23" s="5"/>
      <c r="Q23" s="5"/>
      <c r="R23" s="5"/>
      <c r="S23" s="5"/>
      <c r="T23" s="5"/>
      <c r="U23" s="5"/>
    </row>
    <row r="24" spans="1:21">
      <c r="A24" s="1352"/>
      <c r="B24" s="1353"/>
      <c r="C24" s="1353"/>
      <c r="D24" s="81"/>
      <c r="E24" s="88"/>
      <c r="F24" s="78"/>
      <c r="G24" s="231"/>
      <c r="H24" s="9"/>
      <c r="I24" s="10"/>
      <c r="J24" s="40"/>
      <c r="K24" s="12"/>
      <c r="L24" s="13"/>
      <c r="M24" s="14"/>
      <c r="N24" s="14"/>
      <c r="O24" s="15"/>
      <c r="P24" s="5"/>
      <c r="Q24" s="5"/>
      <c r="R24" s="5"/>
      <c r="S24" s="5"/>
      <c r="T24" s="5"/>
      <c r="U24" s="5"/>
    </row>
    <row r="25" spans="1:21">
      <c r="A25" s="1352"/>
      <c r="B25" s="1353"/>
      <c r="C25" s="1353"/>
      <c r="D25" s="81"/>
      <c r="E25" s="82"/>
      <c r="F25" s="78"/>
      <c r="G25" s="231"/>
      <c r="H25" s="9"/>
      <c r="I25" s="10"/>
      <c r="J25" s="11"/>
      <c r="K25" s="12"/>
      <c r="L25" s="13"/>
      <c r="M25" s="14"/>
      <c r="N25" s="14"/>
      <c r="O25" s="15"/>
      <c r="P25" s="5"/>
      <c r="Q25" s="5"/>
      <c r="R25" s="5"/>
      <c r="S25" s="5"/>
      <c r="T25" s="5"/>
      <c r="U25" s="5"/>
    </row>
    <row r="26" spans="1:21">
      <c r="A26" s="1352"/>
      <c r="B26" s="1353"/>
      <c r="C26" s="1353"/>
      <c r="D26" s="79"/>
      <c r="E26" s="82"/>
      <c r="F26" s="78"/>
      <c r="G26" s="231"/>
      <c r="H26" s="9"/>
      <c r="I26" s="10"/>
      <c r="J26" s="11"/>
      <c r="K26" s="12"/>
      <c r="L26" s="13"/>
      <c r="M26" s="14"/>
      <c r="N26" s="14"/>
      <c r="O26" s="15"/>
      <c r="P26" s="5"/>
      <c r="Q26" s="5"/>
      <c r="R26" s="5"/>
      <c r="S26" s="5"/>
      <c r="T26" s="5"/>
      <c r="U26" s="5"/>
    </row>
    <row r="27" spans="1:21">
      <c r="A27" s="1352"/>
      <c r="B27" s="1353"/>
      <c r="C27" s="1353"/>
      <c r="D27" s="79"/>
      <c r="E27" s="82"/>
      <c r="F27" s="78"/>
      <c r="G27" s="231"/>
      <c r="H27" s="9"/>
      <c r="I27" s="10"/>
      <c r="J27" s="11"/>
      <c r="K27" s="12"/>
      <c r="L27" s="13"/>
      <c r="M27" s="14"/>
      <c r="N27" s="14"/>
      <c r="O27" s="15"/>
      <c r="P27" s="5"/>
      <c r="Q27" s="5"/>
      <c r="R27" s="5"/>
      <c r="S27" s="5"/>
      <c r="T27" s="5"/>
      <c r="U27" s="5"/>
    </row>
    <row r="28" spans="1:21">
      <c r="A28" s="1352"/>
      <c r="B28" s="1353"/>
      <c r="C28" s="1353"/>
      <c r="D28" s="79"/>
      <c r="E28" s="82"/>
      <c r="F28" s="83"/>
      <c r="G28" s="231"/>
      <c r="H28" s="9"/>
      <c r="I28" s="41"/>
      <c r="J28" s="41"/>
      <c r="K28" s="12"/>
      <c r="L28" s="13"/>
      <c r="M28" s="14"/>
      <c r="N28" s="14"/>
      <c r="O28" s="15"/>
      <c r="P28" s="5"/>
      <c r="Q28" s="5"/>
      <c r="R28" s="5"/>
      <c r="S28" s="5"/>
      <c r="T28" s="5"/>
      <c r="U28" s="5"/>
    </row>
    <row r="29" spans="1:21">
      <c r="A29" s="1352"/>
      <c r="B29" s="1353"/>
      <c r="C29" s="1353"/>
      <c r="D29" s="84"/>
      <c r="E29" s="84"/>
      <c r="F29" s="83"/>
      <c r="G29" s="231"/>
      <c r="H29" s="9"/>
      <c r="I29" s="42"/>
      <c r="J29" s="42"/>
      <c r="K29" s="42"/>
      <c r="L29" s="13"/>
      <c r="M29" s="14"/>
      <c r="N29" s="14"/>
      <c r="O29" s="15"/>
      <c r="P29" s="5"/>
      <c r="Q29" s="5"/>
      <c r="R29" s="5"/>
      <c r="S29" s="5"/>
      <c r="T29" s="5"/>
      <c r="U29" s="5"/>
    </row>
    <row r="30" spans="1:21">
      <c r="A30" s="1352"/>
      <c r="B30" s="1353"/>
      <c r="C30" s="1353"/>
      <c r="D30" s="85" t="s">
        <v>28</v>
      </c>
      <c r="E30" s="50"/>
      <c r="F30" s="49"/>
      <c r="G30" s="230">
        <f>SUM(G21:G29)</f>
        <v>49300</v>
      </c>
      <c r="H30" s="9"/>
      <c r="I30" s="8"/>
      <c r="J30" s="13"/>
      <c r="K30" s="8"/>
      <c r="L30" s="13"/>
      <c r="M30" s="14"/>
      <c r="N30" s="14"/>
      <c r="O30" s="15"/>
      <c r="P30" s="5"/>
    </row>
    <row r="31" spans="1:21" ht="3.75" customHeight="1">
      <c r="A31" s="226"/>
      <c r="B31" s="4"/>
      <c r="C31" s="6"/>
      <c r="D31" s="4"/>
      <c r="E31" s="4"/>
      <c r="F31" s="4"/>
      <c r="G31" s="227"/>
      <c r="H31" s="9"/>
      <c r="I31" s="8"/>
      <c r="J31" s="13"/>
      <c r="K31" s="18"/>
      <c r="L31" s="13"/>
      <c r="M31" s="33"/>
      <c r="N31" s="33"/>
      <c r="O31" s="15"/>
      <c r="P31" s="5"/>
    </row>
    <row r="32" spans="1:21" ht="22.5" customHeight="1">
      <c r="A32" s="1354" t="s">
        <v>71</v>
      </c>
      <c r="B32" s="1355"/>
      <c r="C32" s="1355"/>
      <c r="D32" s="1355"/>
      <c r="E32" s="1355"/>
      <c r="F32" s="1355"/>
      <c r="G32" s="1356"/>
      <c r="H32" s="9"/>
    </row>
    <row r="33" spans="1:16" ht="3.75" customHeight="1">
      <c r="A33" s="226"/>
      <c r="B33" s="4"/>
      <c r="C33" s="6"/>
      <c r="D33" s="4"/>
      <c r="E33" s="4"/>
      <c r="F33" s="4"/>
      <c r="G33" s="227"/>
      <c r="H33" s="9"/>
      <c r="I33" s="8"/>
      <c r="J33" s="13"/>
      <c r="K33" s="8"/>
      <c r="L33" s="8"/>
      <c r="M33" s="8"/>
      <c r="N33" s="8"/>
      <c r="O33" s="15"/>
      <c r="P33" s="5"/>
    </row>
    <row r="34" spans="1:16">
      <c r="A34" s="232" t="s">
        <v>5</v>
      </c>
      <c r="B34" s="60" t="s">
        <v>29</v>
      </c>
      <c r="C34" s="60" t="s">
        <v>30</v>
      </c>
      <c r="D34" s="60" t="s">
        <v>31</v>
      </c>
      <c r="E34" s="60" t="s">
        <v>32</v>
      </c>
      <c r="F34" s="60" t="s">
        <v>20</v>
      </c>
      <c r="G34" s="228" t="s">
        <v>33</v>
      </c>
      <c r="H34" s="27"/>
      <c r="I34" s="8"/>
      <c r="J34" s="13"/>
      <c r="K34" s="8"/>
      <c r="L34" s="8"/>
      <c r="M34" s="8"/>
      <c r="N34" s="8"/>
      <c r="O34" s="15"/>
      <c r="P34" s="5"/>
    </row>
    <row r="35" spans="1:16">
      <c r="A35" s="233" t="s">
        <v>41</v>
      </c>
      <c r="B35" s="63">
        <f>BOF</f>
        <v>51749</v>
      </c>
      <c r="C35" s="68">
        <f>ffpp</f>
        <v>0.64539999999999997</v>
      </c>
      <c r="D35" s="72">
        <v>0.5</v>
      </c>
      <c r="E35" s="66">
        <f>OF</f>
        <v>88696</v>
      </c>
      <c r="F35" s="65">
        <v>40</v>
      </c>
      <c r="G35" s="231">
        <f>ROUND(+D35*E35/F35,0)</f>
        <v>1109</v>
      </c>
      <c r="H35" s="9"/>
      <c r="I35" s="16"/>
      <c r="J35" s="13"/>
      <c r="K35" s="8"/>
      <c r="L35" s="8"/>
      <c r="M35" s="8"/>
      <c r="N35" s="8"/>
      <c r="O35" s="15"/>
      <c r="P35" s="5"/>
    </row>
    <row r="36" spans="1:16">
      <c r="A36" s="233" t="s">
        <v>38</v>
      </c>
      <c r="B36" s="63">
        <f>BOB</f>
        <v>41749</v>
      </c>
      <c r="C36" s="68">
        <f>ffpp</f>
        <v>0.64539999999999997</v>
      </c>
      <c r="D36" s="72">
        <v>2</v>
      </c>
      <c r="E36" s="66">
        <f>OB</f>
        <v>72242</v>
      </c>
      <c r="F36" s="65">
        <f>F35</f>
        <v>40</v>
      </c>
      <c r="G36" s="231">
        <f>ROUND(+D36*E36/F36,0)</f>
        <v>3612</v>
      </c>
      <c r="H36" s="9"/>
      <c r="I36" s="8"/>
      <c r="J36" s="8"/>
      <c r="K36" s="13"/>
      <c r="L36" s="13"/>
      <c r="M36" s="13"/>
      <c r="N36" s="13"/>
      <c r="O36" s="13"/>
      <c r="P36" s="5"/>
    </row>
    <row r="37" spans="1:16">
      <c r="A37" s="234"/>
      <c r="B37" s="50"/>
      <c r="C37" s="961"/>
      <c r="D37" s="50"/>
      <c r="E37" s="50"/>
      <c r="F37" s="50"/>
      <c r="G37" s="235"/>
      <c r="H37" s="9"/>
      <c r="I37" s="8"/>
      <c r="J37" s="13"/>
      <c r="K37" s="13"/>
      <c r="L37" s="13"/>
      <c r="M37" s="33"/>
      <c r="N37" s="33"/>
      <c r="O37" s="43"/>
      <c r="P37" s="5"/>
    </row>
    <row r="38" spans="1:16">
      <c r="A38" s="233"/>
      <c r="B38" s="65"/>
      <c r="C38" s="68"/>
      <c r="D38" s="65"/>
      <c r="E38" s="69"/>
      <c r="F38" s="69"/>
      <c r="G38" s="236"/>
      <c r="H38" s="9"/>
      <c r="I38" s="8"/>
      <c r="J38" s="13"/>
      <c r="K38" s="13"/>
      <c r="L38" s="13"/>
      <c r="M38" s="33"/>
      <c r="N38" s="33"/>
      <c r="O38" s="43"/>
      <c r="P38" s="5"/>
    </row>
    <row r="39" spans="1:16">
      <c r="A39" s="249"/>
      <c r="B39" s="71"/>
      <c r="C39" s="71"/>
      <c r="D39" s="71" t="s">
        <v>34</v>
      </c>
      <c r="E39" s="71"/>
      <c r="F39" s="71"/>
      <c r="G39" s="250">
        <f>SUM(G35:G38)</f>
        <v>4721</v>
      </c>
      <c r="H39" s="9"/>
      <c r="I39" s="8"/>
      <c r="J39" s="13"/>
      <c r="K39" s="13"/>
      <c r="L39" s="13"/>
      <c r="M39" s="14"/>
      <c r="N39" s="14"/>
      <c r="O39" s="15"/>
      <c r="P39" s="5"/>
    </row>
    <row r="40" spans="1:16">
      <c r="A40" s="226"/>
      <c r="B40" s="4"/>
      <c r="C40" s="6"/>
      <c r="D40" s="4"/>
      <c r="E40" s="4"/>
      <c r="F40" s="4"/>
      <c r="G40" s="227"/>
      <c r="H40" s="9"/>
      <c r="I40" s="8"/>
      <c r="J40" s="13"/>
      <c r="K40" s="13"/>
      <c r="L40" s="13"/>
      <c r="M40" s="14"/>
      <c r="N40" s="14"/>
      <c r="O40" s="19"/>
      <c r="P40" s="5"/>
    </row>
    <row r="41" spans="1:16">
      <c r="A41" s="226"/>
      <c r="B41" s="4"/>
      <c r="C41" s="6"/>
      <c r="D41" s="4"/>
      <c r="E41" s="4"/>
      <c r="F41" s="4"/>
      <c r="G41" s="227"/>
      <c r="H41" s="9"/>
      <c r="I41" s="8"/>
      <c r="J41" s="13"/>
      <c r="K41" s="13"/>
      <c r="L41" s="13"/>
      <c r="M41" s="17"/>
      <c r="N41" s="17"/>
      <c r="O41" s="37"/>
      <c r="P41" s="5"/>
    </row>
    <row r="42" spans="1:16" ht="14.25">
      <c r="A42" s="226"/>
      <c r="B42" s="4"/>
      <c r="C42" s="6"/>
      <c r="D42" s="1357" t="s">
        <v>35</v>
      </c>
      <c r="E42" s="1358"/>
      <c r="F42" s="1359"/>
      <c r="G42" s="239">
        <f>+G39+G30+G16</f>
        <v>54658</v>
      </c>
      <c r="H42" s="9"/>
      <c r="I42" s="48"/>
      <c r="J42" s="20"/>
      <c r="K42" s="8"/>
      <c r="L42" s="8"/>
      <c r="M42" s="8"/>
      <c r="N42" s="8"/>
      <c r="O42" s="8"/>
      <c r="P42" s="5"/>
    </row>
    <row r="43" spans="1:16" ht="14.25">
      <c r="A43" s="240"/>
      <c r="B43" s="57"/>
      <c r="C43" s="58"/>
      <c r="D43" s="99"/>
      <c r="E43" s="99"/>
      <c r="F43" s="99"/>
      <c r="G43" s="251"/>
      <c r="H43" s="9"/>
      <c r="I43" s="48"/>
      <c r="J43" s="20"/>
      <c r="K43" s="8"/>
      <c r="L43" s="8"/>
      <c r="M43" s="8"/>
      <c r="N43" s="8"/>
      <c r="O43" s="8"/>
      <c r="P43" s="5"/>
    </row>
    <row r="44" spans="1:16" ht="14.25">
      <c r="A44" s="374"/>
      <c r="B44" s="375"/>
      <c r="C44" s="375"/>
      <c r="D44" s="99"/>
      <c r="E44" s="99"/>
      <c r="F44" s="99"/>
      <c r="G44" s="251"/>
      <c r="H44" s="9"/>
      <c r="I44" s="48"/>
      <c r="J44" s="20"/>
      <c r="K44" s="8"/>
      <c r="L44" s="8"/>
      <c r="M44" s="8"/>
      <c r="N44" s="8"/>
      <c r="O44" s="8"/>
      <c r="P44" s="5"/>
    </row>
    <row r="45" spans="1:16" ht="14.25">
      <c r="A45" s="373"/>
      <c r="B45" s="376"/>
      <c r="C45" s="376"/>
      <c r="D45" s="99"/>
      <c r="E45" s="99"/>
      <c r="F45" s="99"/>
      <c r="G45" s="251"/>
      <c r="H45" s="9"/>
      <c r="I45" s="48"/>
      <c r="J45" s="20"/>
      <c r="K45" s="8"/>
      <c r="L45" s="8"/>
      <c r="M45" s="8"/>
      <c r="N45" s="8"/>
      <c r="O45" s="8"/>
      <c r="P45" s="5"/>
    </row>
    <row r="46" spans="1:16" ht="14.25">
      <c r="A46" s="373"/>
      <c r="B46" s="376"/>
      <c r="C46" s="376"/>
      <c r="D46" s="44"/>
      <c r="E46" s="45"/>
      <c r="F46" s="45"/>
      <c r="G46" s="251"/>
      <c r="H46" s="9"/>
      <c r="I46" s="8"/>
      <c r="J46" s="13"/>
      <c r="K46" s="8"/>
      <c r="L46" s="8"/>
      <c r="M46" s="8"/>
      <c r="N46" s="8"/>
      <c r="O46" s="8"/>
      <c r="P46" s="5"/>
    </row>
    <row r="47" spans="1:16" ht="15" thickBot="1">
      <c r="A47" s="242"/>
      <c r="B47" s="243"/>
      <c r="C47" s="244"/>
      <c r="D47" s="245"/>
      <c r="E47" s="246"/>
      <c r="F47" s="246"/>
      <c r="G47" s="247"/>
      <c r="H47" s="9"/>
      <c r="I47" s="8"/>
      <c r="J47" s="13"/>
      <c r="K47" s="8"/>
      <c r="L47" s="8"/>
      <c r="M47" s="8"/>
      <c r="N47" s="8"/>
      <c r="O47" s="8"/>
      <c r="P47" s="5"/>
    </row>
    <row r="48" spans="1:16">
      <c r="I48" s="5"/>
      <c r="J48" s="5"/>
      <c r="K48" s="5"/>
      <c r="L48" s="5"/>
      <c r="M48" s="5"/>
      <c r="N48" s="5"/>
      <c r="O48" s="5"/>
      <c r="P48" s="5"/>
    </row>
    <row r="49" spans="9:16">
      <c r="I49" s="5"/>
      <c r="J49" s="5"/>
      <c r="K49" s="5"/>
      <c r="L49" s="5"/>
      <c r="M49" s="5"/>
      <c r="N49" s="5"/>
      <c r="O49" s="5"/>
      <c r="P49" s="5"/>
    </row>
  </sheetData>
  <mergeCells count="26">
    <mergeCell ref="A10:C10"/>
    <mergeCell ref="A1:G1"/>
    <mergeCell ref="A2:G2"/>
    <mergeCell ref="A3:G4"/>
    <mergeCell ref="B6:E6"/>
    <mergeCell ref="A8:G8"/>
    <mergeCell ref="A24:C24"/>
    <mergeCell ref="A11:C11"/>
    <mergeCell ref="A12:C12"/>
    <mergeCell ref="A13:C13"/>
    <mergeCell ref="A14:C14"/>
    <mergeCell ref="A15:C15"/>
    <mergeCell ref="A16:C16"/>
    <mergeCell ref="A18:G18"/>
    <mergeCell ref="A20:C20"/>
    <mergeCell ref="A21:C21"/>
    <mergeCell ref="A22:C22"/>
    <mergeCell ref="A23:C23"/>
    <mergeCell ref="A32:G32"/>
    <mergeCell ref="D42:F42"/>
    <mergeCell ref="A25:C25"/>
    <mergeCell ref="A26:C26"/>
    <mergeCell ref="A27:C27"/>
    <mergeCell ref="A28:C28"/>
    <mergeCell ref="A29:C29"/>
    <mergeCell ref="A30:C30"/>
  </mergeCells>
  <printOptions horizontalCentered="1" verticalCentered="1"/>
  <pageMargins left="0.74803149606299213" right="0.74803149606299213" top="0" bottom="0.98425196850393704" header="0" footer="0"/>
  <pageSetup scale="90" orientation="portrait" r:id="rId1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70"/>
  <dimension ref="A1:U49"/>
  <sheetViews>
    <sheetView view="pageBreakPreview" topLeftCell="A11" zoomScaleNormal="100" zoomScaleSheetLayoutView="100" workbookViewId="0">
      <selection activeCell="I7" sqref="I7"/>
    </sheetView>
  </sheetViews>
  <sheetFormatPr baseColWidth="10" defaultColWidth="10.7109375" defaultRowHeight="12.75"/>
  <cols>
    <col min="1" max="1" width="15.85546875" style="3" customWidth="1"/>
    <col min="2" max="2" width="14.85546875" style="3" customWidth="1"/>
    <col min="3" max="3" width="13.28515625" style="3" customWidth="1"/>
    <col min="4" max="4" width="11.42578125" style="3"/>
    <col min="5" max="5" width="13.42578125" style="3" customWidth="1"/>
    <col min="6" max="6" width="12.7109375" style="3" customWidth="1"/>
    <col min="7" max="7" width="14" style="3" customWidth="1"/>
    <col min="8" max="8" width="7.42578125" style="3" customWidth="1"/>
    <col min="9" max="256" width="11.42578125" style="3"/>
    <col min="257" max="257" width="15.85546875" style="3" customWidth="1"/>
    <col min="258" max="258" width="14.85546875" style="3" customWidth="1"/>
    <col min="259" max="259" width="13.28515625" style="3" customWidth="1"/>
    <col min="260" max="260" width="11.42578125" style="3"/>
    <col min="261" max="261" width="13.42578125" style="3" customWidth="1"/>
    <col min="262" max="262" width="12.7109375" style="3" customWidth="1"/>
    <col min="263" max="263" width="14" style="3" customWidth="1"/>
    <col min="264" max="264" width="7.42578125" style="3" customWidth="1"/>
    <col min="265" max="512" width="11.42578125" style="3"/>
    <col min="513" max="513" width="15.85546875" style="3" customWidth="1"/>
    <col min="514" max="514" width="14.85546875" style="3" customWidth="1"/>
    <col min="515" max="515" width="13.28515625" style="3" customWidth="1"/>
    <col min="516" max="516" width="11.42578125" style="3"/>
    <col min="517" max="517" width="13.42578125" style="3" customWidth="1"/>
    <col min="518" max="518" width="12.7109375" style="3" customWidth="1"/>
    <col min="519" max="519" width="14" style="3" customWidth="1"/>
    <col min="520" max="520" width="7.42578125" style="3" customWidth="1"/>
    <col min="521" max="768" width="11.42578125" style="3"/>
    <col min="769" max="769" width="15.85546875" style="3" customWidth="1"/>
    <col min="770" max="770" width="14.85546875" style="3" customWidth="1"/>
    <col min="771" max="771" width="13.28515625" style="3" customWidth="1"/>
    <col min="772" max="772" width="11.42578125" style="3"/>
    <col min="773" max="773" width="13.42578125" style="3" customWidth="1"/>
    <col min="774" max="774" width="12.7109375" style="3" customWidth="1"/>
    <col min="775" max="775" width="14" style="3" customWidth="1"/>
    <col min="776" max="776" width="7.42578125" style="3" customWidth="1"/>
    <col min="777" max="1024" width="11.42578125" style="3"/>
    <col min="1025" max="1025" width="15.85546875" style="3" customWidth="1"/>
    <col min="1026" max="1026" width="14.85546875" style="3" customWidth="1"/>
    <col min="1027" max="1027" width="13.28515625" style="3" customWidth="1"/>
    <col min="1028" max="1028" width="11.42578125" style="3"/>
    <col min="1029" max="1029" width="13.42578125" style="3" customWidth="1"/>
    <col min="1030" max="1030" width="12.7109375" style="3" customWidth="1"/>
    <col min="1031" max="1031" width="14" style="3" customWidth="1"/>
    <col min="1032" max="1032" width="7.42578125" style="3" customWidth="1"/>
    <col min="1033" max="1280" width="11.42578125" style="3"/>
    <col min="1281" max="1281" width="15.85546875" style="3" customWidth="1"/>
    <col min="1282" max="1282" width="14.85546875" style="3" customWidth="1"/>
    <col min="1283" max="1283" width="13.28515625" style="3" customWidth="1"/>
    <col min="1284" max="1284" width="11.42578125" style="3"/>
    <col min="1285" max="1285" width="13.42578125" style="3" customWidth="1"/>
    <col min="1286" max="1286" width="12.7109375" style="3" customWidth="1"/>
    <col min="1287" max="1287" width="14" style="3" customWidth="1"/>
    <col min="1288" max="1288" width="7.42578125" style="3" customWidth="1"/>
    <col min="1289" max="1536" width="11.42578125" style="3"/>
    <col min="1537" max="1537" width="15.85546875" style="3" customWidth="1"/>
    <col min="1538" max="1538" width="14.85546875" style="3" customWidth="1"/>
    <col min="1539" max="1539" width="13.28515625" style="3" customWidth="1"/>
    <col min="1540" max="1540" width="11.42578125" style="3"/>
    <col min="1541" max="1541" width="13.42578125" style="3" customWidth="1"/>
    <col min="1542" max="1542" width="12.7109375" style="3" customWidth="1"/>
    <col min="1543" max="1543" width="14" style="3" customWidth="1"/>
    <col min="1544" max="1544" width="7.42578125" style="3" customWidth="1"/>
    <col min="1545" max="1792" width="11.42578125" style="3"/>
    <col min="1793" max="1793" width="15.85546875" style="3" customWidth="1"/>
    <col min="1794" max="1794" width="14.85546875" style="3" customWidth="1"/>
    <col min="1795" max="1795" width="13.28515625" style="3" customWidth="1"/>
    <col min="1796" max="1796" width="11.42578125" style="3"/>
    <col min="1797" max="1797" width="13.42578125" style="3" customWidth="1"/>
    <col min="1798" max="1798" width="12.7109375" style="3" customWidth="1"/>
    <col min="1799" max="1799" width="14" style="3" customWidth="1"/>
    <col min="1800" max="1800" width="7.42578125" style="3" customWidth="1"/>
    <col min="1801" max="2048" width="11.42578125" style="3"/>
    <col min="2049" max="2049" width="15.85546875" style="3" customWidth="1"/>
    <col min="2050" max="2050" width="14.85546875" style="3" customWidth="1"/>
    <col min="2051" max="2051" width="13.28515625" style="3" customWidth="1"/>
    <col min="2052" max="2052" width="11.42578125" style="3"/>
    <col min="2053" max="2053" width="13.42578125" style="3" customWidth="1"/>
    <col min="2054" max="2054" width="12.7109375" style="3" customWidth="1"/>
    <col min="2055" max="2055" width="14" style="3" customWidth="1"/>
    <col min="2056" max="2056" width="7.42578125" style="3" customWidth="1"/>
    <col min="2057" max="2304" width="11.42578125" style="3"/>
    <col min="2305" max="2305" width="15.85546875" style="3" customWidth="1"/>
    <col min="2306" max="2306" width="14.85546875" style="3" customWidth="1"/>
    <col min="2307" max="2307" width="13.28515625" style="3" customWidth="1"/>
    <col min="2308" max="2308" width="11.42578125" style="3"/>
    <col min="2309" max="2309" width="13.42578125" style="3" customWidth="1"/>
    <col min="2310" max="2310" width="12.7109375" style="3" customWidth="1"/>
    <col min="2311" max="2311" width="14" style="3" customWidth="1"/>
    <col min="2312" max="2312" width="7.42578125" style="3" customWidth="1"/>
    <col min="2313" max="2560" width="11.42578125" style="3"/>
    <col min="2561" max="2561" width="15.85546875" style="3" customWidth="1"/>
    <col min="2562" max="2562" width="14.85546875" style="3" customWidth="1"/>
    <col min="2563" max="2563" width="13.28515625" style="3" customWidth="1"/>
    <col min="2564" max="2564" width="11.42578125" style="3"/>
    <col min="2565" max="2565" width="13.42578125" style="3" customWidth="1"/>
    <col min="2566" max="2566" width="12.7109375" style="3" customWidth="1"/>
    <col min="2567" max="2567" width="14" style="3" customWidth="1"/>
    <col min="2568" max="2568" width="7.42578125" style="3" customWidth="1"/>
    <col min="2569" max="2816" width="11.42578125" style="3"/>
    <col min="2817" max="2817" width="15.85546875" style="3" customWidth="1"/>
    <col min="2818" max="2818" width="14.85546875" style="3" customWidth="1"/>
    <col min="2819" max="2819" width="13.28515625" style="3" customWidth="1"/>
    <col min="2820" max="2820" width="11.42578125" style="3"/>
    <col min="2821" max="2821" width="13.42578125" style="3" customWidth="1"/>
    <col min="2822" max="2822" width="12.7109375" style="3" customWidth="1"/>
    <col min="2823" max="2823" width="14" style="3" customWidth="1"/>
    <col min="2824" max="2824" width="7.42578125" style="3" customWidth="1"/>
    <col min="2825" max="3072" width="11.42578125" style="3"/>
    <col min="3073" max="3073" width="15.85546875" style="3" customWidth="1"/>
    <col min="3074" max="3074" width="14.85546875" style="3" customWidth="1"/>
    <col min="3075" max="3075" width="13.28515625" style="3" customWidth="1"/>
    <col min="3076" max="3076" width="11.42578125" style="3"/>
    <col min="3077" max="3077" width="13.42578125" style="3" customWidth="1"/>
    <col min="3078" max="3078" width="12.7109375" style="3" customWidth="1"/>
    <col min="3079" max="3079" width="14" style="3" customWidth="1"/>
    <col min="3080" max="3080" width="7.42578125" style="3" customWidth="1"/>
    <col min="3081" max="3328" width="11.42578125" style="3"/>
    <col min="3329" max="3329" width="15.85546875" style="3" customWidth="1"/>
    <col min="3330" max="3330" width="14.85546875" style="3" customWidth="1"/>
    <col min="3331" max="3331" width="13.28515625" style="3" customWidth="1"/>
    <col min="3332" max="3332" width="11.42578125" style="3"/>
    <col min="3333" max="3333" width="13.42578125" style="3" customWidth="1"/>
    <col min="3334" max="3334" width="12.7109375" style="3" customWidth="1"/>
    <col min="3335" max="3335" width="14" style="3" customWidth="1"/>
    <col min="3336" max="3336" width="7.42578125" style="3" customWidth="1"/>
    <col min="3337" max="3584" width="11.42578125" style="3"/>
    <col min="3585" max="3585" width="15.85546875" style="3" customWidth="1"/>
    <col min="3586" max="3586" width="14.85546875" style="3" customWidth="1"/>
    <col min="3587" max="3587" width="13.28515625" style="3" customWidth="1"/>
    <col min="3588" max="3588" width="11.42578125" style="3"/>
    <col min="3589" max="3589" width="13.42578125" style="3" customWidth="1"/>
    <col min="3590" max="3590" width="12.7109375" style="3" customWidth="1"/>
    <col min="3591" max="3591" width="14" style="3" customWidth="1"/>
    <col min="3592" max="3592" width="7.42578125" style="3" customWidth="1"/>
    <col min="3593" max="3840" width="11.42578125" style="3"/>
    <col min="3841" max="3841" width="15.85546875" style="3" customWidth="1"/>
    <col min="3842" max="3842" width="14.85546875" style="3" customWidth="1"/>
    <col min="3843" max="3843" width="13.28515625" style="3" customWidth="1"/>
    <col min="3844" max="3844" width="11.42578125" style="3"/>
    <col min="3845" max="3845" width="13.42578125" style="3" customWidth="1"/>
    <col min="3846" max="3846" width="12.7109375" style="3" customWidth="1"/>
    <col min="3847" max="3847" width="14" style="3" customWidth="1"/>
    <col min="3848" max="3848" width="7.42578125" style="3" customWidth="1"/>
    <col min="3849" max="4096" width="11.42578125" style="3"/>
    <col min="4097" max="4097" width="15.85546875" style="3" customWidth="1"/>
    <col min="4098" max="4098" width="14.85546875" style="3" customWidth="1"/>
    <col min="4099" max="4099" width="13.28515625" style="3" customWidth="1"/>
    <col min="4100" max="4100" width="11.42578125" style="3"/>
    <col min="4101" max="4101" width="13.42578125" style="3" customWidth="1"/>
    <col min="4102" max="4102" width="12.7109375" style="3" customWidth="1"/>
    <col min="4103" max="4103" width="14" style="3" customWidth="1"/>
    <col min="4104" max="4104" width="7.42578125" style="3" customWidth="1"/>
    <col min="4105" max="4352" width="11.42578125" style="3"/>
    <col min="4353" max="4353" width="15.85546875" style="3" customWidth="1"/>
    <col min="4354" max="4354" width="14.85546875" style="3" customWidth="1"/>
    <col min="4355" max="4355" width="13.28515625" style="3" customWidth="1"/>
    <col min="4356" max="4356" width="11.42578125" style="3"/>
    <col min="4357" max="4357" width="13.42578125" style="3" customWidth="1"/>
    <col min="4358" max="4358" width="12.7109375" style="3" customWidth="1"/>
    <col min="4359" max="4359" width="14" style="3" customWidth="1"/>
    <col min="4360" max="4360" width="7.42578125" style="3" customWidth="1"/>
    <col min="4361" max="4608" width="11.42578125" style="3"/>
    <col min="4609" max="4609" width="15.85546875" style="3" customWidth="1"/>
    <col min="4610" max="4610" width="14.85546875" style="3" customWidth="1"/>
    <col min="4611" max="4611" width="13.28515625" style="3" customWidth="1"/>
    <col min="4612" max="4612" width="11.42578125" style="3"/>
    <col min="4613" max="4613" width="13.42578125" style="3" customWidth="1"/>
    <col min="4614" max="4614" width="12.7109375" style="3" customWidth="1"/>
    <col min="4615" max="4615" width="14" style="3" customWidth="1"/>
    <col min="4616" max="4616" width="7.42578125" style="3" customWidth="1"/>
    <col min="4617" max="4864" width="11.42578125" style="3"/>
    <col min="4865" max="4865" width="15.85546875" style="3" customWidth="1"/>
    <col min="4866" max="4866" width="14.85546875" style="3" customWidth="1"/>
    <col min="4867" max="4867" width="13.28515625" style="3" customWidth="1"/>
    <col min="4868" max="4868" width="11.42578125" style="3"/>
    <col min="4869" max="4869" width="13.42578125" style="3" customWidth="1"/>
    <col min="4870" max="4870" width="12.7109375" style="3" customWidth="1"/>
    <col min="4871" max="4871" width="14" style="3" customWidth="1"/>
    <col min="4872" max="4872" width="7.42578125" style="3" customWidth="1"/>
    <col min="4873" max="5120" width="11.42578125" style="3"/>
    <col min="5121" max="5121" width="15.85546875" style="3" customWidth="1"/>
    <col min="5122" max="5122" width="14.85546875" style="3" customWidth="1"/>
    <col min="5123" max="5123" width="13.28515625" style="3" customWidth="1"/>
    <col min="5124" max="5124" width="11.42578125" style="3"/>
    <col min="5125" max="5125" width="13.42578125" style="3" customWidth="1"/>
    <col min="5126" max="5126" width="12.7109375" style="3" customWidth="1"/>
    <col min="5127" max="5127" width="14" style="3" customWidth="1"/>
    <col min="5128" max="5128" width="7.42578125" style="3" customWidth="1"/>
    <col min="5129" max="5376" width="11.42578125" style="3"/>
    <col min="5377" max="5377" width="15.85546875" style="3" customWidth="1"/>
    <col min="5378" max="5378" width="14.85546875" style="3" customWidth="1"/>
    <col min="5379" max="5379" width="13.28515625" style="3" customWidth="1"/>
    <col min="5380" max="5380" width="11.42578125" style="3"/>
    <col min="5381" max="5381" width="13.42578125" style="3" customWidth="1"/>
    <col min="5382" max="5382" width="12.7109375" style="3" customWidth="1"/>
    <col min="5383" max="5383" width="14" style="3" customWidth="1"/>
    <col min="5384" max="5384" width="7.42578125" style="3" customWidth="1"/>
    <col min="5385" max="5632" width="11.42578125" style="3"/>
    <col min="5633" max="5633" width="15.85546875" style="3" customWidth="1"/>
    <col min="5634" max="5634" width="14.85546875" style="3" customWidth="1"/>
    <col min="5635" max="5635" width="13.28515625" style="3" customWidth="1"/>
    <col min="5636" max="5636" width="11.42578125" style="3"/>
    <col min="5637" max="5637" width="13.42578125" style="3" customWidth="1"/>
    <col min="5638" max="5638" width="12.7109375" style="3" customWidth="1"/>
    <col min="5639" max="5639" width="14" style="3" customWidth="1"/>
    <col min="5640" max="5640" width="7.42578125" style="3" customWidth="1"/>
    <col min="5641" max="5888" width="11.42578125" style="3"/>
    <col min="5889" max="5889" width="15.85546875" style="3" customWidth="1"/>
    <col min="5890" max="5890" width="14.85546875" style="3" customWidth="1"/>
    <col min="5891" max="5891" width="13.28515625" style="3" customWidth="1"/>
    <col min="5892" max="5892" width="11.42578125" style="3"/>
    <col min="5893" max="5893" width="13.42578125" style="3" customWidth="1"/>
    <col min="5894" max="5894" width="12.7109375" style="3" customWidth="1"/>
    <col min="5895" max="5895" width="14" style="3" customWidth="1"/>
    <col min="5896" max="5896" width="7.42578125" style="3" customWidth="1"/>
    <col min="5897" max="6144" width="11.42578125" style="3"/>
    <col min="6145" max="6145" width="15.85546875" style="3" customWidth="1"/>
    <col min="6146" max="6146" width="14.85546875" style="3" customWidth="1"/>
    <col min="6147" max="6147" width="13.28515625" style="3" customWidth="1"/>
    <col min="6148" max="6148" width="11.42578125" style="3"/>
    <col min="6149" max="6149" width="13.42578125" style="3" customWidth="1"/>
    <col min="6150" max="6150" width="12.7109375" style="3" customWidth="1"/>
    <col min="6151" max="6151" width="14" style="3" customWidth="1"/>
    <col min="6152" max="6152" width="7.42578125" style="3" customWidth="1"/>
    <col min="6153" max="6400" width="11.42578125" style="3"/>
    <col min="6401" max="6401" width="15.85546875" style="3" customWidth="1"/>
    <col min="6402" max="6402" width="14.85546875" style="3" customWidth="1"/>
    <col min="6403" max="6403" width="13.28515625" style="3" customWidth="1"/>
    <col min="6404" max="6404" width="11.42578125" style="3"/>
    <col min="6405" max="6405" width="13.42578125" style="3" customWidth="1"/>
    <col min="6406" max="6406" width="12.7109375" style="3" customWidth="1"/>
    <col min="6407" max="6407" width="14" style="3" customWidth="1"/>
    <col min="6408" max="6408" width="7.42578125" style="3" customWidth="1"/>
    <col min="6409" max="6656" width="11.42578125" style="3"/>
    <col min="6657" max="6657" width="15.85546875" style="3" customWidth="1"/>
    <col min="6658" max="6658" width="14.85546875" style="3" customWidth="1"/>
    <col min="6659" max="6659" width="13.28515625" style="3" customWidth="1"/>
    <col min="6660" max="6660" width="11.42578125" style="3"/>
    <col min="6661" max="6661" width="13.42578125" style="3" customWidth="1"/>
    <col min="6662" max="6662" width="12.7109375" style="3" customWidth="1"/>
    <col min="6663" max="6663" width="14" style="3" customWidth="1"/>
    <col min="6664" max="6664" width="7.42578125" style="3" customWidth="1"/>
    <col min="6665" max="6912" width="11.42578125" style="3"/>
    <col min="6913" max="6913" width="15.85546875" style="3" customWidth="1"/>
    <col min="6914" max="6914" width="14.85546875" style="3" customWidth="1"/>
    <col min="6915" max="6915" width="13.28515625" style="3" customWidth="1"/>
    <col min="6916" max="6916" width="11.42578125" style="3"/>
    <col min="6917" max="6917" width="13.42578125" style="3" customWidth="1"/>
    <col min="6918" max="6918" width="12.7109375" style="3" customWidth="1"/>
    <col min="6919" max="6919" width="14" style="3" customWidth="1"/>
    <col min="6920" max="6920" width="7.42578125" style="3" customWidth="1"/>
    <col min="6921" max="7168" width="11.42578125" style="3"/>
    <col min="7169" max="7169" width="15.85546875" style="3" customWidth="1"/>
    <col min="7170" max="7170" width="14.85546875" style="3" customWidth="1"/>
    <col min="7171" max="7171" width="13.28515625" style="3" customWidth="1"/>
    <col min="7172" max="7172" width="11.42578125" style="3"/>
    <col min="7173" max="7173" width="13.42578125" style="3" customWidth="1"/>
    <col min="7174" max="7174" width="12.7109375" style="3" customWidth="1"/>
    <col min="7175" max="7175" width="14" style="3" customWidth="1"/>
    <col min="7176" max="7176" width="7.42578125" style="3" customWidth="1"/>
    <col min="7177" max="7424" width="11.42578125" style="3"/>
    <col min="7425" max="7425" width="15.85546875" style="3" customWidth="1"/>
    <col min="7426" max="7426" width="14.85546875" style="3" customWidth="1"/>
    <col min="7427" max="7427" width="13.28515625" style="3" customWidth="1"/>
    <col min="7428" max="7428" width="11.42578125" style="3"/>
    <col min="7429" max="7429" width="13.42578125" style="3" customWidth="1"/>
    <col min="7430" max="7430" width="12.7109375" style="3" customWidth="1"/>
    <col min="7431" max="7431" width="14" style="3" customWidth="1"/>
    <col min="7432" max="7432" width="7.42578125" style="3" customWidth="1"/>
    <col min="7433" max="7680" width="11.42578125" style="3"/>
    <col min="7681" max="7681" width="15.85546875" style="3" customWidth="1"/>
    <col min="7682" max="7682" width="14.85546875" style="3" customWidth="1"/>
    <col min="7683" max="7683" width="13.28515625" style="3" customWidth="1"/>
    <col min="7684" max="7684" width="11.42578125" style="3"/>
    <col min="7685" max="7685" width="13.42578125" style="3" customWidth="1"/>
    <col min="7686" max="7686" width="12.7109375" style="3" customWidth="1"/>
    <col min="7687" max="7687" width="14" style="3" customWidth="1"/>
    <col min="7688" max="7688" width="7.42578125" style="3" customWidth="1"/>
    <col min="7689" max="7936" width="11.42578125" style="3"/>
    <col min="7937" max="7937" width="15.85546875" style="3" customWidth="1"/>
    <col min="7938" max="7938" width="14.85546875" style="3" customWidth="1"/>
    <col min="7939" max="7939" width="13.28515625" style="3" customWidth="1"/>
    <col min="7940" max="7940" width="11.42578125" style="3"/>
    <col min="7941" max="7941" width="13.42578125" style="3" customWidth="1"/>
    <col min="7942" max="7942" width="12.7109375" style="3" customWidth="1"/>
    <col min="7943" max="7943" width="14" style="3" customWidth="1"/>
    <col min="7944" max="7944" width="7.42578125" style="3" customWidth="1"/>
    <col min="7945" max="8192" width="11.42578125" style="3"/>
    <col min="8193" max="8193" width="15.85546875" style="3" customWidth="1"/>
    <col min="8194" max="8194" width="14.85546875" style="3" customWidth="1"/>
    <col min="8195" max="8195" width="13.28515625" style="3" customWidth="1"/>
    <col min="8196" max="8196" width="11.42578125" style="3"/>
    <col min="8197" max="8197" width="13.42578125" style="3" customWidth="1"/>
    <col min="8198" max="8198" width="12.7109375" style="3" customWidth="1"/>
    <col min="8199" max="8199" width="14" style="3" customWidth="1"/>
    <col min="8200" max="8200" width="7.42578125" style="3" customWidth="1"/>
    <col min="8201" max="8448" width="11.42578125" style="3"/>
    <col min="8449" max="8449" width="15.85546875" style="3" customWidth="1"/>
    <col min="8450" max="8450" width="14.85546875" style="3" customWidth="1"/>
    <col min="8451" max="8451" width="13.28515625" style="3" customWidth="1"/>
    <col min="8452" max="8452" width="11.42578125" style="3"/>
    <col min="8453" max="8453" width="13.42578125" style="3" customWidth="1"/>
    <col min="8454" max="8454" width="12.7109375" style="3" customWidth="1"/>
    <col min="8455" max="8455" width="14" style="3" customWidth="1"/>
    <col min="8456" max="8456" width="7.42578125" style="3" customWidth="1"/>
    <col min="8457" max="8704" width="11.42578125" style="3"/>
    <col min="8705" max="8705" width="15.85546875" style="3" customWidth="1"/>
    <col min="8706" max="8706" width="14.85546875" style="3" customWidth="1"/>
    <col min="8707" max="8707" width="13.28515625" style="3" customWidth="1"/>
    <col min="8708" max="8708" width="11.42578125" style="3"/>
    <col min="8709" max="8709" width="13.42578125" style="3" customWidth="1"/>
    <col min="8710" max="8710" width="12.7109375" style="3" customWidth="1"/>
    <col min="8711" max="8711" width="14" style="3" customWidth="1"/>
    <col min="8712" max="8712" width="7.42578125" style="3" customWidth="1"/>
    <col min="8713" max="8960" width="11.42578125" style="3"/>
    <col min="8961" max="8961" width="15.85546875" style="3" customWidth="1"/>
    <col min="8962" max="8962" width="14.85546875" style="3" customWidth="1"/>
    <col min="8963" max="8963" width="13.28515625" style="3" customWidth="1"/>
    <col min="8964" max="8964" width="11.42578125" style="3"/>
    <col min="8965" max="8965" width="13.42578125" style="3" customWidth="1"/>
    <col min="8966" max="8966" width="12.7109375" style="3" customWidth="1"/>
    <col min="8967" max="8967" width="14" style="3" customWidth="1"/>
    <col min="8968" max="8968" width="7.42578125" style="3" customWidth="1"/>
    <col min="8969" max="9216" width="11.42578125" style="3"/>
    <col min="9217" max="9217" width="15.85546875" style="3" customWidth="1"/>
    <col min="9218" max="9218" width="14.85546875" style="3" customWidth="1"/>
    <col min="9219" max="9219" width="13.28515625" style="3" customWidth="1"/>
    <col min="9220" max="9220" width="11.42578125" style="3"/>
    <col min="9221" max="9221" width="13.42578125" style="3" customWidth="1"/>
    <col min="9222" max="9222" width="12.7109375" style="3" customWidth="1"/>
    <col min="9223" max="9223" width="14" style="3" customWidth="1"/>
    <col min="9224" max="9224" width="7.42578125" style="3" customWidth="1"/>
    <col min="9225" max="9472" width="11.42578125" style="3"/>
    <col min="9473" max="9473" width="15.85546875" style="3" customWidth="1"/>
    <col min="9474" max="9474" width="14.85546875" style="3" customWidth="1"/>
    <col min="9475" max="9475" width="13.28515625" style="3" customWidth="1"/>
    <col min="9476" max="9476" width="11.42578125" style="3"/>
    <col min="9477" max="9477" width="13.42578125" style="3" customWidth="1"/>
    <col min="9478" max="9478" width="12.7109375" style="3" customWidth="1"/>
    <col min="9479" max="9479" width="14" style="3" customWidth="1"/>
    <col min="9480" max="9480" width="7.42578125" style="3" customWidth="1"/>
    <col min="9481" max="9728" width="11.42578125" style="3"/>
    <col min="9729" max="9729" width="15.85546875" style="3" customWidth="1"/>
    <col min="9730" max="9730" width="14.85546875" style="3" customWidth="1"/>
    <col min="9731" max="9731" width="13.28515625" style="3" customWidth="1"/>
    <col min="9732" max="9732" width="11.42578125" style="3"/>
    <col min="9733" max="9733" width="13.42578125" style="3" customWidth="1"/>
    <col min="9734" max="9734" width="12.7109375" style="3" customWidth="1"/>
    <col min="9735" max="9735" width="14" style="3" customWidth="1"/>
    <col min="9736" max="9736" width="7.42578125" style="3" customWidth="1"/>
    <col min="9737" max="9984" width="11.42578125" style="3"/>
    <col min="9985" max="9985" width="15.85546875" style="3" customWidth="1"/>
    <col min="9986" max="9986" width="14.85546875" style="3" customWidth="1"/>
    <col min="9987" max="9987" width="13.28515625" style="3" customWidth="1"/>
    <col min="9988" max="9988" width="11.42578125" style="3"/>
    <col min="9989" max="9989" width="13.42578125" style="3" customWidth="1"/>
    <col min="9990" max="9990" width="12.7109375" style="3" customWidth="1"/>
    <col min="9991" max="9991" width="14" style="3" customWidth="1"/>
    <col min="9992" max="9992" width="7.42578125" style="3" customWidth="1"/>
    <col min="9993" max="10240" width="11.42578125" style="3"/>
    <col min="10241" max="10241" width="15.85546875" style="3" customWidth="1"/>
    <col min="10242" max="10242" width="14.85546875" style="3" customWidth="1"/>
    <col min="10243" max="10243" width="13.28515625" style="3" customWidth="1"/>
    <col min="10244" max="10244" width="11.42578125" style="3"/>
    <col min="10245" max="10245" width="13.42578125" style="3" customWidth="1"/>
    <col min="10246" max="10246" width="12.7109375" style="3" customWidth="1"/>
    <col min="10247" max="10247" width="14" style="3" customWidth="1"/>
    <col min="10248" max="10248" width="7.42578125" style="3" customWidth="1"/>
    <col min="10249" max="10496" width="11.42578125" style="3"/>
    <col min="10497" max="10497" width="15.85546875" style="3" customWidth="1"/>
    <col min="10498" max="10498" width="14.85546875" style="3" customWidth="1"/>
    <col min="10499" max="10499" width="13.28515625" style="3" customWidth="1"/>
    <col min="10500" max="10500" width="11.42578125" style="3"/>
    <col min="10501" max="10501" width="13.42578125" style="3" customWidth="1"/>
    <col min="10502" max="10502" width="12.7109375" style="3" customWidth="1"/>
    <col min="10503" max="10503" width="14" style="3" customWidth="1"/>
    <col min="10504" max="10504" width="7.42578125" style="3" customWidth="1"/>
    <col min="10505" max="10752" width="11.42578125" style="3"/>
    <col min="10753" max="10753" width="15.85546875" style="3" customWidth="1"/>
    <col min="10754" max="10754" width="14.85546875" style="3" customWidth="1"/>
    <col min="10755" max="10755" width="13.28515625" style="3" customWidth="1"/>
    <col min="10756" max="10756" width="11.42578125" style="3"/>
    <col min="10757" max="10757" width="13.42578125" style="3" customWidth="1"/>
    <col min="10758" max="10758" width="12.7109375" style="3" customWidth="1"/>
    <col min="10759" max="10759" width="14" style="3" customWidth="1"/>
    <col min="10760" max="10760" width="7.42578125" style="3" customWidth="1"/>
    <col min="10761" max="11008" width="11.42578125" style="3"/>
    <col min="11009" max="11009" width="15.85546875" style="3" customWidth="1"/>
    <col min="11010" max="11010" width="14.85546875" style="3" customWidth="1"/>
    <col min="11011" max="11011" width="13.28515625" style="3" customWidth="1"/>
    <col min="11012" max="11012" width="11.42578125" style="3"/>
    <col min="11013" max="11013" width="13.42578125" style="3" customWidth="1"/>
    <col min="11014" max="11014" width="12.7109375" style="3" customWidth="1"/>
    <col min="11015" max="11015" width="14" style="3" customWidth="1"/>
    <col min="11016" max="11016" width="7.42578125" style="3" customWidth="1"/>
    <col min="11017" max="11264" width="11.42578125" style="3"/>
    <col min="11265" max="11265" width="15.85546875" style="3" customWidth="1"/>
    <col min="11266" max="11266" width="14.85546875" style="3" customWidth="1"/>
    <col min="11267" max="11267" width="13.28515625" style="3" customWidth="1"/>
    <col min="11268" max="11268" width="11.42578125" style="3"/>
    <col min="11269" max="11269" width="13.42578125" style="3" customWidth="1"/>
    <col min="11270" max="11270" width="12.7109375" style="3" customWidth="1"/>
    <col min="11271" max="11271" width="14" style="3" customWidth="1"/>
    <col min="11272" max="11272" width="7.42578125" style="3" customWidth="1"/>
    <col min="11273" max="11520" width="11.42578125" style="3"/>
    <col min="11521" max="11521" width="15.85546875" style="3" customWidth="1"/>
    <col min="11522" max="11522" width="14.85546875" style="3" customWidth="1"/>
    <col min="11523" max="11523" width="13.28515625" style="3" customWidth="1"/>
    <col min="11524" max="11524" width="11.42578125" style="3"/>
    <col min="11525" max="11525" width="13.42578125" style="3" customWidth="1"/>
    <col min="11526" max="11526" width="12.7109375" style="3" customWidth="1"/>
    <col min="11527" max="11527" width="14" style="3" customWidth="1"/>
    <col min="11528" max="11528" width="7.42578125" style="3" customWidth="1"/>
    <col min="11529" max="11776" width="11.42578125" style="3"/>
    <col min="11777" max="11777" width="15.85546875" style="3" customWidth="1"/>
    <col min="11778" max="11778" width="14.85546875" style="3" customWidth="1"/>
    <col min="11779" max="11779" width="13.28515625" style="3" customWidth="1"/>
    <col min="11780" max="11780" width="11.42578125" style="3"/>
    <col min="11781" max="11781" width="13.42578125" style="3" customWidth="1"/>
    <col min="11782" max="11782" width="12.7109375" style="3" customWidth="1"/>
    <col min="11783" max="11783" width="14" style="3" customWidth="1"/>
    <col min="11784" max="11784" width="7.42578125" style="3" customWidth="1"/>
    <col min="11785" max="12032" width="11.42578125" style="3"/>
    <col min="12033" max="12033" width="15.85546875" style="3" customWidth="1"/>
    <col min="12034" max="12034" width="14.85546875" style="3" customWidth="1"/>
    <col min="12035" max="12035" width="13.28515625" style="3" customWidth="1"/>
    <col min="12036" max="12036" width="11.42578125" style="3"/>
    <col min="12037" max="12037" width="13.42578125" style="3" customWidth="1"/>
    <col min="12038" max="12038" width="12.7109375" style="3" customWidth="1"/>
    <col min="12039" max="12039" width="14" style="3" customWidth="1"/>
    <col min="12040" max="12040" width="7.42578125" style="3" customWidth="1"/>
    <col min="12041" max="12288" width="11.42578125" style="3"/>
    <col min="12289" max="12289" width="15.85546875" style="3" customWidth="1"/>
    <col min="12290" max="12290" width="14.85546875" style="3" customWidth="1"/>
    <col min="12291" max="12291" width="13.28515625" style="3" customWidth="1"/>
    <col min="12292" max="12292" width="11.42578125" style="3"/>
    <col min="12293" max="12293" width="13.42578125" style="3" customWidth="1"/>
    <col min="12294" max="12294" width="12.7109375" style="3" customWidth="1"/>
    <col min="12295" max="12295" width="14" style="3" customWidth="1"/>
    <col min="12296" max="12296" width="7.42578125" style="3" customWidth="1"/>
    <col min="12297" max="12544" width="11.42578125" style="3"/>
    <col min="12545" max="12545" width="15.85546875" style="3" customWidth="1"/>
    <col min="12546" max="12546" width="14.85546875" style="3" customWidth="1"/>
    <col min="12547" max="12547" width="13.28515625" style="3" customWidth="1"/>
    <col min="12548" max="12548" width="11.42578125" style="3"/>
    <col min="12549" max="12549" width="13.42578125" style="3" customWidth="1"/>
    <col min="12550" max="12550" width="12.7109375" style="3" customWidth="1"/>
    <col min="12551" max="12551" width="14" style="3" customWidth="1"/>
    <col min="12552" max="12552" width="7.42578125" style="3" customWidth="1"/>
    <col min="12553" max="12800" width="11.42578125" style="3"/>
    <col min="12801" max="12801" width="15.85546875" style="3" customWidth="1"/>
    <col min="12802" max="12802" width="14.85546875" style="3" customWidth="1"/>
    <col min="12803" max="12803" width="13.28515625" style="3" customWidth="1"/>
    <col min="12804" max="12804" width="11.42578125" style="3"/>
    <col min="12805" max="12805" width="13.42578125" style="3" customWidth="1"/>
    <col min="12806" max="12806" width="12.7109375" style="3" customWidth="1"/>
    <col min="12807" max="12807" width="14" style="3" customWidth="1"/>
    <col min="12808" max="12808" width="7.42578125" style="3" customWidth="1"/>
    <col min="12809" max="13056" width="11.42578125" style="3"/>
    <col min="13057" max="13057" width="15.85546875" style="3" customWidth="1"/>
    <col min="13058" max="13058" width="14.85546875" style="3" customWidth="1"/>
    <col min="13059" max="13059" width="13.28515625" style="3" customWidth="1"/>
    <col min="13060" max="13060" width="11.42578125" style="3"/>
    <col min="13061" max="13061" width="13.42578125" style="3" customWidth="1"/>
    <col min="13062" max="13062" width="12.7109375" style="3" customWidth="1"/>
    <col min="13063" max="13063" width="14" style="3" customWidth="1"/>
    <col min="13064" max="13064" width="7.42578125" style="3" customWidth="1"/>
    <col min="13065" max="13312" width="11.42578125" style="3"/>
    <col min="13313" max="13313" width="15.85546875" style="3" customWidth="1"/>
    <col min="13314" max="13314" width="14.85546875" style="3" customWidth="1"/>
    <col min="13315" max="13315" width="13.28515625" style="3" customWidth="1"/>
    <col min="13316" max="13316" width="11.42578125" style="3"/>
    <col min="13317" max="13317" width="13.42578125" style="3" customWidth="1"/>
    <col min="13318" max="13318" width="12.7109375" style="3" customWidth="1"/>
    <col min="13319" max="13319" width="14" style="3" customWidth="1"/>
    <col min="13320" max="13320" width="7.42578125" style="3" customWidth="1"/>
    <col min="13321" max="13568" width="11.42578125" style="3"/>
    <col min="13569" max="13569" width="15.85546875" style="3" customWidth="1"/>
    <col min="13570" max="13570" width="14.85546875" style="3" customWidth="1"/>
    <col min="13571" max="13571" width="13.28515625" style="3" customWidth="1"/>
    <col min="13572" max="13572" width="11.42578125" style="3"/>
    <col min="13573" max="13573" width="13.42578125" style="3" customWidth="1"/>
    <col min="13574" max="13574" width="12.7109375" style="3" customWidth="1"/>
    <col min="13575" max="13575" width="14" style="3" customWidth="1"/>
    <col min="13576" max="13576" width="7.42578125" style="3" customWidth="1"/>
    <col min="13577" max="13824" width="11.42578125" style="3"/>
    <col min="13825" max="13825" width="15.85546875" style="3" customWidth="1"/>
    <col min="13826" max="13826" width="14.85546875" style="3" customWidth="1"/>
    <col min="13827" max="13827" width="13.28515625" style="3" customWidth="1"/>
    <col min="13828" max="13828" width="11.42578125" style="3"/>
    <col min="13829" max="13829" width="13.42578125" style="3" customWidth="1"/>
    <col min="13830" max="13830" width="12.7109375" style="3" customWidth="1"/>
    <col min="13831" max="13831" width="14" style="3" customWidth="1"/>
    <col min="13832" max="13832" width="7.42578125" style="3" customWidth="1"/>
    <col min="13833" max="14080" width="11.42578125" style="3"/>
    <col min="14081" max="14081" width="15.85546875" style="3" customWidth="1"/>
    <col min="14082" max="14082" width="14.85546875" style="3" customWidth="1"/>
    <col min="14083" max="14083" width="13.28515625" style="3" customWidth="1"/>
    <col min="14084" max="14084" width="11.42578125" style="3"/>
    <col min="14085" max="14085" width="13.42578125" style="3" customWidth="1"/>
    <col min="14086" max="14086" width="12.7109375" style="3" customWidth="1"/>
    <col min="14087" max="14087" width="14" style="3" customWidth="1"/>
    <col min="14088" max="14088" width="7.42578125" style="3" customWidth="1"/>
    <col min="14089" max="14336" width="11.42578125" style="3"/>
    <col min="14337" max="14337" width="15.85546875" style="3" customWidth="1"/>
    <col min="14338" max="14338" width="14.85546875" style="3" customWidth="1"/>
    <col min="14339" max="14339" width="13.28515625" style="3" customWidth="1"/>
    <col min="14340" max="14340" width="11.42578125" style="3"/>
    <col min="14341" max="14341" width="13.42578125" style="3" customWidth="1"/>
    <col min="14342" max="14342" width="12.7109375" style="3" customWidth="1"/>
    <col min="14343" max="14343" width="14" style="3" customWidth="1"/>
    <col min="14344" max="14344" width="7.42578125" style="3" customWidth="1"/>
    <col min="14345" max="14592" width="11.42578125" style="3"/>
    <col min="14593" max="14593" width="15.85546875" style="3" customWidth="1"/>
    <col min="14594" max="14594" width="14.85546875" style="3" customWidth="1"/>
    <col min="14595" max="14595" width="13.28515625" style="3" customWidth="1"/>
    <col min="14596" max="14596" width="11.42578125" style="3"/>
    <col min="14597" max="14597" width="13.42578125" style="3" customWidth="1"/>
    <col min="14598" max="14598" width="12.7109375" style="3" customWidth="1"/>
    <col min="14599" max="14599" width="14" style="3" customWidth="1"/>
    <col min="14600" max="14600" width="7.42578125" style="3" customWidth="1"/>
    <col min="14601" max="14848" width="11.42578125" style="3"/>
    <col min="14849" max="14849" width="15.85546875" style="3" customWidth="1"/>
    <col min="14850" max="14850" width="14.85546875" style="3" customWidth="1"/>
    <col min="14851" max="14851" width="13.28515625" style="3" customWidth="1"/>
    <col min="14852" max="14852" width="11.42578125" style="3"/>
    <col min="14853" max="14853" width="13.42578125" style="3" customWidth="1"/>
    <col min="14854" max="14854" width="12.7109375" style="3" customWidth="1"/>
    <col min="14855" max="14855" width="14" style="3" customWidth="1"/>
    <col min="14856" max="14856" width="7.42578125" style="3" customWidth="1"/>
    <col min="14857" max="15104" width="11.42578125" style="3"/>
    <col min="15105" max="15105" width="15.85546875" style="3" customWidth="1"/>
    <col min="15106" max="15106" width="14.85546875" style="3" customWidth="1"/>
    <col min="15107" max="15107" width="13.28515625" style="3" customWidth="1"/>
    <col min="15108" max="15108" width="11.42578125" style="3"/>
    <col min="15109" max="15109" width="13.42578125" style="3" customWidth="1"/>
    <col min="15110" max="15110" width="12.7109375" style="3" customWidth="1"/>
    <col min="15111" max="15111" width="14" style="3" customWidth="1"/>
    <col min="15112" max="15112" width="7.42578125" style="3" customWidth="1"/>
    <col min="15113" max="15360" width="11.42578125" style="3"/>
    <col min="15361" max="15361" width="15.85546875" style="3" customWidth="1"/>
    <col min="15362" max="15362" width="14.85546875" style="3" customWidth="1"/>
    <col min="15363" max="15363" width="13.28515625" style="3" customWidth="1"/>
    <col min="15364" max="15364" width="11.42578125" style="3"/>
    <col min="15365" max="15365" width="13.42578125" style="3" customWidth="1"/>
    <col min="15366" max="15366" width="12.7109375" style="3" customWidth="1"/>
    <col min="15367" max="15367" width="14" style="3" customWidth="1"/>
    <col min="15368" max="15368" width="7.42578125" style="3" customWidth="1"/>
    <col min="15369" max="15616" width="11.42578125" style="3"/>
    <col min="15617" max="15617" width="15.85546875" style="3" customWidth="1"/>
    <col min="15618" max="15618" width="14.85546875" style="3" customWidth="1"/>
    <col min="15619" max="15619" width="13.28515625" style="3" customWidth="1"/>
    <col min="15620" max="15620" width="11.42578125" style="3"/>
    <col min="15621" max="15621" width="13.42578125" style="3" customWidth="1"/>
    <col min="15622" max="15622" width="12.7109375" style="3" customWidth="1"/>
    <col min="15623" max="15623" width="14" style="3" customWidth="1"/>
    <col min="15624" max="15624" width="7.42578125" style="3" customWidth="1"/>
    <col min="15625" max="15872" width="11.42578125" style="3"/>
    <col min="15873" max="15873" width="15.85546875" style="3" customWidth="1"/>
    <col min="15874" max="15874" width="14.85546875" style="3" customWidth="1"/>
    <col min="15875" max="15875" width="13.28515625" style="3" customWidth="1"/>
    <col min="15876" max="15876" width="11.42578125" style="3"/>
    <col min="15877" max="15877" width="13.42578125" style="3" customWidth="1"/>
    <col min="15878" max="15878" width="12.7109375" style="3" customWidth="1"/>
    <col min="15879" max="15879" width="14" style="3" customWidth="1"/>
    <col min="15880" max="15880" width="7.42578125" style="3" customWidth="1"/>
    <col min="15881" max="16128" width="11.42578125" style="3"/>
    <col min="16129" max="16129" width="15.85546875" style="3" customWidth="1"/>
    <col min="16130" max="16130" width="14.85546875" style="3" customWidth="1"/>
    <col min="16131" max="16131" width="13.28515625" style="3" customWidth="1"/>
    <col min="16132" max="16132" width="11.42578125" style="3"/>
    <col min="16133" max="16133" width="13.42578125" style="3" customWidth="1"/>
    <col min="16134" max="16134" width="12.7109375" style="3" customWidth="1"/>
    <col min="16135" max="16135" width="14" style="3" customWidth="1"/>
    <col min="16136" max="16136" width="7.42578125" style="3" customWidth="1"/>
    <col min="16137" max="16384" width="11.42578125" style="3"/>
  </cols>
  <sheetData>
    <row r="1" spans="1:21" ht="48" customHeight="1">
      <c r="A1" s="1346" t="str">
        <f>PPTO!D3</f>
        <v>PRESUPUESTO
MUNICIPIO EL BAGRE (ANTIOQUIA).</v>
      </c>
      <c r="B1" s="1347"/>
      <c r="C1" s="1347"/>
      <c r="D1" s="1347"/>
      <c r="E1" s="1347"/>
      <c r="F1" s="1347"/>
      <c r="G1" s="1348"/>
      <c r="H1" s="1"/>
      <c r="I1" s="2"/>
    </row>
    <row r="2" spans="1:21" ht="18" customHeight="1">
      <c r="A2" s="1362" t="s">
        <v>16</v>
      </c>
      <c r="B2" s="1363"/>
      <c r="C2" s="1363"/>
      <c r="D2" s="1363"/>
      <c r="E2" s="1363"/>
      <c r="F2" s="1363"/>
      <c r="G2" s="1364"/>
      <c r="H2" s="1"/>
      <c r="I2" s="2"/>
    </row>
    <row r="3" spans="1:21" ht="24" customHeight="1">
      <c r="A3" s="1367" t="str">
        <f>+PPTO!$D$5</f>
        <v>PROYECTO DE MEJORAMIENTO VIAL, ESPACIO PUBLICO Y OBRAS COMPLEMENTARIAS DE LA AVENIDA LA JUVENTUD Y TRAMOS ADYACENTES Y PRIORITARIOS DEL SECTOR URBANO EN EL MUNICIPIO EL BAGRE ANTIOQUIA.</v>
      </c>
      <c r="B3" s="1368"/>
      <c r="C3" s="1368"/>
      <c r="D3" s="1368"/>
      <c r="E3" s="1368"/>
      <c r="F3" s="1368"/>
      <c r="G3" s="1369"/>
      <c r="H3" s="1"/>
      <c r="I3" s="2"/>
    </row>
    <row r="4" spans="1:21" ht="30" customHeight="1">
      <c r="A4" s="1370"/>
      <c r="B4" s="1368"/>
      <c r="C4" s="1368"/>
      <c r="D4" s="1368"/>
      <c r="E4" s="1368"/>
      <c r="F4" s="1368"/>
      <c r="G4" s="1369"/>
      <c r="H4" s="1"/>
      <c r="I4" s="2"/>
    </row>
    <row r="5" spans="1:21" ht="6.75" customHeight="1">
      <c r="A5" s="222"/>
      <c r="B5" s="6"/>
      <c r="C5" s="24"/>
      <c r="D5" s="25"/>
      <c r="E5" s="6"/>
      <c r="F5" s="6"/>
      <c r="G5" s="223"/>
      <c r="H5" s="9"/>
    </row>
    <row r="6" spans="1:21" ht="52.5" customHeight="1">
      <c r="A6" s="371" t="s">
        <v>321</v>
      </c>
      <c r="B6" s="1349" t="str">
        <f>VLOOKUP(A6,PPTO!D10:I137,2,FALSE)</f>
        <v>Suministro e Instalacion de tachon reflectivo 8x15x40 cm</v>
      </c>
      <c r="C6" s="1350"/>
      <c r="D6" s="1350"/>
      <c r="E6" s="1351"/>
      <c r="F6" s="192" t="s">
        <v>118</v>
      </c>
      <c r="G6" s="248" t="str">
        <f>VLOOKUP(A6,PPTO!D10:I137,3,FALSE)</f>
        <v>und</v>
      </c>
      <c r="H6" s="9"/>
    </row>
    <row r="7" spans="1:21" ht="3.75" customHeight="1">
      <c r="A7" s="226"/>
      <c r="B7" s="4"/>
      <c r="C7" s="6"/>
      <c r="D7" s="4"/>
      <c r="E7" s="4"/>
      <c r="F7" s="4"/>
      <c r="G7" s="227"/>
      <c r="H7" s="9"/>
    </row>
    <row r="8" spans="1:21" ht="22.5" customHeight="1">
      <c r="A8" s="1354" t="s">
        <v>69</v>
      </c>
      <c r="B8" s="1355"/>
      <c r="C8" s="1355"/>
      <c r="D8" s="1355"/>
      <c r="E8" s="1355"/>
      <c r="F8" s="1355"/>
      <c r="G8" s="1356"/>
      <c r="H8" s="9"/>
    </row>
    <row r="9" spans="1:21" ht="4.5" customHeight="1">
      <c r="A9" s="226"/>
      <c r="B9" s="4"/>
      <c r="C9" s="6"/>
      <c r="D9" s="4"/>
      <c r="E9" s="4"/>
      <c r="F9" s="4"/>
      <c r="G9" s="227"/>
      <c r="H9" s="9"/>
      <c r="I9" s="5"/>
      <c r="J9" s="5"/>
      <c r="K9" s="5"/>
      <c r="L9" s="26"/>
      <c r="M9" s="5"/>
      <c r="N9" s="5"/>
      <c r="O9" s="5"/>
      <c r="P9" s="5"/>
    </row>
    <row r="10" spans="1:21">
      <c r="A10" s="1373" t="s">
        <v>17</v>
      </c>
      <c r="B10" s="1374"/>
      <c r="C10" s="1374"/>
      <c r="D10" s="353" t="s">
        <v>18</v>
      </c>
      <c r="E10" s="353" t="s">
        <v>19</v>
      </c>
      <c r="F10" s="353" t="s">
        <v>20</v>
      </c>
      <c r="G10" s="228" t="s">
        <v>21</v>
      </c>
      <c r="H10" s="27"/>
      <c r="I10" s="28"/>
      <c r="J10" s="29"/>
      <c r="K10" s="30"/>
      <c r="L10" s="30"/>
      <c r="M10" s="30"/>
      <c r="N10" s="30"/>
      <c r="O10" s="30"/>
      <c r="P10" s="5"/>
    </row>
    <row r="11" spans="1:21">
      <c r="A11" s="1352" t="s">
        <v>47</v>
      </c>
      <c r="B11" s="1353"/>
      <c r="C11" s="1353"/>
      <c r="D11" s="353"/>
      <c r="E11" s="83"/>
      <c r="F11" s="97"/>
      <c r="G11" s="229">
        <f>+G39*10%+165</f>
        <v>637</v>
      </c>
      <c r="H11" s="9"/>
      <c r="I11" s="30"/>
      <c r="J11" s="31"/>
      <c r="K11" s="30"/>
      <c r="L11" s="30"/>
      <c r="M11" s="30"/>
      <c r="N11" s="30"/>
      <c r="O11" s="30"/>
      <c r="P11" s="5"/>
    </row>
    <row r="12" spans="1:21">
      <c r="A12" s="1371"/>
      <c r="B12" s="1372"/>
      <c r="C12" s="1372"/>
      <c r="D12" s="83"/>
      <c r="E12" s="83"/>
      <c r="F12" s="93"/>
      <c r="G12" s="229"/>
      <c r="H12" s="9"/>
      <c r="I12" s="16"/>
      <c r="J12" s="13"/>
      <c r="K12" s="8"/>
      <c r="L12" s="8"/>
      <c r="M12" s="8"/>
      <c r="N12" s="8"/>
      <c r="O12" s="8"/>
      <c r="P12" s="5"/>
    </row>
    <row r="13" spans="1:21">
      <c r="A13" s="1371"/>
      <c r="B13" s="1372"/>
      <c r="C13" s="1372"/>
      <c r="D13" s="83"/>
      <c r="E13" s="83"/>
      <c r="F13" s="93"/>
      <c r="G13" s="229"/>
      <c r="H13" s="9"/>
      <c r="I13" s="13"/>
      <c r="J13" s="13"/>
      <c r="K13" s="13"/>
      <c r="L13" s="13"/>
      <c r="M13" s="13"/>
      <c r="N13" s="13"/>
      <c r="O13" s="13"/>
      <c r="P13" s="5"/>
    </row>
    <row r="14" spans="1:21">
      <c r="A14" s="1371"/>
      <c r="B14" s="1372"/>
      <c r="C14" s="1372"/>
      <c r="D14" s="83"/>
      <c r="E14" s="83"/>
      <c r="F14" s="93"/>
      <c r="G14" s="229"/>
      <c r="H14" s="9"/>
      <c r="I14" s="8"/>
      <c r="J14" s="14"/>
      <c r="K14" s="32"/>
      <c r="L14" s="14"/>
      <c r="M14" s="15"/>
      <c r="N14" s="15"/>
      <c r="O14" s="19"/>
      <c r="P14" s="5"/>
    </row>
    <row r="15" spans="1:21">
      <c r="A15" s="1371"/>
      <c r="B15" s="1372"/>
      <c r="C15" s="1372"/>
      <c r="D15" s="83"/>
      <c r="E15" s="83"/>
      <c r="F15" s="98"/>
      <c r="G15" s="229"/>
      <c r="H15" s="9"/>
      <c r="I15" s="8"/>
      <c r="J15" s="33"/>
      <c r="K15" s="32"/>
      <c r="L15" s="14"/>
      <c r="M15" s="15"/>
      <c r="N15" s="15"/>
      <c r="O15" s="19"/>
      <c r="P15" s="5"/>
      <c r="Q15" s="5"/>
      <c r="R15" s="5"/>
      <c r="S15" s="5"/>
      <c r="T15" s="5"/>
      <c r="U15" s="5"/>
    </row>
    <row r="16" spans="1:21">
      <c r="A16" s="1371"/>
      <c r="B16" s="1372"/>
      <c r="C16" s="1372"/>
      <c r="D16" s="85" t="s">
        <v>37</v>
      </c>
      <c r="E16" s="50"/>
      <c r="F16" s="49"/>
      <c r="G16" s="230">
        <f>SUM(G11:G15)</f>
        <v>637</v>
      </c>
      <c r="H16" s="9"/>
      <c r="I16" s="34"/>
      <c r="J16" s="34"/>
      <c r="K16" s="35"/>
      <c r="L16" s="36"/>
      <c r="M16" s="7"/>
      <c r="N16" s="7"/>
      <c r="O16" s="19"/>
      <c r="P16" s="5"/>
      <c r="Q16" s="5"/>
      <c r="R16" s="5"/>
      <c r="S16" s="5"/>
      <c r="T16" s="5"/>
      <c r="U16" s="5"/>
    </row>
    <row r="17" spans="1:21" ht="4.5" customHeight="1">
      <c r="A17" s="226"/>
      <c r="B17" s="4"/>
      <c r="C17" s="6"/>
      <c r="D17" s="4"/>
      <c r="E17" s="4"/>
      <c r="F17" s="4"/>
      <c r="G17" s="227"/>
      <c r="H17" s="9"/>
      <c r="I17" s="34"/>
      <c r="J17" s="34"/>
      <c r="K17" s="35"/>
      <c r="L17" s="36"/>
      <c r="M17" s="7"/>
      <c r="N17" s="7"/>
      <c r="O17" s="19"/>
      <c r="P17" s="5"/>
      <c r="Q17" s="5"/>
      <c r="R17" s="5"/>
      <c r="S17" s="5"/>
      <c r="T17" s="5"/>
      <c r="U17" s="5"/>
    </row>
    <row r="18" spans="1:21" ht="22.5" customHeight="1">
      <c r="A18" s="1354" t="s">
        <v>70</v>
      </c>
      <c r="B18" s="1355"/>
      <c r="C18" s="1355"/>
      <c r="D18" s="1355"/>
      <c r="E18" s="1355"/>
      <c r="F18" s="1355"/>
      <c r="G18" s="1356"/>
      <c r="H18" s="9"/>
    </row>
    <row r="19" spans="1:21" ht="4.5" customHeight="1">
      <c r="A19" s="226"/>
      <c r="B19" s="4"/>
      <c r="C19" s="6"/>
      <c r="D19" s="4"/>
      <c r="E19" s="4"/>
      <c r="F19" s="38"/>
      <c r="G19" s="227"/>
      <c r="H19" s="9"/>
      <c r="I19" s="34"/>
      <c r="J19" s="34"/>
      <c r="K19" s="35"/>
      <c r="L19" s="39"/>
      <c r="M19" s="7"/>
      <c r="N19" s="7"/>
      <c r="O19" s="8"/>
      <c r="P19" s="5"/>
      <c r="Q19" s="5"/>
      <c r="R19" s="5"/>
      <c r="S19" s="5"/>
      <c r="T19" s="5"/>
      <c r="U19" s="5"/>
    </row>
    <row r="20" spans="1:21">
      <c r="A20" s="1373" t="s">
        <v>17</v>
      </c>
      <c r="B20" s="1374"/>
      <c r="C20" s="1374"/>
      <c r="D20" s="353" t="s">
        <v>3</v>
      </c>
      <c r="E20" s="353" t="s">
        <v>4</v>
      </c>
      <c r="F20" s="353" t="s">
        <v>25</v>
      </c>
      <c r="G20" s="228" t="s">
        <v>21</v>
      </c>
      <c r="H20" s="27"/>
      <c r="I20" s="34"/>
      <c r="J20" s="34"/>
      <c r="K20" s="35"/>
      <c r="L20" s="39"/>
      <c r="M20" s="7"/>
      <c r="N20" s="7"/>
      <c r="O20" s="8"/>
      <c r="P20" s="5"/>
      <c r="Q20" s="5"/>
      <c r="R20" s="5"/>
      <c r="S20" s="5"/>
      <c r="T20" s="5"/>
      <c r="U20" s="5"/>
    </row>
    <row r="21" spans="1:21">
      <c r="A21" s="1413" t="str">
        <f>+B6</f>
        <v>Suministro e Instalacion de tachon reflectivo 8x15x40 cm</v>
      </c>
      <c r="B21" s="1414"/>
      <c r="C21" s="1414"/>
      <c r="D21" s="418" t="s">
        <v>7</v>
      </c>
      <c r="E21" s="427">
        <v>1</v>
      </c>
      <c r="F21" s="420">
        <v>32000</v>
      </c>
      <c r="G21" s="421">
        <f>ROUND(F21*E21,0)</f>
        <v>32000</v>
      </c>
      <c r="H21" s="9"/>
      <c r="I21" s="34"/>
      <c r="J21" s="34"/>
      <c r="K21" s="35"/>
      <c r="L21" s="39"/>
      <c r="M21" s="7"/>
      <c r="N21" s="7"/>
      <c r="O21" s="13"/>
      <c r="P21" s="5"/>
      <c r="Q21" s="5"/>
      <c r="R21" s="5"/>
      <c r="S21" s="5"/>
      <c r="T21" s="5"/>
      <c r="U21" s="5"/>
    </row>
    <row r="22" spans="1:21">
      <c r="A22" s="1413" t="s">
        <v>310</v>
      </c>
      <c r="B22" s="1414"/>
      <c r="C22" s="1414"/>
      <c r="D22" s="418" t="s">
        <v>311</v>
      </c>
      <c r="E22" s="427">
        <v>1</v>
      </c>
      <c r="F22" s="424">
        <v>3000</v>
      </c>
      <c r="G22" s="421">
        <f>ROUND(F22*E22,0)</f>
        <v>3000</v>
      </c>
      <c r="H22" s="9"/>
      <c r="I22" s="10"/>
      <c r="J22" s="10"/>
      <c r="K22" s="12"/>
      <c r="L22" s="39"/>
      <c r="M22" s="7"/>
      <c r="N22" s="7"/>
      <c r="O22" s="15"/>
      <c r="P22" s="5"/>
      <c r="Q22" s="5"/>
      <c r="R22" s="5"/>
      <c r="S22" s="5"/>
      <c r="T22" s="5"/>
      <c r="U22" s="5"/>
    </row>
    <row r="23" spans="1:21">
      <c r="A23" s="1352"/>
      <c r="B23" s="1353"/>
      <c r="C23" s="1353"/>
      <c r="D23" s="73"/>
      <c r="E23" s="82"/>
      <c r="F23" s="78"/>
      <c r="G23" s="231"/>
      <c r="H23" s="9"/>
      <c r="I23" s="10"/>
      <c r="J23" s="10"/>
      <c r="K23" s="12"/>
      <c r="L23" s="39"/>
      <c r="M23" s="7"/>
      <c r="N23" s="7"/>
      <c r="O23" s="15"/>
      <c r="P23" s="5"/>
      <c r="Q23" s="5"/>
      <c r="R23" s="5"/>
      <c r="S23" s="5"/>
      <c r="T23" s="5"/>
      <c r="U23" s="5"/>
    </row>
    <row r="24" spans="1:21">
      <c r="A24" s="1352"/>
      <c r="B24" s="1353"/>
      <c r="C24" s="1353"/>
      <c r="D24" s="81"/>
      <c r="E24" s="88"/>
      <c r="F24" s="78"/>
      <c r="G24" s="231"/>
      <c r="H24" s="9"/>
      <c r="I24" s="10"/>
      <c r="J24" s="40"/>
      <c r="K24" s="12"/>
      <c r="L24" s="13"/>
      <c r="M24" s="14"/>
      <c r="N24" s="14"/>
      <c r="O24" s="15"/>
      <c r="P24" s="5"/>
      <c r="Q24" s="5"/>
      <c r="R24" s="5"/>
      <c r="S24" s="5"/>
      <c r="T24" s="5"/>
      <c r="U24" s="5"/>
    </row>
    <row r="25" spans="1:21">
      <c r="A25" s="1352"/>
      <c r="B25" s="1353"/>
      <c r="C25" s="1353"/>
      <c r="D25" s="81"/>
      <c r="E25" s="82"/>
      <c r="F25" s="78"/>
      <c r="G25" s="231"/>
      <c r="H25" s="9"/>
      <c r="I25" s="10"/>
      <c r="J25" s="11"/>
      <c r="K25" s="12"/>
      <c r="L25" s="13"/>
      <c r="M25" s="14"/>
      <c r="N25" s="14"/>
      <c r="O25" s="15"/>
      <c r="P25" s="5"/>
      <c r="Q25" s="5"/>
      <c r="R25" s="5"/>
      <c r="S25" s="5"/>
      <c r="T25" s="5"/>
      <c r="U25" s="5"/>
    </row>
    <row r="26" spans="1:21">
      <c r="A26" s="1352"/>
      <c r="B26" s="1353"/>
      <c r="C26" s="1353"/>
      <c r="D26" s="79"/>
      <c r="E26" s="82"/>
      <c r="F26" s="78"/>
      <c r="G26" s="231"/>
      <c r="H26" s="9"/>
      <c r="I26" s="10"/>
      <c r="J26" s="11"/>
      <c r="K26" s="12"/>
      <c r="L26" s="13"/>
      <c r="M26" s="14"/>
      <c r="N26" s="14"/>
      <c r="O26" s="15"/>
      <c r="P26" s="5"/>
      <c r="Q26" s="5"/>
      <c r="R26" s="5"/>
      <c r="S26" s="5"/>
      <c r="T26" s="5"/>
      <c r="U26" s="5"/>
    </row>
    <row r="27" spans="1:21">
      <c r="A27" s="1352"/>
      <c r="B27" s="1353"/>
      <c r="C27" s="1353"/>
      <c r="D27" s="79"/>
      <c r="E27" s="82"/>
      <c r="F27" s="78"/>
      <c r="G27" s="231"/>
      <c r="H27" s="9"/>
      <c r="I27" s="10"/>
      <c r="J27" s="11"/>
      <c r="K27" s="12"/>
      <c r="L27" s="13"/>
      <c r="M27" s="14"/>
      <c r="N27" s="14"/>
      <c r="O27" s="15"/>
      <c r="P27" s="5"/>
      <c r="Q27" s="5"/>
      <c r="R27" s="5"/>
      <c r="S27" s="5"/>
      <c r="T27" s="5"/>
      <c r="U27" s="5"/>
    </row>
    <row r="28" spans="1:21">
      <c r="A28" s="1352"/>
      <c r="B28" s="1353"/>
      <c r="C28" s="1353"/>
      <c r="D28" s="79"/>
      <c r="E28" s="82"/>
      <c r="F28" s="83"/>
      <c r="G28" s="231"/>
      <c r="H28" s="9"/>
      <c r="I28" s="41"/>
      <c r="J28" s="41"/>
      <c r="K28" s="12"/>
      <c r="L28" s="13"/>
      <c r="M28" s="14"/>
      <c r="N28" s="14"/>
      <c r="O28" s="15"/>
      <c r="P28" s="5"/>
      <c r="Q28" s="5"/>
      <c r="R28" s="5"/>
      <c r="S28" s="5"/>
      <c r="T28" s="5"/>
      <c r="U28" s="5"/>
    </row>
    <row r="29" spans="1:21">
      <c r="A29" s="1352"/>
      <c r="B29" s="1353"/>
      <c r="C29" s="1353"/>
      <c r="D29" s="84"/>
      <c r="E29" s="84"/>
      <c r="F29" s="83"/>
      <c r="G29" s="231"/>
      <c r="H29" s="9"/>
      <c r="I29" s="42"/>
      <c r="J29" s="42"/>
      <c r="K29" s="42"/>
      <c r="L29" s="13"/>
      <c r="M29" s="14"/>
      <c r="N29" s="14"/>
      <c r="O29" s="15"/>
      <c r="P29" s="5"/>
      <c r="Q29" s="5"/>
      <c r="R29" s="5"/>
      <c r="S29" s="5"/>
      <c r="T29" s="5"/>
      <c r="U29" s="5"/>
    </row>
    <row r="30" spans="1:21">
      <c r="A30" s="1352"/>
      <c r="B30" s="1353"/>
      <c r="C30" s="1353"/>
      <c r="D30" s="85" t="s">
        <v>28</v>
      </c>
      <c r="E30" s="50"/>
      <c r="F30" s="49"/>
      <c r="G30" s="230">
        <f>SUM(G21:G29)</f>
        <v>35000</v>
      </c>
      <c r="H30" s="9"/>
      <c r="I30" s="8"/>
      <c r="J30" s="13"/>
      <c r="K30" s="8"/>
      <c r="L30" s="13"/>
      <c r="M30" s="14"/>
      <c r="N30" s="14"/>
      <c r="O30" s="15"/>
      <c r="P30" s="5"/>
    </row>
    <row r="31" spans="1:21" ht="3.75" customHeight="1">
      <c r="A31" s="226"/>
      <c r="B31" s="4"/>
      <c r="C31" s="6"/>
      <c r="D31" s="4"/>
      <c r="E31" s="4"/>
      <c r="F31" s="4"/>
      <c r="G31" s="227"/>
      <c r="H31" s="9"/>
      <c r="I31" s="8"/>
      <c r="J31" s="13"/>
      <c r="K31" s="18"/>
      <c r="L31" s="13"/>
      <c r="M31" s="33"/>
      <c r="N31" s="33"/>
      <c r="O31" s="15"/>
      <c r="P31" s="5"/>
    </row>
    <row r="32" spans="1:21" ht="22.5" customHeight="1">
      <c r="A32" s="1354" t="s">
        <v>71</v>
      </c>
      <c r="B32" s="1355"/>
      <c r="C32" s="1355"/>
      <c r="D32" s="1355"/>
      <c r="E32" s="1355"/>
      <c r="F32" s="1355"/>
      <c r="G32" s="1356"/>
      <c r="H32" s="9"/>
    </row>
    <row r="33" spans="1:16" ht="3.75" customHeight="1">
      <c r="A33" s="226"/>
      <c r="B33" s="4"/>
      <c r="C33" s="6"/>
      <c r="D33" s="4"/>
      <c r="E33" s="4"/>
      <c r="F33" s="4"/>
      <c r="G33" s="227"/>
      <c r="H33" s="9"/>
      <c r="I33" s="8"/>
      <c r="J33" s="13"/>
      <c r="K33" s="8"/>
      <c r="L33" s="8"/>
      <c r="M33" s="8"/>
      <c r="N33" s="8"/>
      <c r="O33" s="15"/>
      <c r="P33" s="5"/>
    </row>
    <row r="34" spans="1:16">
      <c r="A34" s="232" t="s">
        <v>5</v>
      </c>
      <c r="B34" s="60" t="s">
        <v>29</v>
      </c>
      <c r="C34" s="60" t="s">
        <v>30</v>
      </c>
      <c r="D34" s="60" t="s">
        <v>31</v>
      </c>
      <c r="E34" s="60" t="s">
        <v>32</v>
      </c>
      <c r="F34" s="60" t="s">
        <v>20</v>
      </c>
      <c r="G34" s="228" t="s">
        <v>33</v>
      </c>
      <c r="H34" s="27"/>
      <c r="I34" s="8"/>
      <c r="J34" s="13"/>
      <c r="K34" s="8"/>
      <c r="L34" s="8"/>
      <c r="M34" s="8"/>
      <c r="N34" s="8"/>
      <c r="O34" s="15"/>
      <c r="P34" s="5"/>
    </row>
    <row r="35" spans="1:16">
      <c r="A35" s="233" t="s">
        <v>41</v>
      </c>
      <c r="B35" s="63">
        <f>BOF</f>
        <v>51749</v>
      </c>
      <c r="C35" s="68">
        <f>ffpp</f>
        <v>0.64539999999999997</v>
      </c>
      <c r="D35" s="72">
        <v>0.5</v>
      </c>
      <c r="E35" s="66">
        <f>OF</f>
        <v>88696</v>
      </c>
      <c r="F35" s="65">
        <v>40</v>
      </c>
      <c r="G35" s="231">
        <f>ROUND(+D35*E35/F35,0)</f>
        <v>1109</v>
      </c>
      <c r="H35" s="9"/>
      <c r="I35" s="16"/>
      <c r="J35" s="13"/>
      <c r="K35" s="8"/>
      <c r="L35" s="8"/>
      <c r="M35" s="8"/>
      <c r="N35" s="8"/>
      <c r="O35" s="15"/>
      <c r="P35" s="5"/>
    </row>
    <row r="36" spans="1:16">
      <c r="A36" s="233" t="s">
        <v>38</v>
      </c>
      <c r="B36" s="63">
        <f>BOB</f>
        <v>41749</v>
      </c>
      <c r="C36" s="68">
        <f>ffpp</f>
        <v>0.64539999999999997</v>
      </c>
      <c r="D36" s="72">
        <v>2</v>
      </c>
      <c r="E36" s="66">
        <f>OB</f>
        <v>72242</v>
      </c>
      <c r="F36" s="65">
        <f>F35</f>
        <v>40</v>
      </c>
      <c r="G36" s="231">
        <f>ROUND(+D36*E36/F36,0)</f>
        <v>3612</v>
      </c>
      <c r="H36" s="9"/>
      <c r="I36" s="8"/>
      <c r="J36" s="8"/>
      <c r="K36" s="13"/>
      <c r="L36" s="13"/>
      <c r="M36" s="13"/>
      <c r="N36" s="13"/>
      <c r="O36" s="13"/>
      <c r="P36" s="5"/>
    </row>
    <row r="37" spans="1:16">
      <c r="A37" s="234"/>
      <c r="B37" s="50"/>
      <c r="C37" s="961"/>
      <c r="D37" s="50"/>
      <c r="E37" s="50"/>
      <c r="F37" s="50"/>
      <c r="G37" s="235"/>
      <c r="H37" s="9"/>
      <c r="I37" s="8"/>
      <c r="J37" s="13"/>
      <c r="K37" s="13"/>
      <c r="L37" s="13"/>
      <c r="M37" s="33"/>
      <c r="N37" s="33"/>
      <c r="O37" s="43"/>
      <c r="P37" s="5"/>
    </row>
    <row r="38" spans="1:16">
      <c r="A38" s="233"/>
      <c r="B38" s="65"/>
      <c r="C38" s="68"/>
      <c r="D38" s="65"/>
      <c r="E38" s="69"/>
      <c r="F38" s="69"/>
      <c r="G38" s="236"/>
      <c r="H38" s="9"/>
      <c r="I38" s="8"/>
      <c r="J38" s="13"/>
      <c r="K38" s="13"/>
      <c r="L38" s="13"/>
      <c r="M38" s="33"/>
      <c r="N38" s="33"/>
      <c r="O38" s="43"/>
      <c r="P38" s="5"/>
    </row>
    <row r="39" spans="1:16">
      <c r="A39" s="249"/>
      <c r="B39" s="71"/>
      <c r="C39" s="71"/>
      <c r="D39" s="71" t="s">
        <v>34</v>
      </c>
      <c r="E39" s="71"/>
      <c r="F39" s="71"/>
      <c r="G39" s="250">
        <f>SUM(G35:G38)</f>
        <v>4721</v>
      </c>
      <c r="H39" s="9"/>
      <c r="I39" s="8"/>
      <c r="J39" s="13"/>
      <c r="K39" s="13"/>
      <c r="L39" s="13"/>
      <c r="M39" s="14"/>
      <c r="N39" s="14"/>
      <c r="O39" s="15"/>
      <c r="P39" s="5"/>
    </row>
    <row r="40" spans="1:16">
      <c r="A40" s="226"/>
      <c r="B40" s="4"/>
      <c r="C40" s="6"/>
      <c r="D40" s="4"/>
      <c r="E40" s="4"/>
      <c r="F40" s="4"/>
      <c r="G40" s="227"/>
      <c r="H40" s="9"/>
      <c r="I40" s="8"/>
      <c r="J40" s="13"/>
      <c r="K40" s="13"/>
      <c r="L40" s="13"/>
      <c r="M40" s="14"/>
      <c r="N40" s="14"/>
      <c r="O40" s="19"/>
      <c r="P40" s="5"/>
    </row>
    <row r="41" spans="1:16">
      <c r="A41" s="226"/>
      <c r="B41" s="4"/>
      <c r="C41" s="6"/>
      <c r="D41" s="4"/>
      <c r="E41" s="4"/>
      <c r="F41" s="4"/>
      <c r="G41" s="227"/>
      <c r="H41" s="9"/>
      <c r="I41" s="8"/>
      <c r="J41" s="13"/>
      <c r="K41" s="13"/>
      <c r="L41" s="13"/>
      <c r="M41" s="17"/>
      <c r="N41" s="17"/>
      <c r="O41" s="37"/>
      <c r="P41" s="5"/>
    </row>
    <row r="42" spans="1:16" ht="14.25">
      <c r="A42" s="226"/>
      <c r="B42" s="4"/>
      <c r="C42" s="6"/>
      <c r="D42" s="1357" t="s">
        <v>35</v>
      </c>
      <c r="E42" s="1358"/>
      <c r="F42" s="1359"/>
      <c r="G42" s="239">
        <f>+G39+G30+G16</f>
        <v>40358</v>
      </c>
      <c r="H42" s="9"/>
      <c r="I42" s="48"/>
      <c r="J42" s="20"/>
      <c r="K42" s="8"/>
      <c r="L42" s="8"/>
      <c r="M42" s="8"/>
      <c r="N42" s="8"/>
      <c r="O42" s="8"/>
      <c r="P42" s="5"/>
    </row>
    <row r="43" spans="1:16" ht="14.25">
      <c r="A43" s="240"/>
      <c r="B43" s="57"/>
      <c r="C43" s="58"/>
      <c r="D43" s="99"/>
      <c r="E43" s="99"/>
      <c r="F43" s="99"/>
      <c r="G43" s="251"/>
      <c r="H43" s="9"/>
      <c r="I43" s="48"/>
      <c r="J43" s="20"/>
      <c r="K43" s="8"/>
      <c r="L43" s="8"/>
      <c r="M43" s="8"/>
      <c r="N43" s="8"/>
      <c r="O43" s="8"/>
      <c r="P43" s="5"/>
    </row>
    <row r="44" spans="1:16" ht="14.25">
      <c r="A44" s="374"/>
      <c r="B44" s="375"/>
      <c r="C44" s="375"/>
      <c r="D44" s="99"/>
      <c r="E44" s="99"/>
      <c r="F44" s="99"/>
      <c r="G44" s="251"/>
      <c r="H44" s="9"/>
      <c r="I44" s="48"/>
      <c r="J44" s="20"/>
      <c r="K44" s="8"/>
      <c r="L44" s="8"/>
      <c r="M44" s="8"/>
      <c r="N44" s="8"/>
      <c r="O44" s="8"/>
      <c r="P44" s="5"/>
    </row>
    <row r="45" spans="1:16" ht="14.25">
      <c r="A45" s="373"/>
      <c r="B45" s="376"/>
      <c r="C45" s="376"/>
      <c r="D45" s="99"/>
      <c r="E45" s="99"/>
      <c r="F45" s="99"/>
      <c r="G45" s="251"/>
      <c r="H45" s="9"/>
      <c r="I45" s="48"/>
      <c r="J45" s="20"/>
      <c r="K45" s="8"/>
      <c r="L45" s="8"/>
      <c r="M45" s="8"/>
      <c r="N45" s="8"/>
      <c r="O45" s="8"/>
      <c r="P45" s="5"/>
    </row>
    <row r="46" spans="1:16" ht="14.25">
      <c r="A46" s="373"/>
      <c r="B46" s="376"/>
      <c r="C46" s="376"/>
      <c r="D46" s="44"/>
      <c r="E46" s="45"/>
      <c r="F46" s="45"/>
      <c r="G46" s="251"/>
      <c r="H46" s="9"/>
      <c r="I46" s="8"/>
      <c r="J46" s="13"/>
      <c r="K46" s="8"/>
      <c r="L46" s="8"/>
      <c r="M46" s="8"/>
      <c r="N46" s="8"/>
      <c r="O46" s="8"/>
      <c r="P46" s="5"/>
    </row>
    <row r="47" spans="1:16" ht="15" thickBot="1">
      <c r="A47" s="242"/>
      <c r="B47" s="243"/>
      <c r="C47" s="244"/>
      <c r="D47" s="245"/>
      <c r="E47" s="246"/>
      <c r="F47" s="246"/>
      <c r="G47" s="247"/>
      <c r="H47" s="9"/>
      <c r="I47" s="8"/>
      <c r="J47" s="13"/>
      <c r="K47" s="8"/>
      <c r="L47" s="8"/>
      <c r="M47" s="8"/>
      <c r="N47" s="8"/>
      <c r="O47" s="8"/>
      <c r="P47" s="5"/>
    </row>
    <row r="48" spans="1:16">
      <c r="I48" s="5"/>
      <c r="J48" s="5"/>
      <c r="K48" s="5"/>
      <c r="L48" s="5"/>
      <c r="M48" s="5"/>
      <c r="N48" s="5"/>
      <c r="O48" s="5"/>
      <c r="P48" s="5"/>
    </row>
    <row r="49" spans="9:16">
      <c r="I49" s="5"/>
      <c r="J49" s="5"/>
      <c r="K49" s="5"/>
      <c r="L49" s="5"/>
      <c r="M49" s="5"/>
      <c r="N49" s="5"/>
      <c r="O49" s="5"/>
      <c r="P49" s="5"/>
    </row>
  </sheetData>
  <mergeCells count="26">
    <mergeCell ref="A10:C10"/>
    <mergeCell ref="A1:G1"/>
    <mergeCell ref="A2:G2"/>
    <mergeCell ref="A3:G4"/>
    <mergeCell ref="B6:E6"/>
    <mergeCell ref="A8:G8"/>
    <mergeCell ref="A24:C24"/>
    <mergeCell ref="A11:C11"/>
    <mergeCell ref="A12:C12"/>
    <mergeCell ref="A13:C13"/>
    <mergeCell ref="A14:C14"/>
    <mergeCell ref="A15:C15"/>
    <mergeCell ref="A16:C16"/>
    <mergeCell ref="A18:G18"/>
    <mergeCell ref="A20:C20"/>
    <mergeCell ref="A21:C21"/>
    <mergeCell ref="A22:C22"/>
    <mergeCell ref="A23:C23"/>
    <mergeCell ref="A32:G32"/>
    <mergeCell ref="D42:F42"/>
    <mergeCell ref="A25:C25"/>
    <mergeCell ref="A26:C26"/>
    <mergeCell ref="A27:C27"/>
    <mergeCell ref="A28:C28"/>
    <mergeCell ref="A29:C29"/>
    <mergeCell ref="A30:C30"/>
  </mergeCells>
  <printOptions horizontalCentered="1" verticalCentered="1"/>
  <pageMargins left="0.74803149606299213" right="0.74803149606299213" top="0" bottom="0.98425196850393704" header="0" footer="0"/>
  <pageSetup scale="90" orientation="portrait" r:id="rId1"/>
  <headerFooter alignWithMargins="0"/>
  <ignoredErrors>
    <ignoredError sqref="A6" numberStoredAsText="1"/>
  </ignoredError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3"/>
  <dimension ref="A1:U49"/>
  <sheetViews>
    <sheetView view="pageBreakPreview" topLeftCell="A17" zoomScaleNormal="100" zoomScaleSheetLayoutView="100" workbookViewId="0">
      <selection activeCell="I7" sqref="I7"/>
    </sheetView>
  </sheetViews>
  <sheetFormatPr baseColWidth="10" defaultColWidth="10.7109375" defaultRowHeight="12.75"/>
  <cols>
    <col min="1" max="1" width="15.85546875" style="3" customWidth="1"/>
    <col min="2" max="2" width="14.85546875" style="3" customWidth="1"/>
    <col min="3" max="3" width="13.28515625" style="3" customWidth="1"/>
    <col min="4" max="4" width="11.42578125" style="3"/>
    <col min="5" max="5" width="13.42578125" style="3" customWidth="1"/>
    <col min="6" max="6" width="12.7109375" style="3" customWidth="1"/>
    <col min="7" max="7" width="14" style="3" customWidth="1"/>
    <col min="8" max="8" width="7.42578125" style="3" customWidth="1"/>
    <col min="9" max="256" width="11.42578125" style="3"/>
    <col min="257" max="257" width="15.85546875" style="3" customWidth="1"/>
    <col min="258" max="258" width="14.85546875" style="3" customWidth="1"/>
    <col min="259" max="259" width="13.28515625" style="3" customWidth="1"/>
    <col min="260" max="260" width="11.42578125" style="3"/>
    <col min="261" max="261" width="13.42578125" style="3" customWidth="1"/>
    <col min="262" max="262" width="12.7109375" style="3" customWidth="1"/>
    <col min="263" max="263" width="14" style="3" customWidth="1"/>
    <col min="264" max="264" width="7.42578125" style="3" customWidth="1"/>
    <col min="265" max="512" width="11.42578125" style="3"/>
    <col min="513" max="513" width="15.85546875" style="3" customWidth="1"/>
    <col min="514" max="514" width="14.85546875" style="3" customWidth="1"/>
    <col min="515" max="515" width="13.28515625" style="3" customWidth="1"/>
    <col min="516" max="516" width="11.42578125" style="3"/>
    <col min="517" max="517" width="13.42578125" style="3" customWidth="1"/>
    <col min="518" max="518" width="12.7109375" style="3" customWidth="1"/>
    <col min="519" max="519" width="14" style="3" customWidth="1"/>
    <col min="520" max="520" width="7.42578125" style="3" customWidth="1"/>
    <col min="521" max="768" width="11.42578125" style="3"/>
    <col min="769" max="769" width="15.85546875" style="3" customWidth="1"/>
    <col min="770" max="770" width="14.85546875" style="3" customWidth="1"/>
    <col min="771" max="771" width="13.28515625" style="3" customWidth="1"/>
    <col min="772" max="772" width="11.42578125" style="3"/>
    <col min="773" max="773" width="13.42578125" style="3" customWidth="1"/>
    <col min="774" max="774" width="12.7109375" style="3" customWidth="1"/>
    <col min="775" max="775" width="14" style="3" customWidth="1"/>
    <col min="776" max="776" width="7.42578125" style="3" customWidth="1"/>
    <col min="777" max="1024" width="11.42578125" style="3"/>
    <col min="1025" max="1025" width="15.85546875" style="3" customWidth="1"/>
    <col min="1026" max="1026" width="14.85546875" style="3" customWidth="1"/>
    <col min="1027" max="1027" width="13.28515625" style="3" customWidth="1"/>
    <col min="1028" max="1028" width="11.42578125" style="3"/>
    <col min="1029" max="1029" width="13.42578125" style="3" customWidth="1"/>
    <col min="1030" max="1030" width="12.7109375" style="3" customWidth="1"/>
    <col min="1031" max="1031" width="14" style="3" customWidth="1"/>
    <col min="1032" max="1032" width="7.42578125" style="3" customWidth="1"/>
    <col min="1033" max="1280" width="11.42578125" style="3"/>
    <col min="1281" max="1281" width="15.85546875" style="3" customWidth="1"/>
    <col min="1282" max="1282" width="14.85546875" style="3" customWidth="1"/>
    <col min="1283" max="1283" width="13.28515625" style="3" customWidth="1"/>
    <col min="1284" max="1284" width="11.42578125" style="3"/>
    <col min="1285" max="1285" width="13.42578125" style="3" customWidth="1"/>
    <col min="1286" max="1286" width="12.7109375" style="3" customWidth="1"/>
    <col min="1287" max="1287" width="14" style="3" customWidth="1"/>
    <col min="1288" max="1288" width="7.42578125" style="3" customWidth="1"/>
    <col min="1289" max="1536" width="11.42578125" style="3"/>
    <col min="1537" max="1537" width="15.85546875" style="3" customWidth="1"/>
    <col min="1538" max="1538" width="14.85546875" style="3" customWidth="1"/>
    <col min="1539" max="1539" width="13.28515625" style="3" customWidth="1"/>
    <col min="1540" max="1540" width="11.42578125" style="3"/>
    <col min="1541" max="1541" width="13.42578125" style="3" customWidth="1"/>
    <col min="1542" max="1542" width="12.7109375" style="3" customWidth="1"/>
    <col min="1543" max="1543" width="14" style="3" customWidth="1"/>
    <col min="1544" max="1544" width="7.42578125" style="3" customWidth="1"/>
    <col min="1545" max="1792" width="11.42578125" style="3"/>
    <col min="1793" max="1793" width="15.85546875" style="3" customWidth="1"/>
    <col min="1794" max="1794" width="14.85546875" style="3" customWidth="1"/>
    <col min="1795" max="1795" width="13.28515625" style="3" customWidth="1"/>
    <col min="1796" max="1796" width="11.42578125" style="3"/>
    <col min="1797" max="1797" width="13.42578125" style="3" customWidth="1"/>
    <col min="1798" max="1798" width="12.7109375" style="3" customWidth="1"/>
    <col min="1799" max="1799" width="14" style="3" customWidth="1"/>
    <col min="1800" max="1800" width="7.42578125" style="3" customWidth="1"/>
    <col min="1801" max="2048" width="11.42578125" style="3"/>
    <col min="2049" max="2049" width="15.85546875" style="3" customWidth="1"/>
    <col min="2050" max="2050" width="14.85546875" style="3" customWidth="1"/>
    <col min="2051" max="2051" width="13.28515625" style="3" customWidth="1"/>
    <col min="2052" max="2052" width="11.42578125" style="3"/>
    <col min="2053" max="2053" width="13.42578125" style="3" customWidth="1"/>
    <col min="2054" max="2054" width="12.7109375" style="3" customWidth="1"/>
    <col min="2055" max="2055" width="14" style="3" customWidth="1"/>
    <col min="2056" max="2056" width="7.42578125" style="3" customWidth="1"/>
    <col min="2057" max="2304" width="11.42578125" style="3"/>
    <col min="2305" max="2305" width="15.85546875" style="3" customWidth="1"/>
    <col min="2306" max="2306" width="14.85546875" style="3" customWidth="1"/>
    <col min="2307" max="2307" width="13.28515625" style="3" customWidth="1"/>
    <col min="2308" max="2308" width="11.42578125" style="3"/>
    <col min="2309" max="2309" width="13.42578125" style="3" customWidth="1"/>
    <col min="2310" max="2310" width="12.7109375" style="3" customWidth="1"/>
    <col min="2311" max="2311" width="14" style="3" customWidth="1"/>
    <col min="2312" max="2312" width="7.42578125" style="3" customWidth="1"/>
    <col min="2313" max="2560" width="11.42578125" style="3"/>
    <col min="2561" max="2561" width="15.85546875" style="3" customWidth="1"/>
    <col min="2562" max="2562" width="14.85546875" style="3" customWidth="1"/>
    <col min="2563" max="2563" width="13.28515625" style="3" customWidth="1"/>
    <col min="2564" max="2564" width="11.42578125" style="3"/>
    <col min="2565" max="2565" width="13.42578125" style="3" customWidth="1"/>
    <col min="2566" max="2566" width="12.7109375" style="3" customWidth="1"/>
    <col min="2567" max="2567" width="14" style="3" customWidth="1"/>
    <col min="2568" max="2568" width="7.42578125" style="3" customWidth="1"/>
    <col min="2569" max="2816" width="11.42578125" style="3"/>
    <col min="2817" max="2817" width="15.85546875" style="3" customWidth="1"/>
    <col min="2818" max="2818" width="14.85546875" style="3" customWidth="1"/>
    <col min="2819" max="2819" width="13.28515625" style="3" customWidth="1"/>
    <col min="2820" max="2820" width="11.42578125" style="3"/>
    <col min="2821" max="2821" width="13.42578125" style="3" customWidth="1"/>
    <col min="2822" max="2822" width="12.7109375" style="3" customWidth="1"/>
    <col min="2823" max="2823" width="14" style="3" customWidth="1"/>
    <col min="2824" max="2824" width="7.42578125" style="3" customWidth="1"/>
    <col min="2825" max="3072" width="11.42578125" style="3"/>
    <col min="3073" max="3073" width="15.85546875" style="3" customWidth="1"/>
    <col min="3074" max="3074" width="14.85546875" style="3" customWidth="1"/>
    <col min="3075" max="3075" width="13.28515625" style="3" customWidth="1"/>
    <col min="3076" max="3076" width="11.42578125" style="3"/>
    <col min="3077" max="3077" width="13.42578125" style="3" customWidth="1"/>
    <col min="3078" max="3078" width="12.7109375" style="3" customWidth="1"/>
    <col min="3079" max="3079" width="14" style="3" customWidth="1"/>
    <col min="3080" max="3080" width="7.42578125" style="3" customWidth="1"/>
    <col min="3081" max="3328" width="11.42578125" style="3"/>
    <col min="3329" max="3329" width="15.85546875" style="3" customWidth="1"/>
    <col min="3330" max="3330" width="14.85546875" style="3" customWidth="1"/>
    <col min="3331" max="3331" width="13.28515625" style="3" customWidth="1"/>
    <col min="3332" max="3332" width="11.42578125" style="3"/>
    <col min="3333" max="3333" width="13.42578125" style="3" customWidth="1"/>
    <col min="3334" max="3334" width="12.7109375" style="3" customWidth="1"/>
    <col min="3335" max="3335" width="14" style="3" customWidth="1"/>
    <col min="3336" max="3336" width="7.42578125" style="3" customWidth="1"/>
    <col min="3337" max="3584" width="11.42578125" style="3"/>
    <col min="3585" max="3585" width="15.85546875" style="3" customWidth="1"/>
    <col min="3586" max="3586" width="14.85546875" style="3" customWidth="1"/>
    <col min="3587" max="3587" width="13.28515625" style="3" customWidth="1"/>
    <col min="3588" max="3588" width="11.42578125" style="3"/>
    <col min="3589" max="3589" width="13.42578125" style="3" customWidth="1"/>
    <col min="3590" max="3590" width="12.7109375" style="3" customWidth="1"/>
    <col min="3591" max="3591" width="14" style="3" customWidth="1"/>
    <col min="3592" max="3592" width="7.42578125" style="3" customWidth="1"/>
    <col min="3593" max="3840" width="11.42578125" style="3"/>
    <col min="3841" max="3841" width="15.85546875" style="3" customWidth="1"/>
    <col min="3842" max="3842" width="14.85546875" style="3" customWidth="1"/>
    <col min="3843" max="3843" width="13.28515625" style="3" customWidth="1"/>
    <col min="3844" max="3844" width="11.42578125" style="3"/>
    <col min="3845" max="3845" width="13.42578125" style="3" customWidth="1"/>
    <col min="3846" max="3846" width="12.7109375" style="3" customWidth="1"/>
    <col min="3847" max="3847" width="14" style="3" customWidth="1"/>
    <col min="3848" max="3848" width="7.42578125" style="3" customWidth="1"/>
    <col min="3849" max="4096" width="11.42578125" style="3"/>
    <col min="4097" max="4097" width="15.85546875" style="3" customWidth="1"/>
    <col min="4098" max="4098" width="14.85546875" style="3" customWidth="1"/>
    <col min="4099" max="4099" width="13.28515625" style="3" customWidth="1"/>
    <col min="4100" max="4100" width="11.42578125" style="3"/>
    <col min="4101" max="4101" width="13.42578125" style="3" customWidth="1"/>
    <col min="4102" max="4102" width="12.7109375" style="3" customWidth="1"/>
    <col min="4103" max="4103" width="14" style="3" customWidth="1"/>
    <col min="4104" max="4104" width="7.42578125" style="3" customWidth="1"/>
    <col min="4105" max="4352" width="11.42578125" style="3"/>
    <col min="4353" max="4353" width="15.85546875" style="3" customWidth="1"/>
    <col min="4354" max="4354" width="14.85546875" style="3" customWidth="1"/>
    <col min="4355" max="4355" width="13.28515625" style="3" customWidth="1"/>
    <col min="4356" max="4356" width="11.42578125" style="3"/>
    <col min="4357" max="4357" width="13.42578125" style="3" customWidth="1"/>
    <col min="4358" max="4358" width="12.7109375" style="3" customWidth="1"/>
    <col min="4359" max="4359" width="14" style="3" customWidth="1"/>
    <col min="4360" max="4360" width="7.42578125" style="3" customWidth="1"/>
    <col min="4361" max="4608" width="11.42578125" style="3"/>
    <col min="4609" max="4609" width="15.85546875" style="3" customWidth="1"/>
    <col min="4610" max="4610" width="14.85546875" style="3" customWidth="1"/>
    <col min="4611" max="4611" width="13.28515625" style="3" customWidth="1"/>
    <col min="4612" max="4612" width="11.42578125" style="3"/>
    <col min="4613" max="4613" width="13.42578125" style="3" customWidth="1"/>
    <col min="4614" max="4614" width="12.7109375" style="3" customWidth="1"/>
    <col min="4615" max="4615" width="14" style="3" customWidth="1"/>
    <col min="4616" max="4616" width="7.42578125" style="3" customWidth="1"/>
    <col min="4617" max="4864" width="11.42578125" style="3"/>
    <col min="4865" max="4865" width="15.85546875" style="3" customWidth="1"/>
    <col min="4866" max="4866" width="14.85546875" style="3" customWidth="1"/>
    <col min="4867" max="4867" width="13.28515625" style="3" customWidth="1"/>
    <col min="4868" max="4868" width="11.42578125" style="3"/>
    <col min="4869" max="4869" width="13.42578125" style="3" customWidth="1"/>
    <col min="4870" max="4870" width="12.7109375" style="3" customWidth="1"/>
    <col min="4871" max="4871" width="14" style="3" customWidth="1"/>
    <col min="4872" max="4872" width="7.42578125" style="3" customWidth="1"/>
    <col min="4873" max="5120" width="11.42578125" style="3"/>
    <col min="5121" max="5121" width="15.85546875" style="3" customWidth="1"/>
    <col min="5122" max="5122" width="14.85546875" style="3" customWidth="1"/>
    <col min="5123" max="5123" width="13.28515625" style="3" customWidth="1"/>
    <col min="5124" max="5124" width="11.42578125" style="3"/>
    <col min="5125" max="5125" width="13.42578125" style="3" customWidth="1"/>
    <col min="5126" max="5126" width="12.7109375" style="3" customWidth="1"/>
    <col min="5127" max="5127" width="14" style="3" customWidth="1"/>
    <col min="5128" max="5128" width="7.42578125" style="3" customWidth="1"/>
    <col min="5129" max="5376" width="11.42578125" style="3"/>
    <col min="5377" max="5377" width="15.85546875" style="3" customWidth="1"/>
    <col min="5378" max="5378" width="14.85546875" style="3" customWidth="1"/>
    <col min="5379" max="5379" width="13.28515625" style="3" customWidth="1"/>
    <col min="5380" max="5380" width="11.42578125" style="3"/>
    <col min="5381" max="5381" width="13.42578125" style="3" customWidth="1"/>
    <col min="5382" max="5382" width="12.7109375" style="3" customWidth="1"/>
    <col min="5383" max="5383" width="14" style="3" customWidth="1"/>
    <col min="5384" max="5384" width="7.42578125" style="3" customWidth="1"/>
    <col min="5385" max="5632" width="11.42578125" style="3"/>
    <col min="5633" max="5633" width="15.85546875" style="3" customWidth="1"/>
    <col min="5634" max="5634" width="14.85546875" style="3" customWidth="1"/>
    <col min="5635" max="5635" width="13.28515625" style="3" customWidth="1"/>
    <col min="5636" max="5636" width="11.42578125" style="3"/>
    <col min="5637" max="5637" width="13.42578125" style="3" customWidth="1"/>
    <col min="5638" max="5638" width="12.7109375" style="3" customWidth="1"/>
    <col min="5639" max="5639" width="14" style="3" customWidth="1"/>
    <col min="5640" max="5640" width="7.42578125" style="3" customWidth="1"/>
    <col min="5641" max="5888" width="11.42578125" style="3"/>
    <col min="5889" max="5889" width="15.85546875" style="3" customWidth="1"/>
    <col min="5890" max="5890" width="14.85546875" style="3" customWidth="1"/>
    <col min="5891" max="5891" width="13.28515625" style="3" customWidth="1"/>
    <col min="5892" max="5892" width="11.42578125" style="3"/>
    <col min="5893" max="5893" width="13.42578125" style="3" customWidth="1"/>
    <col min="5894" max="5894" width="12.7109375" style="3" customWidth="1"/>
    <col min="5895" max="5895" width="14" style="3" customWidth="1"/>
    <col min="5896" max="5896" width="7.42578125" style="3" customWidth="1"/>
    <col min="5897" max="6144" width="11.42578125" style="3"/>
    <col min="6145" max="6145" width="15.85546875" style="3" customWidth="1"/>
    <col min="6146" max="6146" width="14.85546875" style="3" customWidth="1"/>
    <col min="6147" max="6147" width="13.28515625" style="3" customWidth="1"/>
    <col min="6148" max="6148" width="11.42578125" style="3"/>
    <col min="6149" max="6149" width="13.42578125" style="3" customWidth="1"/>
    <col min="6150" max="6150" width="12.7109375" style="3" customWidth="1"/>
    <col min="6151" max="6151" width="14" style="3" customWidth="1"/>
    <col min="6152" max="6152" width="7.42578125" style="3" customWidth="1"/>
    <col min="6153" max="6400" width="11.42578125" style="3"/>
    <col min="6401" max="6401" width="15.85546875" style="3" customWidth="1"/>
    <col min="6402" max="6402" width="14.85546875" style="3" customWidth="1"/>
    <col min="6403" max="6403" width="13.28515625" style="3" customWidth="1"/>
    <col min="6404" max="6404" width="11.42578125" style="3"/>
    <col min="6405" max="6405" width="13.42578125" style="3" customWidth="1"/>
    <col min="6406" max="6406" width="12.7109375" style="3" customWidth="1"/>
    <col min="6407" max="6407" width="14" style="3" customWidth="1"/>
    <col min="6408" max="6408" width="7.42578125" style="3" customWidth="1"/>
    <col min="6409" max="6656" width="11.42578125" style="3"/>
    <col min="6657" max="6657" width="15.85546875" style="3" customWidth="1"/>
    <col min="6658" max="6658" width="14.85546875" style="3" customWidth="1"/>
    <col min="6659" max="6659" width="13.28515625" style="3" customWidth="1"/>
    <col min="6660" max="6660" width="11.42578125" style="3"/>
    <col min="6661" max="6661" width="13.42578125" style="3" customWidth="1"/>
    <col min="6662" max="6662" width="12.7109375" style="3" customWidth="1"/>
    <col min="6663" max="6663" width="14" style="3" customWidth="1"/>
    <col min="6664" max="6664" width="7.42578125" style="3" customWidth="1"/>
    <col min="6665" max="6912" width="11.42578125" style="3"/>
    <col min="6913" max="6913" width="15.85546875" style="3" customWidth="1"/>
    <col min="6914" max="6914" width="14.85546875" style="3" customWidth="1"/>
    <col min="6915" max="6915" width="13.28515625" style="3" customWidth="1"/>
    <col min="6916" max="6916" width="11.42578125" style="3"/>
    <col min="6917" max="6917" width="13.42578125" style="3" customWidth="1"/>
    <col min="6918" max="6918" width="12.7109375" style="3" customWidth="1"/>
    <col min="6919" max="6919" width="14" style="3" customWidth="1"/>
    <col min="6920" max="6920" width="7.42578125" style="3" customWidth="1"/>
    <col min="6921" max="7168" width="11.42578125" style="3"/>
    <col min="7169" max="7169" width="15.85546875" style="3" customWidth="1"/>
    <col min="7170" max="7170" width="14.85546875" style="3" customWidth="1"/>
    <col min="7171" max="7171" width="13.28515625" style="3" customWidth="1"/>
    <col min="7172" max="7172" width="11.42578125" style="3"/>
    <col min="7173" max="7173" width="13.42578125" style="3" customWidth="1"/>
    <col min="7174" max="7174" width="12.7109375" style="3" customWidth="1"/>
    <col min="7175" max="7175" width="14" style="3" customWidth="1"/>
    <col min="7176" max="7176" width="7.42578125" style="3" customWidth="1"/>
    <col min="7177" max="7424" width="11.42578125" style="3"/>
    <col min="7425" max="7425" width="15.85546875" style="3" customWidth="1"/>
    <col min="7426" max="7426" width="14.85546875" style="3" customWidth="1"/>
    <col min="7427" max="7427" width="13.28515625" style="3" customWidth="1"/>
    <col min="7428" max="7428" width="11.42578125" style="3"/>
    <col min="7429" max="7429" width="13.42578125" style="3" customWidth="1"/>
    <col min="7430" max="7430" width="12.7109375" style="3" customWidth="1"/>
    <col min="7431" max="7431" width="14" style="3" customWidth="1"/>
    <col min="7432" max="7432" width="7.42578125" style="3" customWidth="1"/>
    <col min="7433" max="7680" width="11.42578125" style="3"/>
    <col min="7681" max="7681" width="15.85546875" style="3" customWidth="1"/>
    <col min="7682" max="7682" width="14.85546875" style="3" customWidth="1"/>
    <col min="7683" max="7683" width="13.28515625" style="3" customWidth="1"/>
    <col min="7684" max="7684" width="11.42578125" style="3"/>
    <col min="7685" max="7685" width="13.42578125" style="3" customWidth="1"/>
    <col min="7686" max="7686" width="12.7109375" style="3" customWidth="1"/>
    <col min="7687" max="7687" width="14" style="3" customWidth="1"/>
    <col min="7688" max="7688" width="7.42578125" style="3" customWidth="1"/>
    <col min="7689" max="7936" width="11.42578125" style="3"/>
    <col min="7937" max="7937" width="15.85546875" style="3" customWidth="1"/>
    <col min="7938" max="7938" width="14.85546875" style="3" customWidth="1"/>
    <col min="7939" max="7939" width="13.28515625" style="3" customWidth="1"/>
    <col min="7940" max="7940" width="11.42578125" style="3"/>
    <col min="7941" max="7941" width="13.42578125" style="3" customWidth="1"/>
    <col min="7942" max="7942" width="12.7109375" style="3" customWidth="1"/>
    <col min="7943" max="7943" width="14" style="3" customWidth="1"/>
    <col min="7944" max="7944" width="7.42578125" style="3" customWidth="1"/>
    <col min="7945" max="8192" width="11.42578125" style="3"/>
    <col min="8193" max="8193" width="15.85546875" style="3" customWidth="1"/>
    <col min="8194" max="8194" width="14.85546875" style="3" customWidth="1"/>
    <col min="8195" max="8195" width="13.28515625" style="3" customWidth="1"/>
    <col min="8196" max="8196" width="11.42578125" style="3"/>
    <col min="8197" max="8197" width="13.42578125" style="3" customWidth="1"/>
    <col min="8198" max="8198" width="12.7109375" style="3" customWidth="1"/>
    <col min="8199" max="8199" width="14" style="3" customWidth="1"/>
    <col min="8200" max="8200" width="7.42578125" style="3" customWidth="1"/>
    <col min="8201" max="8448" width="11.42578125" style="3"/>
    <col min="8449" max="8449" width="15.85546875" style="3" customWidth="1"/>
    <col min="8450" max="8450" width="14.85546875" style="3" customWidth="1"/>
    <col min="8451" max="8451" width="13.28515625" style="3" customWidth="1"/>
    <col min="8452" max="8452" width="11.42578125" style="3"/>
    <col min="8453" max="8453" width="13.42578125" style="3" customWidth="1"/>
    <col min="8454" max="8454" width="12.7109375" style="3" customWidth="1"/>
    <col min="8455" max="8455" width="14" style="3" customWidth="1"/>
    <col min="8456" max="8456" width="7.42578125" style="3" customWidth="1"/>
    <col min="8457" max="8704" width="11.42578125" style="3"/>
    <col min="8705" max="8705" width="15.85546875" style="3" customWidth="1"/>
    <col min="8706" max="8706" width="14.85546875" style="3" customWidth="1"/>
    <col min="8707" max="8707" width="13.28515625" style="3" customWidth="1"/>
    <col min="8708" max="8708" width="11.42578125" style="3"/>
    <col min="8709" max="8709" width="13.42578125" style="3" customWidth="1"/>
    <col min="8710" max="8710" width="12.7109375" style="3" customWidth="1"/>
    <col min="8711" max="8711" width="14" style="3" customWidth="1"/>
    <col min="8712" max="8712" width="7.42578125" style="3" customWidth="1"/>
    <col min="8713" max="8960" width="11.42578125" style="3"/>
    <col min="8961" max="8961" width="15.85546875" style="3" customWidth="1"/>
    <col min="8962" max="8962" width="14.85546875" style="3" customWidth="1"/>
    <col min="8963" max="8963" width="13.28515625" style="3" customWidth="1"/>
    <col min="8964" max="8964" width="11.42578125" style="3"/>
    <col min="8965" max="8965" width="13.42578125" style="3" customWidth="1"/>
    <col min="8966" max="8966" width="12.7109375" style="3" customWidth="1"/>
    <col min="8967" max="8967" width="14" style="3" customWidth="1"/>
    <col min="8968" max="8968" width="7.42578125" style="3" customWidth="1"/>
    <col min="8969" max="9216" width="11.42578125" style="3"/>
    <col min="9217" max="9217" width="15.85546875" style="3" customWidth="1"/>
    <col min="9218" max="9218" width="14.85546875" style="3" customWidth="1"/>
    <col min="9219" max="9219" width="13.28515625" style="3" customWidth="1"/>
    <col min="9220" max="9220" width="11.42578125" style="3"/>
    <col min="9221" max="9221" width="13.42578125" style="3" customWidth="1"/>
    <col min="9222" max="9222" width="12.7109375" style="3" customWidth="1"/>
    <col min="9223" max="9223" width="14" style="3" customWidth="1"/>
    <col min="9224" max="9224" width="7.42578125" style="3" customWidth="1"/>
    <col min="9225" max="9472" width="11.42578125" style="3"/>
    <col min="9473" max="9473" width="15.85546875" style="3" customWidth="1"/>
    <col min="9474" max="9474" width="14.85546875" style="3" customWidth="1"/>
    <col min="9475" max="9475" width="13.28515625" style="3" customWidth="1"/>
    <col min="9476" max="9476" width="11.42578125" style="3"/>
    <col min="9477" max="9477" width="13.42578125" style="3" customWidth="1"/>
    <col min="9478" max="9478" width="12.7109375" style="3" customWidth="1"/>
    <col min="9479" max="9479" width="14" style="3" customWidth="1"/>
    <col min="9480" max="9480" width="7.42578125" style="3" customWidth="1"/>
    <col min="9481" max="9728" width="11.42578125" style="3"/>
    <col min="9729" max="9729" width="15.85546875" style="3" customWidth="1"/>
    <col min="9730" max="9730" width="14.85546875" style="3" customWidth="1"/>
    <col min="9731" max="9731" width="13.28515625" style="3" customWidth="1"/>
    <col min="9732" max="9732" width="11.42578125" style="3"/>
    <col min="9733" max="9733" width="13.42578125" style="3" customWidth="1"/>
    <col min="9734" max="9734" width="12.7109375" style="3" customWidth="1"/>
    <col min="9735" max="9735" width="14" style="3" customWidth="1"/>
    <col min="9736" max="9736" width="7.42578125" style="3" customWidth="1"/>
    <col min="9737" max="9984" width="11.42578125" style="3"/>
    <col min="9985" max="9985" width="15.85546875" style="3" customWidth="1"/>
    <col min="9986" max="9986" width="14.85546875" style="3" customWidth="1"/>
    <col min="9987" max="9987" width="13.28515625" style="3" customWidth="1"/>
    <col min="9988" max="9988" width="11.42578125" style="3"/>
    <col min="9989" max="9989" width="13.42578125" style="3" customWidth="1"/>
    <col min="9990" max="9990" width="12.7109375" style="3" customWidth="1"/>
    <col min="9991" max="9991" width="14" style="3" customWidth="1"/>
    <col min="9992" max="9992" width="7.42578125" style="3" customWidth="1"/>
    <col min="9993" max="10240" width="11.42578125" style="3"/>
    <col min="10241" max="10241" width="15.85546875" style="3" customWidth="1"/>
    <col min="10242" max="10242" width="14.85546875" style="3" customWidth="1"/>
    <col min="10243" max="10243" width="13.28515625" style="3" customWidth="1"/>
    <col min="10244" max="10244" width="11.42578125" style="3"/>
    <col min="10245" max="10245" width="13.42578125" style="3" customWidth="1"/>
    <col min="10246" max="10246" width="12.7109375" style="3" customWidth="1"/>
    <col min="10247" max="10247" width="14" style="3" customWidth="1"/>
    <col min="10248" max="10248" width="7.42578125" style="3" customWidth="1"/>
    <col min="10249" max="10496" width="11.42578125" style="3"/>
    <col min="10497" max="10497" width="15.85546875" style="3" customWidth="1"/>
    <col min="10498" max="10498" width="14.85546875" style="3" customWidth="1"/>
    <col min="10499" max="10499" width="13.28515625" style="3" customWidth="1"/>
    <col min="10500" max="10500" width="11.42578125" style="3"/>
    <col min="10501" max="10501" width="13.42578125" style="3" customWidth="1"/>
    <col min="10502" max="10502" width="12.7109375" style="3" customWidth="1"/>
    <col min="10503" max="10503" width="14" style="3" customWidth="1"/>
    <col min="10504" max="10504" width="7.42578125" style="3" customWidth="1"/>
    <col min="10505" max="10752" width="11.42578125" style="3"/>
    <col min="10753" max="10753" width="15.85546875" style="3" customWidth="1"/>
    <col min="10754" max="10754" width="14.85546875" style="3" customWidth="1"/>
    <col min="10755" max="10755" width="13.28515625" style="3" customWidth="1"/>
    <col min="10756" max="10756" width="11.42578125" style="3"/>
    <col min="10757" max="10757" width="13.42578125" style="3" customWidth="1"/>
    <col min="10758" max="10758" width="12.7109375" style="3" customWidth="1"/>
    <col min="10759" max="10759" width="14" style="3" customWidth="1"/>
    <col min="10760" max="10760" width="7.42578125" style="3" customWidth="1"/>
    <col min="10761" max="11008" width="11.42578125" style="3"/>
    <col min="11009" max="11009" width="15.85546875" style="3" customWidth="1"/>
    <col min="11010" max="11010" width="14.85546875" style="3" customWidth="1"/>
    <col min="11011" max="11011" width="13.28515625" style="3" customWidth="1"/>
    <col min="11012" max="11012" width="11.42578125" style="3"/>
    <col min="11013" max="11013" width="13.42578125" style="3" customWidth="1"/>
    <col min="11014" max="11014" width="12.7109375" style="3" customWidth="1"/>
    <col min="11015" max="11015" width="14" style="3" customWidth="1"/>
    <col min="11016" max="11016" width="7.42578125" style="3" customWidth="1"/>
    <col min="11017" max="11264" width="11.42578125" style="3"/>
    <col min="11265" max="11265" width="15.85546875" style="3" customWidth="1"/>
    <col min="11266" max="11266" width="14.85546875" style="3" customWidth="1"/>
    <col min="11267" max="11267" width="13.28515625" style="3" customWidth="1"/>
    <col min="11268" max="11268" width="11.42578125" style="3"/>
    <col min="11269" max="11269" width="13.42578125" style="3" customWidth="1"/>
    <col min="11270" max="11270" width="12.7109375" style="3" customWidth="1"/>
    <col min="11271" max="11271" width="14" style="3" customWidth="1"/>
    <col min="11272" max="11272" width="7.42578125" style="3" customWidth="1"/>
    <col min="11273" max="11520" width="11.42578125" style="3"/>
    <col min="11521" max="11521" width="15.85546875" style="3" customWidth="1"/>
    <col min="11522" max="11522" width="14.85546875" style="3" customWidth="1"/>
    <col min="11523" max="11523" width="13.28515625" style="3" customWidth="1"/>
    <col min="11524" max="11524" width="11.42578125" style="3"/>
    <col min="11525" max="11525" width="13.42578125" style="3" customWidth="1"/>
    <col min="11526" max="11526" width="12.7109375" style="3" customWidth="1"/>
    <col min="11527" max="11527" width="14" style="3" customWidth="1"/>
    <col min="11528" max="11528" width="7.42578125" style="3" customWidth="1"/>
    <col min="11529" max="11776" width="11.42578125" style="3"/>
    <col min="11777" max="11777" width="15.85546875" style="3" customWidth="1"/>
    <col min="11778" max="11778" width="14.85546875" style="3" customWidth="1"/>
    <col min="11779" max="11779" width="13.28515625" style="3" customWidth="1"/>
    <col min="11780" max="11780" width="11.42578125" style="3"/>
    <col min="11781" max="11781" width="13.42578125" style="3" customWidth="1"/>
    <col min="11782" max="11782" width="12.7109375" style="3" customWidth="1"/>
    <col min="11783" max="11783" width="14" style="3" customWidth="1"/>
    <col min="11784" max="11784" width="7.42578125" style="3" customWidth="1"/>
    <col min="11785" max="12032" width="11.42578125" style="3"/>
    <col min="12033" max="12033" width="15.85546875" style="3" customWidth="1"/>
    <col min="12034" max="12034" width="14.85546875" style="3" customWidth="1"/>
    <col min="12035" max="12035" width="13.28515625" style="3" customWidth="1"/>
    <col min="12036" max="12036" width="11.42578125" style="3"/>
    <col min="12037" max="12037" width="13.42578125" style="3" customWidth="1"/>
    <col min="12038" max="12038" width="12.7109375" style="3" customWidth="1"/>
    <col min="12039" max="12039" width="14" style="3" customWidth="1"/>
    <col min="12040" max="12040" width="7.42578125" style="3" customWidth="1"/>
    <col min="12041" max="12288" width="11.42578125" style="3"/>
    <col min="12289" max="12289" width="15.85546875" style="3" customWidth="1"/>
    <col min="12290" max="12290" width="14.85546875" style="3" customWidth="1"/>
    <col min="12291" max="12291" width="13.28515625" style="3" customWidth="1"/>
    <col min="12292" max="12292" width="11.42578125" style="3"/>
    <col min="12293" max="12293" width="13.42578125" style="3" customWidth="1"/>
    <col min="12294" max="12294" width="12.7109375" style="3" customWidth="1"/>
    <col min="12295" max="12295" width="14" style="3" customWidth="1"/>
    <col min="12296" max="12296" width="7.42578125" style="3" customWidth="1"/>
    <col min="12297" max="12544" width="11.42578125" style="3"/>
    <col min="12545" max="12545" width="15.85546875" style="3" customWidth="1"/>
    <col min="12546" max="12546" width="14.85546875" style="3" customWidth="1"/>
    <col min="12547" max="12547" width="13.28515625" style="3" customWidth="1"/>
    <col min="12548" max="12548" width="11.42578125" style="3"/>
    <col min="12549" max="12549" width="13.42578125" style="3" customWidth="1"/>
    <col min="12550" max="12550" width="12.7109375" style="3" customWidth="1"/>
    <col min="12551" max="12551" width="14" style="3" customWidth="1"/>
    <col min="12552" max="12552" width="7.42578125" style="3" customWidth="1"/>
    <col min="12553" max="12800" width="11.42578125" style="3"/>
    <col min="12801" max="12801" width="15.85546875" style="3" customWidth="1"/>
    <col min="12802" max="12802" width="14.85546875" style="3" customWidth="1"/>
    <col min="12803" max="12803" width="13.28515625" style="3" customWidth="1"/>
    <col min="12804" max="12804" width="11.42578125" style="3"/>
    <col min="12805" max="12805" width="13.42578125" style="3" customWidth="1"/>
    <col min="12806" max="12806" width="12.7109375" style="3" customWidth="1"/>
    <col min="12807" max="12807" width="14" style="3" customWidth="1"/>
    <col min="12808" max="12808" width="7.42578125" style="3" customWidth="1"/>
    <col min="12809" max="13056" width="11.42578125" style="3"/>
    <col min="13057" max="13057" width="15.85546875" style="3" customWidth="1"/>
    <col min="13058" max="13058" width="14.85546875" style="3" customWidth="1"/>
    <col min="13059" max="13059" width="13.28515625" style="3" customWidth="1"/>
    <col min="13060" max="13060" width="11.42578125" style="3"/>
    <col min="13061" max="13061" width="13.42578125" style="3" customWidth="1"/>
    <col min="13062" max="13062" width="12.7109375" style="3" customWidth="1"/>
    <col min="13063" max="13063" width="14" style="3" customWidth="1"/>
    <col min="13064" max="13064" width="7.42578125" style="3" customWidth="1"/>
    <col min="13065" max="13312" width="11.42578125" style="3"/>
    <col min="13313" max="13313" width="15.85546875" style="3" customWidth="1"/>
    <col min="13314" max="13314" width="14.85546875" style="3" customWidth="1"/>
    <col min="13315" max="13315" width="13.28515625" style="3" customWidth="1"/>
    <col min="13316" max="13316" width="11.42578125" style="3"/>
    <col min="13317" max="13317" width="13.42578125" style="3" customWidth="1"/>
    <col min="13318" max="13318" width="12.7109375" style="3" customWidth="1"/>
    <col min="13319" max="13319" width="14" style="3" customWidth="1"/>
    <col min="13320" max="13320" width="7.42578125" style="3" customWidth="1"/>
    <col min="13321" max="13568" width="11.42578125" style="3"/>
    <col min="13569" max="13569" width="15.85546875" style="3" customWidth="1"/>
    <col min="13570" max="13570" width="14.85546875" style="3" customWidth="1"/>
    <col min="13571" max="13571" width="13.28515625" style="3" customWidth="1"/>
    <col min="13572" max="13572" width="11.42578125" style="3"/>
    <col min="13573" max="13573" width="13.42578125" style="3" customWidth="1"/>
    <col min="13574" max="13574" width="12.7109375" style="3" customWidth="1"/>
    <col min="13575" max="13575" width="14" style="3" customWidth="1"/>
    <col min="13576" max="13576" width="7.42578125" style="3" customWidth="1"/>
    <col min="13577" max="13824" width="11.42578125" style="3"/>
    <col min="13825" max="13825" width="15.85546875" style="3" customWidth="1"/>
    <col min="13826" max="13826" width="14.85546875" style="3" customWidth="1"/>
    <col min="13827" max="13827" width="13.28515625" style="3" customWidth="1"/>
    <col min="13828" max="13828" width="11.42578125" style="3"/>
    <col min="13829" max="13829" width="13.42578125" style="3" customWidth="1"/>
    <col min="13830" max="13830" width="12.7109375" style="3" customWidth="1"/>
    <col min="13831" max="13831" width="14" style="3" customWidth="1"/>
    <col min="13832" max="13832" width="7.42578125" style="3" customWidth="1"/>
    <col min="13833" max="14080" width="11.42578125" style="3"/>
    <col min="14081" max="14081" width="15.85546875" style="3" customWidth="1"/>
    <col min="14082" max="14082" width="14.85546875" style="3" customWidth="1"/>
    <col min="14083" max="14083" width="13.28515625" style="3" customWidth="1"/>
    <col min="14084" max="14084" width="11.42578125" style="3"/>
    <col min="14085" max="14085" width="13.42578125" style="3" customWidth="1"/>
    <col min="14086" max="14086" width="12.7109375" style="3" customWidth="1"/>
    <col min="14087" max="14087" width="14" style="3" customWidth="1"/>
    <col min="14088" max="14088" width="7.42578125" style="3" customWidth="1"/>
    <col min="14089" max="14336" width="11.42578125" style="3"/>
    <col min="14337" max="14337" width="15.85546875" style="3" customWidth="1"/>
    <col min="14338" max="14338" width="14.85546875" style="3" customWidth="1"/>
    <col min="14339" max="14339" width="13.28515625" style="3" customWidth="1"/>
    <col min="14340" max="14340" width="11.42578125" style="3"/>
    <col min="14341" max="14341" width="13.42578125" style="3" customWidth="1"/>
    <col min="14342" max="14342" width="12.7109375" style="3" customWidth="1"/>
    <col min="14343" max="14343" width="14" style="3" customWidth="1"/>
    <col min="14344" max="14344" width="7.42578125" style="3" customWidth="1"/>
    <col min="14345" max="14592" width="11.42578125" style="3"/>
    <col min="14593" max="14593" width="15.85546875" style="3" customWidth="1"/>
    <col min="14594" max="14594" width="14.85546875" style="3" customWidth="1"/>
    <col min="14595" max="14595" width="13.28515625" style="3" customWidth="1"/>
    <col min="14596" max="14596" width="11.42578125" style="3"/>
    <col min="14597" max="14597" width="13.42578125" style="3" customWidth="1"/>
    <col min="14598" max="14598" width="12.7109375" style="3" customWidth="1"/>
    <col min="14599" max="14599" width="14" style="3" customWidth="1"/>
    <col min="14600" max="14600" width="7.42578125" style="3" customWidth="1"/>
    <col min="14601" max="14848" width="11.42578125" style="3"/>
    <col min="14849" max="14849" width="15.85546875" style="3" customWidth="1"/>
    <col min="14850" max="14850" width="14.85546875" style="3" customWidth="1"/>
    <col min="14851" max="14851" width="13.28515625" style="3" customWidth="1"/>
    <col min="14852" max="14852" width="11.42578125" style="3"/>
    <col min="14853" max="14853" width="13.42578125" style="3" customWidth="1"/>
    <col min="14854" max="14854" width="12.7109375" style="3" customWidth="1"/>
    <col min="14855" max="14855" width="14" style="3" customWidth="1"/>
    <col min="14856" max="14856" width="7.42578125" style="3" customWidth="1"/>
    <col min="14857" max="15104" width="11.42578125" style="3"/>
    <col min="15105" max="15105" width="15.85546875" style="3" customWidth="1"/>
    <col min="15106" max="15106" width="14.85546875" style="3" customWidth="1"/>
    <col min="15107" max="15107" width="13.28515625" style="3" customWidth="1"/>
    <col min="15108" max="15108" width="11.42578125" style="3"/>
    <col min="15109" max="15109" width="13.42578125" style="3" customWidth="1"/>
    <col min="15110" max="15110" width="12.7109375" style="3" customWidth="1"/>
    <col min="15111" max="15111" width="14" style="3" customWidth="1"/>
    <col min="15112" max="15112" width="7.42578125" style="3" customWidth="1"/>
    <col min="15113" max="15360" width="11.42578125" style="3"/>
    <col min="15361" max="15361" width="15.85546875" style="3" customWidth="1"/>
    <col min="15362" max="15362" width="14.85546875" style="3" customWidth="1"/>
    <col min="15363" max="15363" width="13.28515625" style="3" customWidth="1"/>
    <col min="15364" max="15364" width="11.42578125" style="3"/>
    <col min="15365" max="15365" width="13.42578125" style="3" customWidth="1"/>
    <col min="15366" max="15366" width="12.7109375" style="3" customWidth="1"/>
    <col min="15367" max="15367" width="14" style="3" customWidth="1"/>
    <col min="15368" max="15368" width="7.42578125" style="3" customWidth="1"/>
    <col min="15369" max="15616" width="11.42578125" style="3"/>
    <col min="15617" max="15617" width="15.85546875" style="3" customWidth="1"/>
    <col min="15618" max="15618" width="14.85546875" style="3" customWidth="1"/>
    <col min="15619" max="15619" width="13.28515625" style="3" customWidth="1"/>
    <col min="15620" max="15620" width="11.42578125" style="3"/>
    <col min="15621" max="15621" width="13.42578125" style="3" customWidth="1"/>
    <col min="15622" max="15622" width="12.7109375" style="3" customWidth="1"/>
    <col min="15623" max="15623" width="14" style="3" customWidth="1"/>
    <col min="15624" max="15624" width="7.42578125" style="3" customWidth="1"/>
    <col min="15625" max="15872" width="11.42578125" style="3"/>
    <col min="15873" max="15873" width="15.85546875" style="3" customWidth="1"/>
    <col min="15874" max="15874" width="14.85546875" style="3" customWidth="1"/>
    <col min="15875" max="15875" width="13.28515625" style="3" customWidth="1"/>
    <col min="15876" max="15876" width="11.42578125" style="3"/>
    <col min="15877" max="15877" width="13.42578125" style="3" customWidth="1"/>
    <col min="15878" max="15878" width="12.7109375" style="3" customWidth="1"/>
    <col min="15879" max="15879" width="14" style="3" customWidth="1"/>
    <col min="15880" max="15880" width="7.42578125" style="3" customWidth="1"/>
    <col min="15881" max="16128" width="11.42578125" style="3"/>
    <col min="16129" max="16129" width="15.85546875" style="3" customWidth="1"/>
    <col min="16130" max="16130" width="14.85546875" style="3" customWidth="1"/>
    <col min="16131" max="16131" width="13.28515625" style="3" customWidth="1"/>
    <col min="16132" max="16132" width="11.42578125" style="3"/>
    <col min="16133" max="16133" width="13.42578125" style="3" customWidth="1"/>
    <col min="16134" max="16134" width="12.7109375" style="3" customWidth="1"/>
    <col min="16135" max="16135" width="14" style="3" customWidth="1"/>
    <col min="16136" max="16136" width="7.42578125" style="3" customWidth="1"/>
    <col min="16137" max="16384" width="11.42578125" style="3"/>
  </cols>
  <sheetData>
    <row r="1" spans="1:21" ht="48" customHeight="1">
      <c r="A1" s="1346" t="str">
        <f>PPTO!D3</f>
        <v>PRESUPUESTO
MUNICIPIO EL BAGRE (ANTIOQUIA).</v>
      </c>
      <c r="B1" s="1347"/>
      <c r="C1" s="1347"/>
      <c r="D1" s="1347"/>
      <c r="E1" s="1347"/>
      <c r="F1" s="1347"/>
      <c r="G1" s="1348"/>
      <c r="H1" s="1"/>
      <c r="I1" s="2"/>
    </row>
    <row r="2" spans="1:21" ht="18" customHeight="1">
      <c r="A2" s="1362" t="s">
        <v>16</v>
      </c>
      <c r="B2" s="1363"/>
      <c r="C2" s="1363"/>
      <c r="D2" s="1363"/>
      <c r="E2" s="1363"/>
      <c r="F2" s="1363"/>
      <c r="G2" s="1364"/>
      <c r="H2" s="1"/>
      <c r="I2" s="2"/>
    </row>
    <row r="3" spans="1:21" ht="27" customHeight="1">
      <c r="A3" s="1367" t="str">
        <f>+PPTO!$D$5</f>
        <v>PROYECTO DE MEJORAMIENTO VIAL, ESPACIO PUBLICO Y OBRAS COMPLEMENTARIAS DE LA AVENIDA LA JUVENTUD Y TRAMOS ADYACENTES Y PRIORITARIOS DEL SECTOR URBANO EN EL MUNICIPIO EL BAGRE ANTIOQUIA.</v>
      </c>
      <c r="B3" s="1368"/>
      <c r="C3" s="1368"/>
      <c r="D3" s="1368"/>
      <c r="E3" s="1368"/>
      <c r="F3" s="1368"/>
      <c r="G3" s="1369"/>
      <c r="H3" s="1"/>
      <c r="I3" s="2"/>
    </row>
    <row r="4" spans="1:21" ht="30" customHeight="1">
      <c r="A4" s="1370"/>
      <c r="B4" s="1368"/>
      <c r="C4" s="1368"/>
      <c r="D4" s="1368"/>
      <c r="E4" s="1368"/>
      <c r="F4" s="1368"/>
      <c r="G4" s="1369"/>
      <c r="H4" s="1"/>
      <c r="I4" s="2"/>
    </row>
    <row r="5" spans="1:21" ht="6.75" customHeight="1">
      <c r="A5" s="222"/>
      <c r="B5" s="6"/>
      <c r="C5" s="24"/>
      <c r="D5" s="25"/>
      <c r="E5" s="6"/>
      <c r="F5" s="6"/>
      <c r="G5" s="223"/>
      <c r="H5" s="9"/>
    </row>
    <row r="6" spans="1:21" ht="52.5" customHeight="1">
      <c r="A6" s="368">
        <v>6.1</v>
      </c>
      <c r="B6" s="1349" t="str">
        <f>VLOOKUP(A6,PPTO!D9:I136,2,FALSE)</f>
        <v>Suministro e instalacion tuberia en concreto de Ø 36"</v>
      </c>
      <c r="C6" s="1350"/>
      <c r="D6" s="1350"/>
      <c r="E6" s="1351"/>
      <c r="F6" s="192" t="s">
        <v>118</v>
      </c>
      <c r="G6" s="248" t="str">
        <f>VLOOKUP(A6,PPTO!D9:I136,3,FALSE)</f>
        <v>m</v>
      </c>
      <c r="H6" s="9"/>
    </row>
    <row r="7" spans="1:21" ht="3.75" customHeight="1">
      <c r="A7" s="226"/>
      <c r="B7" s="4"/>
      <c r="C7" s="6"/>
      <c r="D7" s="4"/>
      <c r="E7" s="4"/>
      <c r="F7" s="4"/>
      <c r="G7" s="227"/>
      <c r="H7" s="9"/>
    </row>
    <row r="8" spans="1:21" ht="22.5" customHeight="1">
      <c r="A8" s="1354" t="s">
        <v>69</v>
      </c>
      <c r="B8" s="1355"/>
      <c r="C8" s="1355"/>
      <c r="D8" s="1355"/>
      <c r="E8" s="1355"/>
      <c r="F8" s="1355"/>
      <c r="G8" s="1356"/>
      <c r="H8" s="9"/>
    </row>
    <row r="9" spans="1:21" ht="4.5" customHeight="1">
      <c r="A9" s="226"/>
      <c r="B9" s="4"/>
      <c r="C9" s="6"/>
      <c r="D9" s="4"/>
      <c r="E9" s="4"/>
      <c r="F9" s="4"/>
      <c r="G9" s="227"/>
      <c r="H9" s="9"/>
      <c r="I9" s="5"/>
      <c r="J9" s="5"/>
      <c r="K9" s="5"/>
      <c r="L9" s="26"/>
      <c r="M9" s="5"/>
      <c r="N9" s="5"/>
      <c r="O9" s="5"/>
      <c r="P9" s="5"/>
    </row>
    <row r="10" spans="1:21">
      <c r="A10" s="1373" t="s">
        <v>17</v>
      </c>
      <c r="B10" s="1374"/>
      <c r="C10" s="1374"/>
      <c r="D10" s="220" t="s">
        <v>18</v>
      </c>
      <c r="E10" s="220" t="s">
        <v>19</v>
      </c>
      <c r="F10" s="220" t="s">
        <v>20</v>
      </c>
      <c r="G10" s="228" t="s">
        <v>21</v>
      </c>
      <c r="H10" s="27"/>
      <c r="I10" s="28"/>
      <c r="J10" s="29"/>
      <c r="K10" s="30"/>
      <c r="L10" s="30"/>
      <c r="M10" s="30"/>
      <c r="N10" s="30"/>
      <c r="O10" s="30"/>
      <c r="P10" s="5"/>
    </row>
    <row r="11" spans="1:21">
      <c r="A11" s="1352" t="s">
        <v>47</v>
      </c>
      <c r="B11" s="1353"/>
      <c r="C11" s="1353"/>
      <c r="D11" s="220"/>
      <c r="E11" s="83"/>
      <c r="F11" s="97"/>
      <c r="G11" s="229">
        <f>+G39*10%+150</f>
        <v>6258</v>
      </c>
      <c r="H11" s="9"/>
      <c r="I11" s="30"/>
      <c r="J11" s="31"/>
      <c r="K11" s="30"/>
      <c r="L11" s="30"/>
      <c r="M11" s="30"/>
      <c r="N11" s="30"/>
      <c r="O11" s="30"/>
      <c r="P11" s="5"/>
    </row>
    <row r="12" spans="1:21">
      <c r="A12" s="1371" t="s">
        <v>116</v>
      </c>
      <c r="B12" s="1372"/>
      <c r="C12" s="1372"/>
      <c r="D12" s="83"/>
      <c r="E12" s="83">
        <v>1200000</v>
      </c>
      <c r="F12" s="93">
        <v>8</v>
      </c>
      <c r="G12" s="229">
        <f>+E12/F12</f>
        <v>150000</v>
      </c>
      <c r="H12" s="9"/>
      <c r="I12" s="16"/>
      <c r="J12" s="13"/>
      <c r="K12" s="8"/>
      <c r="L12" s="8"/>
      <c r="M12" s="8"/>
      <c r="N12" s="8"/>
      <c r="O12" s="8"/>
      <c r="P12" s="5"/>
    </row>
    <row r="13" spans="1:21">
      <c r="A13" s="1371"/>
      <c r="B13" s="1372"/>
      <c r="C13" s="1372"/>
      <c r="D13" s="83"/>
      <c r="E13" s="83"/>
      <c r="F13" s="93"/>
      <c r="G13" s="229"/>
      <c r="H13" s="9"/>
      <c r="I13" s="13"/>
      <c r="J13" s="13"/>
      <c r="K13" s="13"/>
      <c r="L13" s="13"/>
      <c r="M13" s="13"/>
      <c r="N13" s="13"/>
      <c r="O13" s="13"/>
      <c r="P13" s="5"/>
    </row>
    <row r="14" spans="1:21">
      <c r="A14" s="1371"/>
      <c r="B14" s="1372"/>
      <c r="C14" s="1372"/>
      <c r="D14" s="83"/>
      <c r="E14" s="83"/>
      <c r="F14" s="93"/>
      <c r="G14" s="229"/>
      <c r="H14" s="9"/>
      <c r="I14" s="8"/>
      <c r="J14" s="14"/>
      <c r="K14" s="32"/>
      <c r="L14" s="14"/>
      <c r="M14" s="15"/>
      <c r="N14" s="15"/>
      <c r="O14" s="19"/>
      <c r="P14" s="5"/>
    </row>
    <row r="15" spans="1:21">
      <c r="A15" s="1371"/>
      <c r="B15" s="1372"/>
      <c r="C15" s="1372"/>
      <c r="D15" s="83"/>
      <c r="E15" s="83"/>
      <c r="F15" s="98"/>
      <c r="G15" s="229"/>
      <c r="H15" s="9"/>
      <c r="I15" s="8"/>
      <c r="J15" s="33"/>
      <c r="K15" s="32"/>
      <c r="L15" s="14"/>
      <c r="M15" s="15"/>
      <c r="N15" s="15"/>
      <c r="O15" s="19"/>
      <c r="P15" s="5"/>
      <c r="Q15" s="5"/>
      <c r="R15" s="5"/>
      <c r="S15" s="5"/>
      <c r="T15" s="5"/>
      <c r="U15" s="5"/>
    </row>
    <row r="16" spans="1:21">
      <c r="A16" s="1371"/>
      <c r="B16" s="1372"/>
      <c r="C16" s="1372"/>
      <c r="D16" s="85" t="s">
        <v>37</v>
      </c>
      <c r="E16" s="50"/>
      <c r="F16" s="49"/>
      <c r="G16" s="230">
        <f>SUM(G11:G15)</f>
        <v>156258</v>
      </c>
      <c r="H16" s="9"/>
      <c r="I16" s="34"/>
      <c r="J16" s="34"/>
      <c r="K16" s="35"/>
      <c r="L16" s="36"/>
      <c r="M16" s="7"/>
      <c r="N16" s="7"/>
      <c r="O16" s="19"/>
      <c r="P16" s="5"/>
      <c r="Q16" s="5"/>
      <c r="R16" s="5"/>
      <c r="S16" s="5"/>
      <c r="T16" s="5"/>
      <c r="U16" s="5"/>
    </row>
    <row r="17" spans="1:21" ht="4.5" customHeight="1">
      <c r="A17" s="226"/>
      <c r="B17" s="4"/>
      <c r="C17" s="6"/>
      <c r="D17" s="4"/>
      <c r="E17" s="4"/>
      <c r="F17" s="4"/>
      <c r="G17" s="227"/>
      <c r="H17" s="9"/>
      <c r="I17" s="34"/>
      <c r="J17" s="34"/>
      <c r="K17" s="35"/>
      <c r="L17" s="36"/>
      <c r="M17" s="7"/>
      <c r="N17" s="7"/>
      <c r="O17" s="19"/>
      <c r="P17" s="5"/>
      <c r="Q17" s="5"/>
      <c r="R17" s="5"/>
      <c r="S17" s="5"/>
      <c r="T17" s="5"/>
      <c r="U17" s="5"/>
    </row>
    <row r="18" spans="1:21" ht="22.5" customHeight="1">
      <c r="A18" s="1354" t="s">
        <v>70</v>
      </c>
      <c r="B18" s="1355"/>
      <c r="C18" s="1355"/>
      <c r="D18" s="1355"/>
      <c r="E18" s="1355"/>
      <c r="F18" s="1355"/>
      <c r="G18" s="1356"/>
      <c r="H18" s="9"/>
    </row>
    <row r="19" spans="1:21" ht="4.5" customHeight="1">
      <c r="A19" s="226"/>
      <c r="B19" s="4"/>
      <c r="C19" s="6"/>
      <c r="D19" s="4"/>
      <c r="E19" s="4"/>
      <c r="F19" s="38"/>
      <c r="G19" s="227"/>
      <c r="H19" s="9"/>
      <c r="I19" s="34"/>
      <c r="J19" s="34"/>
      <c r="K19" s="35"/>
      <c r="L19" s="39"/>
      <c r="M19" s="7"/>
      <c r="N19" s="7"/>
      <c r="O19" s="8"/>
      <c r="P19" s="5"/>
      <c r="Q19" s="5"/>
      <c r="R19" s="5"/>
      <c r="S19" s="5"/>
      <c r="T19" s="5"/>
      <c r="U19" s="5"/>
    </row>
    <row r="20" spans="1:21">
      <c r="A20" s="1373" t="s">
        <v>17</v>
      </c>
      <c r="B20" s="1374"/>
      <c r="C20" s="1374"/>
      <c r="D20" s="220" t="s">
        <v>3</v>
      </c>
      <c r="E20" s="220" t="s">
        <v>4</v>
      </c>
      <c r="F20" s="220" t="s">
        <v>25</v>
      </c>
      <c r="G20" s="228" t="s">
        <v>21</v>
      </c>
      <c r="H20" s="27"/>
      <c r="I20" s="34"/>
      <c r="J20" s="34"/>
      <c r="K20" s="35"/>
      <c r="L20" s="39"/>
      <c r="M20" s="7"/>
      <c r="N20" s="7"/>
      <c r="O20" s="8"/>
      <c r="P20" s="5"/>
      <c r="Q20" s="5"/>
      <c r="R20" s="5"/>
      <c r="S20" s="5"/>
      <c r="T20" s="5"/>
      <c r="U20" s="5"/>
    </row>
    <row r="21" spans="1:21" ht="31.5" customHeight="1">
      <c r="A21" s="1441" t="s">
        <v>117</v>
      </c>
      <c r="B21" s="1442"/>
      <c r="C21" s="1443"/>
      <c r="D21" s="118" t="s">
        <v>51</v>
      </c>
      <c r="E21" s="119">
        <v>1</v>
      </c>
      <c r="F21" s="87">
        <v>300000</v>
      </c>
      <c r="G21" s="231">
        <f>ROUND(F21*E21,0)</f>
        <v>300000</v>
      </c>
      <c r="H21" s="9"/>
      <c r="I21" s="34"/>
      <c r="J21" s="34"/>
      <c r="K21" s="35"/>
      <c r="L21" s="36"/>
      <c r="M21" s="7"/>
      <c r="N21" s="7"/>
      <c r="O21" s="19"/>
      <c r="P21" s="5"/>
      <c r="Q21" s="5"/>
      <c r="R21" s="5"/>
      <c r="S21" s="5"/>
      <c r="T21" s="5"/>
      <c r="U21" s="5"/>
    </row>
    <row r="22" spans="1:21" ht="27.75" customHeight="1">
      <c r="A22" s="1444"/>
      <c r="B22" s="1403"/>
      <c r="C22" s="1404"/>
      <c r="D22" s="116"/>
      <c r="E22" s="117"/>
      <c r="F22" s="91"/>
      <c r="G22" s="231"/>
      <c r="H22" s="9"/>
      <c r="I22" s="10"/>
      <c r="J22" s="10"/>
      <c r="K22" s="12"/>
      <c r="L22" s="39"/>
      <c r="M22" s="7"/>
      <c r="N22" s="7"/>
      <c r="O22" s="15"/>
      <c r="P22" s="5"/>
      <c r="Q22" s="5"/>
      <c r="R22" s="5"/>
      <c r="S22" s="5"/>
      <c r="T22" s="5"/>
      <c r="U22" s="5"/>
    </row>
    <row r="23" spans="1:21">
      <c r="A23" s="1386"/>
      <c r="B23" s="1353"/>
      <c r="C23" s="1353"/>
      <c r="D23" s="79"/>
      <c r="E23" s="82"/>
      <c r="F23" s="83"/>
      <c r="G23" s="67"/>
      <c r="H23" s="9"/>
      <c r="I23" s="10"/>
      <c r="J23" s="10"/>
      <c r="K23" s="12"/>
      <c r="L23" s="39"/>
      <c r="M23" s="7"/>
      <c r="N23" s="7"/>
      <c r="O23" s="15"/>
      <c r="P23" s="5"/>
      <c r="Q23" s="5"/>
      <c r="R23" s="5"/>
      <c r="S23" s="5"/>
      <c r="T23" s="5"/>
      <c r="U23" s="5"/>
    </row>
    <row r="24" spans="1:21">
      <c r="A24" s="1352"/>
      <c r="B24" s="1353"/>
      <c r="C24" s="1353"/>
      <c r="D24" s="81"/>
      <c r="E24" s="88"/>
      <c r="F24" s="78"/>
      <c r="G24" s="231"/>
      <c r="H24" s="9"/>
      <c r="I24" s="10"/>
      <c r="J24" s="40"/>
      <c r="K24" s="12"/>
      <c r="L24" s="13"/>
      <c r="M24" s="14"/>
      <c r="N24" s="14"/>
      <c r="O24" s="15"/>
      <c r="P24" s="5"/>
      <c r="Q24" s="5"/>
      <c r="R24" s="5"/>
      <c r="S24" s="5"/>
      <c r="T24" s="5"/>
      <c r="U24" s="5"/>
    </row>
    <row r="25" spans="1:21">
      <c r="A25" s="1352"/>
      <c r="B25" s="1353"/>
      <c r="C25" s="1353"/>
      <c r="D25" s="81"/>
      <c r="E25" s="82"/>
      <c r="F25" s="78"/>
      <c r="G25" s="231"/>
      <c r="H25" s="9"/>
      <c r="I25" s="10"/>
      <c r="J25" s="11"/>
      <c r="K25" s="12"/>
      <c r="L25" s="13"/>
      <c r="M25" s="14"/>
      <c r="N25" s="14"/>
      <c r="O25" s="15"/>
      <c r="P25" s="5"/>
      <c r="Q25" s="5"/>
      <c r="R25" s="5"/>
      <c r="S25" s="5"/>
      <c r="T25" s="5"/>
      <c r="U25" s="5"/>
    </row>
    <row r="26" spans="1:21">
      <c r="A26" s="1352"/>
      <c r="B26" s="1353"/>
      <c r="C26" s="1353"/>
      <c r="D26" s="79"/>
      <c r="E26" s="82"/>
      <c r="F26" s="78"/>
      <c r="G26" s="231"/>
      <c r="H26" s="9"/>
      <c r="I26" s="10"/>
      <c r="J26" s="11"/>
      <c r="K26" s="12"/>
      <c r="L26" s="13"/>
      <c r="M26" s="14"/>
      <c r="N26" s="14"/>
      <c r="O26" s="15"/>
      <c r="P26" s="5"/>
      <c r="Q26" s="5"/>
      <c r="R26" s="5"/>
      <c r="S26" s="5"/>
      <c r="T26" s="5"/>
      <c r="U26" s="5"/>
    </row>
    <row r="27" spans="1:21">
      <c r="A27" s="1352"/>
      <c r="B27" s="1353"/>
      <c r="C27" s="1353"/>
      <c r="D27" s="79"/>
      <c r="E27" s="82"/>
      <c r="F27" s="78"/>
      <c r="G27" s="231"/>
      <c r="H27" s="9"/>
      <c r="I27" s="10"/>
      <c r="J27" s="11"/>
      <c r="K27" s="12"/>
      <c r="L27" s="13"/>
      <c r="M27" s="14"/>
      <c r="N27" s="14"/>
      <c r="O27" s="15"/>
      <c r="P27" s="5"/>
      <c r="Q27" s="5"/>
      <c r="R27" s="5"/>
      <c r="S27" s="5"/>
      <c r="T27" s="5"/>
      <c r="U27" s="5"/>
    </row>
    <row r="28" spans="1:21">
      <c r="A28" s="1352"/>
      <c r="B28" s="1353"/>
      <c r="C28" s="1353"/>
      <c r="D28" s="79"/>
      <c r="E28" s="82"/>
      <c r="F28" s="83"/>
      <c r="G28" s="231"/>
      <c r="H28" s="9"/>
      <c r="I28" s="41"/>
      <c r="J28" s="41"/>
      <c r="K28" s="12"/>
      <c r="L28" s="13"/>
      <c r="M28" s="14"/>
      <c r="N28" s="14"/>
      <c r="O28" s="15"/>
      <c r="P28" s="5"/>
      <c r="Q28" s="5"/>
      <c r="R28" s="5"/>
      <c r="S28" s="5"/>
      <c r="T28" s="5"/>
      <c r="U28" s="5"/>
    </row>
    <row r="29" spans="1:21">
      <c r="A29" s="1352"/>
      <c r="B29" s="1353"/>
      <c r="C29" s="1353"/>
      <c r="D29" s="84"/>
      <c r="E29" s="84"/>
      <c r="F29" s="83"/>
      <c r="G29" s="231"/>
      <c r="H29" s="9"/>
      <c r="I29" s="42"/>
      <c r="J29" s="42"/>
      <c r="K29" s="42"/>
      <c r="L29" s="13"/>
      <c r="M29" s="14"/>
      <c r="N29" s="14"/>
      <c r="O29" s="15"/>
      <c r="P29" s="5"/>
      <c r="Q29" s="5"/>
      <c r="R29" s="5"/>
      <c r="S29" s="5"/>
      <c r="T29" s="5"/>
      <c r="U29" s="5"/>
    </row>
    <row r="30" spans="1:21">
      <c r="A30" s="1352"/>
      <c r="B30" s="1353"/>
      <c r="C30" s="1353"/>
      <c r="D30" s="85" t="s">
        <v>28</v>
      </c>
      <c r="E30" s="50"/>
      <c r="F30" s="49"/>
      <c r="G30" s="230">
        <f>SUM(G21:G29)</f>
        <v>300000</v>
      </c>
      <c r="H30" s="9"/>
      <c r="I30" s="8"/>
      <c r="J30" s="13"/>
      <c r="K30" s="8"/>
      <c r="L30" s="13"/>
      <c r="M30" s="14"/>
      <c r="N30" s="14"/>
      <c r="O30" s="15"/>
      <c r="P30" s="5"/>
    </row>
    <row r="31" spans="1:21" ht="3.75" customHeight="1">
      <c r="A31" s="226"/>
      <c r="B31" s="4"/>
      <c r="C31" s="6"/>
      <c r="D31" s="4"/>
      <c r="E31" s="4"/>
      <c r="F31" s="4"/>
      <c r="G31" s="227"/>
      <c r="H31" s="9"/>
      <c r="I31" s="8"/>
      <c r="J31" s="13"/>
      <c r="K31" s="18"/>
      <c r="L31" s="13"/>
      <c r="M31" s="33"/>
      <c r="N31" s="33"/>
      <c r="O31" s="15"/>
      <c r="P31" s="5"/>
    </row>
    <row r="32" spans="1:21" ht="22.5" customHeight="1">
      <c r="A32" s="1354" t="s">
        <v>71</v>
      </c>
      <c r="B32" s="1355"/>
      <c r="C32" s="1355"/>
      <c r="D32" s="1355"/>
      <c r="E32" s="1355"/>
      <c r="F32" s="1355"/>
      <c r="G32" s="1356"/>
      <c r="H32" s="9"/>
    </row>
    <row r="33" spans="1:16" ht="3.75" customHeight="1">
      <c r="A33" s="226"/>
      <c r="B33" s="4"/>
      <c r="C33" s="6"/>
      <c r="D33" s="4"/>
      <c r="E33" s="4"/>
      <c r="F33" s="4"/>
      <c r="G33" s="227"/>
      <c r="H33" s="9"/>
      <c r="I33" s="8"/>
      <c r="J33" s="13"/>
      <c r="K33" s="8"/>
      <c r="L33" s="8"/>
      <c r="M33" s="8"/>
      <c r="N33" s="8"/>
      <c r="O33" s="15"/>
      <c r="P33" s="5"/>
    </row>
    <row r="34" spans="1:16">
      <c r="A34" s="232" t="s">
        <v>5</v>
      </c>
      <c r="B34" s="60" t="s">
        <v>29</v>
      </c>
      <c r="C34" s="60" t="s">
        <v>30</v>
      </c>
      <c r="D34" s="60" t="s">
        <v>31</v>
      </c>
      <c r="E34" s="60" t="s">
        <v>32</v>
      </c>
      <c r="F34" s="60" t="s">
        <v>20</v>
      </c>
      <c r="G34" s="228" t="s">
        <v>33</v>
      </c>
      <c r="H34" s="27"/>
      <c r="I34" s="8"/>
      <c r="J34" s="13"/>
      <c r="K34" s="8"/>
      <c r="L34" s="8"/>
      <c r="M34" s="8"/>
      <c r="N34" s="8"/>
      <c r="O34" s="15"/>
      <c r="P34" s="5"/>
    </row>
    <row r="35" spans="1:16">
      <c r="A35" s="233" t="s">
        <v>41</v>
      </c>
      <c r="B35" s="63">
        <f>BOF</f>
        <v>51749</v>
      </c>
      <c r="C35" s="68">
        <f>ffpp</f>
        <v>0.64539999999999997</v>
      </c>
      <c r="D35" s="72">
        <v>1</v>
      </c>
      <c r="E35" s="66">
        <f>OF</f>
        <v>88696</v>
      </c>
      <c r="F35" s="65">
        <v>5</v>
      </c>
      <c r="G35" s="231">
        <f>ROUND(+D35*E35/F35,0)</f>
        <v>17739</v>
      </c>
      <c r="H35" s="9"/>
      <c r="I35" s="16"/>
      <c r="J35" s="13"/>
      <c r="K35" s="8"/>
      <c r="L35" s="8"/>
      <c r="M35" s="8"/>
      <c r="N35" s="8"/>
      <c r="O35" s="15"/>
      <c r="P35" s="5"/>
    </row>
    <row r="36" spans="1:16">
      <c r="A36" s="233" t="s">
        <v>38</v>
      </c>
      <c r="B36" s="63">
        <f>BOB</f>
        <v>41749</v>
      </c>
      <c r="C36" s="68">
        <f>ffpp</f>
        <v>0.64539999999999997</v>
      </c>
      <c r="D36" s="72">
        <v>3</v>
      </c>
      <c r="E36" s="66">
        <f>OB</f>
        <v>72242</v>
      </c>
      <c r="F36" s="65">
        <f>F35</f>
        <v>5</v>
      </c>
      <c r="G36" s="231">
        <f>ROUND(+D36*E36/F36,0)</f>
        <v>43345</v>
      </c>
      <c r="H36" s="9"/>
      <c r="I36" s="8"/>
      <c r="J36" s="8"/>
      <c r="K36" s="13"/>
      <c r="L36" s="13"/>
      <c r="M36" s="13"/>
      <c r="N36" s="13"/>
      <c r="O36" s="13"/>
      <c r="P36" s="5"/>
    </row>
    <row r="37" spans="1:16">
      <c r="A37" s="234"/>
      <c r="B37" s="50"/>
      <c r="C37" s="961"/>
      <c r="D37" s="50"/>
      <c r="E37" s="50"/>
      <c r="F37" s="50"/>
      <c r="G37" s="235"/>
      <c r="H37" s="9"/>
      <c r="I37" s="8"/>
      <c r="J37" s="13"/>
      <c r="K37" s="13"/>
      <c r="L37" s="13"/>
      <c r="M37" s="33"/>
      <c r="N37" s="33"/>
      <c r="O37" s="43"/>
      <c r="P37" s="5"/>
    </row>
    <row r="38" spans="1:16">
      <c r="A38" s="233"/>
      <c r="B38" s="65"/>
      <c r="C38" s="68"/>
      <c r="D38" s="65"/>
      <c r="E38" s="69"/>
      <c r="F38" s="69"/>
      <c r="G38" s="236"/>
      <c r="H38" s="9"/>
      <c r="I38" s="8"/>
      <c r="J38" s="13"/>
      <c r="K38" s="13"/>
      <c r="L38" s="13"/>
      <c r="M38" s="33"/>
      <c r="N38" s="33"/>
      <c r="O38" s="43"/>
      <c r="P38" s="5"/>
    </row>
    <row r="39" spans="1:16">
      <c r="A39" s="249"/>
      <c r="B39" s="71"/>
      <c r="C39" s="71"/>
      <c r="D39" s="71" t="s">
        <v>34</v>
      </c>
      <c r="E39" s="71"/>
      <c r="F39" s="71"/>
      <c r="G39" s="250">
        <f>SUM(G35:G38)</f>
        <v>61084</v>
      </c>
      <c r="H39" s="9"/>
      <c r="I39" s="8"/>
      <c r="J39" s="13"/>
      <c r="K39" s="13"/>
      <c r="L39" s="13"/>
      <c r="M39" s="14"/>
      <c r="N39" s="14"/>
      <c r="O39" s="15"/>
      <c r="P39" s="5"/>
    </row>
    <row r="40" spans="1:16">
      <c r="A40" s="226"/>
      <c r="B40" s="4"/>
      <c r="C40" s="6"/>
      <c r="D40" s="4"/>
      <c r="E40" s="4"/>
      <c r="F40" s="4"/>
      <c r="G40" s="227"/>
      <c r="H40" s="9"/>
      <c r="I40" s="8"/>
      <c r="J40" s="13"/>
      <c r="K40" s="13"/>
      <c r="L40" s="13"/>
      <c r="M40" s="14"/>
      <c r="N40" s="14"/>
      <c r="O40" s="19"/>
      <c r="P40" s="5"/>
    </row>
    <row r="41" spans="1:16">
      <c r="A41" s="226"/>
      <c r="B41" s="4"/>
      <c r="C41" s="6"/>
      <c r="D41" s="4"/>
      <c r="E41" s="4"/>
      <c r="F41" s="4"/>
      <c r="G41" s="227"/>
      <c r="H41" s="9"/>
      <c r="I41" s="8"/>
      <c r="J41" s="13"/>
      <c r="K41" s="13"/>
      <c r="L41" s="13"/>
      <c r="M41" s="17"/>
      <c r="N41" s="17"/>
      <c r="O41" s="37"/>
      <c r="P41" s="5"/>
    </row>
    <row r="42" spans="1:16" ht="14.25">
      <c r="A42" s="226"/>
      <c r="B42" s="4"/>
      <c r="C42" s="6"/>
      <c r="D42" s="1357" t="s">
        <v>35</v>
      </c>
      <c r="E42" s="1358"/>
      <c r="F42" s="1359"/>
      <c r="G42" s="239">
        <f>+G39+G30+G16</f>
        <v>517342</v>
      </c>
      <c r="H42" s="9"/>
      <c r="I42" s="48"/>
      <c r="J42" s="20"/>
      <c r="K42" s="8"/>
      <c r="L42" s="8"/>
      <c r="M42" s="8"/>
      <c r="N42" s="8"/>
      <c r="O42" s="8"/>
      <c r="P42" s="5"/>
    </row>
    <row r="43" spans="1:16" ht="14.25">
      <c r="A43" s="240"/>
      <c r="B43" s="57"/>
      <c r="C43" s="58"/>
      <c r="D43" s="99"/>
      <c r="E43" s="99"/>
      <c r="F43" s="99"/>
      <c r="G43" s="251"/>
      <c r="H43" s="9"/>
      <c r="I43" s="48"/>
      <c r="J43" s="20"/>
      <c r="K43" s="8"/>
      <c r="L43" s="8"/>
      <c r="M43" s="8"/>
      <c r="N43" s="8"/>
      <c r="O43" s="8"/>
      <c r="P43" s="5"/>
    </row>
    <row r="44" spans="1:16" ht="14.25">
      <c r="A44" s="374"/>
      <c r="B44" s="375"/>
      <c r="C44" s="375"/>
      <c r="D44" s="99"/>
      <c r="E44" s="99"/>
      <c r="F44" s="99"/>
      <c r="G44" s="251"/>
      <c r="H44" s="9"/>
      <c r="I44" s="48"/>
      <c r="J44" s="20"/>
      <c r="K44" s="8"/>
      <c r="L44" s="8"/>
      <c r="M44" s="8"/>
      <c r="N44" s="8"/>
      <c r="O44" s="8"/>
      <c r="P44" s="5"/>
    </row>
    <row r="45" spans="1:16" ht="14.25">
      <c r="A45" s="373"/>
      <c r="B45" s="376"/>
      <c r="C45" s="376"/>
      <c r="D45" s="99"/>
      <c r="E45" s="99"/>
      <c r="F45" s="99"/>
      <c r="G45" s="251"/>
      <c r="H45" s="9"/>
      <c r="I45" s="48"/>
      <c r="J45" s="20"/>
      <c r="K45" s="8"/>
      <c r="L45" s="8"/>
      <c r="M45" s="8"/>
      <c r="N45" s="8"/>
      <c r="O45" s="8"/>
      <c r="P45" s="5"/>
    </row>
    <row r="46" spans="1:16" ht="14.25">
      <c r="A46" s="373"/>
      <c r="B46" s="376"/>
      <c r="C46" s="376"/>
      <c r="D46" s="44"/>
      <c r="E46" s="45"/>
      <c r="F46" s="45"/>
      <c r="G46" s="251"/>
      <c r="H46" s="9"/>
      <c r="I46" s="8"/>
      <c r="J46" s="13"/>
      <c r="K46" s="8"/>
      <c r="L46" s="8"/>
      <c r="M46" s="8"/>
      <c r="N46" s="8"/>
      <c r="O46" s="8"/>
      <c r="P46" s="5"/>
    </row>
    <row r="47" spans="1:16" ht="15" thickBot="1">
      <c r="A47" s="242"/>
      <c r="B47" s="243"/>
      <c r="C47" s="244"/>
      <c r="D47" s="245"/>
      <c r="E47" s="246"/>
      <c r="F47" s="246"/>
      <c r="G47" s="247"/>
      <c r="H47" s="9"/>
      <c r="I47" s="8"/>
      <c r="J47" s="13"/>
      <c r="K47" s="8"/>
      <c r="L47" s="8"/>
      <c r="M47" s="8"/>
      <c r="N47" s="8"/>
      <c r="O47" s="8"/>
      <c r="P47" s="5"/>
    </row>
    <row r="48" spans="1:16">
      <c r="I48" s="5"/>
      <c r="J48" s="5"/>
      <c r="K48" s="5"/>
      <c r="L48" s="5"/>
      <c r="M48" s="5"/>
      <c r="N48" s="5"/>
      <c r="O48" s="5"/>
      <c r="P48" s="5"/>
    </row>
    <row r="49" spans="9:16">
      <c r="I49" s="5"/>
      <c r="J49" s="5"/>
      <c r="K49" s="5"/>
      <c r="L49" s="5"/>
      <c r="M49" s="5"/>
      <c r="N49" s="5"/>
      <c r="O49" s="5"/>
      <c r="P49" s="5"/>
    </row>
  </sheetData>
  <mergeCells count="26">
    <mergeCell ref="A28:C28"/>
    <mergeCell ref="A29:C29"/>
    <mergeCell ref="A32:G32"/>
    <mergeCell ref="D42:F42"/>
    <mergeCell ref="A30:C30"/>
    <mergeCell ref="A18:G18"/>
    <mergeCell ref="A20:C20"/>
    <mergeCell ref="A21:C21"/>
    <mergeCell ref="A22:C22"/>
    <mergeCell ref="A23:C23"/>
    <mergeCell ref="A1:G1"/>
    <mergeCell ref="A25:C25"/>
    <mergeCell ref="A26:C26"/>
    <mergeCell ref="A27:C27"/>
    <mergeCell ref="A10:C10"/>
    <mergeCell ref="A2:G2"/>
    <mergeCell ref="A3:G4"/>
    <mergeCell ref="B6:E6"/>
    <mergeCell ref="A8:G8"/>
    <mergeCell ref="A24:C24"/>
    <mergeCell ref="A11:C11"/>
    <mergeCell ref="A12:C12"/>
    <mergeCell ref="A13:C13"/>
    <mergeCell ref="A14:C14"/>
    <mergeCell ref="A15:C15"/>
    <mergeCell ref="A16:C16"/>
  </mergeCells>
  <printOptions horizontalCentered="1" verticalCentered="1"/>
  <pageMargins left="0.74803149606299213" right="0.74803149606299213" top="0" bottom="0.98425196850393704" header="0" footer="0"/>
  <pageSetup scale="90" orientation="portrait" r:id="rId1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6"/>
  <dimension ref="A1:U49"/>
  <sheetViews>
    <sheetView view="pageBreakPreview" topLeftCell="A16" zoomScaleNormal="100" zoomScaleSheetLayoutView="100" workbookViewId="0">
      <selection activeCell="I7" sqref="I7"/>
    </sheetView>
  </sheetViews>
  <sheetFormatPr baseColWidth="10" defaultColWidth="10.7109375" defaultRowHeight="12.75"/>
  <cols>
    <col min="1" max="1" width="15.85546875" style="3" customWidth="1"/>
    <col min="2" max="2" width="14.85546875" style="3" customWidth="1"/>
    <col min="3" max="3" width="13.28515625" style="3" customWidth="1"/>
    <col min="4" max="4" width="11.42578125" style="3"/>
    <col min="5" max="5" width="13.42578125" style="3" customWidth="1"/>
    <col min="6" max="6" width="12.7109375" style="3" customWidth="1"/>
    <col min="7" max="7" width="14" style="3" customWidth="1"/>
    <col min="8" max="8" width="7.42578125" style="3" customWidth="1"/>
    <col min="9" max="256" width="11.42578125" style="3"/>
    <col min="257" max="257" width="15.85546875" style="3" customWidth="1"/>
    <col min="258" max="258" width="14.85546875" style="3" customWidth="1"/>
    <col min="259" max="259" width="13.28515625" style="3" customWidth="1"/>
    <col min="260" max="260" width="11.42578125" style="3"/>
    <col min="261" max="261" width="13.42578125" style="3" customWidth="1"/>
    <col min="262" max="262" width="12.7109375" style="3" customWidth="1"/>
    <col min="263" max="263" width="14" style="3" customWidth="1"/>
    <col min="264" max="264" width="7.42578125" style="3" customWidth="1"/>
    <col min="265" max="512" width="11.42578125" style="3"/>
    <col min="513" max="513" width="15.85546875" style="3" customWidth="1"/>
    <col min="514" max="514" width="14.85546875" style="3" customWidth="1"/>
    <col min="515" max="515" width="13.28515625" style="3" customWidth="1"/>
    <col min="516" max="516" width="11.42578125" style="3"/>
    <col min="517" max="517" width="13.42578125" style="3" customWidth="1"/>
    <col min="518" max="518" width="12.7109375" style="3" customWidth="1"/>
    <col min="519" max="519" width="14" style="3" customWidth="1"/>
    <col min="520" max="520" width="7.42578125" style="3" customWidth="1"/>
    <col min="521" max="768" width="11.42578125" style="3"/>
    <col min="769" max="769" width="15.85546875" style="3" customWidth="1"/>
    <col min="770" max="770" width="14.85546875" style="3" customWidth="1"/>
    <col min="771" max="771" width="13.28515625" style="3" customWidth="1"/>
    <col min="772" max="772" width="11.42578125" style="3"/>
    <col min="773" max="773" width="13.42578125" style="3" customWidth="1"/>
    <col min="774" max="774" width="12.7109375" style="3" customWidth="1"/>
    <col min="775" max="775" width="14" style="3" customWidth="1"/>
    <col min="776" max="776" width="7.42578125" style="3" customWidth="1"/>
    <col min="777" max="1024" width="11.42578125" style="3"/>
    <col min="1025" max="1025" width="15.85546875" style="3" customWidth="1"/>
    <col min="1026" max="1026" width="14.85546875" style="3" customWidth="1"/>
    <col min="1027" max="1027" width="13.28515625" style="3" customWidth="1"/>
    <col min="1028" max="1028" width="11.42578125" style="3"/>
    <col min="1029" max="1029" width="13.42578125" style="3" customWidth="1"/>
    <col min="1030" max="1030" width="12.7109375" style="3" customWidth="1"/>
    <col min="1031" max="1031" width="14" style="3" customWidth="1"/>
    <col min="1032" max="1032" width="7.42578125" style="3" customWidth="1"/>
    <col min="1033" max="1280" width="11.42578125" style="3"/>
    <col min="1281" max="1281" width="15.85546875" style="3" customWidth="1"/>
    <col min="1282" max="1282" width="14.85546875" style="3" customWidth="1"/>
    <col min="1283" max="1283" width="13.28515625" style="3" customWidth="1"/>
    <col min="1284" max="1284" width="11.42578125" style="3"/>
    <col min="1285" max="1285" width="13.42578125" style="3" customWidth="1"/>
    <col min="1286" max="1286" width="12.7109375" style="3" customWidth="1"/>
    <col min="1287" max="1287" width="14" style="3" customWidth="1"/>
    <col min="1288" max="1288" width="7.42578125" style="3" customWidth="1"/>
    <col min="1289" max="1536" width="11.42578125" style="3"/>
    <col min="1537" max="1537" width="15.85546875" style="3" customWidth="1"/>
    <col min="1538" max="1538" width="14.85546875" style="3" customWidth="1"/>
    <col min="1539" max="1539" width="13.28515625" style="3" customWidth="1"/>
    <col min="1540" max="1540" width="11.42578125" style="3"/>
    <col min="1541" max="1541" width="13.42578125" style="3" customWidth="1"/>
    <col min="1542" max="1542" width="12.7109375" style="3" customWidth="1"/>
    <col min="1543" max="1543" width="14" style="3" customWidth="1"/>
    <col min="1544" max="1544" width="7.42578125" style="3" customWidth="1"/>
    <col min="1545" max="1792" width="11.42578125" style="3"/>
    <col min="1793" max="1793" width="15.85546875" style="3" customWidth="1"/>
    <col min="1794" max="1794" width="14.85546875" style="3" customWidth="1"/>
    <col min="1795" max="1795" width="13.28515625" style="3" customWidth="1"/>
    <col min="1796" max="1796" width="11.42578125" style="3"/>
    <col min="1797" max="1797" width="13.42578125" style="3" customWidth="1"/>
    <col min="1798" max="1798" width="12.7109375" style="3" customWidth="1"/>
    <col min="1799" max="1799" width="14" style="3" customWidth="1"/>
    <col min="1800" max="1800" width="7.42578125" style="3" customWidth="1"/>
    <col min="1801" max="2048" width="11.42578125" style="3"/>
    <col min="2049" max="2049" width="15.85546875" style="3" customWidth="1"/>
    <col min="2050" max="2050" width="14.85546875" style="3" customWidth="1"/>
    <col min="2051" max="2051" width="13.28515625" style="3" customWidth="1"/>
    <col min="2052" max="2052" width="11.42578125" style="3"/>
    <col min="2053" max="2053" width="13.42578125" style="3" customWidth="1"/>
    <col min="2054" max="2054" width="12.7109375" style="3" customWidth="1"/>
    <col min="2055" max="2055" width="14" style="3" customWidth="1"/>
    <col min="2056" max="2056" width="7.42578125" style="3" customWidth="1"/>
    <col min="2057" max="2304" width="11.42578125" style="3"/>
    <col min="2305" max="2305" width="15.85546875" style="3" customWidth="1"/>
    <col min="2306" max="2306" width="14.85546875" style="3" customWidth="1"/>
    <col min="2307" max="2307" width="13.28515625" style="3" customWidth="1"/>
    <col min="2308" max="2308" width="11.42578125" style="3"/>
    <col min="2309" max="2309" width="13.42578125" style="3" customWidth="1"/>
    <col min="2310" max="2310" width="12.7109375" style="3" customWidth="1"/>
    <col min="2311" max="2311" width="14" style="3" customWidth="1"/>
    <col min="2312" max="2312" width="7.42578125" style="3" customWidth="1"/>
    <col min="2313" max="2560" width="11.42578125" style="3"/>
    <col min="2561" max="2561" width="15.85546875" style="3" customWidth="1"/>
    <col min="2562" max="2562" width="14.85546875" style="3" customWidth="1"/>
    <col min="2563" max="2563" width="13.28515625" style="3" customWidth="1"/>
    <col min="2564" max="2564" width="11.42578125" style="3"/>
    <col min="2565" max="2565" width="13.42578125" style="3" customWidth="1"/>
    <col min="2566" max="2566" width="12.7109375" style="3" customWidth="1"/>
    <col min="2567" max="2567" width="14" style="3" customWidth="1"/>
    <col min="2568" max="2568" width="7.42578125" style="3" customWidth="1"/>
    <col min="2569" max="2816" width="11.42578125" style="3"/>
    <col min="2817" max="2817" width="15.85546875" style="3" customWidth="1"/>
    <col min="2818" max="2818" width="14.85546875" style="3" customWidth="1"/>
    <col min="2819" max="2819" width="13.28515625" style="3" customWidth="1"/>
    <col min="2820" max="2820" width="11.42578125" style="3"/>
    <col min="2821" max="2821" width="13.42578125" style="3" customWidth="1"/>
    <col min="2822" max="2822" width="12.7109375" style="3" customWidth="1"/>
    <col min="2823" max="2823" width="14" style="3" customWidth="1"/>
    <col min="2824" max="2824" width="7.42578125" style="3" customWidth="1"/>
    <col min="2825" max="3072" width="11.42578125" style="3"/>
    <col min="3073" max="3073" width="15.85546875" style="3" customWidth="1"/>
    <col min="3074" max="3074" width="14.85546875" style="3" customWidth="1"/>
    <col min="3075" max="3075" width="13.28515625" style="3" customWidth="1"/>
    <col min="3076" max="3076" width="11.42578125" style="3"/>
    <col min="3077" max="3077" width="13.42578125" style="3" customWidth="1"/>
    <col min="3078" max="3078" width="12.7109375" style="3" customWidth="1"/>
    <col min="3079" max="3079" width="14" style="3" customWidth="1"/>
    <col min="3080" max="3080" width="7.42578125" style="3" customWidth="1"/>
    <col min="3081" max="3328" width="11.42578125" style="3"/>
    <col min="3329" max="3329" width="15.85546875" style="3" customWidth="1"/>
    <col min="3330" max="3330" width="14.85546875" style="3" customWidth="1"/>
    <col min="3331" max="3331" width="13.28515625" style="3" customWidth="1"/>
    <col min="3332" max="3332" width="11.42578125" style="3"/>
    <col min="3333" max="3333" width="13.42578125" style="3" customWidth="1"/>
    <col min="3334" max="3334" width="12.7109375" style="3" customWidth="1"/>
    <col min="3335" max="3335" width="14" style="3" customWidth="1"/>
    <col min="3336" max="3336" width="7.42578125" style="3" customWidth="1"/>
    <col min="3337" max="3584" width="11.42578125" style="3"/>
    <col min="3585" max="3585" width="15.85546875" style="3" customWidth="1"/>
    <col min="3586" max="3586" width="14.85546875" style="3" customWidth="1"/>
    <col min="3587" max="3587" width="13.28515625" style="3" customWidth="1"/>
    <col min="3588" max="3588" width="11.42578125" style="3"/>
    <col min="3589" max="3589" width="13.42578125" style="3" customWidth="1"/>
    <col min="3590" max="3590" width="12.7109375" style="3" customWidth="1"/>
    <col min="3591" max="3591" width="14" style="3" customWidth="1"/>
    <col min="3592" max="3592" width="7.42578125" style="3" customWidth="1"/>
    <col min="3593" max="3840" width="11.42578125" style="3"/>
    <col min="3841" max="3841" width="15.85546875" style="3" customWidth="1"/>
    <col min="3842" max="3842" width="14.85546875" style="3" customWidth="1"/>
    <col min="3843" max="3843" width="13.28515625" style="3" customWidth="1"/>
    <col min="3844" max="3844" width="11.42578125" style="3"/>
    <col min="3845" max="3845" width="13.42578125" style="3" customWidth="1"/>
    <col min="3846" max="3846" width="12.7109375" style="3" customWidth="1"/>
    <col min="3847" max="3847" width="14" style="3" customWidth="1"/>
    <col min="3848" max="3848" width="7.42578125" style="3" customWidth="1"/>
    <col min="3849" max="4096" width="11.42578125" style="3"/>
    <col min="4097" max="4097" width="15.85546875" style="3" customWidth="1"/>
    <col min="4098" max="4098" width="14.85546875" style="3" customWidth="1"/>
    <col min="4099" max="4099" width="13.28515625" style="3" customWidth="1"/>
    <col min="4100" max="4100" width="11.42578125" style="3"/>
    <col min="4101" max="4101" width="13.42578125" style="3" customWidth="1"/>
    <col min="4102" max="4102" width="12.7109375" style="3" customWidth="1"/>
    <col min="4103" max="4103" width="14" style="3" customWidth="1"/>
    <col min="4104" max="4104" width="7.42578125" style="3" customWidth="1"/>
    <col min="4105" max="4352" width="11.42578125" style="3"/>
    <col min="4353" max="4353" width="15.85546875" style="3" customWidth="1"/>
    <col min="4354" max="4354" width="14.85546875" style="3" customWidth="1"/>
    <col min="4355" max="4355" width="13.28515625" style="3" customWidth="1"/>
    <col min="4356" max="4356" width="11.42578125" style="3"/>
    <col min="4357" max="4357" width="13.42578125" style="3" customWidth="1"/>
    <col min="4358" max="4358" width="12.7109375" style="3" customWidth="1"/>
    <col min="4359" max="4359" width="14" style="3" customWidth="1"/>
    <col min="4360" max="4360" width="7.42578125" style="3" customWidth="1"/>
    <col min="4361" max="4608" width="11.42578125" style="3"/>
    <col min="4609" max="4609" width="15.85546875" style="3" customWidth="1"/>
    <col min="4610" max="4610" width="14.85546875" style="3" customWidth="1"/>
    <col min="4611" max="4611" width="13.28515625" style="3" customWidth="1"/>
    <col min="4612" max="4612" width="11.42578125" style="3"/>
    <col min="4613" max="4613" width="13.42578125" style="3" customWidth="1"/>
    <col min="4614" max="4614" width="12.7109375" style="3" customWidth="1"/>
    <col min="4615" max="4615" width="14" style="3" customWidth="1"/>
    <col min="4616" max="4616" width="7.42578125" style="3" customWidth="1"/>
    <col min="4617" max="4864" width="11.42578125" style="3"/>
    <col min="4865" max="4865" width="15.85546875" style="3" customWidth="1"/>
    <col min="4866" max="4866" width="14.85546875" style="3" customWidth="1"/>
    <col min="4867" max="4867" width="13.28515625" style="3" customWidth="1"/>
    <col min="4868" max="4868" width="11.42578125" style="3"/>
    <col min="4869" max="4869" width="13.42578125" style="3" customWidth="1"/>
    <col min="4870" max="4870" width="12.7109375" style="3" customWidth="1"/>
    <col min="4871" max="4871" width="14" style="3" customWidth="1"/>
    <col min="4872" max="4872" width="7.42578125" style="3" customWidth="1"/>
    <col min="4873" max="5120" width="11.42578125" style="3"/>
    <col min="5121" max="5121" width="15.85546875" style="3" customWidth="1"/>
    <col min="5122" max="5122" width="14.85546875" style="3" customWidth="1"/>
    <col min="5123" max="5123" width="13.28515625" style="3" customWidth="1"/>
    <col min="5124" max="5124" width="11.42578125" style="3"/>
    <col min="5125" max="5125" width="13.42578125" style="3" customWidth="1"/>
    <col min="5126" max="5126" width="12.7109375" style="3" customWidth="1"/>
    <col min="5127" max="5127" width="14" style="3" customWidth="1"/>
    <col min="5128" max="5128" width="7.42578125" style="3" customWidth="1"/>
    <col min="5129" max="5376" width="11.42578125" style="3"/>
    <col min="5377" max="5377" width="15.85546875" style="3" customWidth="1"/>
    <col min="5378" max="5378" width="14.85546875" style="3" customWidth="1"/>
    <col min="5379" max="5379" width="13.28515625" style="3" customWidth="1"/>
    <col min="5380" max="5380" width="11.42578125" style="3"/>
    <col min="5381" max="5381" width="13.42578125" style="3" customWidth="1"/>
    <col min="5382" max="5382" width="12.7109375" style="3" customWidth="1"/>
    <col min="5383" max="5383" width="14" style="3" customWidth="1"/>
    <col min="5384" max="5384" width="7.42578125" style="3" customWidth="1"/>
    <col min="5385" max="5632" width="11.42578125" style="3"/>
    <col min="5633" max="5633" width="15.85546875" style="3" customWidth="1"/>
    <col min="5634" max="5634" width="14.85546875" style="3" customWidth="1"/>
    <col min="5635" max="5635" width="13.28515625" style="3" customWidth="1"/>
    <col min="5636" max="5636" width="11.42578125" style="3"/>
    <col min="5637" max="5637" width="13.42578125" style="3" customWidth="1"/>
    <col min="5638" max="5638" width="12.7109375" style="3" customWidth="1"/>
    <col min="5639" max="5639" width="14" style="3" customWidth="1"/>
    <col min="5640" max="5640" width="7.42578125" style="3" customWidth="1"/>
    <col min="5641" max="5888" width="11.42578125" style="3"/>
    <col min="5889" max="5889" width="15.85546875" style="3" customWidth="1"/>
    <col min="5890" max="5890" width="14.85546875" style="3" customWidth="1"/>
    <col min="5891" max="5891" width="13.28515625" style="3" customWidth="1"/>
    <col min="5892" max="5892" width="11.42578125" style="3"/>
    <col min="5893" max="5893" width="13.42578125" style="3" customWidth="1"/>
    <col min="5894" max="5894" width="12.7109375" style="3" customWidth="1"/>
    <col min="5895" max="5895" width="14" style="3" customWidth="1"/>
    <col min="5896" max="5896" width="7.42578125" style="3" customWidth="1"/>
    <col min="5897" max="6144" width="11.42578125" style="3"/>
    <col min="6145" max="6145" width="15.85546875" style="3" customWidth="1"/>
    <col min="6146" max="6146" width="14.85546875" style="3" customWidth="1"/>
    <col min="6147" max="6147" width="13.28515625" style="3" customWidth="1"/>
    <col min="6148" max="6148" width="11.42578125" style="3"/>
    <col min="6149" max="6149" width="13.42578125" style="3" customWidth="1"/>
    <col min="6150" max="6150" width="12.7109375" style="3" customWidth="1"/>
    <col min="6151" max="6151" width="14" style="3" customWidth="1"/>
    <col min="6152" max="6152" width="7.42578125" style="3" customWidth="1"/>
    <col min="6153" max="6400" width="11.42578125" style="3"/>
    <col min="6401" max="6401" width="15.85546875" style="3" customWidth="1"/>
    <col min="6402" max="6402" width="14.85546875" style="3" customWidth="1"/>
    <col min="6403" max="6403" width="13.28515625" style="3" customWidth="1"/>
    <col min="6404" max="6404" width="11.42578125" style="3"/>
    <col min="6405" max="6405" width="13.42578125" style="3" customWidth="1"/>
    <col min="6406" max="6406" width="12.7109375" style="3" customWidth="1"/>
    <col min="6407" max="6407" width="14" style="3" customWidth="1"/>
    <col min="6408" max="6408" width="7.42578125" style="3" customWidth="1"/>
    <col min="6409" max="6656" width="11.42578125" style="3"/>
    <col min="6657" max="6657" width="15.85546875" style="3" customWidth="1"/>
    <col min="6658" max="6658" width="14.85546875" style="3" customWidth="1"/>
    <col min="6659" max="6659" width="13.28515625" style="3" customWidth="1"/>
    <col min="6660" max="6660" width="11.42578125" style="3"/>
    <col min="6661" max="6661" width="13.42578125" style="3" customWidth="1"/>
    <col min="6662" max="6662" width="12.7109375" style="3" customWidth="1"/>
    <col min="6663" max="6663" width="14" style="3" customWidth="1"/>
    <col min="6664" max="6664" width="7.42578125" style="3" customWidth="1"/>
    <col min="6665" max="6912" width="11.42578125" style="3"/>
    <col min="6913" max="6913" width="15.85546875" style="3" customWidth="1"/>
    <col min="6914" max="6914" width="14.85546875" style="3" customWidth="1"/>
    <col min="6915" max="6915" width="13.28515625" style="3" customWidth="1"/>
    <col min="6916" max="6916" width="11.42578125" style="3"/>
    <col min="6917" max="6917" width="13.42578125" style="3" customWidth="1"/>
    <col min="6918" max="6918" width="12.7109375" style="3" customWidth="1"/>
    <col min="6919" max="6919" width="14" style="3" customWidth="1"/>
    <col min="6920" max="6920" width="7.42578125" style="3" customWidth="1"/>
    <col min="6921" max="7168" width="11.42578125" style="3"/>
    <col min="7169" max="7169" width="15.85546875" style="3" customWidth="1"/>
    <col min="7170" max="7170" width="14.85546875" style="3" customWidth="1"/>
    <col min="7171" max="7171" width="13.28515625" style="3" customWidth="1"/>
    <col min="7172" max="7172" width="11.42578125" style="3"/>
    <col min="7173" max="7173" width="13.42578125" style="3" customWidth="1"/>
    <col min="7174" max="7174" width="12.7109375" style="3" customWidth="1"/>
    <col min="7175" max="7175" width="14" style="3" customWidth="1"/>
    <col min="7176" max="7176" width="7.42578125" style="3" customWidth="1"/>
    <col min="7177" max="7424" width="11.42578125" style="3"/>
    <col min="7425" max="7425" width="15.85546875" style="3" customWidth="1"/>
    <col min="7426" max="7426" width="14.85546875" style="3" customWidth="1"/>
    <col min="7427" max="7427" width="13.28515625" style="3" customWidth="1"/>
    <col min="7428" max="7428" width="11.42578125" style="3"/>
    <col min="7429" max="7429" width="13.42578125" style="3" customWidth="1"/>
    <col min="7430" max="7430" width="12.7109375" style="3" customWidth="1"/>
    <col min="7431" max="7431" width="14" style="3" customWidth="1"/>
    <col min="7432" max="7432" width="7.42578125" style="3" customWidth="1"/>
    <col min="7433" max="7680" width="11.42578125" style="3"/>
    <col min="7681" max="7681" width="15.85546875" style="3" customWidth="1"/>
    <col min="7682" max="7682" width="14.85546875" style="3" customWidth="1"/>
    <col min="7683" max="7683" width="13.28515625" style="3" customWidth="1"/>
    <col min="7684" max="7684" width="11.42578125" style="3"/>
    <col min="7685" max="7685" width="13.42578125" style="3" customWidth="1"/>
    <col min="7686" max="7686" width="12.7109375" style="3" customWidth="1"/>
    <col min="7687" max="7687" width="14" style="3" customWidth="1"/>
    <col min="7688" max="7688" width="7.42578125" style="3" customWidth="1"/>
    <col min="7689" max="7936" width="11.42578125" style="3"/>
    <col min="7937" max="7937" width="15.85546875" style="3" customWidth="1"/>
    <col min="7938" max="7938" width="14.85546875" style="3" customWidth="1"/>
    <col min="7939" max="7939" width="13.28515625" style="3" customWidth="1"/>
    <col min="7940" max="7940" width="11.42578125" style="3"/>
    <col min="7941" max="7941" width="13.42578125" style="3" customWidth="1"/>
    <col min="7942" max="7942" width="12.7109375" style="3" customWidth="1"/>
    <col min="7943" max="7943" width="14" style="3" customWidth="1"/>
    <col min="7944" max="7944" width="7.42578125" style="3" customWidth="1"/>
    <col min="7945" max="8192" width="11.42578125" style="3"/>
    <col min="8193" max="8193" width="15.85546875" style="3" customWidth="1"/>
    <col min="8194" max="8194" width="14.85546875" style="3" customWidth="1"/>
    <col min="8195" max="8195" width="13.28515625" style="3" customWidth="1"/>
    <col min="8196" max="8196" width="11.42578125" style="3"/>
    <col min="8197" max="8197" width="13.42578125" style="3" customWidth="1"/>
    <col min="8198" max="8198" width="12.7109375" style="3" customWidth="1"/>
    <col min="8199" max="8199" width="14" style="3" customWidth="1"/>
    <col min="8200" max="8200" width="7.42578125" style="3" customWidth="1"/>
    <col min="8201" max="8448" width="11.42578125" style="3"/>
    <col min="8449" max="8449" width="15.85546875" style="3" customWidth="1"/>
    <col min="8450" max="8450" width="14.85546875" style="3" customWidth="1"/>
    <col min="8451" max="8451" width="13.28515625" style="3" customWidth="1"/>
    <col min="8452" max="8452" width="11.42578125" style="3"/>
    <col min="8453" max="8453" width="13.42578125" style="3" customWidth="1"/>
    <col min="8454" max="8454" width="12.7109375" style="3" customWidth="1"/>
    <col min="8455" max="8455" width="14" style="3" customWidth="1"/>
    <col min="8456" max="8456" width="7.42578125" style="3" customWidth="1"/>
    <col min="8457" max="8704" width="11.42578125" style="3"/>
    <col min="8705" max="8705" width="15.85546875" style="3" customWidth="1"/>
    <col min="8706" max="8706" width="14.85546875" style="3" customWidth="1"/>
    <col min="8707" max="8707" width="13.28515625" style="3" customWidth="1"/>
    <col min="8708" max="8708" width="11.42578125" style="3"/>
    <col min="8709" max="8709" width="13.42578125" style="3" customWidth="1"/>
    <col min="8710" max="8710" width="12.7109375" style="3" customWidth="1"/>
    <col min="8711" max="8711" width="14" style="3" customWidth="1"/>
    <col min="8712" max="8712" width="7.42578125" style="3" customWidth="1"/>
    <col min="8713" max="8960" width="11.42578125" style="3"/>
    <col min="8961" max="8961" width="15.85546875" style="3" customWidth="1"/>
    <col min="8962" max="8962" width="14.85546875" style="3" customWidth="1"/>
    <col min="8963" max="8963" width="13.28515625" style="3" customWidth="1"/>
    <col min="8964" max="8964" width="11.42578125" style="3"/>
    <col min="8965" max="8965" width="13.42578125" style="3" customWidth="1"/>
    <col min="8966" max="8966" width="12.7109375" style="3" customWidth="1"/>
    <col min="8967" max="8967" width="14" style="3" customWidth="1"/>
    <col min="8968" max="8968" width="7.42578125" style="3" customWidth="1"/>
    <col min="8969" max="9216" width="11.42578125" style="3"/>
    <col min="9217" max="9217" width="15.85546875" style="3" customWidth="1"/>
    <col min="9218" max="9218" width="14.85546875" style="3" customWidth="1"/>
    <col min="9219" max="9219" width="13.28515625" style="3" customWidth="1"/>
    <col min="9220" max="9220" width="11.42578125" style="3"/>
    <col min="9221" max="9221" width="13.42578125" style="3" customWidth="1"/>
    <col min="9222" max="9222" width="12.7109375" style="3" customWidth="1"/>
    <col min="9223" max="9223" width="14" style="3" customWidth="1"/>
    <col min="9224" max="9224" width="7.42578125" style="3" customWidth="1"/>
    <col min="9225" max="9472" width="11.42578125" style="3"/>
    <col min="9473" max="9473" width="15.85546875" style="3" customWidth="1"/>
    <col min="9474" max="9474" width="14.85546875" style="3" customWidth="1"/>
    <col min="9475" max="9475" width="13.28515625" style="3" customWidth="1"/>
    <col min="9476" max="9476" width="11.42578125" style="3"/>
    <col min="9477" max="9477" width="13.42578125" style="3" customWidth="1"/>
    <col min="9478" max="9478" width="12.7109375" style="3" customWidth="1"/>
    <col min="9479" max="9479" width="14" style="3" customWidth="1"/>
    <col min="9480" max="9480" width="7.42578125" style="3" customWidth="1"/>
    <col min="9481" max="9728" width="11.42578125" style="3"/>
    <col min="9729" max="9729" width="15.85546875" style="3" customWidth="1"/>
    <col min="9730" max="9730" width="14.85546875" style="3" customWidth="1"/>
    <col min="9731" max="9731" width="13.28515625" style="3" customWidth="1"/>
    <col min="9732" max="9732" width="11.42578125" style="3"/>
    <col min="9733" max="9733" width="13.42578125" style="3" customWidth="1"/>
    <col min="9734" max="9734" width="12.7109375" style="3" customWidth="1"/>
    <col min="9735" max="9735" width="14" style="3" customWidth="1"/>
    <col min="9736" max="9736" width="7.42578125" style="3" customWidth="1"/>
    <col min="9737" max="9984" width="11.42578125" style="3"/>
    <col min="9985" max="9985" width="15.85546875" style="3" customWidth="1"/>
    <col min="9986" max="9986" width="14.85546875" style="3" customWidth="1"/>
    <col min="9987" max="9987" width="13.28515625" style="3" customWidth="1"/>
    <col min="9988" max="9988" width="11.42578125" style="3"/>
    <col min="9989" max="9989" width="13.42578125" style="3" customWidth="1"/>
    <col min="9990" max="9990" width="12.7109375" style="3" customWidth="1"/>
    <col min="9991" max="9991" width="14" style="3" customWidth="1"/>
    <col min="9992" max="9992" width="7.42578125" style="3" customWidth="1"/>
    <col min="9993" max="10240" width="11.42578125" style="3"/>
    <col min="10241" max="10241" width="15.85546875" style="3" customWidth="1"/>
    <col min="10242" max="10242" width="14.85546875" style="3" customWidth="1"/>
    <col min="10243" max="10243" width="13.28515625" style="3" customWidth="1"/>
    <col min="10244" max="10244" width="11.42578125" style="3"/>
    <col min="10245" max="10245" width="13.42578125" style="3" customWidth="1"/>
    <col min="10246" max="10246" width="12.7109375" style="3" customWidth="1"/>
    <col min="10247" max="10247" width="14" style="3" customWidth="1"/>
    <col min="10248" max="10248" width="7.42578125" style="3" customWidth="1"/>
    <col min="10249" max="10496" width="11.42578125" style="3"/>
    <col min="10497" max="10497" width="15.85546875" style="3" customWidth="1"/>
    <col min="10498" max="10498" width="14.85546875" style="3" customWidth="1"/>
    <col min="10499" max="10499" width="13.28515625" style="3" customWidth="1"/>
    <col min="10500" max="10500" width="11.42578125" style="3"/>
    <col min="10501" max="10501" width="13.42578125" style="3" customWidth="1"/>
    <col min="10502" max="10502" width="12.7109375" style="3" customWidth="1"/>
    <col min="10503" max="10503" width="14" style="3" customWidth="1"/>
    <col min="10504" max="10504" width="7.42578125" style="3" customWidth="1"/>
    <col min="10505" max="10752" width="11.42578125" style="3"/>
    <col min="10753" max="10753" width="15.85546875" style="3" customWidth="1"/>
    <col min="10754" max="10754" width="14.85546875" style="3" customWidth="1"/>
    <col min="10755" max="10755" width="13.28515625" style="3" customWidth="1"/>
    <col min="10756" max="10756" width="11.42578125" style="3"/>
    <col min="10757" max="10757" width="13.42578125" style="3" customWidth="1"/>
    <col min="10758" max="10758" width="12.7109375" style="3" customWidth="1"/>
    <col min="10759" max="10759" width="14" style="3" customWidth="1"/>
    <col min="10760" max="10760" width="7.42578125" style="3" customWidth="1"/>
    <col min="10761" max="11008" width="11.42578125" style="3"/>
    <col min="11009" max="11009" width="15.85546875" style="3" customWidth="1"/>
    <col min="11010" max="11010" width="14.85546875" style="3" customWidth="1"/>
    <col min="11011" max="11011" width="13.28515625" style="3" customWidth="1"/>
    <col min="11012" max="11012" width="11.42578125" style="3"/>
    <col min="11013" max="11013" width="13.42578125" style="3" customWidth="1"/>
    <col min="11014" max="11014" width="12.7109375" style="3" customWidth="1"/>
    <col min="11015" max="11015" width="14" style="3" customWidth="1"/>
    <col min="11016" max="11016" width="7.42578125" style="3" customWidth="1"/>
    <col min="11017" max="11264" width="11.42578125" style="3"/>
    <col min="11265" max="11265" width="15.85546875" style="3" customWidth="1"/>
    <col min="11266" max="11266" width="14.85546875" style="3" customWidth="1"/>
    <col min="11267" max="11267" width="13.28515625" style="3" customWidth="1"/>
    <col min="11268" max="11268" width="11.42578125" style="3"/>
    <col min="11269" max="11269" width="13.42578125" style="3" customWidth="1"/>
    <col min="11270" max="11270" width="12.7109375" style="3" customWidth="1"/>
    <col min="11271" max="11271" width="14" style="3" customWidth="1"/>
    <col min="11272" max="11272" width="7.42578125" style="3" customWidth="1"/>
    <col min="11273" max="11520" width="11.42578125" style="3"/>
    <col min="11521" max="11521" width="15.85546875" style="3" customWidth="1"/>
    <col min="11522" max="11522" width="14.85546875" style="3" customWidth="1"/>
    <col min="11523" max="11523" width="13.28515625" style="3" customWidth="1"/>
    <col min="11524" max="11524" width="11.42578125" style="3"/>
    <col min="11525" max="11525" width="13.42578125" style="3" customWidth="1"/>
    <col min="11526" max="11526" width="12.7109375" style="3" customWidth="1"/>
    <col min="11527" max="11527" width="14" style="3" customWidth="1"/>
    <col min="11528" max="11528" width="7.42578125" style="3" customWidth="1"/>
    <col min="11529" max="11776" width="11.42578125" style="3"/>
    <col min="11777" max="11777" width="15.85546875" style="3" customWidth="1"/>
    <col min="11778" max="11778" width="14.85546875" style="3" customWidth="1"/>
    <col min="11779" max="11779" width="13.28515625" style="3" customWidth="1"/>
    <col min="11780" max="11780" width="11.42578125" style="3"/>
    <col min="11781" max="11781" width="13.42578125" style="3" customWidth="1"/>
    <col min="11782" max="11782" width="12.7109375" style="3" customWidth="1"/>
    <col min="11783" max="11783" width="14" style="3" customWidth="1"/>
    <col min="11784" max="11784" width="7.42578125" style="3" customWidth="1"/>
    <col min="11785" max="12032" width="11.42578125" style="3"/>
    <col min="12033" max="12033" width="15.85546875" style="3" customWidth="1"/>
    <col min="12034" max="12034" width="14.85546875" style="3" customWidth="1"/>
    <col min="12035" max="12035" width="13.28515625" style="3" customWidth="1"/>
    <col min="12036" max="12036" width="11.42578125" style="3"/>
    <col min="12037" max="12037" width="13.42578125" style="3" customWidth="1"/>
    <col min="12038" max="12038" width="12.7109375" style="3" customWidth="1"/>
    <col min="12039" max="12039" width="14" style="3" customWidth="1"/>
    <col min="12040" max="12040" width="7.42578125" style="3" customWidth="1"/>
    <col min="12041" max="12288" width="11.42578125" style="3"/>
    <col min="12289" max="12289" width="15.85546875" style="3" customWidth="1"/>
    <col min="12290" max="12290" width="14.85546875" style="3" customWidth="1"/>
    <col min="12291" max="12291" width="13.28515625" style="3" customWidth="1"/>
    <col min="12292" max="12292" width="11.42578125" style="3"/>
    <col min="12293" max="12293" width="13.42578125" style="3" customWidth="1"/>
    <col min="12294" max="12294" width="12.7109375" style="3" customWidth="1"/>
    <col min="12295" max="12295" width="14" style="3" customWidth="1"/>
    <col min="12296" max="12296" width="7.42578125" style="3" customWidth="1"/>
    <col min="12297" max="12544" width="11.42578125" style="3"/>
    <col min="12545" max="12545" width="15.85546875" style="3" customWidth="1"/>
    <col min="12546" max="12546" width="14.85546875" style="3" customWidth="1"/>
    <col min="12547" max="12547" width="13.28515625" style="3" customWidth="1"/>
    <col min="12548" max="12548" width="11.42578125" style="3"/>
    <col min="12549" max="12549" width="13.42578125" style="3" customWidth="1"/>
    <col min="12550" max="12550" width="12.7109375" style="3" customWidth="1"/>
    <col min="12551" max="12551" width="14" style="3" customWidth="1"/>
    <col min="12552" max="12552" width="7.42578125" style="3" customWidth="1"/>
    <col min="12553" max="12800" width="11.42578125" style="3"/>
    <col min="12801" max="12801" width="15.85546875" style="3" customWidth="1"/>
    <col min="12802" max="12802" width="14.85546875" style="3" customWidth="1"/>
    <col min="12803" max="12803" width="13.28515625" style="3" customWidth="1"/>
    <col min="12804" max="12804" width="11.42578125" style="3"/>
    <col min="12805" max="12805" width="13.42578125" style="3" customWidth="1"/>
    <col min="12806" max="12806" width="12.7109375" style="3" customWidth="1"/>
    <col min="12807" max="12807" width="14" style="3" customWidth="1"/>
    <col min="12808" max="12808" width="7.42578125" style="3" customWidth="1"/>
    <col min="12809" max="13056" width="11.42578125" style="3"/>
    <col min="13057" max="13057" width="15.85546875" style="3" customWidth="1"/>
    <col min="13058" max="13058" width="14.85546875" style="3" customWidth="1"/>
    <col min="13059" max="13059" width="13.28515625" style="3" customWidth="1"/>
    <col min="13060" max="13060" width="11.42578125" style="3"/>
    <col min="13061" max="13061" width="13.42578125" style="3" customWidth="1"/>
    <col min="13062" max="13062" width="12.7109375" style="3" customWidth="1"/>
    <col min="13063" max="13063" width="14" style="3" customWidth="1"/>
    <col min="13064" max="13064" width="7.42578125" style="3" customWidth="1"/>
    <col min="13065" max="13312" width="11.42578125" style="3"/>
    <col min="13313" max="13313" width="15.85546875" style="3" customWidth="1"/>
    <col min="13314" max="13314" width="14.85546875" style="3" customWidth="1"/>
    <col min="13315" max="13315" width="13.28515625" style="3" customWidth="1"/>
    <col min="13316" max="13316" width="11.42578125" style="3"/>
    <col min="13317" max="13317" width="13.42578125" style="3" customWidth="1"/>
    <col min="13318" max="13318" width="12.7109375" style="3" customWidth="1"/>
    <col min="13319" max="13319" width="14" style="3" customWidth="1"/>
    <col min="13320" max="13320" width="7.42578125" style="3" customWidth="1"/>
    <col min="13321" max="13568" width="11.42578125" style="3"/>
    <col min="13569" max="13569" width="15.85546875" style="3" customWidth="1"/>
    <col min="13570" max="13570" width="14.85546875" style="3" customWidth="1"/>
    <col min="13571" max="13571" width="13.28515625" style="3" customWidth="1"/>
    <col min="13572" max="13572" width="11.42578125" style="3"/>
    <col min="13573" max="13573" width="13.42578125" style="3" customWidth="1"/>
    <col min="13574" max="13574" width="12.7109375" style="3" customWidth="1"/>
    <col min="13575" max="13575" width="14" style="3" customWidth="1"/>
    <col min="13576" max="13576" width="7.42578125" style="3" customWidth="1"/>
    <col min="13577" max="13824" width="11.42578125" style="3"/>
    <col min="13825" max="13825" width="15.85546875" style="3" customWidth="1"/>
    <col min="13826" max="13826" width="14.85546875" style="3" customWidth="1"/>
    <col min="13827" max="13827" width="13.28515625" style="3" customWidth="1"/>
    <col min="13828" max="13828" width="11.42578125" style="3"/>
    <col min="13829" max="13829" width="13.42578125" style="3" customWidth="1"/>
    <col min="13830" max="13830" width="12.7109375" style="3" customWidth="1"/>
    <col min="13831" max="13831" width="14" style="3" customWidth="1"/>
    <col min="13832" max="13832" width="7.42578125" style="3" customWidth="1"/>
    <col min="13833" max="14080" width="11.42578125" style="3"/>
    <col min="14081" max="14081" width="15.85546875" style="3" customWidth="1"/>
    <col min="14082" max="14082" width="14.85546875" style="3" customWidth="1"/>
    <col min="14083" max="14083" width="13.28515625" style="3" customWidth="1"/>
    <col min="14084" max="14084" width="11.42578125" style="3"/>
    <col min="14085" max="14085" width="13.42578125" style="3" customWidth="1"/>
    <col min="14086" max="14086" width="12.7109375" style="3" customWidth="1"/>
    <col min="14087" max="14087" width="14" style="3" customWidth="1"/>
    <col min="14088" max="14088" width="7.42578125" style="3" customWidth="1"/>
    <col min="14089" max="14336" width="11.42578125" style="3"/>
    <col min="14337" max="14337" width="15.85546875" style="3" customWidth="1"/>
    <col min="14338" max="14338" width="14.85546875" style="3" customWidth="1"/>
    <col min="14339" max="14339" width="13.28515625" style="3" customWidth="1"/>
    <col min="14340" max="14340" width="11.42578125" style="3"/>
    <col min="14341" max="14341" width="13.42578125" style="3" customWidth="1"/>
    <col min="14342" max="14342" width="12.7109375" style="3" customWidth="1"/>
    <col min="14343" max="14343" width="14" style="3" customWidth="1"/>
    <col min="14344" max="14344" width="7.42578125" style="3" customWidth="1"/>
    <col min="14345" max="14592" width="11.42578125" style="3"/>
    <col min="14593" max="14593" width="15.85546875" style="3" customWidth="1"/>
    <col min="14594" max="14594" width="14.85546875" style="3" customWidth="1"/>
    <col min="14595" max="14595" width="13.28515625" style="3" customWidth="1"/>
    <col min="14596" max="14596" width="11.42578125" style="3"/>
    <col min="14597" max="14597" width="13.42578125" style="3" customWidth="1"/>
    <col min="14598" max="14598" width="12.7109375" style="3" customWidth="1"/>
    <col min="14599" max="14599" width="14" style="3" customWidth="1"/>
    <col min="14600" max="14600" width="7.42578125" style="3" customWidth="1"/>
    <col min="14601" max="14848" width="11.42578125" style="3"/>
    <col min="14849" max="14849" width="15.85546875" style="3" customWidth="1"/>
    <col min="14850" max="14850" width="14.85546875" style="3" customWidth="1"/>
    <col min="14851" max="14851" width="13.28515625" style="3" customWidth="1"/>
    <col min="14852" max="14852" width="11.42578125" style="3"/>
    <col min="14853" max="14853" width="13.42578125" style="3" customWidth="1"/>
    <col min="14854" max="14854" width="12.7109375" style="3" customWidth="1"/>
    <col min="14855" max="14855" width="14" style="3" customWidth="1"/>
    <col min="14856" max="14856" width="7.42578125" style="3" customWidth="1"/>
    <col min="14857" max="15104" width="11.42578125" style="3"/>
    <col min="15105" max="15105" width="15.85546875" style="3" customWidth="1"/>
    <col min="15106" max="15106" width="14.85546875" style="3" customWidth="1"/>
    <col min="15107" max="15107" width="13.28515625" style="3" customWidth="1"/>
    <col min="15108" max="15108" width="11.42578125" style="3"/>
    <col min="15109" max="15109" width="13.42578125" style="3" customWidth="1"/>
    <col min="15110" max="15110" width="12.7109375" style="3" customWidth="1"/>
    <col min="15111" max="15111" width="14" style="3" customWidth="1"/>
    <col min="15112" max="15112" width="7.42578125" style="3" customWidth="1"/>
    <col min="15113" max="15360" width="11.42578125" style="3"/>
    <col min="15361" max="15361" width="15.85546875" style="3" customWidth="1"/>
    <col min="15362" max="15362" width="14.85546875" style="3" customWidth="1"/>
    <col min="15363" max="15363" width="13.28515625" style="3" customWidth="1"/>
    <col min="15364" max="15364" width="11.42578125" style="3"/>
    <col min="15365" max="15365" width="13.42578125" style="3" customWidth="1"/>
    <col min="15366" max="15366" width="12.7109375" style="3" customWidth="1"/>
    <col min="15367" max="15367" width="14" style="3" customWidth="1"/>
    <col min="15368" max="15368" width="7.42578125" style="3" customWidth="1"/>
    <col min="15369" max="15616" width="11.42578125" style="3"/>
    <col min="15617" max="15617" width="15.85546875" style="3" customWidth="1"/>
    <col min="15618" max="15618" width="14.85546875" style="3" customWidth="1"/>
    <col min="15619" max="15619" width="13.28515625" style="3" customWidth="1"/>
    <col min="15620" max="15620" width="11.42578125" style="3"/>
    <col min="15621" max="15621" width="13.42578125" style="3" customWidth="1"/>
    <col min="15622" max="15622" width="12.7109375" style="3" customWidth="1"/>
    <col min="15623" max="15623" width="14" style="3" customWidth="1"/>
    <col min="15624" max="15624" width="7.42578125" style="3" customWidth="1"/>
    <col min="15625" max="15872" width="11.42578125" style="3"/>
    <col min="15873" max="15873" width="15.85546875" style="3" customWidth="1"/>
    <col min="15874" max="15874" width="14.85546875" style="3" customWidth="1"/>
    <col min="15875" max="15875" width="13.28515625" style="3" customWidth="1"/>
    <col min="15876" max="15876" width="11.42578125" style="3"/>
    <col min="15877" max="15877" width="13.42578125" style="3" customWidth="1"/>
    <col min="15878" max="15878" width="12.7109375" style="3" customWidth="1"/>
    <col min="15879" max="15879" width="14" style="3" customWidth="1"/>
    <col min="15880" max="15880" width="7.42578125" style="3" customWidth="1"/>
    <col min="15881" max="16128" width="11.42578125" style="3"/>
    <col min="16129" max="16129" width="15.85546875" style="3" customWidth="1"/>
    <col min="16130" max="16130" width="14.85546875" style="3" customWidth="1"/>
    <col min="16131" max="16131" width="13.28515625" style="3" customWidth="1"/>
    <col min="16132" max="16132" width="11.42578125" style="3"/>
    <col min="16133" max="16133" width="13.42578125" style="3" customWidth="1"/>
    <col min="16134" max="16134" width="12.7109375" style="3" customWidth="1"/>
    <col min="16135" max="16135" width="14" style="3" customWidth="1"/>
    <col min="16136" max="16136" width="7.42578125" style="3" customWidth="1"/>
    <col min="16137" max="16384" width="11.42578125" style="3"/>
  </cols>
  <sheetData>
    <row r="1" spans="1:21" ht="48" customHeight="1">
      <c r="A1" s="1346" t="str">
        <f>PPTO!D3</f>
        <v>PRESUPUESTO
MUNICIPIO EL BAGRE (ANTIOQUIA).</v>
      </c>
      <c r="B1" s="1347"/>
      <c r="C1" s="1347"/>
      <c r="D1" s="1347"/>
      <c r="E1" s="1347"/>
      <c r="F1" s="1347"/>
      <c r="G1" s="1348"/>
      <c r="H1" s="1"/>
      <c r="I1" s="2"/>
    </row>
    <row r="2" spans="1:21" ht="18" customHeight="1">
      <c r="A2" s="1362" t="s">
        <v>16</v>
      </c>
      <c r="B2" s="1363"/>
      <c r="C2" s="1363"/>
      <c r="D2" s="1363"/>
      <c r="E2" s="1363"/>
      <c r="F2" s="1363"/>
      <c r="G2" s="1364"/>
      <c r="H2" s="1"/>
      <c r="I2" s="2"/>
    </row>
    <row r="3" spans="1:21" ht="27" customHeight="1">
      <c r="A3" s="1367" t="str">
        <f>+PPTO!$D$5</f>
        <v>PROYECTO DE MEJORAMIENTO VIAL, ESPACIO PUBLICO Y OBRAS COMPLEMENTARIAS DE LA AVENIDA LA JUVENTUD Y TRAMOS ADYACENTES Y PRIORITARIOS DEL SECTOR URBANO EN EL MUNICIPIO EL BAGRE ANTIOQUIA.</v>
      </c>
      <c r="B3" s="1368"/>
      <c r="C3" s="1368"/>
      <c r="D3" s="1368"/>
      <c r="E3" s="1368"/>
      <c r="F3" s="1368"/>
      <c r="G3" s="1369"/>
      <c r="H3" s="1"/>
      <c r="I3" s="2"/>
    </row>
    <row r="4" spans="1:21" ht="30" customHeight="1">
      <c r="A4" s="1370"/>
      <c r="B4" s="1368"/>
      <c r="C4" s="1368"/>
      <c r="D4" s="1368"/>
      <c r="E4" s="1368"/>
      <c r="F4" s="1368"/>
      <c r="G4" s="1369"/>
      <c r="H4" s="1"/>
      <c r="I4" s="2"/>
    </row>
    <row r="5" spans="1:21" ht="6.75" customHeight="1">
      <c r="A5" s="222"/>
      <c r="B5" s="6"/>
      <c r="C5" s="24"/>
      <c r="D5" s="25"/>
      <c r="E5" s="6"/>
      <c r="F5" s="6"/>
      <c r="G5" s="223"/>
      <c r="H5" s="9"/>
    </row>
    <row r="6" spans="1:21" ht="52.5" customHeight="1">
      <c r="A6" s="368">
        <v>6.2</v>
      </c>
      <c r="B6" s="1349" t="str">
        <f>VLOOKUP(A6,PPTO!D9:I136,2,FALSE)</f>
        <v>Suministro e instalacion tuberia en concreto de Ø 48"</v>
      </c>
      <c r="C6" s="1350"/>
      <c r="D6" s="1350"/>
      <c r="E6" s="1351"/>
      <c r="F6" s="192" t="s">
        <v>118</v>
      </c>
      <c r="G6" s="248" t="str">
        <f>VLOOKUP(A6,PPTO!D9:I136,3,FALSE)</f>
        <v>m</v>
      </c>
      <c r="H6" s="9"/>
    </row>
    <row r="7" spans="1:21" ht="3.75" customHeight="1">
      <c r="A7" s="226"/>
      <c r="B7" s="4"/>
      <c r="C7" s="6"/>
      <c r="D7" s="4"/>
      <c r="E7" s="4"/>
      <c r="F7" s="4"/>
      <c r="G7" s="227"/>
      <c r="H7" s="9"/>
    </row>
    <row r="8" spans="1:21" ht="22.5" customHeight="1">
      <c r="A8" s="1354" t="s">
        <v>69</v>
      </c>
      <c r="B8" s="1355"/>
      <c r="C8" s="1355"/>
      <c r="D8" s="1355"/>
      <c r="E8" s="1355"/>
      <c r="F8" s="1355"/>
      <c r="G8" s="1356"/>
      <c r="H8" s="9"/>
    </row>
    <row r="9" spans="1:21" ht="4.5" customHeight="1">
      <c r="A9" s="226"/>
      <c r="B9" s="4"/>
      <c r="C9" s="6"/>
      <c r="D9" s="4"/>
      <c r="E9" s="4"/>
      <c r="F9" s="4"/>
      <c r="G9" s="227"/>
      <c r="H9" s="9"/>
      <c r="I9" s="5"/>
      <c r="J9" s="5"/>
      <c r="K9" s="5"/>
      <c r="L9" s="26"/>
      <c r="M9" s="5"/>
      <c r="N9" s="5"/>
      <c r="O9" s="5"/>
      <c r="P9" s="5"/>
    </row>
    <row r="10" spans="1:21">
      <c r="A10" s="1373" t="s">
        <v>17</v>
      </c>
      <c r="B10" s="1374"/>
      <c r="C10" s="1374"/>
      <c r="D10" s="346" t="s">
        <v>18</v>
      </c>
      <c r="E10" s="346" t="s">
        <v>19</v>
      </c>
      <c r="F10" s="346" t="s">
        <v>20</v>
      </c>
      <c r="G10" s="228" t="s">
        <v>21</v>
      </c>
      <c r="H10" s="27"/>
      <c r="I10" s="28"/>
      <c r="J10" s="29"/>
      <c r="K10" s="30"/>
      <c r="L10" s="30"/>
      <c r="M10" s="30"/>
      <c r="N10" s="30"/>
      <c r="O10" s="30"/>
      <c r="P10" s="5"/>
    </row>
    <row r="11" spans="1:21">
      <c r="A11" s="1352" t="s">
        <v>47</v>
      </c>
      <c r="B11" s="1353"/>
      <c r="C11" s="1353"/>
      <c r="D11" s="346"/>
      <c r="E11" s="83"/>
      <c r="F11" s="97"/>
      <c r="G11" s="229">
        <f>+G39*10%+150</f>
        <v>15421</v>
      </c>
      <c r="H11" s="9"/>
      <c r="I11" s="30"/>
      <c r="J11" s="31"/>
      <c r="K11" s="30"/>
      <c r="L11" s="30"/>
      <c r="M11" s="30"/>
      <c r="N11" s="30"/>
      <c r="O11" s="30"/>
      <c r="P11" s="5"/>
    </row>
    <row r="12" spans="1:21">
      <c r="A12" s="1371" t="s">
        <v>116</v>
      </c>
      <c r="B12" s="1372"/>
      <c r="C12" s="1372"/>
      <c r="D12" s="83"/>
      <c r="E12" s="83">
        <v>1200000</v>
      </c>
      <c r="F12" s="93">
        <v>8</v>
      </c>
      <c r="G12" s="229">
        <f>+E12/F12</f>
        <v>150000</v>
      </c>
      <c r="H12" s="9"/>
      <c r="I12" s="16"/>
      <c r="J12" s="13"/>
      <c r="K12" s="8"/>
      <c r="L12" s="8"/>
      <c r="M12" s="8"/>
      <c r="N12" s="8"/>
      <c r="O12" s="8"/>
      <c r="P12" s="5"/>
    </row>
    <row r="13" spans="1:21">
      <c r="A13" s="1371"/>
      <c r="B13" s="1372"/>
      <c r="C13" s="1372"/>
      <c r="D13" s="83"/>
      <c r="E13" s="83"/>
      <c r="F13" s="93"/>
      <c r="G13" s="229"/>
      <c r="H13" s="9"/>
      <c r="I13" s="13"/>
      <c r="J13" s="13"/>
      <c r="K13" s="13"/>
      <c r="L13" s="13"/>
      <c r="M13" s="13"/>
      <c r="N13" s="13"/>
      <c r="O13" s="13"/>
      <c r="P13" s="5"/>
    </row>
    <row r="14" spans="1:21">
      <c r="A14" s="1371"/>
      <c r="B14" s="1372"/>
      <c r="C14" s="1372"/>
      <c r="D14" s="83"/>
      <c r="E14" s="83"/>
      <c r="F14" s="93"/>
      <c r="G14" s="229"/>
      <c r="H14" s="9"/>
      <c r="I14" s="8"/>
      <c r="J14" s="14"/>
      <c r="K14" s="32"/>
      <c r="L14" s="14"/>
      <c r="M14" s="15"/>
      <c r="N14" s="15"/>
      <c r="O14" s="19"/>
      <c r="P14" s="5"/>
    </row>
    <row r="15" spans="1:21">
      <c r="A15" s="1371"/>
      <c r="B15" s="1372"/>
      <c r="C15" s="1372"/>
      <c r="D15" s="83"/>
      <c r="E15" s="83"/>
      <c r="F15" s="98"/>
      <c r="G15" s="229"/>
      <c r="H15" s="9"/>
      <c r="I15" s="8"/>
      <c r="J15" s="33"/>
      <c r="K15" s="32"/>
      <c r="L15" s="14"/>
      <c r="M15" s="15"/>
      <c r="N15" s="15"/>
      <c r="O15" s="19"/>
      <c r="P15" s="5"/>
      <c r="Q15" s="5"/>
      <c r="R15" s="5"/>
      <c r="S15" s="5"/>
      <c r="T15" s="5"/>
      <c r="U15" s="5"/>
    </row>
    <row r="16" spans="1:21">
      <c r="A16" s="1371"/>
      <c r="B16" s="1372"/>
      <c r="C16" s="1372"/>
      <c r="D16" s="85" t="s">
        <v>37</v>
      </c>
      <c r="E16" s="50"/>
      <c r="F16" s="49"/>
      <c r="G16" s="230">
        <f>SUM(G11:G15)</f>
        <v>165421</v>
      </c>
      <c r="H16" s="9"/>
      <c r="I16" s="34"/>
      <c r="J16" s="34"/>
      <c r="K16" s="35"/>
      <c r="L16" s="36"/>
      <c r="M16" s="7"/>
      <c r="N16" s="7"/>
      <c r="O16" s="19"/>
      <c r="P16" s="5"/>
      <c r="Q16" s="5"/>
      <c r="R16" s="5"/>
      <c r="S16" s="5"/>
      <c r="T16" s="5"/>
      <c r="U16" s="5"/>
    </row>
    <row r="17" spans="1:21" ht="4.5" customHeight="1">
      <c r="A17" s="226"/>
      <c r="B17" s="4"/>
      <c r="C17" s="6"/>
      <c r="D17" s="4"/>
      <c r="E17" s="4"/>
      <c r="F17" s="4"/>
      <c r="G17" s="227"/>
      <c r="H17" s="9"/>
      <c r="I17" s="34"/>
      <c r="J17" s="34"/>
      <c r="K17" s="35"/>
      <c r="L17" s="36"/>
      <c r="M17" s="7"/>
      <c r="N17" s="7"/>
      <c r="O17" s="19"/>
      <c r="P17" s="5"/>
      <c r="Q17" s="5"/>
      <c r="R17" s="5"/>
      <c r="S17" s="5"/>
      <c r="T17" s="5"/>
      <c r="U17" s="5"/>
    </row>
    <row r="18" spans="1:21" ht="22.5" customHeight="1">
      <c r="A18" s="1354" t="s">
        <v>70</v>
      </c>
      <c r="B18" s="1355"/>
      <c r="C18" s="1355"/>
      <c r="D18" s="1355"/>
      <c r="E18" s="1355"/>
      <c r="F18" s="1355"/>
      <c r="G18" s="1356"/>
      <c r="H18" s="9"/>
    </row>
    <row r="19" spans="1:21" ht="4.5" customHeight="1">
      <c r="A19" s="226"/>
      <c r="B19" s="4"/>
      <c r="C19" s="6"/>
      <c r="D19" s="4"/>
      <c r="E19" s="4"/>
      <c r="F19" s="38"/>
      <c r="G19" s="227"/>
      <c r="H19" s="9"/>
      <c r="I19" s="34"/>
      <c r="J19" s="34"/>
      <c r="K19" s="35"/>
      <c r="L19" s="39"/>
      <c r="M19" s="7"/>
      <c r="N19" s="7"/>
      <c r="O19" s="8"/>
      <c r="P19" s="5"/>
      <c r="Q19" s="5"/>
      <c r="R19" s="5"/>
      <c r="S19" s="5"/>
      <c r="T19" s="5"/>
      <c r="U19" s="5"/>
    </row>
    <row r="20" spans="1:21">
      <c r="A20" s="1373" t="s">
        <v>17</v>
      </c>
      <c r="B20" s="1374"/>
      <c r="C20" s="1374"/>
      <c r="D20" s="346" t="s">
        <v>3</v>
      </c>
      <c r="E20" s="346" t="s">
        <v>4</v>
      </c>
      <c r="F20" s="346" t="s">
        <v>25</v>
      </c>
      <c r="G20" s="228" t="s">
        <v>21</v>
      </c>
      <c r="H20" s="27"/>
      <c r="I20" s="34"/>
      <c r="J20" s="34"/>
      <c r="K20" s="35"/>
      <c r="L20" s="39"/>
      <c r="M20" s="7"/>
      <c r="N20" s="7"/>
      <c r="O20" s="8"/>
      <c r="P20" s="5"/>
      <c r="Q20" s="5"/>
      <c r="R20" s="5"/>
      <c r="S20" s="5"/>
      <c r="T20" s="5"/>
      <c r="U20" s="5"/>
    </row>
    <row r="21" spans="1:21" ht="31.5" customHeight="1">
      <c r="A21" s="1441" t="s">
        <v>200</v>
      </c>
      <c r="B21" s="1442"/>
      <c r="C21" s="1443"/>
      <c r="D21" s="118" t="s">
        <v>51</v>
      </c>
      <c r="E21" s="119">
        <v>1</v>
      </c>
      <c r="F21" s="87">
        <v>865000</v>
      </c>
      <c r="G21" s="231">
        <f>ROUND(F21*E21,0)</f>
        <v>865000</v>
      </c>
      <c r="H21" s="9"/>
      <c r="I21" s="34"/>
      <c r="J21" s="34"/>
      <c r="K21" s="35"/>
      <c r="L21" s="36"/>
      <c r="M21" s="7"/>
      <c r="N21" s="7"/>
      <c r="O21" s="19"/>
      <c r="P21" s="5"/>
      <c r="Q21" s="5"/>
      <c r="R21" s="5"/>
      <c r="S21" s="5"/>
      <c r="T21" s="5"/>
      <c r="U21" s="5"/>
    </row>
    <row r="22" spans="1:21">
      <c r="A22" s="1444"/>
      <c r="B22" s="1403"/>
      <c r="C22" s="1404"/>
      <c r="D22" s="116"/>
      <c r="E22" s="117"/>
      <c r="F22" s="91"/>
      <c r="G22" s="231"/>
      <c r="H22" s="9"/>
      <c r="I22" s="10"/>
      <c r="J22" s="10"/>
      <c r="K22" s="12"/>
      <c r="L22" s="39"/>
      <c r="M22" s="7"/>
      <c r="N22" s="7"/>
      <c r="O22" s="15"/>
      <c r="P22" s="5"/>
      <c r="Q22" s="5"/>
      <c r="R22" s="5"/>
      <c r="S22" s="5"/>
      <c r="T22" s="5"/>
      <c r="U22" s="5"/>
    </row>
    <row r="23" spans="1:21">
      <c r="A23" s="1386"/>
      <c r="B23" s="1353"/>
      <c r="C23" s="1353"/>
      <c r="D23" s="79"/>
      <c r="E23" s="82"/>
      <c r="F23" s="83"/>
      <c r="G23" s="67"/>
      <c r="H23" s="9"/>
      <c r="I23" s="10"/>
      <c r="J23" s="10"/>
      <c r="K23" s="12"/>
      <c r="L23" s="39"/>
      <c r="M23" s="7"/>
      <c r="N23" s="7"/>
      <c r="O23" s="15"/>
      <c r="P23" s="5"/>
      <c r="Q23" s="5"/>
      <c r="R23" s="5"/>
      <c r="S23" s="5"/>
      <c r="T23" s="5"/>
      <c r="U23" s="5"/>
    </row>
    <row r="24" spans="1:21">
      <c r="A24" s="1352"/>
      <c r="B24" s="1353"/>
      <c r="C24" s="1353"/>
      <c r="D24" s="81"/>
      <c r="E24" s="88"/>
      <c r="F24" s="78"/>
      <c r="G24" s="231"/>
      <c r="H24" s="9"/>
      <c r="I24" s="10"/>
      <c r="J24" s="40"/>
      <c r="K24" s="12"/>
      <c r="L24" s="13"/>
      <c r="M24" s="14"/>
      <c r="N24" s="14"/>
      <c r="O24" s="15"/>
      <c r="P24" s="5"/>
      <c r="Q24" s="5"/>
      <c r="R24" s="5"/>
      <c r="S24" s="5"/>
      <c r="T24" s="5"/>
      <c r="U24" s="5"/>
    </row>
    <row r="25" spans="1:21">
      <c r="A25" s="1352"/>
      <c r="B25" s="1353"/>
      <c r="C25" s="1353"/>
      <c r="D25" s="81"/>
      <c r="E25" s="82"/>
      <c r="F25" s="78"/>
      <c r="G25" s="231"/>
      <c r="H25" s="9"/>
      <c r="I25" s="10"/>
      <c r="J25" s="11"/>
      <c r="K25" s="12"/>
      <c r="L25" s="13"/>
      <c r="M25" s="14"/>
      <c r="N25" s="14"/>
      <c r="O25" s="15"/>
      <c r="P25" s="5"/>
      <c r="Q25" s="5"/>
      <c r="R25" s="5"/>
      <c r="S25" s="5"/>
      <c r="T25" s="5"/>
      <c r="U25" s="5"/>
    </row>
    <row r="26" spans="1:21">
      <c r="A26" s="1352"/>
      <c r="B26" s="1353"/>
      <c r="C26" s="1353"/>
      <c r="D26" s="79"/>
      <c r="E26" s="82"/>
      <c r="F26" s="78"/>
      <c r="G26" s="231"/>
      <c r="H26" s="9"/>
      <c r="I26" s="10"/>
      <c r="J26" s="11"/>
      <c r="K26" s="12"/>
      <c r="L26" s="13"/>
      <c r="M26" s="14"/>
      <c r="N26" s="14"/>
      <c r="O26" s="15"/>
      <c r="P26" s="5"/>
      <c r="Q26" s="5"/>
      <c r="R26" s="5"/>
      <c r="S26" s="5"/>
      <c r="T26" s="5"/>
      <c r="U26" s="5"/>
    </row>
    <row r="27" spans="1:21">
      <c r="A27" s="1352"/>
      <c r="B27" s="1353"/>
      <c r="C27" s="1353"/>
      <c r="D27" s="79"/>
      <c r="E27" s="82"/>
      <c r="F27" s="78"/>
      <c r="G27" s="231"/>
      <c r="H27" s="9"/>
      <c r="I27" s="10"/>
      <c r="J27" s="11"/>
      <c r="K27" s="12"/>
      <c r="L27" s="13"/>
      <c r="M27" s="14"/>
      <c r="N27" s="14"/>
      <c r="O27" s="15"/>
      <c r="P27" s="5"/>
      <c r="Q27" s="5"/>
      <c r="R27" s="5"/>
      <c r="S27" s="5"/>
      <c r="T27" s="5"/>
      <c r="U27" s="5"/>
    </row>
    <row r="28" spans="1:21">
      <c r="A28" s="1352"/>
      <c r="B28" s="1353"/>
      <c r="C28" s="1353"/>
      <c r="D28" s="79"/>
      <c r="E28" s="82"/>
      <c r="F28" s="83"/>
      <c r="G28" s="231"/>
      <c r="H28" s="9"/>
      <c r="I28" s="41"/>
      <c r="J28" s="41"/>
      <c r="K28" s="12"/>
      <c r="L28" s="13"/>
      <c r="M28" s="14"/>
      <c r="N28" s="14"/>
      <c r="O28" s="15"/>
      <c r="P28" s="5"/>
      <c r="Q28" s="5"/>
      <c r="R28" s="5"/>
      <c r="S28" s="5"/>
      <c r="T28" s="5"/>
      <c r="U28" s="5"/>
    </row>
    <row r="29" spans="1:21">
      <c r="A29" s="1352"/>
      <c r="B29" s="1353"/>
      <c r="C29" s="1353"/>
      <c r="D29" s="84"/>
      <c r="E29" s="84"/>
      <c r="F29" s="83"/>
      <c r="G29" s="231"/>
      <c r="H29" s="9"/>
      <c r="I29" s="42"/>
      <c r="J29" s="42"/>
      <c r="K29" s="42"/>
      <c r="L29" s="13"/>
      <c r="M29" s="14"/>
      <c r="N29" s="14"/>
      <c r="O29" s="15"/>
      <c r="P29" s="5"/>
      <c r="Q29" s="5"/>
      <c r="R29" s="5"/>
      <c r="S29" s="5"/>
      <c r="T29" s="5"/>
      <c r="U29" s="5"/>
    </row>
    <row r="30" spans="1:21">
      <c r="A30" s="1352"/>
      <c r="B30" s="1353"/>
      <c r="C30" s="1353"/>
      <c r="D30" s="85" t="s">
        <v>28</v>
      </c>
      <c r="E30" s="50"/>
      <c r="F30" s="49"/>
      <c r="G30" s="230">
        <f>SUM(G21:G29)</f>
        <v>865000</v>
      </c>
      <c r="H30" s="9"/>
      <c r="I30" s="8"/>
      <c r="J30" s="13"/>
      <c r="K30" s="8"/>
      <c r="L30" s="13"/>
      <c r="M30" s="14"/>
      <c r="N30" s="14"/>
      <c r="O30" s="15"/>
      <c r="P30" s="5"/>
    </row>
    <row r="31" spans="1:21" ht="3.75" customHeight="1">
      <c r="A31" s="226"/>
      <c r="B31" s="4"/>
      <c r="C31" s="6"/>
      <c r="D31" s="4"/>
      <c r="E31" s="4"/>
      <c r="F31" s="4"/>
      <c r="G31" s="227"/>
      <c r="H31" s="9"/>
      <c r="I31" s="8"/>
      <c r="J31" s="13"/>
      <c r="K31" s="18"/>
      <c r="L31" s="13"/>
      <c r="M31" s="33"/>
      <c r="N31" s="33"/>
      <c r="O31" s="15"/>
      <c r="P31" s="5"/>
    </row>
    <row r="32" spans="1:21" ht="22.5" customHeight="1">
      <c r="A32" s="1354" t="s">
        <v>71</v>
      </c>
      <c r="B32" s="1355"/>
      <c r="C32" s="1355"/>
      <c r="D32" s="1355"/>
      <c r="E32" s="1355"/>
      <c r="F32" s="1355"/>
      <c r="G32" s="1356"/>
      <c r="H32" s="9"/>
    </row>
    <row r="33" spans="1:16" ht="3.75" customHeight="1">
      <c r="A33" s="226"/>
      <c r="B33" s="4"/>
      <c r="C33" s="6"/>
      <c r="D33" s="4"/>
      <c r="E33" s="4"/>
      <c r="F33" s="4"/>
      <c r="G33" s="227"/>
      <c r="H33" s="9"/>
      <c r="I33" s="8"/>
      <c r="J33" s="13"/>
      <c r="K33" s="8"/>
      <c r="L33" s="8"/>
      <c r="M33" s="8"/>
      <c r="N33" s="8"/>
      <c r="O33" s="15"/>
      <c r="P33" s="5"/>
    </row>
    <row r="34" spans="1:16">
      <c r="A34" s="232" t="s">
        <v>5</v>
      </c>
      <c r="B34" s="60" t="s">
        <v>29</v>
      </c>
      <c r="C34" s="60" t="s">
        <v>30</v>
      </c>
      <c r="D34" s="60" t="s">
        <v>31</v>
      </c>
      <c r="E34" s="60" t="s">
        <v>32</v>
      </c>
      <c r="F34" s="60" t="s">
        <v>20</v>
      </c>
      <c r="G34" s="228" t="s">
        <v>33</v>
      </c>
      <c r="H34" s="27"/>
      <c r="I34" s="8"/>
      <c r="J34" s="13"/>
      <c r="K34" s="8"/>
      <c r="L34" s="8"/>
      <c r="M34" s="8"/>
      <c r="N34" s="8"/>
      <c r="O34" s="15"/>
      <c r="P34" s="5"/>
    </row>
    <row r="35" spans="1:16">
      <c r="A35" s="233" t="s">
        <v>41</v>
      </c>
      <c r="B35" s="63">
        <f>BOF</f>
        <v>51749</v>
      </c>
      <c r="C35" s="68">
        <f>ffpp</f>
        <v>0.64539999999999997</v>
      </c>
      <c r="D35" s="72">
        <v>1</v>
      </c>
      <c r="E35" s="66">
        <f>OF</f>
        <v>88696</v>
      </c>
      <c r="F35" s="65">
        <v>2</v>
      </c>
      <c r="G35" s="231">
        <f>ROUND(+D35*E35/F35,0)</f>
        <v>44348</v>
      </c>
      <c r="H35" s="9"/>
      <c r="I35" s="16"/>
      <c r="J35" s="13"/>
      <c r="K35" s="8"/>
      <c r="L35" s="8"/>
      <c r="M35" s="8"/>
      <c r="N35" s="8"/>
      <c r="O35" s="15"/>
      <c r="P35" s="5"/>
    </row>
    <row r="36" spans="1:16">
      <c r="A36" s="233" t="s">
        <v>38</v>
      </c>
      <c r="B36" s="63">
        <f>BOB</f>
        <v>41749</v>
      </c>
      <c r="C36" s="68">
        <f>ffpp</f>
        <v>0.64539999999999997</v>
      </c>
      <c r="D36" s="72">
        <v>3</v>
      </c>
      <c r="E36" s="66">
        <f>OB</f>
        <v>72242</v>
      </c>
      <c r="F36" s="65">
        <f>F35</f>
        <v>2</v>
      </c>
      <c r="G36" s="231">
        <f>ROUND(+D36*E36/F36,0)</f>
        <v>108363</v>
      </c>
      <c r="H36" s="9"/>
      <c r="I36" s="8"/>
      <c r="J36" s="8"/>
      <c r="K36" s="13"/>
      <c r="L36" s="13"/>
      <c r="M36" s="13"/>
      <c r="N36" s="13"/>
      <c r="O36" s="13"/>
      <c r="P36" s="5"/>
    </row>
    <row r="37" spans="1:16">
      <c r="A37" s="234"/>
      <c r="B37" s="50"/>
      <c r="C37" s="961"/>
      <c r="D37" s="50"/>
      <c r="E37" s="50"/>
      <c r="F37" s="50"/>
      <c r="G37" s="235"/>
      <c r="H37" s="9"/>
      <c r="I37" s="8"/>
      <c r="J37" s="13"/>
      <c r="K37" s="13"/>
      <c r="L37" s="13"/>
      <c r="M37" s="33"/>
      <c r="N37" s="33"/>
      <c r="O37" s="43"/>
      <c r="P37" s="5"/>
    </row>
    <row r="38" spans="1:16">
      <c r="A38" s="233"/>
      <c r="B38" s="65"/>
      <c r="C38" s="68"/>
      <c r="D38" s="65"/>
      <c r="E38" s="69"/>
      <c r="F38" s="69"/>
      <c r="G38" s="236"/>
      <c r="H38" s="9"/>
      <c r="I38" s="8"/>
      <c r="J38" s="13"/>
      <c r="K38" s="13"/>
      <c r="L38" s="13"/>
      <c r="M38" s="33"/>
      <c r="N38" s="33"/>
      <c r="O38" s="43"/>
      <c r="P38" s="5"/>
    </row>
    <row r="39" spans="1:16">
      <c r="A39" s="249"/>
      <c r="B39" s="71"/>
      <c r="C39" s="71"/>
      <c r="D39" s="71" t="s">
        <v>34</v>
      </c>
      <c r="E39" s="71"/>
      <c r="F39" s="71"/>
      <c r="G39" s="250">
        <f>SUM(G35:G38)</f>
        <v>152711</v>
      </c>
      <c r="H39" s="9"/>
      <c r="I39" s="8"/>
      <c r="J39" s="13"/>
      <c r="K39" s="13"/>
      <c r="L39" s="13"/>
      <c r="M39" s="14"/>
      <c r="N39" s="14"/>
      <c r="O39" s="15"/>
      <c r="P39" s="5"/>
    </row>
    <row r="40" spans="1:16">
      <c r="A40" s="226"/>
      <c r="B40" s="4"/>
      <c r="C40" s="6"/>
      <c r="D40" s="4"/>
      <c r="E40" s="4"/>
      <c r="F40" s="4"/>
      <c r="G40" s="227"/>
      <c r="H40" s="9"/>
      <c r="I40" s="8"/>
      <c r="J40" s="13"/>
      <c r="K40" s="13"/>
      <c r="L40" s="13"/>
      <c r="M40" s="14"/>
      <c r="N40" s="14"/>
      <c r="O40" s="19"/>
      <c r="P40" s="5"/>
    </row>
    <row r="41" spans="1:16">
      <c r="A41" s="226"/>
      <c r="B41" s="4"/>
      <c r="C41" s="6"/>
      <c r="D41" s="4"/>
      <c r="E41" s="4"/>
      <c r="F41" s="4"/>
      <c r="G41" s="227"/>
      <c r="H41" s="9"/>
      <c r="I41" s="8"/>
      <c r="J41" s="13"/>
      <c r="K41" s="13"/>
      <c r="L41" s="13"/>
      <c r="M41" s="17"/>
      <c r="N41" s="17"/>
      <c r="O41" s="37"/>
      <c r="P41" s="5"/>
    </row>
    <row r="42" spans="1:16" ht="14.25">
      <c r="A42" s="226"/>
      <c r="B42" s="4"/>
      <c r="C42" s="6"/>
      <c r="D42" s="1357" t="s">
        <v>35</v>
      </c>
      <c r="E42" s="1358"/>
      <c r="F42" s="1359"/>
      <c r="G42" s="239">
        <f>+G39+G30+G16</f>
        <v>1183132</v>
      </c>
      <c r="H42" s="9"/>
      <c r="I42" s="48"/>
      <c r="J42" s="20"/>
      <c r="K42" s="8"/>
      <c r="L42" s="8"/>
      <c r="M42" s="8"/>
      <c r="N42" s="8"/>
      <c r="O42" s="8"/>
      <c r="P42" s="5"/>
    </row>
    <row r="43" spans="1:16" ht="14.25">
      <c r="A43" s="240"/>
      <c r="B43" s="57"/>
      <c r="C43" s="58"/>
      <c r="D43" s="99"/>
      <c r="E43" s="99"/>
      <c r="F43" s="99"/>
      <c r="G43" s="251"/>
      <c r="H43" s="9"/>
      <c r="I43" s="48"/>
      <c r="J43" s="20"/>
      <c r="K43" s="8"/>
      <c r="L43" s="8"/>
      <c r="M43" s="8"/>
      <c r="N43" s="8"/>
      <c r="O43" s="8"/>
      <c r="P43" s="5"/>
    </row>
    <row r="44" spans="1:16" ht="14.25">
      <c r="A44" s="374"/>
      <c r="B44" s="375"/>
      <c r="C44" s="375"/>
      <c r="D44" s="99"/>
      <c r="E44" s="99"/>
      <c r="F44" s="99"/>
      <c r="G44" s="251"/>
      <c r="H44" s="9"/>
      <c r="I44" s="48"/>
      <c r="J44" s="20"/>
      <c r="K44" s="8"/>
      <c r="L44" s="8"/>
      <c r="M44" s="8"/>
      <c r="N44" s="8"/>
      <c r="O44" s="8"/>
      <c r="P44" s="5"/>
    </row>
    <row r="45" spans="1:16" ht="14.25">
      <c r="A45" s="373"/>
      <c r="B45" s="376"/>
      <c r="C45" s="376"/>
      <c r="D45" s="99"/>
      <c r="E45" s="99"/>
      <c r="F45" s="99"/>
      <c r="G45" s="251"/>
      <c r="H45" s="9"/>
      <c r="I45" s="48"/>
      <c r="J45" s="20"/>
      <c r="K45" s="8"/>
      <c r="L45" s="8"/>
      <c r="M45" s="8"/>
      <c r="N45" s="8"/>
      <c r="O45" s="8"/>
      <c r="P45" s="5"/>
    </row>
    <row r="46" spans="1:16" ht="14.25">
      <c r="A46" s="373"/>
      <c r="B46" s="376"/>
      <c r="C46" s="376"/>
      <c r="D46" s="44"/>
      <c r="E46" s="45"/>
      <c r="F46" s="45"/>
      <c r="G46" s="251"/>
      <c r="H46" s="9"/>
      <c r="I46" s="8"/>
      <c r="J46" s="13"/>
      <c r="K46" s="8"/>
      <c r="L46" s="8"/>
      <c r="M46" s="8"/>
      <c r="N46" s="8"/>
      <c r="O46" s="8"/>
      <c r="P46" s="5"/>
    </row>
    <row r="47" spans="1:16" ht="15" thickBot="1">
      <c r="A47" s="242"/>
      <c r="B47" s="243"/>
      <c r="C47" s="244"/>
      <c r="D47" s="245"/>
      <c r="E47" s="246"/>
      <c r="F47" s="246"/>
      <c r="G47" s="247"/>
      <c r="H47" s="9"/>
      <c r="I47" s="8"/>
      <c r="J47" s="13"/>
      <c r="K47" s="8"/>
      <c r="L47" s="8"/>
      <c r="M47" s="8"/>
      <c r="N47" s="8"/>
      <c r="O47" s="8"/>
      <c r="P47" s="5"/>
    </row>
    <row r="48" spans="1:16">
      <c r="I48" s="5"/>
      <c r="J48" s="5"/>
      <c r="K48" s="5"/>
      <c r="L48" s="5"/>
      <c r="M48" s="5"/>
      <c r="N48" s="5"/>
      <c r="O48" s="5"/>
      <c r="P48" s="5"/>
    </row>
    <row r="49" spans="9:16">
      <c r="I49" s="5"/>
      <c r="J49" s="5"/>
      <c r="K49" s="5"/>
      <c r="L49" s="5"/>
      <c r="M49" s="5"/>
      <c r="N49" s="5"/>
      <c r="O49" s="5"/>
      <c r="P49" s="5"/>
    </row>
  </sheetData>
  <mergeCells count="26">
    <mergeCell ref="A32:G32"/>
    <mergeCell ref="D42:F42"/>
    <mergeCell ref="A25:C25"/>
    <mergeCell ref="A26:C26"/>
    <mergeCell ref="A27:C27"/>
    <mergeCell ref="A28:C28"/>
    <mergeCell ref="A29:C29"/>
    <mergeCell ref="A30:C30"/>
    <mergeCell ref="A24:C24"/>
    <mergeCell ref="A11:C11"/>
    <mergeCell ref="A12:C12"/>
    <mergeCell ref="A13:C13"/>
    <mergeCell ref="A14:C14"/>
    <mergeCell ref="A15:C15"/>
    <mergeCell ref="A16:C16"/>
    <mergeCell ref="A18:G18"/>
    <mergeCell ref="A20:C20"/>
    <mergeCell ref="A21:C21"/>
    <mergeCell ref="A22:C22"/>
    <mergeCell ref="A23:C23"/>
    <mergeCell ref="A10:C10"/>
    <mergeCell ref="A1:G1"/>
    <mergeCell ref="A2:G2"/>
    <mergeCell ref="A3:G4"/>
    <mergeCell ref="B6:E6"/>
    <mergeCell ref="A8:G8"/>
  </mergeCells>
  <printOptions horizontalCentered="1" verticalCentered="1"/>
  <pageMargins left="0.74803149606299213" right="0.74803149606299213" top="0" bottom="0.98425196850393704" header="0" footer="0"/>
  <pageSetup scale="90" orientation="portrait" r:id="rId1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7"/>
  <dimension ref="A1:U49"/>
  <sheetViews>
    <sheetView view="pageBreakPreview" topLeftCell="A13" zoomScaleNormal="100" zoomScaleSheetLayoutView="100" workbookViewId="0">
      <selection activeCell="F22" sqref="F22"/>
    </sheetView>
  </sheetViews>
  <sheetFormatPr baseColWidth="10" defaultColWidth="10.7109375" defaultRowHeight="12.75"/>
  <cols>
    <col min="1" max="1" width="15.85546875" style="3" customWidth="1"/>
    <col min="2" max="2" width="14.85546875" style="3" customWidth="1"/>
    <col min="3" max="3" width="13.28515625" style="3" customWidth="1"/>
    <col min="4" max="4" width="11.42578125" style="3"/>
    <col min="5" max="5" width="13.42578125" style="3" customWidth="1"/>
    <col min="6" max="6" width="12.7109375" style="3" customWidth="1"/>
    <col min="7" max="7" width="14" style="3" customWidth="1"/>
    <col min="8" max="8" width="7.42578125" style="3" customWidth="1"/>
    <col min="9" max="256" width="11.42578125" style="3"/>
    <col min="257" max="257" width="15.85546875" style="3" customWidth="1"/>
    <col min="258" max="258" width="14.85546875" style="3" customWidth="1"/>
    <col min="259" max="259" width="13.28515625" style="3" customWidth="1"/>
    <col min="260" max="260" width="11.42578125" style="3"/>
    <col min="261" max="261" width="13.42578125" style="3" customWidth="1"/>
    <col min="262" max="262" width="12.7109375" style="3" customWidth="1"/>
    <col min="263" max="263" width="14" style="3" customWidth="1"/>
    <col min="264" max="264" width="7.42578125" style="3" customWidth="1"/>
    <col min="265" max="512" width="11.42578125" style="3"/>
    <col min="513" max="513" width="15.85546875" style="3" customWidth="1"/>
    <col min="514" max="514" width="14.85546875" style="3" customWidth="1"/>
    <col min="515" max="515" width="13.28515625" style="3" customWidth="1"/>
    <col min="516" max="516" width="11.42578125" style="3"/>
    <col min="517" max="517" width="13.42578125" style="3" customWidth="1"/>
    <col min="518" max="518" width="12.7109375" style="3" customWidth="1"/>
    <col min="519" max="519" width="14" style="3" customWidth="1"/>
    <col min="520" max="520" width="7.42578125" style="3" customWidth="1"/>
    <col min="521" max="768" width="11.42578125" style="3"/>
    <col min="769" max="769" width="15.85546875" style="3" customWidth="1"/>
    <col min="770" max="770" width="14.85546875" style="3" customWidth="1"/>
    <col min="771" max="771" width="13.28515625" style="3" customWidth="1"/>
    <col min="772" max="772" width="11.42578125" style="3"/>
    <col min="773" max="773" width="13.42578125" style="3" customWidth="1"/>
    <col min="774" max="774" width="12.7109375" style="3" customWidth="1"/>
    <col min="775" max="775" width="14" style="3" customWidth="1"/>
    <col min="776" max="776" width="7.42578125" style="3" customWidth="1"/>
    <col min="777" max="1024" width="11.42578125" style="3"/>
    <col min="1025" max="1025" width="15.85546875" style="3" customWidth="1"/>
    <col min="1026" max="1026" width="14.85546875" style="3" customWidth="1"/>
    <col min="1027" max="1027" width="13.28515625" style="3" customWidth="1"/>
    <col min="1028" max="1028" width="11.42578125" style="3"/>
    <col min="1029" max="1029" width="13.42578125" style="3" customWidth="1"/>
    <col min="1030" max="1030" width="12.7109375" style="3" customWidth="1"/>
    <col min="1031" max="1031" width="14" style="3" customWidth="1"/>
    <col min="1032" max="1032" width="7.42578125" style="3" customWidth="1"/>
    <col min="1033" max="1280" width="11.42578125" style="3"/>
    <col min="1281" max="1281" width="15.85546875" style="3" customWidth="1"/>
    <col min="1282" max="1282" width="14.85546875" style="3" customWidth="1"/>
    <col min="1283" max="1283" width="13.28515625" style="3" customWidth="1"/>
    <col min="1284" max="1284" width="11.42578125" style="3"/>
    <col min="1285" max="1285" width="13.42578125" style="3" customWidth="1"/>
    <col min="1286" max="1286" width="12.7109375" style="3" customWidth="1"/>
    <col min="1287" max="1287" width="14" style="3" customWidth="1"/>
    <col min="1288" max="1288" width="7.42578125" style="3" customWidth="1"/>
    <col min="1289" max="1536" width="11.42578125" style="3"/>
    <col min="1537" max="1537" width="15.85546875" style="3" customWidth="1"/>
    <col min="1538" max="1538" width="14.85546875" style="3" customWidth="1"/>
    <col min="1539" max="1539" width="13.28515625" style="3" customWidth="1"/>
    <col min="1540" max="1540" width="11.42578125" style="3"/>
    <col min="1541" max="1541" width="13.42578125" style="3" customWidth="1"/>
    <col min="1542" max="1542" width="12.7109375" style="3" customWidth="1"/>
    <col min="1543" max="1543" width="14" style="3" customWidth="1"/>
    <col min="1544" max="1544" width="7.42578125" style="3" customWidth="1"/>
    <col min="1545" max="1792" width="11.42578125" style="3"/>
    <col min="1793" max="1793" width="15.85546875" style="3" customWidth="1"/>
    <col min="1794" max="1794" width="14.85546875" style="3" customWidth="1"/>
    <col min="1795" max="1795" width="13.28515625" style="3" customWidth="1"/>
    <col min="1796" max="1796" width="11.42578125" style="3"/>
    <col min="1797" max="1797" width="13.42578125" style="3" customWidth="1"/>
    <col min="1798" max="1798" width="12.7109375" style="3" customWidth="1"/>
    <col min="1799" max="1799" width="14" style="3" customWidth="1"/>
    <col min="1800" max="1800" width="7.42578125" style="3" customWidth="1"/>
    <col min="1801" max="2048" width="11.42578125" style="3"/>
    <col min="2049" max="2049" width="15.85546875" style="3" customWidth="1"/>
    <col min="2050" max="2050" width="14.85546875" style="3" customWidth="1"/>
    <col min="2051" max="2051" width="13.28515625" style="3" customWidth="1"/>
    <col min="2052" max="2052" width="11.42578125" style="3"/>
    <col min="2053" max="2053" width="13.42578125" style="3" customWidth="1"/>
    <col min="2054" max="2054" width="12.7109375" style="3" customWidth="1"/>
    <col min="2055" max="2055" width="14" style="3" customWidth="1"/>
    <col min="2056" max="2056" width="7.42578125" style="3" customWidth="1"/>
    <col min="2057" max="2304" width="11.42578125" style="3"/>
    <col min="2305" max="2305" width="15.85546875" style="3" customWidth="1"/>
    <col min="2306" max="2306" width="14.85546875" style="3" customWidth="1"/>
    <col min="2307" max="2307" width="13.28515625" style="3" customWidth="1"/>
    <col min="2308" max="2308" width="11.42578125" style="3"/>
    <col min="2309" max="2309" width="13.42578125" style="3" customWidth="1"/>
    <col min="2310" max="2310" width="12.7109375" style="3" customWidth="1"/>
    <col min="2311" max="2311" width="14" style="3" customWidth="1"/>
    <col min="2312" max="2312" width="7.42578125" style="3" customWidth="1"/>
    <col min="2313" max="2560" width="11.42578125" style="3"/>
    <col min="2561" max="2561" width="15.85546875" style="3" customWidth="1"/>
    <col min="2562" max="2562" width="14.85546875" style="3" customWidth="1"/>
    <col min="2563" max="2563" width="13.28515625" style="3" customWidth="1"/>
    <col min="2564" max="2564" width="11.42578125" style="3"/>
    <col min="2565" max="2565" width="13.42578125" style="3" customWidth="1"/>
    <col min="2566" max="2566" width="12.7109375" style="3" customWidth="1"/>
    <col min="2567" max="2567" width="14" style="3" customWidth="1"/>
    <col min="2568" max="2568" width="7.42578125" style="3" customWidth="1"/>
    <col min="2569" max="2816" width="11.42578125" style="3"/>
    <col min="2817" max="2817" width="15.85546875" style="3" customWidth="1"/>
    <col min="2818" max="2818" width="14.85546875" style="3" customWidth="1"/>
    <col min="2819" max="2819" width="13.28515625" style="3" customWidth="1"/>
    <col min="2820" max="2820" width="11.42578125" style="3"/>
    <col min="2821" max="2821" width="13.42578125" style="3" customWidth="1"/>
    <col min="2822" max="2822" width="12.7109375" style="3" customWidth="1"/>
    <col min="2823" max="2823" width="14" style="3" customWidth="1"/>
    <col min="2824" max="2824" width="7.42578125" style="3" customWidth="1"/>
    <col min="2825" max="3072" width="11.42578125" style="3"/>
    <col min="3073" max="3073" width="15.85546875" style="3" customWidth="1"/>
    <col min="3074" max="3074" width="14.85546875" style="3" customWidth="1"/>
    <col min="3075" max="3075" width="13.28515625" style="3" customWidth="1"/>
    <col min="3076" max="3076" width="11.42578125" style="3"/>
    <col min="3077" max="3077" width="13.42578125" style="3" customWidth="1"/>
    <col min="3078" max="3078" width="12.7109375" style="3" customWidth="1"/>
    <col min="3079" max="3079" width="14" style="3" customWidth="1"/>
    <col min="3080" max="3080" width="7.42578125" style="3" customWidth="1"/>
    <col min="3081" max="3328" width="11.42578125" style="3"/>
    <col min="3329" max="3329" width="15.85546875" style="3" customWidth="1"/>
    <col min="3330" max="3330" width="14.85546875" style="3" customWidth="1"/>
    <col min="3331" max="3331" width="13.28515625" style="3" customWidth="1"/>
    <col min="3332" max="3332" width="11.42578125" style="3"/>
    <col min="3333" max="3333" width="13.42578125" style="3" customWidth="1"/>
    <col min="3334" max="3334" width="12.7109375" style="3" customWidth="1"/>
    <col min="3335" max="3335" width="14" style="3" customWidth="1"/>
    <col min="3336" max="3336" width="7.42578125" style="3" customWidth="1"/>
    <col min="3337" max="3584" width="11.42578125" style="3"/>
    <col min="3585" max="3585" width="15.85546875" style="3" customWidth="1"/>
    <col min="3586" max="3586" width="14.85546875" style="3" customWidth="1"/>
    <col min="3587" max="3587" width="13.28515625" style="3" customWidth="1"/>
    <col min="3588" max="3588" width="11.42578125" style="3"/>
    <col min="3589" max="3589" width="13.42578125" style="3" customWidth="1"/>
    <col min="3590" max="3590" width="12.7109375" style="3" customWidth="1"/>
    <col min="3591" max="3591" width="14" style="3" customWidth="1"/>
    <col min="3592" max="3592" width="7.42578125" style="3" customWidth="1"/>
    <col min="3593" max="3840" width="11.42578125" style="3"/>
    <col min="3841" max="3841" width="15.85546875" style="3" customWidth="1"/>
    <col min="3842" max="3842" width="14.85546875" style="3" customWidth="1"/>
    <col min="3843" max="3843" width="13.28515625" style="3" customWidth="1"/>
    <col min="3844" max="3844" width="11.42578125" style="3"/>
    <col min="3845" max="3845" width="13.42578125" style="3" customWidth="1"/>
    <col min="3846" max="3846" width="12.7109375" style="3" customWidth="1"/>
    <col min="3847" max="3847" width="14" style="3" customWidth="1"/>
    <col min="3848" max="3848" width="7.42578125" style="3" customWidth="1"/>
    <col min="3849" max="4096" width="11.42578125" style="3"/>
    <col min="4097" max="4097" width="15.85546875" style="3" customWidth="1"/>
    <col min="4098" max="4098" width="14.85546875" style="3" customWidth="1"/>
    <col min="4099" max="4099" width="13.28515625" style="3" customWidth="1"/>
    <col min="4100" max="4100" width="11.42578125" style="3"/>
    <col min="4101" max="4101" width="13.42578125" style="3" customWidth="1"/>
    <col min="4102" max="4102" width="12.7109375" style="3" customWidth="1"/>
    <col min="4103" max="4103" width="14" style="3" customWidth="1"/>
    <col min="4104" max="4104" width="7.42578125" style="3" customWidth="1"/>
    <col min="4105" max="4352" width="11.42578125" style="3"/>
    <col min="4353" max="4353" width="15.85546875" style="3" customWidth="1"/>
    <col min="4354" max="4354" width="14.85546875" style="3" customWidth="1"/>
    <col min="4355" max="4355" width="13.28515625" style="3" customWidth="1"/>
    <col min="4356" max="4356" width="11.42578125" style="3"/>
    <col min="4357" max="4357" width="13.42578125" style="3" customWidth="1"/>
    <col min="4358" max="4358" width="12.7109375" style="3" customWidth="1"/>
    <col min="4359" max="4359" width="14" style="3" customWidth="1"/>
    <col min="4360" max="4360" width="7.42578125" style="3" customWidth="1"/>
    <col min="4361" max="4608" width="11.42578125" style="3"/>
    <col min="4609" max="4609" width="15.85546875" style="3" customWidth="1"/>
    <col min="4610" max="4610" width="14.85546875" style="3" customWidth="1"/>
    <col min="4611" max="4611" width="13.28515625" style="3" customWidth="1"/>
    <col min="4612" max="4612" width="11.42578125" style="3"/>
    <col min="4613" max="4613" width="13.42578125" style="3" customWidth="1"/>
    <col min="4614" max="4614" width="12.7109375" style="3" customWidth="1"/>
    <col min="4615" max="4615" width="14" style="3" customWidth="1"/>
    <col min="4616" max="4616" width="7.42578125" style="3" customWidth="1"/>
    <col min="4617" max="4864" width="11.42578125" style="3"/>
    <col min="4865" max="4865" width="15.85546875" style="3" customWidth="1"/>
    <col min="4866" max="4866" width="14.85546875" style="3" customWidth="1"/>
    <col min="4867" max="4867" width="13.28515625" style="3" customWidth="1"/>
    <col min="4868" max="4868" width="11.42578125" style="3"/>
    <col min="4869" max="4869" width="13.42578125" style="3" customWidth="1"/>
    <col min="4870" max="4870" width="12.7109375" style="3" customWidth="1"/>
    <col min="4871" max="4871" width="14" style="3" customWidth="1"/>
    <col min="4872" max="4872" width="7.42578125" style="3" customWidth="1"/>
    <col min="4873" max="5120" width="11.42578125" style="3"/>
    <col min="5121" max="5121" width="15.85546875" style="3" customWidth="1"/>
    <col min="5122" max="5122" width="14.85546875" style="3" customWidth="1"/>
    <col min="5123" max="5123" width="13.28515625" style="3" customWidth="1"/>
    <col min="5124" max="5124" width="11.42578125" style="3"/>
    <col min="5125" max="5125" width="13.42578125" style="3" customWidth="1"/>
    <col min="5126" max="5126" width="12.7109375" style="3" customWidth="1"/>
    <col min="5127" max="5127" width="14" style="3" customWidth="1"/>
    <col min="5128" max="5128" width="7.42578125" style="3" customWidth="1"/>
    <col min="5129" max="5376" width="11.42578125" style="3"/>
    <col min="5377" max="5377" width="15.85546875" style="3" customWidth="1"/>
    <col min="5378" max="5378" width="14.85546875" style="3" customWidth="1"/>
    <col min="5379" max="5379" width="13.28515625" style="3" customWidth="1"/>
    <col min="5380" max="5380" width="11.42578125" style="3"/>
    <col min="5381" max="5381" width="13.42578125" style="3" customWidth="1"/>
    <col min="5382" max="5382" width="12.7109375" style="3" customWidth="1"/>
    <col min="5383" max="5383" width="14" style="3" customWidth="1"/>
    <col min="5384" max="5384" width="7.42578125" style="3" customWidth="1"/>
    <col min="5385" max="5632" width="11.42578125" style="3"/>
    <col min="5633" max="5633" width="15.85546875" style="3" customWidth="1"/>
    <col min="5634" max="5634" width="14.85546875" style="3" customWidth="1"/>
    <col min="5635" max="5635" width="13.28515625" style="3" customWidth="1"/>
    <col min="5636" max="5636" width="11.42578125" style="3"/>
    <col min="5637" max="5637" width="13.42578125" style="3" customWidth="1"/>
    <col min="5638" max="5638" width="12.7109375" style="3" customWidth="1"/>
    <col min="5639" max="5639" width="14" style="3" customWidth="1"/>
    <col min="5640" max="5640" width="7.42578125" style="3" customWidth="1"/>
    <col min="5641" max="5888" width="11.42578125" style="3"/>
    <col min="5889" max="5889" width="15.85546875" style="3" customWidth="1"/>
    <col min="5890" max="5890" width="14.85546875" style="3" customWidth="1"/>
    <col min="5891" max="5891" width="13.28515625" style="3" customWidth="1"/>
    <col min="5892" max="5892" width="11.42578125" style="3"/>
    <col min="5893" max="5893" width="13.42578125" style="3" customWidth="1"/>
    <col min="5894" max="5894" width="12.7109375" style="3" customWidth="1"/>
    <col min="5895" max="5895" width="14" style="3" customWidth="1"/>
    <col min="5896" max="5896" width="7.42578125" style="3" customWidth="1"/>
    <col min="5897" max="6144" width="11.42578125" style="3"/>
    <col min="6145" max="6145" width="15.85546875" style="3" customWidth="1"/>
    <col min="6146" max="6146" width="14.85546875" style="3" customWidth="1"/>
    <col min="6147" max="6147" width="13.28515625" style="3" customWidth="1"/>
    <col min="6148" max="6148" width="11.42578125" style="3"/>
    <col min="6149" max="6149" width="13.42578125" style="3" customWidth="1"/>
    <col min="6150" max="6150" width="12.7109375" style="3" customWidth="1"/>
    <col min="6151" max="6151" width="14" style="3" customWidth="1"/>
    <col min="6152" max="6152" width="7.42578125" style="3" customWidth="1"/>
    <col min="6153" max="6400" width="11.42578125" style="3"/>
    <col min="6401" max="6401" width="15.85546875" style="3" customWidth="1"/>
    <col min="6402" max="6402" width="14.85546875" style="3" customWidth="1"/>
    <col min="6403" max="6403" width="13.28515625" style="3" customWidth="1"/>
    <col min="6404" max="6404" width="11.42578125" style="3"/>
    <col min="6405" max="6405" width="13.42578125" style="3" customWidth="1"/>
    <col min="6406" max="6406" width="12.7109375" style="3" customWidth="1"/>
    <col min="6407" max="6407" width="14" style="3" customWidth="1"/>
    <col min="6408" max="6408" width="7.42578125" style="3" customWidth="1"/>
    <col min="6409" max="6656" width="11.42578125" style="3"/>
    <col min="6657" max="6657" width="15.85546875" style="3" customWidth="1"/>
    <col min="6658" max="6658" width="14.85546875" style="3" customWidth="1"/>
    <col min="6659" max="6659" width="13.28515625" style="3" customWidth="1"/>
    <col min="6660" max="6660" width="11.42578125" style="3"/>
    <col min="6661" max="6661" width="13.42578125" style="3" customWidth="1"/>
    <col min="6662" max="6662" width="12.7109375" style="3" customWidth="1"/>
    <col min="6663" max="6663" width="14" style="3" customWidth="1"/>
    <col min="6664" max="6664" width="7.42578125" style="3" customWidth="1"/>
    <col min="6665" max="6912" width="11.42578125" style="3"/>
    <col min="6913" max="6913" width="15.85546875" style="3" customWidth="1"/>
    <col min="6914" max="6914" width="14.85546875" style="3" customWidth="1"/>
    <col min="6915" max="6915" width="13.28515625" style="3" customWidth="1"/>
    <col min="6916" max="6916" width="11.42578125" style="3"/>
    <col min="6917" max="6917" width="13.42578125" style="3" customWidth="1"/>
    <col min="6918" max="6918" width="12.7109375" style="3" customWidth="1"/>
    <col min="6919" max="6919" width="14" style="3" customWidth="1"/>
    <col min="6920" max="6920" width="7.42578125" style="3" customWidth="1"/>
    <col min="6921" max="7168" width="11.42578125" style="3"/>
    <col min="7169" max="7169" width="15.85546875" style="3" customWidth="1"/>
    <col min="7170" max="7170" width="14.85546875" style="3" customWidth="1"/>
    <col min="7171" max="7171" width="13.28515625" style="3" customWidth="1"/>
    <col min="7172" max="7172" width="11.42578125" style="3"/>
    <col min="7173" max="7173" width="13.42578125" style="3" customWidth="1"/>
    <col min="7174" max="7174" width="12.7109375" style="3" customWidth="1"/>
    <col min="7175" max="7175" width="14" style="3" customWidth="1"/>
    <col min="7176" max="7176" width="7.42578125" style="3" customWidth="1"/>
    <col min="7177" max="7424" width="11.42578125" style="3"/>
    <col min="7425" max="7425" width="15.85546875" style="3" customWidth="1"/>
    <col min="7426" max="7426" width="14.85546875" style="3" customWidth="1"/>
    <col min="7427" max="7427" width="13.28515625" style="3" customWidth="1"/>
    <col min="7428" max="7428" width="11.42578125" style="3"/>
    <col min="7429" max="7429" width="13.42578125" style="3" customWidth="1"/>
    <col min="7430" max="7430" width="12.7109375" style="3" customWidth="1"/>
    <col min="7431" max="7431" width="14" style="3" customWidth="1"/>
    <col min="7432" max="7432" width="7.42578125" style="3" customWidth="1"/>
    <col min="7433" max="7680" width="11.42578125" style="3"/>
    <col min="7681" max="7681" width="15.85546875" style="3" customWidth="1"/>
    <col min="7682" max="7682" width="14.85546875" style="3" customWidth="1"/>
    <col min="7683" max="7683" width="13.28515625" style="3" customWidth="1"/>
    <col min="7684" max="7684" width="11.42578125" style="3"/>
    <col min="7685" max="7685" width="13.42578125" style="3" customWidth="1"/>
    <col min="7686" max="7686" width="12.7109375" style="3" customWidth="1"/>
    <col min="7687" max="7687" width="14" style="3" customWidth="1"/>
    <col min="7688" max="7688" width="7.42578125" style="3" customWidth="1"/>
    <col min="7689" max="7936" width="11.42578125" style="3"/>
    <col min="7937" max="7937" width="15.85546875" style="3" customWidth="1"/>
    <col min="7938" max="7938" width="14.85546875" style="3" customWidth="1"/>
    <col min="7939" max="7939" width="13.28515625" style="3" customWidth="1"/>
    <col min="7940" max="7940" width="11.42578125" style="3"/>
    <col min="7941" max="7941" width="13.42578125" style="3" customWidth="1"/>
    <col min="7942" max="7942" width="12.7109375" style="3" customWidth="1"/>
    <col min="7943" max="7943" width="14" style="3" customWidth="1"/>
    <col min="7944" max="7944" width="7.42578125" style="3" customWidth="1"/>
    <col min="7945" max="8192" width="11.42578125" style="3"/>
    <col min="8193" max="8193" width="15.85546875" style="3" customWidth="1"/>
    <col min="8194" max="8194" width="14.85546875" style="3" customWidth="1"/>
    <col min="8195" max="8195" width="13.28515625" style="3" customWidth="1"/>
    <col min="8196" max="8196" width="11.42578125" style="3"/>
    <col min="8197" max="8197" width="13.42578125" style="3" customWidth="1"/>
    <col min="8198" max="8198" width="12.7109375" style="3" customWidth="1"/>
    <col min="8199" max="8199" width="14" style="3" customWidth="1"/>
    <col min="8200" max="8200" width="7.42578125" style="3" customWidth="1"/>
    <col min="8201" max="8448" width="11.42578125" style="3"/>
    <col min="8449" max="8449" width="15.85546875" style="3" customWidth="1"/>
    <col min="8450" max="8450" width="14.85546875" style="3" customWidth="1"/>
    <col min="8451" max="8451" width="13.28515625" style="3" customWidth="1"/>
    <col min="8452" max="8452" width="11.42578125" style="3"/>
    <col min="8453" max="8453" width="13.42578125" style="3" customWidth="1"/>
    <col min="8454" max="8454" width="12.7109375" style="3" customWidth="1"/>
    <col min="8455" max="8455" width="14" style="3" customWidth="1"/>
    <col min="8456" max="8456" width="7.42578125" style="3" customWidth="1"/>
    <col min="8457" max="8704" width="11.42578125" style="3"/>
    <col min="8705" max="8705" width="15.85546875" style="3" customWidth="1"/>
    <col min="8706" max="8706" width="14.85546875" style="3" customWidth="1"/>
    <col min="8707" max="8707" width="13.28515625" style="3" customWidth="1"/>
    <col min="8708" max="8708" width="11.42578125" style="3"/>
    <col min="8709" max="8709" width="13.42578125" style="3" customWidth="1"/>
    <col min="8710" max="8710" width="12.7109375" style="3" customWidth="1"/>
    <col min="8711" max="8711" width="14" style="3" customWidth="1"/>
    <col min="8712" max="8712" width="7.42578125" style="3" customWidth="1"/>
    <col min="8713" max="8960" width="11.42578125" style="3"/>
    <col min="8961" max="8961" width="15.85546875" style="3" customWidth="1"/>
    <col min="8962" max="8962" width="14.85546875" style="3" customWidth="1"/>
    <col min="8963" max="8963" width="13.28515625" style="3" customWidth="1"/>
    <col min="8964" max="8964" width="11.42578125" style="3"/>
    <col min="8965" max="8965" width="13.42578125" style="3" customWidth="1"/>
    <col min="8966" max="8966" width="12.7109375" style="3" customWidth="1"/>
    <col min="8967" max="8967" width="14" style="3" customWidth="1"/>
    <col min="8968" max="8968" width="7.42578125" style="3" customWidth="1"/>
    <col min="8969" max="9216" width="11.42578125" style="3"/>
    <col min="9217" max="9217" width="15.85546875" style="3" customWidth="1"/>
    <col min="9218" max="9218" width="14.85546875" style="3" customWidth="1"/>
    <col min="9219" max="9219" width="13.28515625" style="3" customWidth="1"/>
    <col min="9220" max="9220" width="11.42578125" style="3"/>
    <col min="9221" max="9221" width="13.42578125" style="3" customWidth="1"/>
    <col min="9222" max="9222" width="12.7109375" style="3" customWidth="1"/>
    <col min="9223" max="9223" width="14" style="3" customWidth="1"/>
    <col min="9224" max="9224" width="7.42578125" style="3" customWidth="1"/>
    <col min="9225" max="9472" width="11.42578125" style="3"/>
    <col min="9473" max="9473" width="15.85546875" style="3" customWidth="1"/>
    <col min="9474" max="9474" width="14.85546875" style="3" customWidth="1"/>
    <col min="9475" max="9475" width="13.28515625" style="3" customWidth="1"/>
    <col min="9476" max="9476" width="11.42578125" style="3"/>
    <col min="9477" max="9477" width="13.42578125" style="3" customWidth="1"/>
    <col min="9478" max="9478" width="12.7109375" style="3" customWidth="1"/>
    <col min="9479" max="9479" width="14" style="3" customWidth="1"/>
    <col min="9480" max="9480" width="7.42578125" style="3" customWidth="1"/>
    <col min="9481" max="9728" width="11.42578125" style="3"/>
    <col min="9729" max="9729" width="15.85546875" style="3" customWidth="1"/>
    <col min="9730" max="9730" width="14.85546875" style="3" customWidth="1"/>
    <col min="9731" max="9731" width="13.28515625" style="3" customWidth="1"/>
    <col min="9732" max="9732" width="11.42578125" style="3"/>
    <col min="9733" max="9733" width="13.42578125" style="3" customWidth="1"/>
    <col min="9734" max="9734" width="12.7109375" style="3" customWidth="1"/>
    <col min="9735" max="9735" width="14" style="3" customWidth="1"/>
    <col min="9736" max="9736" width="7.42578125" style="3" customWidth="1"/>
    <col min="9737" max="9984" width="11.42578125" style="3"/>
    <col min="9985" max="9985" width="15.85546875" style="3" customWidth="1"/>
    <col min="9986" max="9986" width="14.85546875" style="3" customWidth="1"/>
    <col min="9987" max="9987" width="13.28515625" style="3" customWidth="1"/>
    <col min="9988" max="9988" width="11.42578125" style="3"/>
    <col min="9989" max="9989" width="13.42578125" style="3" customWidth="1"/>
    <col min="9990" max="9990" width="12.7109375" style="3" customWidth="1"/>
    <col min="9991" max="9991" width="14" style="3" customWidth="1"/>
    <col min="9992" max="9992" width="7.42578125" style="3" customWidth="1"/>
    <col min="9993" max="10240" width="11.42578125" style="3"/>
    <col min="10241" max="10241" width="15.85546875" style="3" customWidth="1"/>
    <col min="10242" max="10242" width="14.85546875" style="3" customWidth="1"/>
    <col min="10243" max="10243" width="13.28515625" style="3" customWidth="1"/>
    <col min="10244" max="10244" width="11.42578125" style="3"/>
    <col min="10245" max="10245" width="13.42578125" style="3" customWidth="1"/>
    <col min="10246" max="10246" width="12.7109375" style="3" customWidth="1"/>
    <col min="10247" max="10247" width="14" style="3" customWidth="1"/>
    <col min="10248" max="10248" width="7.42578125" style="3" customWidth="1"/>
    <col min="10249" max="10496" width="11.42578125" style="3"/>
    <col min="10497" max="10497" width="15.85546875" style="3" customWidth="1"/>
    <col min="10498" max="10498" width="14.85546875" style="3" customWidth="1"/>
    <col min="10499" max="10499" width="13.28515625" style="3" customWidth="1"/>
    <col min="10500" max="10500" width="11.42578125" style="3"/>
    <col min="10501" max="10501" width="13.42578125" style="3" customWidth="1"/>
    <col min="10502" max="10502" width="12.7109375" style="3" customWidth="1"/>
    <col min="10503" max="10503" width="14" style="3" customWidth="1"/>
    <col min="10504" max="10504" width="7.42578125" style="3" customWidth="1"/>
    <col min="10505" max="10752" width="11.42578125" style="3"/>
    <col min="10753" max="10753" width="15.85546875" style="3" customWidth="1"/>
    <col min="10754" max="10754" width="14.85546875" style="3" customWidth="1"/>
    <col min="10755" max="10755" width="13.28515625" style="3" customWidth="1"/>
    <col min="10756" max="10756" width="11.42578125" style="3"/>
    <col min="10757" max="10757" width="13.42578125" style="3" customWidth="1"/>
    <col min="10758" max="10758" width="12.7109375" style="3" customWidth="1"/>
    <col min="10759" max="10759" width="14" style="3" customWidth="1"/>
    <col min="10760" max="10760" width="7.42578125" style="3" customWidth="1"/>
    <col min="10761" max="11008" width="11.42578125" style="3"/>
    <col min="11009" max="11009" width="15.85546875" style="3" customWidth="1"/>
    <col min="11010" max="11010" width="14.85546875" style="3" customWidth="1"/>
    <col min="11011" max="11011" width="13.28515625" style="3" customWidth="1"/>
    <col min="11012" max="11012" width="11.42578125" style="3"/>
    <col min="11013" max="11013" width="13.42578125" style="3" customWidth="1"/>
    <col min="11014" max="11014" width="12.7109375" style="3" customWidth="1"/>
    <col min="11015" max="11015" width="14" style="3" customWidth="1"/>
    <col min="11016" max="11016" width="7.42578125" style="3" customWidth="1"/>
    <col min="11017" max="11264" width="11.42578125" style="3"/>
    <col min="11265" max="11265" width="15.85546875" style="3" customWidth="1"/>
    <col min="11266" max="11266" width="14.85546875" style="3" customWidth="1"/>
    <col min="11267" max="11267" width="13.28515625" style="3" customWidth="1"/>
    <col min="11268" max="11268" width="11.42578125" style="3"/>
    <col min="11269" max="11269" width="13.42578125" style="3" customWidth="1"/>
    <col min="11270" max="11270" width="12.7109375" style="3" customWidth="1"/>
    <col min="11271" max="11271" width="14" style="3" customWidth="1"/>
    <col min="11272" max="11272" width="7.42578125" style="3" customWidth="1"/>
    <col min="11273" max="11520" width="11.42578125" style="3"/>
    <col min="11521" max="11521" width="15.85546875" style="3" customWidth="1"/>
    <col min="11522" max="11522" width="14.85546875" style="3" customWidth="1"/>
    <col min="11523" max="11523" width="13.28515625" style="3" customWidth="1"/>
    <col min="11524" max="11524" width="11.42578125" style="3"/>
    <col min="11525" max="11525" width="13.42578125" style="3" customWidth="1"/>
    <col min="11526" max="11526" width="12.7109375" style="3" customWidth="1"/>
    <col min="11527" max="11527" width="14" style="3" customWidth="1"/>
    <col min="11528" max="11528" width="7.42578125" style="3" customWidth="1"/>
    <col min="11529" max="11776" width="11.42578125" style="3"/>
    <col min="11777" max="11777" width="15.85546875" style="3" customWidth="1"/>
    <col min="11778" max="11778" width="14.85546875" style="3" customWidth="1"/>
    <col min="11779" max="11779" width="13.28515625" style="3" customWidth="1"/>
    <col min="11780" max="11780" width="11.42578125" style="3"/>
    <col min="11781" max="11781" width="13.42578125" style="3" customWidth="1"/>
    <col min="11782" max="11782" width="12.7109375" style="3" customWidth="1"/>
    <col min="11783" max="11783" width="14" style="3" customWidth="1"/>
    <col min="11784" max="11784" width="7.42578125" style="3" customWidth="1"/>
    <col min="11785" max="12032" width="11.42578125" style="3"/>
    <col min="12033" max="12033" width="15.85546875" style="3" customWidth="1"/>
    <col min="12034" max="12034" width="14.85546875" style="3" customWidth="1"/>
    <col min="12035" max="12035" width="13.28515625" style="3" customWidth="1"/>
    <col min="12036" max="12036" width="11.42578125" style="3"/>
    <col min="12037" max="12037" width="13.42578125" style="3" customWidth="1"/>
    <col min="12038" max="12038" width="12.7109375" style="3" customWidth="1"/>
    <col min="12039" max="12039" width="14" style="3" customWidth="1"/>
    <col min="12040" max="12040" width="7.42578125" style="3" customWidth="1"/>
    <col min="12041" max="12288" width="11.42578125" style="3"/>
    <col min="12289" max="12289" width="15.85546875" style="3" customWidth="1"/>
    <col min="12290" max="12290" width="14.85546875" style="3" customWidth="1"/>
    <col min="12291" max="12291" width="13.28515625" style="3" customWidth="1"/>
    <col min="12292" max="12292" width="11.42578125" style="3"/>
    <col min="12293" max="12293" width="13.42578125" style="3" customWidth="1"/>
    <col min="12294" max="12294" width="12.7109375" style="3" customWidth="1"/>
    <col min="12295" max="12295" width="14" style="3" customWidth="1"/>
    <col min="12296" max="12296" width="7.42578125" style="3" customWidth="1"/>
    <col min="12297" max="12544" width="11.42578125" style="3"/>
    <col min="12545" max="12545" width="15.85546875" style="3" customWidth="1"/>
    <col min="12546" max="12546" width="14.85546875" style="3" customWidth="1"/>
    <col min="12547" max="12547" width="13.28515625" style="3" customWidth="1"/>
    <col min="12548" max="12548" width="11.42578125" style="3"/>
    <col min="12549" max="12549" width="13.42578125" style="3" customWidth="1"/>
    <col min="12550" max="12550" width="12.7109375" style="3" customWidth="1"/>
    <col min="12551" max="12551" width="14" style="3" customWidth="1"/>
    <col min="12552" max="12552" width="7.42578125" style="3" customWidth="1"/>
    <col min="12553" max="12800" width="11.42578125" style="3"/>
    <col min="12801" max="12801" width="15.85546875" style="3" customWidth="1"/>
    <col min="12802" max="12802" width="14.85546875" style="3" customWidth="1"/>
    <col min="12803" max="12803" width="13.28515625" style="3" customWidth="1"/>
    <col min="12804" max="12804" width="11.42578125" style="3"/>
    <col min="12805" max="12805" width="13.42578125" style="3" customWidth="1"/>
    <col min="12806" max="12806" width="12.7109375" style="3" customWidth="1"/>
    <col min="12807" max="12807" width="14" style="3" customWidth="1"/>
    <col min="12808" max="12808" width="7.42578125" style="3" customWidth="1"/>
    <col min="12809" max="13056" width="11.42578125" style="3"/>
    <col min="13057" max="13057" width="15.85546875" style="3" customWidth="1"/>
    <col min="13058" max="13058" width="14.85546875" style="3" customWidth="1"/>
    <col min="13059" max="13059" width="13.28515625" style="3" customWidth="1"/>
    <col min="13060" max="13060" width="11.42578125" style="3"/>
    <col min="13061" max="13061" width="13.42578125" style="3" customWidth="1"/>
    <col min="13062" max="13062" width="12.7109375" style="3" customWidth="1"/>
    <col min="13063" max="13063" width="14" style="3" customWidth="1"/>
    <col min="13064" max="13064" width="7.42578125" style="3" customWidth="1"/>
    <col min="13065" max="13312" width="11.42578125" style="3"/>
    <col min="13313" max="13313" width="15.85546875" style="3" customWidth="1"/>
    <col min="13314" max="13314" width="14.85546875" style="3" customWidth="1"/>
    <col min="13315" max="13315" width="13.28515625" style="3" customWidth="1"/>
    <col min="13316" max="13316" width="11.42578125" style="3"/>
    <col min="13317" max="13317" width="13.42578125" style="3" customWidth="1"/>
    <col min="13318" max="13318" width="12.7109375" style="3" customWidth="1"/>
    <col min="13319" max="13319" width="14" style="3" customWidth="1"/>
    <col min="13320" max="13320" width="7.42578125" style="3" customWidth="1"/>
    <col min="13321" max="13568" width="11.42578125" style="3"/>
    <col min="13569" max="13569" width="15.85546875" style="3" customWidth="1"/>
    <col min="13570" max="13570" width="14.85546875" style="3" customWidth="1"/>
    <col min="13571" max="13571" width="13.28515625" style="3" customWidth="1"/>
    <col min="13572" max="13572" width="11.42578125" style="3"/>
    <col min="13573" max="13573" width="13.42578125" style="3" customWidth="1"/>
    <col min="13574" max="13574" width="12.7109375" style="3" customWidth="1"/>
    <col min="13575" max="13575" width="14" style="3" customWidth="1"/>
    <col min="13576" max="13576" width="7.42578125" style="3" customWidth="1"/>
    <col min="13577" max="13824" width="11.42578125" style="3"/>
    <col min="13825" max="13825" width="15.85546875" style="3" customWidth="1"/>
    <col min="13826" max="13826" width="14.85546875" style="3" customWidth="1"/>
    <col min="13827" max="13827" width="13.28515625" style="3" customWidth="1"/>
    <col min="13828" max="13828" width="11.42578125" style="3"/>
    <col min="13829" max="13829" width="13.42578125" style="3" customWidth="1"/>
    <col min="13830" max="13830" width="12.7109375" style="3" customWidth="1"/>
    <col min="13831" max="13831" width="14" style="3" customWidth="1"/>
    <col min="13832" max="13832" width="7.42578125" style="3" customWidth="1"/>
    <col min="13833" max="14080" width="11.42578125" style="3"/>
    <col min="14081" max="14081" width="15.85546875" style="3" customWidth="1"/>
    <col min="14082" max="14082" width="14.85546875" style="3" customWidth="1"/>
    <col min="14083" max="14083" width="13.28515625" style="3" customWidth="1"/>
    <col min="14084" max="14084" width="11.42578125" style="3"/>
    <col min="14085" max="14085" width="13.42578125" style="3" customWidth="1"/>
    <col min="14086" max="14086" width="12.7109375" style="3" customWidth="1"/>
    <col min="14087" max="14087" width="14" style="3" customWidth="1"/>
    <col min="14088" max="14088" width="7.42578125" style="3" customWidth="1"/>
    <col min="14089" max="14336" width="11.42578125" style="3"/>
    <col min="14337" max="14337" width="15.85546875" style="3" customWidth="1"/>
    <col min="14338" max="14338" width="14.85546875" style="3" customWidth="1"/>
    <col min="14339" max="14339" width="13.28515625" style="3" customWidth="1"/>
    <col min="14340" max="14340" width="11.42578125" style="3"/>
    <col min="14341" max="14341" width="13.42578125" style="3" customWidth="1"/>
    <col min="14342" max="14342" width="12.7109375" style="3" customWidth="1"/>
    <col min="14343" max="14343" width="14" style="3" customWidth="1"/>
    <col min="14344" max="14344" width="7.42578125" style="3" customWidth="1"/>
    <col min="14345" max="14592" width="11.42578125" style="3"/>
    <col min="14593" max="14593" width="15.85546875" style="3" customWidth="1"/>
    <col min="14594" max="14594" width="14.85546875" style="3" customWidth="1"/>
    <col min="14595" max="14595" width="13.28515625" style="3" customWidth="1"/>
    <col min="14596" max="14596" width="11.42578125" style="3"/>
    <col min="14597" max="14597" width="13.42578125" style="3" customWidth="1"/>
    <col min="14598" max="14598" width="12.7109375" style="3" customWidth="1"/>
    <col min="14599" max="14599" width="14" style="3" customWidth="1"/>
    <col min="14600" max="14600" width="7.42578125" style="3" customWidth="1"/>
    <col min="14601" max="14848" width="11.42578125" style="3"/>
    <col min="14849" max="14849" width="15.85546875" style="3" customWidth="1"/>
    <col min="14850" max="14850" width="14.85546875" style="3" customWidth="1"/>
    <col min="14851" max="14851" width="13.28515625" style="3" customWidth="1"/>
    <col min="14852" max="14852" width="11.42578125" style="3"/>
    <col min="14853" max="14853" width="13.42578125" style="3" customWidth="1"/>
    <col min="14854" max="14854" width="12.7109375" style="3" customWidth="1"/>
    <col min="14855" max="14855" width="14" style="3" customWidth="1"/>
    <col min="14856" max="14856" width="7.42578125" style="3" customWidth="1"/>
    <col min="14857" max="15104" width="11.42578125" style="3"/>
    <col min="15105" max="15105" width="15.85546875" style="3" customWidth="1"/>
    <col min="15106" max="15106" width="14.85546875" style="3" customWidth="1"/>
    <col min="15107" max="15107" width="13.28515625" style="3" customWidth="1"/>
    <col min="15108" max="15108" width="11.42578125" style="3"/>
    <col min="15109" max="15109" width="13.42578125" style="3" customWidth="1"/>
    <col min="15110" max="15110" width="12.7109375" style="3" customWidth="1"/>
    <col min="15111" max="15111" width="14" style="3" customWidth="1"/>
    <col min="15112" max="15112" width="7.42578125" style="3" customWidth="1"/>
    <col min="15113" max="15360" width="11.42578125" style="3"/>
    <col min="15361" max="15361" width="15.85546875" style="3" customWidth="1"/>
    <col min="15362" max="15362" width="14.85546875" style="3" customWidth="1"/>
    <col min="15363" max="15363" width="13.28515625" style="3" customWidth="1"/>
    <col min="15364" max="15364" width="11.42578125" style="3"/>
    <col min="15365" max="15365" width="13.42578125" style="3" customWidth="1"/>
    <col min="15366" max="15366" width="12.7109375" style="3" customWidth="1"/>
    <col min="15367" max="15367" width="14" style="3" customWidth="1"/>
    <col min="15368" max="15368" width="7.42578125" style="3" customWidth="1"/>
    <col min="15369" max="15616" width="11.42578125" style="3"/>
    <col min="15617" max="15617" width="15.85546875" style="3" customWidth="1"/>
    <col min="15618" max="15618" width="14.85546875" style="3" customWidth="1"/>
    <col min="15619" max="15619" width="13.28515625" style="3" customWidth="1"/>
    <col min="15620" max="15620" width="11.42578125" style="3"/>
    <col min="15621" max="15621" width="13.42578125" style="3" customWidth="1"/>
    <col min="15622" max="15622" width="12.7109375" style="3" customWidth="1"/>
    <col min="15623" max="15623" width="14" style="3" customWidth="1"/>
    <col min="15624" max="15624" width="7.42578125" style="3" customWidth="1"/>
    <col min="15625" max="15872" width="11.42578125" style="3"/>
    <col min="15873" max="15873" width="15.85546875" style="3" customWidth="1"/>
    <col min="15874" max="15874" width="14.85546875" style="3" customWidth="1"/>
    <col min="15875" max="15875" width="13.28515625" style="3" customWidth="1"/>
    <col min="15876" max="15876" width="11.42578125" style="3"/>
    <col min="15877" max="15877" width="13.42578125" style="3" customWidth="1"/>
    <col min="15878" max="15878" width="12.7109375" style="3" customWidth="1"/>
    <col min="15879" max="15879" width="14" style="3" customWidth="1"/>
    <col min="15880" max="15880" width="7.42578125" style="3" customWidth="1"/>
    <col min="15881" max="16128" width="11.42578125" style="3"/>
    <col min="16129" max="16129" width="15.85546875" style="3" customWidth="1"/>
    <col min="16130" max="16130" width="14.85546875" style="3" customWidth="1"/>
    <col min="16131" max="16131" width="13.28515625" style="3" customWidth="1"/>
    <col min="16132" max="16132" width="11.42578125" style="3"/>
    <col min="16133" max="16133" width="13.42578125" style="3" customWidth="1"/>
    <col min="16134" max="16134" width="12.7109375" style="3" customWidth="1"/>
    <col min="16135" max="16135" width="14" style="3" customWidth="1"/>
    <col min="16136" max="16136" width="7.42578125" style="3" customWidth="1"/>
    <col min="16137" max="16384" width="11.42578125" style="3"/>
  </cols>
  <sheetData>
    <row r="1" spans="1:21" ht="48" customHeight="1">
      <c r="A1" s="1346" t="str">
        <f>PPTO!D3</f>
        <v>PRESUPUESTO
MUNICIPIO EL BAGRE (ANTIOQUIA).</v>
      </c>
      <c r="B1" s="1347"/>
      <c r="C1" s="1347"/>
      <c r="D1" s="1347"/>
      <c r="E1" s="1347"/>
      <c r="F1" s="1347"/>
      <c r="G1" s="1348"/>
      <c r="H1" s="1"/>
      <c r="I1" s="2"/>
    </row>
    <row r="2" spans="1:21" ht="18" customHeight="1">
      <c r="A2" s="1362" t="s">
        <v>16</v>
      </c>
      <c r="B2" s="1363"/>
      <c r="C2" s="1363"/>
      <c r="D2" s="1363"/>
      <c r="E2" s="1363"/>
      <c r="F2" s="1363"/>
      <c r="G2" s="1364"/>
      <c r="H2" s="1"/>
      <c r="I2" s="2"/>
    </row>
    <row r="3" spans="1:21" ht="27" customHeight="1">
      <c r="A3" s="1367" t="str">
        <f>+PPTO!$D$5</f>
        <v>PROYECTO DE MEJORAMIENTO VIAL, ESPACIO PUBLICO Y OBRAS COMPLEMENTARIAS DE LA AVENIDA LA JUVENTUD Y TRAMOS ADYACENTES Y PRIORITARIOS DEL SECTOR URBANO EN EL MUNICIPIO EL BAGRE ANTIOQUIA.</v>
      </c>
      <c r="B3" s="1368"/>
      <c r="C3" s="1368"/>
      <c r="D3" s="1368"/>
      <c r="E3" s="1368"/>
      <c r="F3" s="1368"/>
      <c r="G3" s="1369"/>
      <c r="H3" s="1"/>
      <c r="I3" s="2"/>
    </row>
    <row r="4" spans="1:21" ht="30" customHeight="1">
      <c r="A4" s="1370"/>
      <c r="B4" s="1368"/>
      <c r="C4" s="1368"/>
      <c r="D4" s="1368"/>
      <c r="E4" s="1368"/>
      <c r="F4" s="1368"/>
      <c r="G4" s="1369"/>
      <c r="H4" s="1"/>
      <c r="I4" s="2"/>
    </row>
    <row r="5" spans="1:21" ht="6.75" customHeight="1">
      <c r="A5" s="222"/>
      <c r="B5" s="6"/>
      <c r="C5" s="24"/>
      <c r="D5" s="25"/>
      <c r="E5" s="6"/>
      <c r="F5" s="6"/>
      <c r="G5" s="223"/>
      <c r="H5" s="9"/>
    </row>
    <row r="6" spans="1:21" ht="52.5" customHeight="1">
      <c r="A6" s="368">
        <v>6.3</v>
      </c>
      <c r="B6" s="1349" t="str">
        <f>VLOOKUP(A6,PPTO!D9:I136,2,FALSE)</f>
        <v>Suministro e instalacion tuberia en PVC Novafort 8"</v>
      </c>
      <c r="C6" s="1350"/>
      <c r="D6" s="1350"/>
      <c r="E6" s="1351"/>
      <c r="F6" s="192" t="s">
        <v>118</v>
      </c>
      <c r="G6" s="248" t="str">
        <f>VLOOKUP(A6,PPTO!D9:I136,3,FALSE)</f>
        <v>m</v>
      </c>
      <c r="H6" s="9"/>
    </row>
    <row r="7" spans="1:21" ht="3.75" customHeight="1">
      <c r="A7" s="226"/>
      <c r="B7" s="4"/>
      <c r="C7" s="6"/>
      <c r="D7" s="4"/>
      <c r="E7" s="4"/>
      <c r="F7" s="4"/>
      <c r="G7" s="227"/>
      <c r="H7" s="9"/>
    </row>
    <row r="8" spans="1:21" ht="22.5" customHeight="1">
      <c r="A8" s="1354" t="s">
        <v>69</v>
      </c>
      <c r="B8" s="1355"/>
      <c r="C8" s="1355"/>
      <c r="D8" s="1355"/>
      <c r="E8" s="1355"/>
      <c r="F8" s="1355"/>
      <c r="G8" s="1356"/>
      <c r="H8" s="9"/>
    </row>
    <row r="9" spans="1:21" ht="4.5" customHeight="1">
      <c r="A9" s="226"/>
      <c r="B9" s="4"/>
      <c r="C9" s="6"/>
      <c r="D9" s="4"/>
      <c r="E9" s="4"/>
      <c r="F9" s="4"/>
      <c r="G9" s="227"/>
      <c r="H9" s="9"/>
      <c r="I9" s="5"/>
      <c r="J9" s="5"/>
      <c r="K9" s="5"/>
      <c r="L9" s="26"/>
      <c r="M9" s="5"/>
      <c r="N9" s="5"/>
      <c r="O9" s="5"/>
      <c r="P9" s="5"/>
    </row>
    <row r="10" spans="1:21">
      <c r="A10" s="1373" t="s">
        <v>17</v>
      </c>
      <c r="B10" s="1374"/>
      <c r="C10" s="1374"/>
      <c r="D10" s="346" t="s">
        <v>18</v>
      </c>
      <c r="E10" s="346" t="s">
        <v>19</v>
      </c>
      <c r="F10" s="346" t="s">
        <v>20</v>
      </c>
      <c r="G10" s="228" t="s">
        <v>21</v>
      </c>
      <c r="H10" s="27"/>
      <c r="I10" s="28"/>
      <c r="J10" s="29"/>
      <c r="K10" s="30"/>
      <c r="L10" s="30"/>
      <c r="M10" s="30"/>
      <c r="N10" s="30"/>
      <c r="O10" s="30"/>
      <c r="P10" s="5"/>
    </row>
    <row r="11" spans="1:21">
      <c r="A11" s="1352" t="s">
        <v>47</v>
      </c>
      <c r="B11" s="1353"/>
      <c r="C11" s="1353"/>
      <c r="D11" s="346"/>
      <c r="E11" s="83"/>
      <c r="F11" s="97"/>
      <c r="G11" s="229">
        <f>+G39*10%</f>
        <v>1018</v>
      </c>
      <c r="H11" s="9"/>
      <c r="I11" s="30"/>
      <c r="J11" s="31"/>
      <c r="K11" s="30"/>
      <c r="L11" s="30"/>
      <c r="M11" s="30"/>
      <c r="N11" s="30"/>
      <c r="O11" s="30"/>
      <c r="P11" s="5"/>
    </row>
    <row r="12" spans="1:21">
      <c r="A12" s="1371"/>
      <c r="B12" s="1372"/>
      <c r="C12" s="1372"/>
      <c r="D12" s="83"/>
      <c r="E12" s="83"/>
      <c r="F12" s="93"/>
      <c r="G12" s="229"/>
      <c r="H12" s="9"/>
      <c r="I12" s="16"/>
      <c r="J12" s="13"/>
      <c r="K12" s="8"/>
      <c r="L12" s="8"/>
      <c r="M12" s="8"/>
      <c r="N12" s="8"/>
      <c r="O12" s="8"/>
      <c r="P12" s="5"/>
    </row>
    <row r="13" spans="1:21">
      <c r="A13" s="1371"/>
      <c r="B13" s="1372"/>
      <c r="C13" s="1372"/>
      <c r="D13" s="83"/>
      <c r="E13" s="83"/>
      <c r="F13" s="93"/>
      <c r="G13" s="229"/>
      <c r="H13" s="9"/>
      <c r="I13" s="13"/>
      <c r="J13" s="13"/>
      <c r="K13" s="13"/>
      <c r="L13" s="13"/>
      <c r="M13" s="13"/>
      <c r="N13" s="13"/>
      <c r="O13" s="13"/>
      <c r="P13" s="5"/>
    </row>
    <row r="14" spans="1:21">
      <c r="A14" s="1371"/>
      <c r="B14" s="1372"/>
      <c r="C14" s="1372"/>
      <c r="D14" s="83"/>
      <c r="E14" s="83"/>
      <c r="F14" s="93"/>
      <c r="G14" s="229"/>
      <c r="H14" s="9"/>
      <c r="I14" s="8"/>
      <c r="J14" s="14"/>
      <c r="K14" s="32"/>
      <c r="L14" s="14"/>
      <c r="M14" s="15"/>
      <c r="N14" s="15"/>
      <c r="O14" s="19"/>
      <c r="P14" s="5"/>
    </row>
    <row r="15" spans="1:21">
      <c r="A15" s="1371"/>
      <c r="B15" s="1372"/>
      <c r="C15" s="1372"/>
      <c r="D15" s="83"/>
      <c r="E15" s="83"/>
      <c r="F15" s="98"/>
      <c r="G15" s="229"/>
      <c r="H15" s="9"/>
      <c r="I15" s="8"/>
      <c r="J15" s="33"/>
      <c r="K15" s="32"/>
      <c r="L15" s="14"/>
      <c r="M15" s="15"/>
      <c r="N15" s="15"/>
      <c r="O15" s="19"/>
      <c r="P15" s="5"/>
      <c r="Q15" s="5"/>
      <c r="R15" s="5"/>
      <c r="S15" s="5"/>
      <c r="T15" s="5"/>
      <c r="U15" s="5"/>
    </row>
    <row r="16" spans="1:21">
      <c r="A16" s="1371"/>
      <c r="B16" s="1372"/>
      <c r="C16" s="1372"/>
      <c r="D16" s="85" t="s">
        <v>37</v>
      </c>
      <c r="E16" s="50"/>
      <c r="F16" s="49"/>
      <c r="G16" s="230">
        <f>SUM(G11:G15)</f>
        <v>1018</v>
      </c>
      <c r="H16" s="9"/>
      <c r="I16" s="34"/>
      <c r="J16" s="34"/>
      <c r="K16" s="35"/>
      <c r="L16" s="36"/>
      <c r="M16" s="7"/>
      <c r="N16" s="7"/>
      <c r="O16" s="19"/>
      <c r="P16" s="5"/>
      <c r="Q16" s="5"/>
      <c r="R16" s="5"/>
      <c r="S16" s="5"/>
      <c r="T16" s="5"/>
      <c r="U16" s="5"/>
    </row>
    <row r="17" spans="1:21" ht="4.5" customHeight="1">
      <c r="A17" s="226"/>
      <c r="B17" s="4"/>
      <c r="C17" s="6"/>
      <c r="D17" s="4"/>
      <c r="E17" s="4"/>
      <c r="F17" s="4"/>
      <c r="G17" s="227"/>
      <c r="H17" s="9"/>
      <c r="I17" s="34"/>
      <c r="J17" s="34"/>
      <c r="K17" s="35"/>
      <c r="L17" s="36"/>
      <c r="M17" s="7"/>
      <c r="N17" s="7"/>
      <c r="O17" s="19"/>
      <c r="P17" s="5"/>
      <c r="Q17" s="5"/>
      <c r="R17" s="5"/>
      <c r="S17" s="5"/>
      <c r="T17" s="5"/>
      <c r="U17" s="5"/>
    </row>
    <row r="18" spans="1:21" ht="22.5" customHeight="1">
      <c r="A18" s="1354" t="s">
        <v>70</v>
      </c>
      <c r="B18" s="1355"/>
      <c r="C18" s="1355"/>
      <c r="D18" s="1355"/>
      <c r="E18" s="1355"/>
      <c r="F18" s="1355"/>
      <c r="G18" s="1356"/>
      <c r="H18" s="9"/>
    </row>
    <row r="19" spans="1:21" ht="4.5" customHeight="1">
      <c r="A19" s="226"/>
      <c r="B19" s="4"/>
      <c r="C19" s="6"/>
      <c r="D19" s="4"/>
      <c r="E19" s="4"/>
      <c r="F19" s="38"/>
      <c r="G19" s="227"/>
      <c r="H19" s="9"/>
      <c r="I19" s="34"/>
      <c r="J19" s="34"/>
      <c r="K19" s="35"/>
      <c r="L19" s="39"/>
      <c r="M19" s="7"/>
      <c r="N19" s="7"/>
      <c r="O19" s="8"/>
      <c r="P19" s="5"/>
      <c r="Q19" s="5"/>
      <c r="R19" s="5"/>
      <c r="S19" s="5"/>
      <c r="T19" s="5"/>
      <c r="U19" s="5"/>
    </row>
    <row r="20" spans="1:21">
      <c r="A20" s="1373" t="s">
        <v>17</v>
      </c>
      <c r="B20" s="1374"/>
      <c r="C20" s="1374"/>
      <c r="D20" s="346" t="s">
        <v>3</v>
      </c>
      <c r="E20" s="346" t="s">
        <v>4</v>
      </c>
      <c r="F20" s="346" t="s">
        <v>25</v>
      </c>
      <c r="G20" s="228" t="s">
        <v>21</v>
      </c>
      <c r="H20" s="27"/>
      <c r="I20" s="34"/>
      <c r="J20" s="34"/>
      <c r="K20" s="35"/>
      <c r="L20" s="39"/>
      <c r="M20" s="7"/>
      <c r="N20" s="7"/>
      <c r="O20" s="8"/>
      <c r="P20" s="5"/>
      <c r="Q20" s="5"/>
      <c r="R20" s="5"/>
      <c r="S20" s="5"/>
      <c r="T20" s="5"/>
      <c r="U20" s="5"/>
    </row>
    <row r="21" spans="1:21" ht="31.5" customHeight="1">
      <c r="A21" s="1441" t="s">
        <v>219</v>
      </c>
      <c r="B21" s="1442"/>
      <c r="C21" s="1443"/>
      <c r="D21" s="118" t="s">
        <v>51</v>
      </c>
      <c r="E21" s="119">
        <v>1</v>
      </c>
      <c r="F21" s="87">
        <f>259148/6*IPC</f>
        <v>44565</v>
      </c>
      <c r="G21" s="231">
        <f>ROUND(F21*E21,0)</f>
        <v>44565</v>
      </c>
      <c r="H21" s="9"/>
      <c r="I21" s="34"/>
      <c r="J21" s="34"/>
      <c r="K21" s="35"/>
      <c r="L21" s="36"/>
      <c r="M21" s="7"/>
      <c r="N21" s="7"/>
      <c r="O21" s="19"/>
      <c r="P21" s="5"/>
      <c r="Q21" s="5"/>
      <c r="R21" s="5"/>
      <c r="S21" s="5"/>
      <c r="T21" s="5"/>
      <c r="U21" s="5"/>
    </row>
    <row r="22" spans="1:21" ht="27.75" customHeight="1">
      <c r="A22" s="1444"/>
      <c r="B22" s="1403"/>
      <c r="C22" s="1404"/>
      <c r="D22" s="116"/>
      <c r="E22" s="117"/>
      <c r="F22" s="91"/>
      <c r="G22" s="231"/>
      <c r="H22" s="9"/>
      <c r="I22" s="10"/>
      <c r="J22" s="10"/>
      <c r="K22" s="12"/>
      <c r="L22" s="39"/>
      <c r="M22" s="7"/>
      <c r="N22" s="7"/>
      <c r="O22" s="15"/>
      <c r="P22" s="5"/>
      <c r="Q22" s="5"/>
      <c r="R22" s="5"/>
      <c r="S22" s="5"/>
      <c r="T22" s="5"/>
      <c r="U22" s="5"/>
    </row>
    <row r="23" spans="1:21">
      <c r="A23" s="1386"/>
      <c r="B23" s="1353"/>
      <c r="C23" s="1353"/>
      <c r="D23" s="79"/>
      <c r="E23" s="82"/>
      <c r="F23" s="83"/>
      <c r="G23" s="67"/>
      <c r="H23" s="9"/>
      <c r="I23" s="10"/>
      <c r="J23" s="10"/>
      <c r="K23" s="12"/>
      <c r="L23" s="39"/>
      <c r="M23" s="7"/>
      <c r="N23" s="7"/>
      <c r="O23" s="15"/>
      <c r="P23" s="5"/>
      <c r="Q23" s="5"/>
      <c r="R23" s="5"/>
      <c r="S23" s="5"/>
      <c r="T23" s="5"/>
      <c r="U23" s="5"/>
    </row>
    <row r="24" spans="1:21">
      <c r="A24" s="1352"/>
      <c r="B24" s="1353"/>
      <c r="C24" s="1353"/>
      <c r="D24" s="81"/>
      <c r="E24" s="88"/>
      <c r="F24" s="78"/>
      <c r="G24" s="231"/>
      <c r="H24" s="9"/>
      <c r="I24" s="10"/>
      <c r="J24" s="40"/>
      <c r="K24" s="12"/>
      <c r="L24" s="13"/>
      <c r="M24" s="14"/>
      <c r="N24" s="14"/>
      <c r="O24" s="15"/>
      <c r="P24" s="5"/>
      <c r="Q24" s="5"/>
      <c r="R24" s="5"/>
      <c r="S24" s="5"/>
      <c r="T24" s="5"/>
      <c r="U24" s="5"/>
    </row>
    <row r="25" spans="1:21">
      <c r="A25" s="1352"/>
      <c r="B25" s="1353"/>
      <c r="C25" s="1353"/>
      <c r="D25" s="81"/>
      <c r="E25" s="82"/>
      <c r="F25" s="78"/>
      <c r="G25" s="231"/>
      <c r="H25" s="9"/>
      <c r="I25" s="10"/>
      <c r="J25" s="11"/>
      <c r="K25" s="12"/>
      <c r="L25" s="13"/>
      <c r="M25" s="14"/>
      <c r="N25" s="14"/>
      <c r="O25" s="15"/>
      <c r="P25" s="5"/>
      <c r="Q25" s="5"/>
      <c r="R25" s="5"/>
      <c r="S25" s="5"/>
      <c r="T25" s="5"/>
      <c r="U25" s="5"/>
    </row>
    <row r="26" spans="1:21">
      <c r="A26" s="1352"/>
      <c r="B26" s="1353"/>
      <c r="C26" s="1353"/>
      <c r="D26" s="79"/>
      <c r="E26" s="82"/>
      <c r="F26" s="78"/>
      <c r="G26" s="231"/>
      <c r="H26" s="9"/>
      <c r="I26" s="10"/>
      <c r="J26" s="11"/>
      <c r="K26" s="12"/>
      <c r="L26" s="13"/>
      <c r="M26" s="14"/>
      <c r="N26" s="14"/>
      <c r="O26" s="15"/>
      <c r="P26" s="5"/>
      <c r="Q26" s="5"/>
      <c r="R26" s="5"/>
      <c r="S26" s="5"/>
      <c r="T26" s="5"/>
      <c r="U26" s="5"/>
    </row>
    <row r="27" spans="1:21">
      <c r="A27" s="1352"/>
      <c r="B27" s="1353"/>
      <c r="C27" s="1353"/>
      <c r="D27" s="79"/>
      <c r="E27" s="82"/>
      <c r="F27" s="78"/>
      <c r="G27" s="231"/>
      <c r="H27" s="9"/>
      <c r="I27" s="10"/>
      <c r="J27" s="11"/>
      <c r="K27" s="12"/>
      <c r="L27" s="13"/>
      <c r="M27" s="14"/>
      <c r="N27" s="14"/>
      <c r="O27" s="15"/>
      <c r="P27" s="5"/>
      <c r="Q27" s="5"/>
      <c r="R27" s="5"/>
      <c r="S27" s="5"/>
      <c r="T27" s="5"/>
      <c r="U27" s="5"/>
    </row>
    <row r="28" spans="1:21">
      <c r="A28" s="1352"/>
      <c r="B28" s="1353"/>
      <c r="C28" s="1353"/>
      <c r="D28" s="79"/>
      <c r="E28" s="82"/>
      <c r="F28" s="83"/>
      <c r="G28" s="231"/>
      <c r="H28" s="9"/>
      <c r="I28" s="41"/>
      <c r="J28" s="41"/>
      <c r="K28" s="12"/>
      <c r="L28" s="13"/>
      <c r="M28" s="14"/>
      <c r="N28" s="14"/>
      <c r="O28" s="15"/>
      <c r="P28" s="5"/>
      <c r="Q28" s="5"/>
      <c r="R28" s="5"/>
      <c r="S28" s="5"/>
      <c r="T28" s="5"/>
      <c r="U28" s="5"/>
    </row>
    <row r="29" spans="1:21">
      <c r="A29" s="1352"/>
      <c r="B29" s="1353"/>
      <c r="C29" s="1353"/>
      <c r="D29" s="84"/>
      <c r="E29" s="84"/>
      <c r="F29" s="83"/>
      <c r="G29" s="231"/>
      <c r="H29" s="9"/>
      <c r="I29" s="42"/>
      <c r="J29" s="42"/>
      <c r="K29" s="42"/>
      <c r="L29" s="13"/>
      <c r="M29" s="14"/>
      <c r="N29" s="14"/>
      <c r="O29" s="15"/>
      <c r="P29" s="5"/>
      <c r="Q29" s="5"/>
      <c r="R29" s="5"/>
      <c r="S29" s="5"/>
      <c r="T29" s="5"/>
      <c r="U29" s="5"/>
    </row>
    <row r="30" spans="1:21">
      <c r="A30" s="1352"/>
      <c r="B30" s="1353"/>
      <c r="C30" s="1353"/>
      <c r="D30" s="85" t="s">
        <v>28</v>
      </c>
      <c r="E30" s="50"/>
      <c r="F30" s="49"/>
      <c r="G30" s="230">
        <f>SUM(G21:G29)</f>
        <v>44565</v>
      </c>
      <c r="H30" s="9"/>
      <c r="I30" s="8"/>
      <c r="J30" s="13"/>
      <c r="K30" s="8"/>
      <c r="L30" s="13"/>
      <c r="M30" s="14"/>
      <c r="N30" s="14"/>
      <c r="O30" s="15"/>
      <c r="P30" s="5"/>
    </row>
    <row r="31" spans="1:21" ht="3.75" customHeight="1">
      <c r="A31" s="226"/>
      <c r="B31" s="4"/>
      <c r="C31" s="6"/>
      <c r="D31" s="4"/>
      <c r="E31" s="4"/>
      <c r="F31" s="4"/>
      <c r="G31" s="227"/>
      <c r="H31" s="9"/>
      <c r="I31" s="8"/>
      <c r="J31" s="13"/>
      <c r="K31" s="18"/>
      <c r="L31" s="13"/>
      <c r="M31" s="33"/>
      <c r="N31" s="33"/>
      <c r="O31" s="15"/>
      <c r="P31" s="5"/>
    </row>
    <row r="32" spans="1:21" ht="22.5" customHeight="1">
      <c r="A32" s="1354" t="s">
        <v>71</v>
      </c>
      <c r="B32" s="1355"/>
      <c r="C32" s="1355"/>
      <c r="D32" s="1355"/>
      <c r="E32" s="1355"/>
      <c r="F32" s="1355"/>
      <c r="G32" s="1356"/>
      <c r="H32" s="9"/>
    </row>
    <row r="33" spans="1:16" ht="3.75" customHeight="1">
      <c r="A33" s="226"/>
      <c r="B33" s="4"/>
      <c r="C33" s="6"/>
      <c r="D33" s="4"/>
      <c r="E33" s="4"/>
      <c r="F33" s="4"/>
      <c r="G33" s="227"/>
      <c r="H33" s="9"/>
      <c r="I33" s="8"/>
      <c r="J33" s="13"/>
      <c r="K33" s="8"/>
      <c r="L33" s="8"/>
      <c r="M33" s="8"/>
      <c r="N33" s="8"/>
      <c r="O33" s="15"/>
      <c r="P33" s="5"/>
    </row>
    <row r="34" spans="1:16">
      <c r="A34" s="232" t="s">
        <v>5</v>
      </c>
      <c r="B34" s="60" t="s">
        <v>29</v>
      </c>
      <c r="C34" s="60" t="s">
        <v>30</v>
      </c>
      <c r="D34" s="60" t="s">
        <v>31</v>
      </c>
      <c r="E34" s="60" t="s">
        <v>32</v>
      </c>
      <c r="F34" s="60" t="s">
        <v>20</v>
      </c>
      <c r="G34" s="228" t="s">
        <v>33</v>
      </c>
      <c r="H34" s="27"/>
      <c r="I34" s="8"/>
      <c r="J34" s="13"/>
      <c r="K34" s="8"/>
      <c r="L34" s="8"/>
      <c r="M34" s="8"/>
      <c r="N34" s="8"/>
      <c r="O34" s="15"/>
      <c r="P34" s="5"/>
    </row>
    <row r="35" spans="1:16">
      <c r="A35" s="233" t="s">
        <v>41</v>
      </c>
      <c r="B35" s="63">
        <f>BOF</f>
        <v>51749</v>
      </c>
      <c r="C35" s="68">
        <f>ffpp</f>
        <v>0.64539999999999997</v>
      </c>
      <c r="D35" s="72">
        <v>1</v>
      </c>
      <c r="E35" s="66">
        <f>OF</f>
        <v>88696</v>
      </c>
      <c r="F35" s="65">
        <v>30</v>
      </c>
      <c r="G35" s="231">
        <f>ROUND(+D35*E35/F35,0)</f>
        <v>2957</v>
      </c>
      <c r="H35" s="9"/>
      <c r="I35" s="16"/>
      <c r="J35" s="13"/>
      <c r="K35" s="8"/>
      <c r="L35" s="8"/>
      <c r="M35" s="8"/>
      <c r="N35" s="8"/>
      <c r="O35" s="15"/>
      <c r="P35" s="5"/>
    </row>
    <row r="36" spans="1:16">
      <c r="A36" s="233" t="s">
        <v>38</v>
      </c>
      <c r="B36" s="63">
        <f>BOB</f>
        <v>41749</v>
      </c>
      <c r="C36" s="68">
        <f>ffpp</f>
        <v>0.64539999999999997</v>
      </c>
      <c r="D36" s="72">
        <v>3</v>
      </c>
      <c r="E36" s="66">
        <f>OB</f>
        <v>72242</v>
      </c>
      <c r="F36" s="65">
        <f>F35</f>
        <v>30</v>
      </c>
      <c r="G36" s="231">
        <f>ROUND(+D36*E36/F36,0)</f>
        <v>7224</v>
      </c>
      <c r="H36" s="9"/>
      <c r="I36" s="8"/>
      <c r="J36" s="8"/>
      <c r="K36" s="13"/>
      <c r="L36" s="13"/>
      <c r="M36" s="13"/>
      <c r="N36" s="13"/>
      <c r="O36" s="13"/>
      <c r="P36" s="5"/>
    </row>
    <row r="37" spans="1:16">
      <c r="A37" s="234"/>
      <c r="B37" s="50"/>
      <c r="C37" s="961"/>
      <c r="D37" s="50"/>
      <c r="E37" s="66"/>
      <c r="F37" s="65"/>
      <c r="G37" s="231"/>
      <c r="H37" s="9"/>
      <c r="I37" s="8"/>
      <c r="J37" s="13"/>
      <c r="K37" s="13"/>
      <c r="L37" s="13"/>
      <c r="M37" s="33"/>
      <c r="N37" s="33"/>
      <c r="O37" s="43"/>
      <c r="P37" s="5"/>
    </row>
    <row r="38" spans="1:16">
      <c r="A38" s="233"/>
      <c r="B38" s="65"/>
      <c r="C38" s="68"/>
      <c r="D38" s="65"/>
      <c r="E38" s="69"/>
      <c r="F38" s="69"/>
      <c r="G38" s="236"/>
      <c r="H38" s="9"/>
      <c r="I38" s="8"/>
      <c r="J38" s="13"/>
      <c r="K38" s="13"/>
      <c r="L38" s="13"/>
      <c r="M38" s="33"/>
      <c r="N38" s="33"/>
      <c r="O38" s="43"/>
      <c r="P38" s="5"/>
    </row>
    <row r="39" spans="1:16">
      <c r="A39" s="249"/>
      <c r="B39" s="71"/>
      <c r="C39" s="71"/>
      <c r="D39" s="71" t="s">
        <v>34</v>
      </c>
      <c r="E39" s="71"/>
      <c r="F39" s="71"/>
      <c r="G39" s="250">
        <f>SUM(G35:G38)</f>
        <v>10181</v>
      </c>
      <c r="H39" s="9"/>
      <c r="I39" s="8"/>
      <c r="J39" s="13"/>
      <c r="K39" s="13"/>
      <c r="L39" s="13"/>
      <c r="M39" s="14"/>
      <c r="N39" s="14"/>
      <c r="O39" s="15"/>
      <c r="P39" s="5"/>
    </row>
    <row r="40" spans="1:16">
      <c r="A40" s="226"/>
      <c r="B40" s="4"/>
      <c r="C40" s="6"/>
      <c r="D40" s="4"/>
      <c r="E40" s="4"/>
      <c r="F40" s="4"/>
      <c r="G40" s="227"/>
      <c r="H40" s="9"/>
      <c r="I40" s="8"/>
      <c r="J40" s="13"/>
      <c r="K40" s="13"/>
      <c r="L40" s="13"/>
      <c r="M40" s="14"/>
      <c r="N40" s="14"/>
      <c r="O40" s="19"/>
      <c r="P40" s="5"/>
    </row>
    <row r="41" spans="1:16">
      <c r="A41" s="226"/>
      <c r="B41" s="4"/>
      <c r="C41" s="6"/>
      <c r="D41" s="4"/>
      <c r="E41" s="4"/>
      <c r="F41" s="4"/>
      <c r="G41" s="227"/>
      <c r="H41" s="9"/>
      <c r="I41" s="8"/>
      <c r="J41" s="13"/>
      <c r="K41" s="13"/>
      <c r="L41" s="13"/>
      <c r="M41" s="17"/>
      <c r="N41" s="17"/>
      <c r="O41" s="37"/>
      <c r="P41" s="5"/>
    </row>
    <row r="42" spans="1:16" ht="14.25">
      <c r="A42" s="226"/>
      <c r="B42" s="4"/>
      <c r="C42" s="6"/>
      <c r="D42" s="1357" t="s">
        <v>35</v>
      </c>
      <c r="E42" s="1358"/>
      <c r="F42" s="1359"/>
      <c r="G42" s="239">
        <f>+G39+G30+G16</f>
        <v>55764</v>
      </c>
      <c r="H42" s="9"/>
      <c r="I42" s="48"/>
      <c r="J42" s="20"/>
      <c r="K42" s="8"/>
      <c r="L42" s="8"/>
      <c r="M42" s="8"/>
      <c r="N42" s="8"/>
      <c r="O42" s="8"/>
      <c r="P42" s="5"/>
    </row>
    <row r="43" spans="1:16" ht="14.25">
      <c r="A43" s="240"/>
      <c r="B43" s="57"/>
      <c r="C43" s="58"/>
      <c r="D43" s="99"/>
      <c r="E43" s="99"/>
      <c r="F43" s="99"/>
      <c r="G43" s="251"/>
      <c r="H43" s="9"/>
      <c r="I43" s="48"/>
      <c r="J43" s="20"/>
      <c r="K43" s="8"/>
      <c r="L43" s="8"/>
      <c r="M43" s="8"/>
      <c r="N43" s="8"/>
      <c r="O43" s="8"/>
      <c r="P43" s="5"/>
    </row>
    <row r="44" spans="1:16" ht="14.25">
      <c r="A44" s="374"/>
      <c r="B44" s="375"/>
      <c r="C44" s="375"/>
      <c r="D44" s="99"/>
      <c r="E44" s="99"/>
      <c r="F44" s="99"/>
      <c r="G44" s="251"/>
      <c r="H44" s="9"/>
      <c r="I44" s="48"/>
      <c r="J44" s="20"/>
      <c r="K44" s="8"/>
      <c r="L44" s="8"/>
      <c r="M44" s="8"/>
      <c r="N44" s="8"/>
      <c r="O44" s="8"/>
      <c r="P44" s="5"/>
    </row>
    <row r="45" spans="1:16" ht="14.25">
      <c r="A45" s="373"/>
      <c r="B45" s="376"/>
      <c r="C45" s="376"/>
      <c r="D45" s="99"/>
      <c r="E45" s="99"/>
      <c r="F45" s="99"/>
      <c r="G45" s="251"/>
      <c r="H45" s="9"/>
      <c r="I45" s="48"/>
      <c r="J45" s="20"/>
      <c r="K45" s="8"/>
      <c r="L45" s="8"/>
      <c r="M45" s="8"/>
      <c r="N45" s="8"/>
      <c r="O45" s="8"/>
      <c r="P45" s="5"/>
    </row>
    <row r="46" spans="1:16" ht="14.25">
      <c r="A46" s="373"/>
      <c r="B46" s="376"/>
      <c r="C46" s="376"/>
      <c r="D46" s="44"/>
      <c r="E46" s="45"/>
      <c r="F46" s="45"/>
      <c r="G46" s="251"/>
      <c r="H46" s="9"/>
      <c r="I46" s="8"/>
      <c r="J46" s="13"/>
      <c r="K46" s="8"/>
      <c r="L46" s="8"/>
      <c r="M46" s="8"/>
      <c r="N46" s="8"/>
      <c r="O46" s="8"/>
      <c r="P46" s="5"/>
    </row>
    <row r="47" spans="1:16" ht="15" thickBot="1">
      <c r="A47" s="242"/>
      <c r="B47" s="243"/>
      <c r="C47" s="244"/>
      <c r="D47" s="245"/>
      <c r="E47" s="246"/>
      <c r="F47" s="246"/>
      <c r="G47" s="247"/>
      <c r="H47" s="9"/>
      <c r="I47" s="8"/>
      <c r="J47" s="13"/>
      <c r="K47" s="8"/>
      <c r="L47" s="8"/>
      <c r="M47" s="8"/>
      <c r="N47" s="8"/>
      <c r="O47" s="8"/>
      <c r="P47" s="5"/>
    </row>
    <row r="48" spans="1:16">
      <c r="I48" s="5"/>
      <c r="J48" s="5"/>
      <c r="K48" s="5"/>
      <c r="L48" s="5"/>
      <c r="M48" s="5"/>
      <c r="N48" s="5"/>
      <c r="O48" s="5"/>
      <c r="P48" s="5"/>
    </row>
    <row r="49" spans="9:16">
      <c r="I49" s="5"/>
      <c r="J49" s="5"/>
      <c r="K49" s="5"/>
      <c r="L49" s="5"/>
      <c r="M49" s="5"/>
      <c r="N49" s="5"/>
      <c r="O49" s="5"/>
      <c r="P49" s="5"/>
    </row>
  </sheetData>
  <mergeCells count="26">
    <mergeCell ref="A32:G32"/>
    <mergeCell ref="D42:F42"/>
    <mergeCell ref="A25:C25"/>
    <mergeCell ref="A26:C26"/>
    <mergeCell ref="A27:C27"/>
    <mergeCell ref="A28:C28"/>
    <mergeCell ref="A29:C29"/>
    <mergeCell ref="A30:C30"/>
    <mergeCell ref="A24:C24"/>
    <mergeCell ref="A11:C11"/>
    <mergeCell ref="A12:C12"/>
    <mergeCell ref="A13:C13"/>
    <mergeCell ref="A14:C14"/>
    <mergeCell ref="A15:C15"/>
    <mergeCell ref="A16:C16"/>
    <mergeCell ref="A18:G18"/>
    <mergeCell ref="A20:C20"/>
    <mergeCell ref="A21:C21"/>
    <mergeCell ref="A22:C22"/>
    <mergeCell ref="A23:C23"/>
    <mergeCell ref="A10:C10"/>
    <mergeCell ref="A1:G1"/>
    <mergeCell ref="A2:G2"/>
    <mergeCell ref="A3:G4"/>
    <mergeCell ref="B6:E6"/>
    <mergeCell ref="A8:G8"/>
  </mergeCells>
  <printOptions horizontalCentered="1" verticalCentered="1"/>
  <pageMargins left="0.74803149606299213" right="0.74803149606299213" top="0" bottom="0.98425196850393704" header="0" footer="0"/>
  <pageSetup scale="90" orientation="portrait" r:id="rId1"/>
  <headerFooter alignWithMargins="0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8"/>
  <dimension ref="A1:U49"/>
  <sheetViews>
    <sheetView view="pageBreakPreview" topLeftCell="A7" zoomScaleNormal="100" zoomScaleSheetLayoutView="100" workbookViewId="0">
      <selection activeCell="F22" sqref="F22"/>
    </sheetView>
  </sheetViews>
  <sheetFormatPr baseColWidth="10" defaultColWidth="10.7109375" defaultRowHeight="12.75"/>
  <cols>
    <col min="1" max="1" width="15.85546875" style="3" customWidth="1"/>
    <col min="2" max="2" width="14.85546875" style="3" customWidth="1"/>
    <col min="3" max="3" width="13.28515625" style="3" customWidth="1"/>
    <col min="4" max="4" width="11.42578125" style="3"/>
    <col min="5" max="5" width="13.42578125" style="3" customWidth="1"/>
    <col min="6" max="6" width="12.7109375" style="3" customWidth="1"/>
    <col min="7" max="7" width="14" style="3" customWidth="1"/>
    <col min="8" max="8" width="7.42578125" style="3" customWidth="1"/>
    <col min="9" max="256" width="11.42578125" style="3"/>
    <col min="257" max="257" width="15.85546875" style="3" customWidth="1"/>
    <col min="258" max="258" width="14.85546875" style="3" customWidth="1"/>
    <col min="259" max="259" width="13.28515625" style="3" customWidth="1"/>
    <col min="260" max="260" width="11.42578125" style="3"/>
    <col min="261" max="261" width="13.42578125" style="3" customWidth="1"/>
    <col min="262" max="262" width="12.7109375" style="3" customWidth="1"/>
    <col min="263" max="263" width="14" style="3" customWidth="1"/>
    <col min="264" max="264" width="7.42578125" style="3" customWidth="1"/>
    <col min="265" max="512" width="11.42578125" style="3"/>
    <col min="513" max="513" width="15.85546875" style="3" customWidth="1"/>
    <col min="514" max="514" width="14.85546875" style="3" customWidth="1"/>
    <col min="515" max="515" width="13.28515625" style="3" customWidth="1"/>
    <col min="516" max="516" width="11.42578125" style="3"/>
    <col min="517" max="517" width="13.42578125" style="3" customWidth="1"/>
    <col min="518" max="518" width="12.7109375" style="3" customWidth="1"/>
    <col min="519" max="519" width="14" style="3" customWidth="1"/>
    <col min="520" max="520" width="7.42578125" style="3" customWidth="1"/>
    <col min="521" max="768" width="11.42578125" style="3"/>
    <col min="769" max="769" width="15.85546875" style="3" customWidth="1"/>
    <col min="770" max="770" width="14.85546875" style="3" customWidth="1"/>
    <col min="771" max="771" width="13.28515625" style="3" customWidth="1"/>
    <col min="772" max="772" width="11.42578125" style="3"/>
    <col min="773" max="773" width="13.42578125" style="3" customWidth="1"/>
    <col min="774" max="774" width="12.7109375" style="3" customWidth="1"/>
    <col min="775" max="775" width="14" style="3" customWidth="1"/>
    <col min="776" max="776" width="7.42578125" style="3" customWidth="1"/>
    <col min="777" max="1024" width="11.42578125" style="3"/>
    <col min="1025" max="1025" width="15.85546875" style="3" customWidth="1"/>
    <col min="1026" max="1026" width="14.85546875" style="3" customWidth="1"/>
    <col min="1027" max="1027" width="13.28515625" style="3" customWidth="1"/>
    <col min="1028" max="1028" width="11.42578125" style="3"/>
    <col min="1029" max="1029" width="13.42578125" style="3" customWidth="1"/>
    <col min="1030" max="1030" width="12.7109375" style="3" customWidth="1"/>
    <col min="1031" max="1031" width="14" style="3" customWidth="1"/>
    <col min="1032" max="1032" width="7.42578125" style="3" customWidth="1"/>
    <col min="1033" max="1280" width="11.42578125" style="3"/>
    <col min="1281" max="1281" width="15.85546875" style="3" customWidth="1"/>
    <col min="1282" max="1282" width="14.85546875" style="3" customWidth="1"/>
    <col min="1283" max="1283" width="13.28515625" style="3" customWidth="1"/>
    <col min="1284" max="1284" width="11.42578125" style="3"/>
    <col min="1285" max="1285" width="13.42578125" style="3" customWidth="1"/>
    <col min="1286" max="1286" width="12.7109375" style="3" customWidth="1"/>
    <col min="1287" max="1287" width="14" style="3" customWidth="1"/>
    <col min="1288" max="1288" width="7.42578125" style="3" customWidth="1"/>
    <col min="1289" max="1536" width="11.42578125" style="3"/>
    <col min="1537" max="1537" width="15.85546875" style="3" customWidth="1"/>
    <col min="1538" max="1538" width="14.85546875" style="3" customWidth="1"/>
    <col min="1539" max="1539" width="13.28515625" style="3" customWidth="1"/>
    <col min="1540" max="1540" width="11.42578125" style="3"/>
    <col min="1541" max="1541" width="13.42578125" style="3" customWidth="1"/>
    <col min="1542" max="1542" width="12.7109375" style="3" customWidth="1"/>
    <col min="1543" max="1543" width="14" style="3" customWidth="1"/>
    <col min="1544" max="1544" width="7.42578125" style="3" customWidth="1"/>
    <col min="1545" max="1792" width="11.42578125" style="3"/>
    <col min="1793" max="1793" width="15.85546875" style="3" customWidth="1"/>
    <col min="1794" max="1794" width="14.85546875" style="3" customWidth="1"/>
    <col min="1795" max="1795" width="13.28515625" style="3" customWidth="1"/>
    <col min="1796" max="1796" width="11.42578125" style="3"/>
    <col min="1797" max="1797" width="13.42578125" style="3" customWidth="1"/>
    <col min="1798" max="1798" width="12.7109375" style="3" customWidth="1"/>
    <col min="1799" max="1799" width="14" style="3" customWidth="1"/>
    <col min="1800" max="1800" width="7.42578125" style="3" customWidth="1"/>
    <col min="1801" max="2048" width="11.42578125" style="3"/>
    <col min="2049" max="2049" width="15.85546875" style="3" customWidth="1"/>
    <col min="2050" max="2050" width="14.85546875" style="3" customWidth="1"/>
    <col min="2051" max="2051" width="13.28515625" style="3" customWidth="1"/>
    <col min="2052" max="2052" width="11.42578125" style="3"/>
    <col min="2053" max="2053" width="13.42578125" style="3" customWidth="1"/>
    <col min="2054" max="2054" width="12.7109375" style="3" customWidth="1"/>
    <col min="2055" max="2055" width="14" style="3" customWidth="1"/>
    <col min="2056" max="2056" width="7.42578125" style="3" customWidth="1"/>
    <col min="2057" max="2304" width="11.42578125" style="3"/>
    <col min="2305" max="2305" width="15.85546875" style="3" customWidth="1"/>
    <col min="2306" max="2306" width="14.85546875" style="3" customWidth="1"/>
    <col min="2307" max="2307" width="13.28515625" style="3" customWidth="1"/>
    <col min="2308" max="2308" width="11.42578125" style="3"/>
    <col min="2309" max="2309" width="13.42578125" style="3" customWidth="1"/>
    <col min="2310" max="2310" width="12.7109375" style="3" customWidth="1"/>
    <col min="2311" max="2311" width="14" style="3" customWidth="1"/>
    <col min="2312" max="2312" width="7.42578125" style="3" customWidth="1"/>
    <col min="2313" max="2560" width="11.42578125" style="3"/>
    <col min="2561" max="2561" width="15.85546875" style="3" customWidth="1"/>
    <col min="2562" max="2562" width="14.85546875" style="3" customWidth="1"/>
    <col min="2563" max="2563" width="13.28515625" style="3" customWidth="1"/>
    <col min="2564" max="2564" width="11.42578125" style="3"/>
    <col min="2565" max="2565" width="13.42578125" style="3" customWidth="1"/>
    <col min="2566" max="2566" width="12.7109375" style="3" customWidth="1"/>
    <col min="2567" max="2567" width="14" style="3" customWidth="1"/>
    <col min="2568" max="2568" width="7.42578125" style="3" customWidth="1"/>
    <col min="2569" max="2816" width="11.42578125" style="3"/>
    <col min="2817" max="2817" width="15.85546875" style="3" customWidth="1"/>
    <col min="2818" max="2818" width="14.85546875" style="3" customWidth="1"/>
    <col min="2819" max="2819" width="13.28515625" style="3" customWidth="1"/>
    <col min="2820" max="2820" width="11.42578125" style="3"/>
    <col min="2821" max="2821" width="13.42578125" style="3" customWidth="1"/>
    <col min="2822" max="2822" width="12.7109375" style="3" customWidth="1"/>
    <col min="2823" max="2823" width="14" style="3" customWidth="1"/>
    <col min="2824" max="2824" width="7.42578125" style="3" customWidth="1"/>
    <col min="2825" max="3072" width="11.42578125" style="3"/>
    <col min="3073" max="3073" width="15.85546875" style="3" customWidth="1"/>
    <col min="3074" max="3074" width="14.85546875" style="3" customWidth="1"/>
    <col min="3075" max="3075" width="13.28515625" style="3" customWidth="1"/>
    <col min="3076" max="3076" width="11.42578125" style="3"/>
    <col min="3077" max="3077" width="13.42578125" style="3" customWidth="1"/>
    <col min="3078" max="3078" width="12.7109375" style="3" customWidth="1"/>
    <col min="3079" max="3079" width="14" style="3" customWidth="1"/>
    <col min="3080" max="3080" width="7.42578125" style="3" customWidth="1"/>
    <col min="3081" max="3328" width="11.42578125" style="3"/>
    <col min="3329" max="3329" width="15.85546875" style="3" customWidth="1"/>
    <col min="3330" max="3330" width="14.85546875" style="3" customWidth="1"/>
    <col min="3331" max="3331" width="13.28515625" style="3" customWidth="1"/>
    <col min="3332" max="3332" width="11.42578125" style="3"/>
    <col min="3333" max="3333" width="13.42578125" style="3" customWidth="1"/>
    <col min="3334" max="3334" width="12.7109375" style="3" customWidth="1"/>
    <col min="3335" max="3335" width="14" style="3" customWidth="1"/>
    <col min="3336" max="3336" width="7.42578125" style="3" customWidth="1"/>
    <col min="3337" max="3584" width="11.42578125" style="3"/>
    <col min="3585" max="3585" width="15.85546875" style="3" customWidth="1"/>
    <col min="3586" max="3586" width="14.85546875" style="3" customWidth="1"/>
    <col min="3587" max="3587" width="13.28515625" style="3" customWidth="1"/>
    <col min="3588" max="3588" width="11.42578125" style="3"/>
    <col min="3589" max="3589" width="13.42578125" style="3" customWidth="1"/>
    <col min="3590" max="3590" width="12.7109375" style="3" customWidth="1"/>
    <col min="3591" max="3591" width="14" style="3" customWidth="1"/>
    <col min="3592" max="3592" width="7.42578125" style="3" customWidth="1"/>
    <col min="3593" max="3840" width="11.42578125" style="3"/>
    <col min="3841" max="3841" width="15.85546875" style="3" customWidth="1"/>
    <col min="3842" max="3842" width="14.85546875" style="3" customWidth="1"/>
    <col min="3843" max="3843" width="13.28515625" style="3" customWidth="1"/>
    <col min="3844" max="3844" width="11.42578125" style="3"/>
    <col min="3845" max="3845" width="13.42578125" style="3" customWidth="1"/>
    <col min="3846" max="3846" width="12.7109375" style="3" customWidth="1"/>
    <col min="3847" max="3847" width="14" style="3" customWidth="1"/>
    <col min="3848" max="3848" width="7.42578125" style="3" customWidth="1"/>
    <col min="3849" max="4096" width="11.42578125" style="3"/>
    <col min="4097" max="4097" width="15.85546875" style="3" customWidth="1"/>
    <col min="4098" max="4098" width="14.85546875" style="3" customWidth="1"/>
    <col min="4099" max="4099" width="13.28515625" style="3" customWidth="1"/>
    <col min="4100" max="4100" width="11.42578125" style="3"/>
    <col min="4101" max="4101" width="13.42578125" style="3" customWidth="1"/>
    <col min="4102" max="4102" width="12.7109375" style="3" customWidth="1"/>
    <col min="4103" max="4103" width="14" style="3" customWidth="1"/>
    <col min="4104" max="4104" width="7.42578125" style="3" customWidth="1"/>
    <col min="4105" max="4352" width="11.42578125" style="3"/>
    <col min="4353" max="4353" width="15.85546875" style="3" customWidth="1"/>
    <col min="4354" max="4354" width="14.85546875" style="3" customWidth="1"/>
    <col min="4355" max="4355" width="13.28515625" style="3" customWidth="1"/>
    <col min="4356" max="4356" width="11.42578125" style="3"/>
    <col min="4357" max="4357" width="13.42578125" style="3" customWidth="1"/>
    <col min="4358" max="4358" width="12.7109375" style="3" customWidth="1"/>
    <col min="4359" max="4359" width="14" style="3" customWidth="1"/>
    <col min="4360" max="4360" width="7.42578125" style="3" customWidth="1"/>
    <col min="4361" max="4608" width="11.42578125" style="3"/>
    <col min="4609" max="4609" width="15.85546875" style="3" customWidth="1"/>
    <col min="4610" max="4610" width="14.85546875" style="3" customWidth="1"/>
    <col min="4611" max="4611" width="13.28515625" style="3" customWidth="1"/>
    <col min="4612" max="4612" width="11.42578125" style="3"/>
    <col min="4613" max="4613" width="13.42578125" style="3" customWidth="1"/>
    <col min="4614" max="4614" width="12.7109375" style="3" customWidth="1"/>
    <col min="4615" max="4615" width="14" style="3" customWidth="1"/>
    <col min="4616" max="4616" width="7.42578125" style="3" customWidth="1"/>
    <col min="4617" max="4864" width="11.42578125" style="3"/>
    <col min="4865" max="4865" width="15.85546875" style="3" customWidth="1"/>
    <col min="4866" max="4866" width="14.85546875" style="3" customWidth="1"/>
    <col min="4867" max="4867" width="13.28515625" style="3" customWidth="1"/>
    <col min="4868" max="4868" width="11.42578125" style="3"/>
    <col min="4869" max="4869" width="13.42578125" style="3" customWidth="1"/>
    <col min="4870" max="4870" width="12.7109375" style="3" customWidth="1"/>
    <col min="4871" max="4871" width="14" style="3" customWidth="1"/>
    <col min="4872" max="4872" width="7.42578125" style="3" customWidth="1"/>
    <col min="4873" max="5120" width="11.42578125" style="3"/>
    <col min="5121" max="5121" width="15.85546875" style="3" customWidth="1"/>
    <col min="5122" max="5122" width="14.85546875" style="3" customWidth="1"/>
    <col min="5123" max="5123" width="13.28515625" style="3" customWidth="1"/>
    <col min="5124" max="5124" width="11.42578125" style="3"/>
    <col min="5125" max="5125" width="13.42578125" style="3" customWidth="1"/>
    <col min="5126" max="5126" width="12.7109375" style="3" customWidth="1"/>
    <col min="5127" max="5127" width="14" style="3" customWidth="1"/>
    <col min="5128" max="5128" width="7.42578125" style="3" customWidth="1"/>
    <col min="5129" max="5376" width="11.42578125" style="3"/>
    <col min="5377" max="5377" width="15.85546875" style="3" customWidth="1"/>
    <col min="5378" max="5378" width="14.85546875" style="3" customWidth="1"/>
    <col min="5379" max="5379" width="13.28515625" style="3" customWidth="1"/>
    <col min="5380" max="5380" width="11.42578125" style="3"/>
    <col min="5381" max="5381" width="13.42578125" style="3" customWidth="1"/>
    <col min="5382" max="5382" width="12.7109375" style="3" customWidth="1"/>
    <col min="5383" max="5383" width="14" style="3" customWidth="1"/>
    <col min="5384" max="5384" width="7.42578125" style="3" customWidth="1"/>
    <col min="5385" max="5632" width="11.42578125" style="3"/>
    <col min="5633" max="5633" width="15.85546875" style="3" customWidth="1"/>
    <col min="5634" max="5634" width="14.85546875" style="3" customWidth="1"/>
    <col min="5635" max="5635" width="13.28515625" style="3" customWidth="1"/>
    <col min="5636" max="5636" width="11.42578125" style="3"/>
    <col min="5637" max="5637" width="13.42578125" style="3" customWidth="1"/>
    <col min="5638" max="5638" width="12.7109375" style="3" customWidth="1"/>
    <col min="5639" max="5639" width="14" style="3" customWidth="1"/>
    <col min="5640" max="5640" width="7.42578125" style="3" customWidth="1"/>
    <col min="5641" max="5888" width="11.42578125" style="3"/>
    <col min="5889" max="5889" width="15.85546875" style="3" customWidth="1"/>
    <col min="5890" max="5890" width="14.85546875" style="3" customWidth="1"/>
    <col min="5891" max="5891" width="13.28515625" style="3" customWidth="1"/>
    <col min="5892" max="5892" width="11.42578125" style="3"/>
    <col min="5893" max="5893" width="13.42578125" style="3" customWidth="1"/>
    <col min="5894" max="5894" width="12.7109375" style="3" customWidth="1"/>
    <col min="5895" max="5895" width="14" style="3" customWidth="1"/>
    <col min="5896" max="5896" width="7.42578125" style="3" customWidth="1"/>
    <col min="5897" max="6144" width="11.42578125" style="3"/>
    <col min="6145" max="6145" width="15.85546875" style="3" customWidth="1"/>
    <col min="6146" max="6146" width="14.85546875" style="3" customWidth="1"/>
    <col min="6147" max="6147" width="13.28515625" style="3" customWidth="1"/>
    <col min="6148" max="6148" width="11.42578125" style="3"/>
    <col min="6149" max="6149" width="13.42578125" style="3" customWidth="1"/>
    <col min="6150" max="6150" width="12.7109375" style="3" customWidth="1"/>
    <col min="6151" max="6151" width="14" style="3" customWidth="1"/>
    <col min="6152" max="6152" width="7.42578125" style="3" customWidth="1"/>
    <col min="6153" max="6400" width="11.42578125" style="3"/>
    <col min="6401" max="6401" width="15.85546875" style="3" customWidth="1"/>
    <col min="6402" max="6402" width="14.85546875" style="3" customWidth="1"/>
    <col min="6403" max="6403" width="13.28515625" style="3" customWidth="1"/>
    <col min="6404" max="6404" width="11.42578125" style="3"/>
    <col min="6405" max="6405" width="13.42578125" style="3" customWidth="1"/>
    <col min="6406" max="6406" width="12.7109375" style="3" customWidth="1"/>
    <col min="6407" max="6407" width="14" style="3" customWidth="1"/>
    <col min="6408" max="6408" width="7.42578125" style="3" customWidth="1"/>
    <col min="6409" max="6656" width="11.42578125" style="3"/>
    <col min="6657" max="6657" width="15.85546875" style="3" customWidth="1"/>
    <col min="6658" max="6658" width="14.85546875" style="3" customWidth="1"/>
    <col min="6659" max="6659" width="13.28515625" style="3" customWidth="1"/>
    <col min="6660" max="6660" width="11.42578125" style="3"/>
    <col min="6661" max="6661" width="13.42578125" style="3" customWidth="1"/>
    <col min="6662" max="6662" width="12.7109375" style="3" customWidth="1"/>
    <col min="6663" max="6663" width="14" style="3" customWidth="1"/>
    <col min="6664" max="6664" width="7.42578125" style="3" customWidth="1"/>
    <col min="6665" max="6912" width="11.42578125" style="3"/>
    <col min="6913" max="6913" width="15.85546875" style="3" customWidth="1"/>
    <col min="6914" max="6914" width="14.85546875" style="3" customWidth="1"/>
    <col min="6915" max="6915" width="13.28515625" style="3" customWidth="1"/>
    <col min="6916" max="6916" width="11.42578125" style="3"/>
    <col min="6917" max="6917" width="13.42578125" style="3" customWidth="1"/>
    <col min="6918" max="6918" width="12.7109375" style="3" customWidth="1"/>
    <col min="6919" max="6919" width="14" style="3" customWidth="1"/>
    <col min="6920" max="6920" width="7.42578125" style="3" customWidth="1"/>
    <col min="6921" max="7168" width="11.42578125" style="3"/>
    <col min="7169" max="7169" width="15.85546875" style="3" customWidth="1"/>
    <col min="7170" max="7170" width="14.85546875" style="3" customWidth="1"/>
    <col min="7171" max="7171" width="13.28515625" style="3" customWidth="1"/>
    <col min="7172" max="7172" width="11.42578125" style="3"/>
    <col min="7173" max="7173" width="13.42578125" style="3" customWidth="1"/>
    <col min="7174" max="7174" width="12.7109375" style="3" customWidth="1"/>
    <col min="7175" max="7175" width="14" style="3" customWidth="1"/>
    <col min="7176" max="7176" width="7.42578125" style="3" customWidth="1"/>
    <col min="7177" max="7424" width="11.42578125" style="3"/>
    <col min="7425" max="7425" width="15.85546875" style="3" customWidth="1"/>
    <col min="7426" max="7426" width="14.85546875" style="3" customWidth="1"/>
    <col min="7427" max="7427" width="13.28515625" style="3" customWidth="1"/>
    <col min="7428" max="7428" width="11.42578125" style="3"/>
    <col min="7429" max="7429" width="13.42578125" style="3" customWidth="1"/>
    <col min="7430" max="7430" width="12.7109375" style="3" customWidth="1"/>
    <col min="7431" max="7431" width="14" style="3" customWidth="1"/>
    <col min="7432" max="7432" width="7.42578125" style="3" customWidth="1"/>
    <col min="7433" max="7680" width="11.42578125" style="3"/>
    <col min="7681" max="7681" width="15.85546875" style="3" customWidth="1"/>
    <col min="7682" max="7682" width="14.85546875" style="3" customWidth="1"/>
    <col min="7683" max="7683" width="13.28515625" style="3" customWidth="1"/>
    <col min="7684" max="7684" width="11.42578125" style="3"/>
    <col min="7685" max="7685" width="13.42578125" style="3" customWidth="1"/>
    <col min="7686" max="7686" width="12.7109375" style="3" customWidth="1"/>
    <col min="7687" max="7687" width="14" style="3" customWidth="1"/>
    <col min="7688" max="7688" width="7.42578125" style="3" customWidth="1"/>
    <col min="7689" max="7936" width="11.42578125" style="3"/>
    <col min="7937" max="7937" width="15.85546875" style="3" customWidth="1"/>
    <col min="7938" max="7938" width="14.85546875" style="3" customWidth="1"/>
    <col min="7939" max="7939" width="13.28515625" style="3" customWidth="1"/>
    <col min="7940" max="7940" width="11.42578125" style="3"/>
    <col min="7941" max="7941" width="13.42578125" style="3" customWidth="1"/>
    <col min="7942" max="7942" width="12.7109375" style="3" customWidth="1"/>
    <col min="7943" max="7943" width="14" style="3" customWidth="1"/>
    <col min="7944" max="7944" width="7.42578125" style="3" customWidth="1"/>
    <col min="7945" max="8192" width="11.42578125" style="3"/>
    <col min="8193" max="8193" width="15.85546875" style="3" customWidth="1"/>
    <col min="8194" max="8194" width="14.85546875" style="3" customWidth="1"/>
    <col min="8195" max="8195" width="13.28515625" style="3" customWidth="1"/>
    <col min="8196" max="8196" width="11.42578125" style="3"/>
    <col min="8197" max="8197" width="13.42578125" style="3" customWidth="1"/>
    <col min="8198" max="8198" width="12.7109375" style="3" customWidth="1"/>
    <col min="8199" max="8199" width="14" style="3" customWidth="1"/>
    <col min="8200" max="8200" width="7.42578125" style="3" customWidth="1"/>
    <col min="8201" max="8448" width="11.42578125" style="3"/>
    <col min="8449" max="8449" width="15.85546875" style="3" customWidth="1"/>
    <col min="8450" max="8450" width="14.85546875" style="3" customWidth="1"/>
    <col min="8451" max="8451" width="13.28515625" style="3" customWidth="1"/>
    <col min="8452" max="8452" width="11.42578125" style="3"/>
    <col min="8453" max="8453" width="13.42578125" style="3" customWidth="1"/>
    <col min="8454" max="8454" width="12.7109375" style="3" customWidth="1"/>
    <col min="8455" max="8455" width="14" style="3" customWidth="1"/>
    <col min="8456" max="8456" width="7.42578125" style="3" customWidth="1"/>
    <col min="8457" max="8704" width="11.42578125" style="3"/>
    <col min="8705" max="8705" width="15.85546875" style="3" customWidth="1"/>
    <col min="8706" max="8706" width="14.85546875" style="3" customWidth="1"/>
    <col min="8707" max="8707" width="13.28515625" style="3" customWidth="1"/>
    <col min="8708" max="8708" width="11.42578125" style="3"/>
    <col min="8709" max="8709" width="13.42578125" style="3" customWidth="1"/>
    <col min="8710" max="8710" width="12.7109375" style="3" customWidth="1"/>
    <col min="8711" max="8711" width="14" style="3" customWidth="1"/>
    <col min="8712" max="8712" width="7.42578125" style="3" customWidth="1"/>
    <col min="8713" max="8960" width="11.42578125" style="3"/>
    <col min="8961" max="8961" width="15.85546875" style="3" customWidth="1"/>
    <col min="8962" max="8962" width="14.85546875" style="3" customWidth="1"/>
    <col min="8963" max="8963" width="13.28515625" style="3" customWidth="1"/>
    <col min="8964" max="8964" width="11.42578125" style="3"/>
    <col min="8965" max="8965" width="13.42578125" style="3" customWidth="1"/>
    <col min="8966" max="8966" width="12.7109375" style="3" customWidth="1"/>
    <col min="8967" max="8967" width="14" style="3" customWidth="1"/>
    <col min="8968" max="8968" width="7.42578125" style="3" customWidth="1"/>
    <col min="8969" max="9216" width="11.42578125" style="3"/>
    <col min="9217" max="9217" width="15.85546875" style="3" customWidth="1"/>
    <col min="9218" max="9218" width="14.85546875" style="3" customWidth="1"/>
    <col min="9219" max="9219" width="13.28515625" style="3" customWidth="1"/>
    <col min="9220" max="9220" width="11.42578125" style="3"/>
    <col min="9221" max="9221" width="13.42578125" style="3" customWidth="1"/>
    <col min="9222" max="9222" width="12.7109375" style="3" customWidth="1"/>
    <col min="9223" max="9223" width="14" style="3" customWidth="1"/>
    <col min="9224" max="9224" width="7.42578125" style="3" customWidth="1"/>
    <col min="9225" max="9472" width="11.42578125" style="3"/>
    <col min="9473" max="9473" width="15.85546875" style="3" customWidth="1"/>
    <col min="9474" max="9474" width="14.85546875" style="3" customWidth="1"/>
    <col min="9475" max="9475" width="13.28515625" style="3" customWidth="1"/>
    <col min="9476" max="9476" width="11.42578125" style="3"/>
    <col min="9477" max="9477" width="13.42578125" style="3" customWidth="1"/>
    <col min="9478" max="9478" width="12.7109375" style="3" customWidth="1"/>
    <col min="9479" max="9479" width="14" style="3" customWidth="1"/>
    <col min="9480" max="9480" width="7.42578125" style="3" customWidth="1"/>
    <col min="9481" max="9728" width="11.42578125" style="3"/>
    <col min="9729" max="9729" width="15.85546875" style="3" customWidth="1"/>
    <col min="9730" max="9730" width="14.85546875" style="3" customWidth="1"/>
    <col min="9731" max="9731" width="13.28515625" style="3" customWidth="1"/>
    <col min="9732" max="9732" width="11.42578125" style="3"/>
    <col min="9733" max="9733" width="13.42578125" style="3" customWidth="1"/>
    <col min="9734" max="9734" width="12.7109375" style="3" customWidth="1"/>
    <col min="9735" max="9735" width="14" style="3" customWidth="1"/>
    <col min="9736" max="9736" width="7.42578125" style="3" customWidth="1"/>
    <col min="9737" max="9984" width="11.42578125" style="3"/>
    <col min="9985" max="9985" width="15.85546875" style="3" customWidth="1"/>
    <col min="9986" max="9986" width="14.85546875" style="3" customWidth="1"/>
    <col min="9987" max="9987" width="13.28515625" style="3" customWidth="1"/>
    <col min="9988" max="9988" width="11.42578125" style="3"/>
    <col min="9989" max="9989" width="13.42578125" style="3" customWidth="1"/>
    <col min="9990" max="9990" width="12.7109375" style="3" customWidth="1"/>
    <col min="9991" max="9991" width="14" style="3" customWidth="1"/>
    <col min="9992" max="9992" width="7.42578125" style="3" customWidth="1"/>
    <col min="9993" max="10240" width="11.42578125" style="3"/>
    <col min="10241" max="10241" width="15.85546875" style="3" customWidth="1"/>
    <col min="10242" max="10242" width="14.85546875" style="3" customWidth="1"/>
    <col min="10243" max="10243" width="13.28515625" style="3" customWidth="1"/>
    <col min="10244" max="10244" width="11.42578125" style="3"/>
    <col min="10245" max="10245" width="13.42578125" style="3" customWidth="1"/>
    <col min="10246" max="10246" width="12.7109375" style="3" customWidth="1"/>
    <col min="10247" max="10247" width="14" style="3" customWidth="1"/>
    <col min="10248" max="10248" width="7.42578125" style="3" customWidth="1"/>
    <col min="10249" max="10496" width="11.42578125" style="3"/>
    <col min="10497" max="10497" width="15.85546875" style="3" customWidth="1"/>
    <col min="10498" max="10498" width="14.85546875" style="3" customWidth="1"/>
    <col min="10499" max="10499" width="13.28515625" style="3" customWidth="1"/>
    <col min="10500" max="10500" width="11.42578125" style="3"/>
    <col min="10501" max="10501" width="13.42578125" style="3" customWidth="1"/>
    <col min="10502" max="10502" width="12.7109375" style="3" customWidth="1"/>
    <col min="10503" max="10503" width="14" style="3" customWidth="1"/>
    <col min="10504" max="10504" width="7.42578125" style="3" customWidth="1"/>
    <col min="10505" max="10752" width="11.42578125" style="3"/>
    <col min="10753" max="10753" width="15.85546875" style="3" customWidth="1"/>
    <col min="10754" max="10754" width="14.85546875" style="3" customWidth="1"/>
    <col min="10755" max="10755" width="13.28515625" style="3" customWidth="1"/>
    <col min="10756" max="10756" width="11.42578125" style="3"/>
    <col min="10757" max="10757" width="13.42578125" style="3" customWidth="1"/>
    <col min="10758" max="10758" width="12.7109375" style="3" customWidth="1"/>
    <col min="10759" max="10759" width="14" style="3" customWidth="1"/>
    <col min="10760" max="10760" width="7.42578125" style="3" customWidth="1"/>
    <col min="10761" max="11008" width="11.42578125" style="3"/>
    <col min="11009" max="11009" width="15.85546875" style="3" customWidth="1"/>
    <col min="11010" max="11010" width="14.85546875" style="3" customWidth="1"/>
    <col min="11011" max="11011" width="13.28515625" style="3" customWidth="1"/>
    <col min="11012" max="11012" width="11.42578125" style="3"/>
    <col min="11013" max="11013" width="13.42578125" style="3" customWidth="1"/>
    <col min="11014" max="11014" width="12.7109375" style="3" customWidth="1"/>
    <col min="11015" max="11015" width="14" style="3" customWidth="1"/>
    <col min="11016" max="11016" width="7.42578125" style="3" customWidth="1"/>
    <col min="11017" max="11264" width="11.42578125" style="3"/>
    <col min="11265" max="11265" width="15.85546875" style="3" customWidth="1"/>
    <col min="11266" max="11266" width="14.85546875" style="3" customWidth="1"/>
    <col min="11267" max="11267" width="13.28515625" style="3" customWidth="1"/>
    <col min="11268" max="11268" width="11.42578125" style="3"/>
    <col min="11269" max="11269" width="13.42578125" style="3" customWidth="1"/>
    <col min="11270" max="11270" width="12.7109375" style="3" customWidth="1"/>
    <col min="11271" max="11271" width="14" style="3" customWidth="1"/>
    <col min="11272" max="11272" width="7.42578125" style="3" customWidth="1"/>
    <col min="11273" max="11520" width="11.42578125" style="3"/>
    <col min="11521" max="11521" width="15.85546875" style="3" customWidth="1"/>
    <col min="11522" max="11522" width="14.85546875" style="3" customWidth="1"/>
    <col min="11523" max="11523" width="13.28515625" style="3" customWidth="1"/>
    <col min="11524" max="11524" width="11.42578125" style="3"/>
    <col min="11525" max="11525" width="13.42578125" style="3" customWidth="1"/>
    <col min="11526" max="11526" width="12.7109375" style="3" customWidth="1"/>
    <col min="11527" max="11527" width="14" style="3" customWidth="1"/>
    <col min="11528" max="11528" width="7.42578125" style="3" customWidth="1"/>
    <col min="11529" max="11776" width="11.42578125" style="3"/>
    <col min="11777" max="11777" width="15.85546875" style="3" customWidth="1"/>
    <col min="11778" max="11778" width="14.85546875" style="3" customWidth="1"/>
    <col min="11779" max="11779" width="13.28515625" style="3" customWidth="1"/>
    <col min="11780" max="11780" width="11.42578125" style="3"/>
    <col min="11781" max="11781" width="13.42578125" style="3" customWidth="1"/>
    <col min="11782" max="11782" width="12.7109375" style="3" customWidth="1"/>
    <col min="11783" max="11783" width="14" style="3" customWidth="1"/>
    <col min="11784" max="11784" width="7.42578125" style="3" customWidth="1"/>
    <col min="11785" max="12032" width="11.42578125" style="3"/>
    <col min="12033" max="12033" width="15.85546875" style="3" customWidth="1"/>
    <col min="12034" max="12034" width="14.85546875" style="3" customWidth="1"/>
    <col min="12035" max="12035" width="13.28515625" style="3" customWidth="1"/>
    <col min="12036" max="12036" width="11.42578125" style="3"/>
    <col min="12037" max="12037" width="13.42578125" style="3" customWidth="1"/>
    <col min="12038" max="12038" width="12.7109375" style="3" customWidth="1"/>
    <col min="12039" max="12039" width="14" style="3" customWidth="1"/>
    <col min="12040" max="12040" width="7.42578125" style="3" customWidth="1"/>
    <col min="12041" max="12288" width="11.42578125" style="3"/>
    <col min="12289" max="12289" width="15.85546875" style="3" customWidth="1"/>
    <col min="12290" max="12290" width="14.85546875" style="3" customWidth="1"/>
    <col min="12291" max="12291" width="13.28515625" style="3" customWidth="1"/>
    <col min="12292" max="12292" width="11.42578125" style="3"/>
    <col min="12293" max="12293" width="13.42578125" style="3" customWidth="1"/>
    <col min="12294" max="12294" width="12.7109375" style="3" customWidth="1"/>
    <col min="12295" max="12295" width="14" style="3" customWidth="1"/>
    <col min="12296" max="12296" width="7.42578125" style="3" customWidth="1"/>
    <col min="12297" max="12544" width="11.42578125" style="3"/>
    <col min="12545" max="12545" width="15.85546875" style="3" customWidth="1"/>
    <col min="12546" max="12546" width="14.85546875" style="3" customWidth="1"/>
    <col min="12547" max="12547" width="13.28515625" style="3" customWidth="1"/>
    <col min="12548" max="12548" width="11.42578125" style="3"/>
    <col min="12549" max="12549" width="13.42578125" style="3" customWidth="1"/>
    <col min="12550" max="12550" width="12.7109375" style="3" customWidth="1"/>
    <col min="12551" max="12551" width="14" style="3" customWidth="1"/>
    <col min="12552" max="12552" width="7.42578125" style="3" customWidth="1"/>
    <col min="12553" max="12800" width="11.42578125" style="3"/>
    <col min="12801" max="12801" width="15.85546875" style="3" customWidth="1"/>
    <col min="12802" max="12802" width="14.85546875" style="3" customWidth="1"/>
    <col min="12803" max="12803" width="13.28515625" style="3" customWidth="1"/>
    <col min="12804" max="12804" width="11.42578125" style="3"/>
    <col min="12805" max="12805" width="13.42578125" style="3" customWidth="1"/>
    <col min="12806" max="12806" width="12.7109375" style="3" customWidth="1"/>
    <col min="12807" max="12807" width="14" style="3" customWidth="1"/>
    <col min="12808" max="12808" width="7.42578125" style="3" customWidth="1"/>
    <col min="12809" max="13056" width="11.42578125" style="3"/>
    <col min="13057" max="13057" width="15.85546875" style="3" customWidth="1"/>
    <col min="13058" max="13058" width="14.85546875" style="3" customWidth="1"/>
    <col min="13059" max="13059" width="13.28515625" style="3" customWidth="1"/>
    <col min="13060" max="13060" width="11.42578125" style="3"/>
    <col min="13061" max="13061" width="13.42578125" style="3" customWidth="1"/>
    <col min="13062" max="13062" width="12.7109375" style="3" customWidth="1"/>
    <col min="13063" max="13063" width="14" style="3" customWidth="1"/>
    <col min="13064" max="13064" width="7.42578125" style="3" customWidth="1"/>
    <col min="13065" max="13312" width="11.42578125" style="3"/>
    <col min="13313" max="13313" width="15.85546875" style="3" customWidth="1"/>
    <col min="13314" max="13314" width="14.85546875" style="3" customWidth="1"/>
    <col min="13315" max="13315" width="13.28515625" style="3" customWidth="1"/>
    <col min="13316" max="13316" width="11.42578125" style="3"/>
    <col min="13317" max="13317" width="13.42578125" style="3" customWidth="1"/>
    <col min="13318" max="13318" width="12.7109375" style="3" customWidth="1"/>
    <col min="13319" max="13319" width="14" style="3" customWidth="1"/>
    <col min="13320" max="13320" width="7.42578125" style="3" customWidth="1"/>
    <col min="13321" max="13568" width="11.42578125" style="3"/>
    <col min="13569" max="13569" width="15.85546875" style="3" customWidth="1"/>
    <col min="13570" max="13570" width="14.85546875" style="3" customWidth="1"/>
    <col min="13571" max="13571" width="13.28515625" style="3" customWidth="1"/>
    <col min="13572" max="13572" width="11.42578125" style="3"/>
    <col min="13573" max="13573" width="13.42578125" style="3" customWidth="1"/>
    <col min="13574" max="13574" width="12.7109375" style="3" customWidth="1"/>
    <col min="13575" max="13575" width="14" style="3" customWidth="1"/>
    <col min="13576" max="13576" width="7.42578125" style="3" customWidth="1"/>
    <col min="13577" max="13824" width="11.42578125" style="3"/>
    <col min="13825" max="13825" width="15.85546875" style="3" customWidth="1"/>
    <col min="13826" max="13826" width="14.85546875" style="3" customWidth="1"/>
    <col min="13827" max="13827" width="13.28515625" style="3" customWidth="1"/>
    <col min="13828" max="13828" width="11.42578125" style="3"/>
    <col min="13829" max="13829" width="13.42578125" style="3" customWidth="1"/>
    <col min="13830" max="13830" width="12.7109375" style="3" customWidth="1"/>
    <col min="13831" max="13831" width="14" style="3" customWidth="1"/>
    <col min="13832" max="13832" width="7.42578125" style="3" customWidth="1"/>
    <col min="13833" max="14080" width="11.42578125" style="3"/>
    <col min="14081" max="14081" width="15.85546875" style="3" customWidth="1"/>
    <col min="14082" max="14082" width="14.85546875" style="3" customWidth="1"/>
    <col min="14083" max="14083" width="13.28515625" style="3" customWidth="1"/>
    <col min="14084" max="14084" width="11.42578125" style="3"/>
    <col min="14085" max="14085" width="13.42578125" style="3" customWidth="1"/>
    <col min="14086" max="14086" width="12.7109375" style="3" customWidth="1"/>
    <col min="14087" max="14087" width="14" style="3" customWidth="1"/>
    <col min="14088" max="14088" width="7.42578125" style="3" customWidth="1"/>
    <col min="14089" max="14336" width="11.42578125" style="3"/>
    <col min="14337" max="14337" width="15.85546875" style="3" customWidth="1"/>
    <col min="14338" max="14338" width="14.85546875" style="3" customWidth="1"/>
    <col min="14339" max="14339" width="13.28515625" style="3" customWidth="1"/>
    <col min="14340" max="14340" width="11.42578125" style="3"/>
    <col min="14341" max="14341" width="13.42578125" style="3" customWidth="1"/>
    <col min="14342" max="14342" width="12.7109375" style="3" customWidth="1"/>
    <col min="14343" max="14343" width="14" style="3" customWidth="1"/>
    <col min="14344" max="14344" width="7.42578125" style="3" customWidth="1"/>
    <col min="14345" max="14592" width="11.42578125" style="3"/>
    <col min="14593" max="14593" width="15.85546875" style="3" customWidth="1"/>
    <col min="14594" max="14594" width="14.85546875" style="3" customWidth="1"/>
    <col min="14595" max="14595" width="13.28515625" style="3" customWidth="1"/>
    <col min="14596" max="14596" width="11.42578125" style="3"/>
    <col min="14597" max="14597" width="13.42578125" style="3" customWidth="1"/>
    <col min="14598" max="14598" width="12.7109375" style="3" customWidth="1"/>
    <col min="14599" max="14599" width="14" style="3" customWidth="1"/>
    <col min="14600" max="14600" width="7.42578125" style="3" customWidth="1"/>
    <col min="14601" max="14848" width="11.42578125" style="3"/>
    <col min="14849" max="14849" width="15.85546875" style="3" customWidth="1"/>
    <col min="14850" max="14850" width="14.85546875" style="3" customWidth="1"/>
    <col min="14851" max="14851" width="13.28515625" style="3" customWidth="1"/>
    <col min="14852" max="14852" width="11.42578125" style="3"/>
    <col min="14853" max="14853" width="13.42578125" style="3" customWidth="1"/>
    <col min="14854" max="14854" width="12.7109375" style="3" customWidth="1"/>
    <col min="14855" max="14855" width="14" style="3" customWidth="1"/>
    <col min="14856" max="14856" width="7.42578125" style="3" customWidth="1"/>
    <col min="14857" max="15104" width="11.42578125" style="3"/>
    <col min="15105" max="15105" width="15.85546875" style="3" customWidth="1"/>
    <col min="15106" max="15106" width="14.85546875" style="3" customWidth="1"/>
    <col min="15107" max="15107" width="13.28515625" style="3" customWidth="1"/>
    <col min="15108" max="15108" width="11.42578125" style="3"/>
    <col min="15109" max="15109" width="13.42578125" style="3" customWidth="1"/>
    <col min="15110" max="15110" width="12.7109375" style="3" customWidth="1"/>
    <col min="15111" max="15111" width="14" style="3" customWidth="1"/>
    <col min="15112" max="15112" width="7.42578125" style="3" customWidth="1"/>
    <col min="15113" max="15360" width="11.42578125" style="3"/>
    <col min="15361" max="15361" width="15.85546875" style="3" customWidth="1"/>
    <col min="15362" max="15362" width="14.85546875" style="3" customWidth="1"/>
    <col min="15363" max="15363" width="13.28515625" style="3" customWidth="1"/>
    <col min="15364" max="15364" width="11.42578125" style="3"/>
    <col min="15365" max="15365" width="13.42578125" style="3" customWidth="1"/>
    <col min="15366" max="15366" width="12.7109375" style="3" customWidth="1"/>
    <col min="15367" max="15367" width="14" style="3" customWidth="1"/>
    <col min="15368" max="15368" width="7.42578125" style="3" customWidth="1"/>
    <col min="15369" max="15616" width="11.42578125" style="3"/>
    <col min="15617" max="15617" width="15.85546875" style="3" customWidth="1"/>
    <col min="15618" max="15618" width="14.85546875" style="3" customWidth="1"/>
    <col min="15619" max="15619" width="13.28515625" style="3" customWidth="1"/>
    <col min="15620" max="15620" width="11.42578125" style="3"/>
    <col min="15621" max="15621" width="13.42578125" style="3" customWidth="1"/>
    <col min="15622" max="15622" width="12.7109375" style="3" customWidth="1"/>
    <col min="15623" max="15623" width="14" style="3" customWidth="1"/>
    <col min="15624" max="15624" width="7.42578125" style="3" customWidth="1"/>
    <col min="15625" max="15872" width="11.42578125" style="3"/>
    <col min="15873" max="15873" width="15.85546875" style="3" customWidth="1"/>
    <col min="15874" max="15874" width="14.85546875" style="3" customWidth="1"/>
    <col min="15875" max="15875" width="13.28515625" style="3" customWidth="1"/>
    <col min="15876" max="15876" width="11.42578125" style="3"/>
    <col min="15877" max="15877" width="13.42578125" style="3" customWidth="1"/>
    <col min="15878" max="15878" width="12.7109375" style="3" customWidth="1"/>
    <col min="15879" max="15879" width="14" style="3" customWidth="1"/>
    <col min="15880" max="15880" width="7.42578125" style="3" customWidth="1"/>
    <col min="15881" max="16128" width="11.42578125" style="3"/>
    <col min="16129" max="16129" width="15.85546875" style="3" customWidth="1"/>
    <col min="16130" max="16130" width="14.85546875" style="3" customWidth="1"/>
    <col min="16131" max="16131" width="13.28515625" style="3" customWidth="1"/>
    <col min="16132" max="16132" width="11.42578125" style="3"/>
    <col min="16133" max="16133" width="13.42578125" style="3" customWidth="1"/>
    <col min="16134" max="16134" width="12.7109375" style="3" customWidth="1"/>
    <col min="16135" max="16135" width="14" style="3" customWidth="1"/>
    <col min="16136" max="16136" width="7.42578125" style="3" customWidth="1"/>
    <col min="16137" max="16384" width="11.42578125" style="3"/>
  </cols>
  <sheetData>
    <row r="1" spans="1:21" ht="48" customHeight="1">
      <c r="A1" s="1346" t="str">
        <f>PPTO!D3</f>
        <v>PRESUPUESTO
MUNICIPIO EL BAGRE (ANTIOQUIA).</v>
      </c>
      <c r="B1" s="1347"/>
      <c r="C1" s="1347"/>
      <c r="D1" s="1347"/>
      <c r="E1" s="1347"/>
      <c r="F1" s="1347"/>
      <c r="G1" s="1348"/>
      <c r="H1" s="1"/>
      <c r="I1" s="2"/>
    </row>
    <row r="2" spans="1:21" ht="18" customHeight="1">
      <c r="A2" s="1362" t="s">
        <v>16</v>
      </c>
      <c r="B2" s="1363"/>
      <c r="C2" s="1363"/>
      <c r="D2" s="1363"/>
      <c r="E2" s="1363"/>
      <c r="F2" s="1363"/>
      <c r="G2" s="1364"/>
      <c r="H2" s="1"/>
      <c r="I2" s="2"/>
    </row>
    <row r="3" spans="1:21" ht="27" customHeight="1">
      <c r="A3" s="1367" t="str">
        <f>+PPTO!$D$5</f>
        <v>PROYECTO DE MEJORAMIENTO VIAL, ESPACIO PUBLICO Y OBRAS COMPLEMENTARIAS DE LA AVENIDA LA JUVENTUD Y TRAMOS ADYACENTES Y PRIORITARIOS DEL SECTOR URBANO EN EL MUNICIPIO EL BAGRE ANTIOQUIA.</v>
      </c>
      <c r="B3" s="1368"/>
      <c r="C3" s="1368"/>
      <c r="D3" s="1368"/>
      <c r="E3" s="1368"/>
      <c r="F3" s="1368"/>
      <c r="G3" s="1369"/>
      <c r="H3" s="1"/>
      <c r="I3" s="2"/>
    </row>
    <row r="4" spans="1:21" ht="30" customHeight="1">
      <c r="A4" s="1370"/>
      <c r="B4" s="1368"/>
      <c r="C4" s="1368"/>
      <c r="D4" s="1368"/>
      <c r="E4" s="1368"/>
      <c r="F4" s="1368"/>
      <c r="G4" s="1369"/>
      <c r="H4" s="1"/>
      <c r="I4" s="2"/>
    </row>
    <row r="5" spans="1:21" ht="6.75" customHeight="1">
      <c r="A5" s="222"/>
      <c r="B5" s="6"/>
      <c r="C5" s="24"/>
      <c r="D5" s="25"/>
      <c r="E5" s="6"/>
      <c r="F5" s="6"/>
      <c r="G5" s="223"/>
      <c r="H5" s="9"/>
    </row>
    <row r="6" spans="1:21" ht="52.5" customHeight="1">
      <c r="A6" s="368">
        <v>6.4</v>
      </c>
      <c r="B6" s="1349" t="str">
        <f>VLOOKUP(A6,PPTO!D9:I136,2,FALSE)</f>
        <v>Suministro e instalacion tuberia en PVC Novafort 10"</v>
      </c>
      <c r="C6" s="1350"/>
      <c r="D6" s="1350"/>
      <c r="E6" s="1351"/>
      <c r="F6" s="192" t="s">
        <v>118</v>
      </c>
      <c r="G6" s="248" t="str">
        <f>VLOOKUP(A6,PPTO!D9:I136,3,FALSE)</f>
        <v>m</v>
      </c>
      <c r="H6" s="9"/>
    </row>
    <row r="7" spans="1:21" ht="3.75" customHeight="1">
      <c r="A7" s="226"/>
      <c r="B7" s="4"/>
      <c r="C7" s="6"/>
      <c r="D7" s="4"/>
      <c r="E7" s="4"/>
      <c r="F7" s="4"/>
      <c r="G7" s="227"/>
      <c r="H7" s="9"/>
    </row>
    <row r="8" spans="1:21" ht="22.5" customHeight="1">
      <c r="A8" s="1354" t="s">
        <v>69</v>
      </c>
      <c r="B8" s="1355"/>
      <c r="C8" s="1355"/>
      <c r="D8" s="1355"/>
      <c r="E8" s="1355"/>
      <c r="F8" s="1355"/>
      <c r="G8" s="1356"/>
      <c r="H8" s="9"/>
    </row>
    <row r="9" spans="1:21" ht="4.5" customHeight="1">
      <c r="A9" s="226"/>
      <c r="B9" s="4"/>
      <c r="C9" s="6"/>
      <c r="D9" s="4"/>
      <c r="E9" s="4"/>
      <c r="F9" s="4"/>
      <c r="G9" s="227"/>
      <c r="H9" s="9"/>
      <c r="I9" s="5"/>
      <c r="J9" s="5"/>
      <c r="K9" s="5"/>
      <c r="L9" s="26"/>
      <c r="M9" s="5"/>
      <c r="N9" s="5"/>
      <c r="O9" s="5"/>
      <c r="P9" s="5"/>
    </row>
    <row r="10" spans="1:21">
      <c r="A10" s="1373" t="s">
        <v>17</v>
      </c>
      <c r="B10" s="1374"/>
      <c r="C10" s="1374"/>
      <c r="D10" s="346" t="s">
        <v>18</v>
      </c>
      <c r="E10" s="346" t="s">
        <v>19</v>
      </c>
      <c r="F10" s="346" t="s">
        <v>20</v>
      </c>
      <c r="G10" s="228" t="s">
        <v>21</v>
      </c>
      <c r="H10" s="27"/>
      <c r="I10" s="28"/>
      <c r="J10" s="29"/>
      <c r="K10" s="30"/>
      <c r="L10" s="30"/>
      <c r="M10" s="30"/>
      <c r="N10" s="30"/>
      <c r="O10" s="30"/>
      <c r="P10" s="5"/>
    </row>
    <row r="11" spans="1:21">
      <c r="A11" s="1352" t="s">
        <v>47</v>
      </c>
      <c r="B11" s="1353"/>
      <c r="C11" s="1353"/>
      <c r="D11" s="346"/>
      <c r="E11" s="83"/>
      <c r="F11" s="97"/>
      <c r="G11" s="229">
        <f>+G39*10%</f>
        <v>1091</v>
      </c>
      <c r="H11" s="9"/>
      <c r="I11" s="30"/>
      <c r="J11" s="31"/>
      <c r="K11" s="30"/>
      <c r="L11" s="30"/>
      <c r="M11" s="30"/>
      <c r="N11" s="30"/>
      <c r="O11" s="30"/>
      <c r="P11" s="5"/>
    </row>
    <row r="12" spans="1:21">
      <c r="A12" s="1371"/>
      <c r="B12" s="1372"/>
      <c r="C12" s="1372"/>
      <c r="D12" s="83"/>
      <c r="E12" s="83"/>
      <c r="F12" s="93"/>
      <c r="G12" s="229"/>
      <c r="H12" s="9"/>
      <c r="I12" s="16"/>
      <c r="J12" s="13"/>
      <c r="K12" s="8"/>
      <c r="L12" s="8"/>
      <c r="M12" s="8"/>
      <c r="N12" s="8"/>
      <c r="O12" s="8"/>
      <c r="P12" s="5"/>
    </row>
    <row r="13" spans="1:21">
      <c r="A13" s="1371"/>
      <c r="B13" s="1372"/>
      <c r="C13" s="1372"/>
      <c r="D13" s="83"/>
      <c r="E13" s="83"/>
      <c r="F13" s="93"/>
      <c r="G13" s="229"/>
      <c r="H13" s="9"/>
      <c r="I13" s="13"/>
      <c r="J13" s="13"/>
      <c r="K13" s="13"/>
      <c r="L13" s="13"/>
      <c r="M13" s="13"/>
      <c r="N13" s="13"/>
      <c r="O13" s="13"/>
      <c r="P13" s="5"/>
    </row>
    <row r="14" spans="1:21">
      <c r="A14" s="1371"/>
      <c r="B14" s="1372"/>
      <c r="C14" s="1372"/>
      <c r="D14" s="83"/>
      <c r="E14" s="83"/>
      <c r="F14" s="93"/>
      <c r="G14" s="229"/>
      <c r="H14" s="9"/>
      <c r="I14" s="8"/>
      <c r="J14" s="14"/>
      <c r="K14" s="32"/>
      <c r="L14" s="14"/>
      <c r="M14" s="15"/>
      <c r="N14" s="15"/>
      <c r="O14" s="19"/>
      <c r="P14" s="5"/>
    </row>
    <row r="15" spans="1:21">
      <c r="A15" s="1371"/>
      <c r="B15" s="1372"/>
      <c r="C15" s="1372"/>
      <c r="D15" s="83"/>
      <c r="E15" s="83"/>
      <c r="F15" s="98"/>
      <c r="G15" s="229"/>
      <c r="H15" s="9"/>
      <c r="I15" s="8"/>
      <c r="J15" s="33"/>
      <c r="K15" s="32"/>
      <c r="L15" s="14"/>
      <c r="M15" s="15"/>
      <c r="N15" s="15"/>
      <c r="O15" s="19"/>
      <c r="P15" s="5"/>
      <c r="Q15" s="5"/>
      <c r="R15" s="5"/>
      <c r="S15" s="5"/>
      <c r="T15" s="5"/>
      <c r="U15" s="5"/>
    </row>
    <row r="16" spans="1:21">
      <c r="A16" s="1371"/>
      <c r="B16" s="1372"/>
      <c r="C16" s="1372"/>
      <c r="D16" s="85" t="s">
        <v>37</v>
      </c>
      <c r="E16" s="50"/>
      <c r="F16" s="49"/>
      <c r="G16" s="230">
        <f>SUM(G11:G15)</f>
        <v>1091</v>
      </c>
      <c r="H16" s="9"/>
      <c r="I16" s="34"/>
      <c r="J16" s="34"/>
      <c r="K16" s="35"/>
      <c r="L16" s="36"/>
      <c r="M16" s="7"/>
      <c r="N16" s="7"/>
      <c r="O16" s="19"/>
      <c r="P16" s="5"/>
      <c r="Q16" s="5"/>
      <c r="R16" s="5"/>
      <c r="S16" s="5"/>
      <c r="T16" s="5"/>
      <c r="U16" s="5"/>
    </row>
    <row r="17" spans="1:21" ht="4.5" customHeight="1">
      <c r="A17" s="226"/>
      <c r="B17" s="4"/>
      <c r="C17" s="6"/>
      <c r="D17" s="4"/>
      <c r="E17" s="4"/>
      <c r="F17" s="4"/>
      <c r="G17" s="227"/>
      <c r="H17" s="9"/>
      <c r="I17" s="34"/>
      <c r="J17" s="34"/>
      <c r="K17" s="35"/>
      <c r="L17" s="36"/>
      <c r="M17" s="7"/>
      <c r="N17" s="7"/>
      <c r="O17" s="19"/>
      <c r="P17" s="5"/>
      <c r="Q17" s="5"/>
      <c r="R17" s="5"/>
      <c r="S17" s="5"/>
      <c r="T17" s="5"/>
      <c r="U17" s="5"/>
    </row>
    <row r="18" spans="1:21" ht="22.5" customHeight="1">
      <c r="A18" s="1354" t="s">
        <v>70</v>
      </c>
      <c r="B18" s="1355"/>
      <c r="C18" s="1355"/>
      <c r="D18" s="1355"/>
      <c r="E18" s="1355"/>
      <c r="F18" s="1355"/>
      <c r="G18" s="1356"/>
      <c r="H18" s="9"/>
    </row>
    <row r="19" spans="1:21" ht="4.5" customHeight="1">
      <c r="A19" s="226"/>
      <c r="B19" s="4"/>
      <c r="C19" s="6"/>
      <c r="D19" s="4"/>
      <c r="E19" s="4"/>
      <c r="F19" s="38"/>
      <c r="G19" s="227"/>
      <c r="H19" s="9"/>
      <c r="I19" s="34"/>
      <c r="J19" s="34"/>
      <c r="K19" s="35"/>
      <c r="L19" s="39"/>
      <c r="M19" s="7"/>
      <c r="N19" s="7"/>
      <c r="O19" s="8"/>
      <c r="P19" s="5"/>
      <c r="Q19" s="5"/>
      <c r="R19" s="5"/>
      <c r="S19" s="5"/>
      <c r="T19" s="5"/>
      <c r="U19" s="5"/>
    </row>
    <row r="20" spans="1:21">
      <c r="A20" s="1373" t="s">
        <v>17</v>
      </c>
      <c r="B20" s="1374"/>
      <c r="C20" s="1374"/>
      <c r="D20" s="346" t="s">
        <v>3</v>
      </c>
      <c r="E20" s="346" t="s">
        <v>4</v>
      </c>
      <c r="F20" s="346" t="s">
        <v>25</v>
      </c>
      <c r="G20" s="228" t="s">
        <v>21</v>
      </c>
      <c r="H20" s="27"/>
      <c r="I20" s="34"/>
      <c r="J20" s="34"/>
      <c r="K20" s="35"/>
      <c r="L20" s="39"/>
      <c r="M20" s="7"/>
      <c r="N20" s="7"/>
      <c r="O20" s="8"/>
      <c r="P20" s="5"/>
      <c r="Q20" s="5"/>
      <c r="R20" s="5"/>
      <c r="S20" s="5"/>
      <c r="T20" s="5"/>
      <c r="U20" s="5"/>
    </row>
    <row r="21" spans="1:21" ht="31.5" customHeight="1">
      <c r="A21" s="1441" t="s">
        <v>220</v>
      </c>
      <c r="B21" s="1442"/>
      <c r="C21" s="1443"/>
      <c r="D21" s="118" t="s">
        <v>51</v>
      </c>
      <c r="E21" s="119">
        <v>1</v>
      </c>
      <c r="F21" s="87">
        <f>369289/6*IPC</f>
        <v>63505</v>
      </c>
      <c r="G21" s="231">
        <f>ROUND(F21*E21,0)</f>
        <v>63505</v>
      </c>
      <c r="H21" s="9"/>
      <c r="I21" s="34"/>
      <c r="J21" s="34"/>
      <c r="K21" s="35"/>
      <c r="L21" s="36"/>
      <c r="M21" s="7"/>
      <c r="N21" s="7"/>
      <c r="O21" s="19"/>
      <c r="P21" s="5"/>
      <c r="Q21" s="5"/>
      <c r="R21" s="5"/>
      <c r="S21" s="5"/>
      <c r="T21" s="5"/>
      <c r="U21" s="5"/>
    </row>
    <row r="22" spans="1:21" ht="27.75" customHeight="1">
      <c r="A22" s="1444"/>
      <c r="B22" s="1403"/>
      <c r="C22" s="1404"/>
      <c r="D22" s="116"/>
      <c r="E22" s="117"/>
      <c r="F22" s="91"/>
      <c r="G22" s="231"/>
      <c r="H22" s="9"/>
      <c r="I22" s="10"/>
      <c r="J22" s="10"/>
      <c r="K22" s="12"/>
      <c r="L22" s="39"/>
      <c r="M22" s="7"/>
      <c r="N22" s="7"/>
      <c r="O22" s="15"/>
      <c r="P22" s="5"/>
      <c r="Q22" s="5"/>
      <c r="R22" s="5"/>
      <c r="S22" s="5"/>
      <c r="T22" s="5"/>
      <c r="U22" s="5"/>
    </row>
    <row r="23" spans="1:21">
      <c r="A23" s="1386"/>
      <c r="B23" s="1353"/>
      <c r="C23" s="1353"/>
      <c r="D23" s="79"/>
      <c r="E23" s="82"/>
      <c r="F23" s="83"/>
      <c r="G23" s="67"/>
      <c r="H23" s="9"/>
      <c r="I23" s="10"/>
      <c r="J23" s="10"/>
      <c r="K23" s="12"/>
      <c r="L23" s="39"/>
      <c r="M23" s="7"/>
      <c r="N23" s="7"/>
      <c r="O23" s="15"/>
      <c r="P23" s="5"/>
      <c r="Q23" s="5"/>
      <c r="R23" s="5"/>
      <c r="S23" s="5"/>
      <c r="T23" s="5"/>
      <c r="U23" s="5"/>
    </row>
    <row r="24" spans="1:21">
      <c r="A24" s="1352"/>
      <c r="B24" s="1353"/>
      <c r="C24" s="1353"/>
      <c r="D24" s="81"/>
      <c r="E24" s="88"/>
      <c r="F24" s="78"/>
      <c r="G24" s="231"/>
      <c r="H24" s="9"/>
      <c r="I24" s="10"/>
      <c r="J24" s="40"/>
      <c r="K24" s="12"/>
      <c r="L24" s="13"/>
      <c r="M24" s="14"/>
      <c r="N24" s="14"/>
      <c r="O24" s="15"/>
      <c r="P24" s="5"/>
      <c r="Q24" s="5"/>
      <c r="R24" s="5"/>
      <c r="S24" s="5"/>
      <c r="T24" s="5"/>
      <c r="U24" s="5"/>
    </row>
    <row r="25" spans="1:21">
      <c r="A25" s="1352"/>
      <c r="B25" s="1353"/>
      <c r="C25" s="1353"/>
      <c r="D25" s="81"/>
      <c r="E25" s="82"/>
      <c r="F25" s="78"/>
      <c r="G25" s="231"/>
      <c r="H25" s="9"/>
      <c r="I25" s="10"/>
      <c r="J25" s="11"/>
      <c r="K25" s="12"/>
      <c r="L25" s="13"/>
      <c r="M25" s="14"/>
      <c r="N25" s="14"/>
      <c r="O25" s="15"/>
      <c r="P25" s="5"/>
      <c r="Q25" s="5"/>
      <c r="R25" s="5"/>
      <c r="S25" s="5"/>
      <c r="T25" s="5"/>
      <c r="U25" s="5"/>
    </row>
    <row r="26" spans="1:21">
      <c r="A26" s="1352"/>
      <c r="B26" s="1353"/>
      <c r="C26" s="1353"/>
      <c r="D26" s="79"/>
      <c r="E26" s="82"/>
      <c r="F26" s="78"/>
      <c r="G26" s="231"/>
      <c r="H26" s="9"/>
      <c r="I26" s="10"/>
      <c r="J26" s="11"/>
      <c r="K26" s="12"/>
      <c r="L26" s="13"/>
      <c r="M26" s="14"/>
      <c r="N26" s="14"/>
      <c r="O26" s="15"/>
      <c r="P26" s="5"/>
      <c r="Q26" s="5"/>
      <c r="R26" s="5"/>
      <c r="S26" s="5"/>
      <c r="T26" s="5"/>
      <c r="U26" s="5"/>
    </row>
    <row r="27" spans="1:21">
      <c r="A27" s="1352"/>
      <c r="B27" s="1353"/>
      <c r="C27" s="1353"/>
      <c r="D27" s="79"/>
      <c r="E27" s="82"/>
      <c r="F27" s="78"/>
      <c r="G27" s="231"/>
      <c r="H27" s="9"/>
      <c r="I27" s="10"/>
      <c r="J27" s="11"/>
      <c r="K27" s="12"/>
      <c r="L27" s="13"/>
      <c r="M27" s="14"/>
      <c r="N27" s="14"/>
      <c r="O27" s="15"/>
      <c r="P27" s="5"/>
      <c r="Q27" s="5"/>
      <c r="R27" s="5"/>
      <c r="S27" s="5"/>
      <c r="T27" s="5"/>
      <c r="U27" s="5"/>
    </row>
    <row r="28" spans="1:21">
      <c r="A28" s="1352"/>
      <c r="B28" s="1353"/>
      <c r="C28" s="1353"/>
      <c r="D28" s="79"/>
      <c r="E28" s="82"/>
      <c r="F28" s="83"/>
      <c r="G28" s="231"/>
      <c r="H28" s="9"/>
      <c r="I28" s="41"/>
      <c r="J28" s="41"/>
      <c r="K28" s="12"/>
      <c r="L28" s="13"/>
      <c r="M28" s="14"/>
      <c r="N28" s="14"/>
      <c r="O28" s="15"/>
      <c r="P28" s="5"/>
      <c r="Q28" s="5"/>
      <c r="R28" s="5"/>
      <c r="S28" s="5"/>
      <c r="T28" s="5"/>
      <c r="U28" s="5"/>
    </row>
    <row r="29" spans="1:21">
      <c r="A29" s="1352"/>
      <c r="B29" s="1353"/>
      <c r="C29" s="1353"/>
      <c r="D29" s="84"/>
      <c r="E29" s="84"/>
      <c r="F29" s="83"/>
      <c r="G29" s="231"/>
      <c r="H29" s="9"/>
      <c r="I29" s="42"/>
      <c r="J29" s="42"/>
      <c r="K29" s="42"/>
      <c r="L29" s="13"/>
      <c r="M29" s="14"/>
      <c r="N29" s="14"/>
      <c r="O29" s="15"/>
      <c r="P29" s="5"/>
      <c r="Q29" s="5"/>
      <c r="R29" s="5"/>
      <c r="S29" s="5"/>
      <c r="T29" s="5"/>
      <c r="U29" s="5"/>
    </row>
    <row r="30" spans="1:21">
      <c r="A30" s="1352"/>
      <c r="B30" s="1353"/>
      <c r="C30" s="1353"/>
      <c r="D30" s="85" t="s">
        <v>28</v>
      </c>
      <c r="E30" s="50"/>
      <c r="F30" s="49"/>
      <c r="G30" s="230">
        <f>SUM(G21:G29)</f>
        <v>63505</v>
      </c>
      <c r="H30" s="9"/>
      <c r="I30" s="8"/>
      <c r="J30" s="13"/>
      <c r="K30" s="8"/>
      <c r="L30" s="13"/>
      <c r="M30" s="14"/>
      <c r="N30" s="14"/>
      <c r="O30" s="15"/>
      <c r="P30" s="5"/>
    </row>
    <row r="31" spans="1:21" ht="3.75" customHeight="1">
      <c r="A31" s="226"/>
      <c r="B31" s="4"/>
      <c r="C31" s="6"/>
      <c r="D31" s="4"/>
      <c r="E31" s="4"/>
      <c r="F31" s="4"/>
      <c r="G31" s="227"/>
      <c r="H31" s="9"/>
      <c r="I31" s="8"/>
      <c r="J31" s="13"/>
      <c r="K31" s="18"/>
      <c r="L31" s="13"/>
      <c r="M31" s="33"/>
      <c r="N31" s="33"/>
      <c r="O31" s="15"/>
      <c r="P31" s="5"/>
    </row>
    <row r="32" spans="1:21" ht="22.5" customHeight="1">
      <c r="A32" s="1354" t="s">
        <v>71</v>
      </c>
      <c r="B32" s="1355"/>
      <c r="C32" s="1355"/>
      <c r="D32" s="1355"/>
      <c r="E32" s="1355"/>
      <c r="F32" s="1355"/>
      <c r="G32" s="1356"/>
      <c r="H32" s="9"/>
    </row>
    <row r="33" spans="1:16" ht="3.75" customHeight="1">
      <c r="A33" s="226"/>
      <c r="B33" s="4"/>
      <c r="C33" s="6"/>
      <c r="D33" s="4"/>
      <c r="E33" s="4"/>
      <c r="F33" s="4"/>
      <c r="G33" s="227"/>
      <c r="H33" s="9"/>
      <c r="I33" s="8"/>
      <c r="J33" s="13"/>
      <c r="K33" s="8"/>
      <c r="L33" s="8"/>
      <c r="M33" s="8"/>
      <c r="N33" s="8"/>
      <c r="O33" s="15"/>
      <c r="P33" s="5"/>
    </row>
    <row r="34" spans="1:16">
      <c r="A34" s="232" t="s">
        <v>5</v>
      </c>
      <c r="B34" s="60" t="s">
        <v>29</v>
      </c>
      <c r="C34" s="60" t="s">
        <v>30</v>
      </c>
      <c r="D34" s="60" t="s">
        <v>31</v>
      </c>
      <c r="E34" s="60" t="s">
        <v>32</v>
      </c>
      <c r="F34" s="60" t="s">
        <v>20</v>
      </c>
      <c r="G34" s="228" t="s">
        <v>33</v>
      </c>
      <c r="H34" s="27"/>
      <c r="I34" s="8"/>
      <c r="J34" s="13"/>
      <c r="K34" s="8"/>
      <c r="L34" s="8"/>
      <c r="M34" s="8"/>
      <c r="N34" s="8"/>
      <c r="O34" s="15"/>
      <c r="P34" s="5"/>
    </row>
    <row r="35" spans="1:16">
      <c r="A35" s="233" t="s">
        <v>41</v>
      </c>
      <c r="B35" s="63">
        <f>BOF</f>
        <v>51749</v>
      </c>
      <c r="C35" s="68">
        <f>ffpp</f>
        <v>0.64539999999999997</v>
      </c>
      <c r="D35" s="72">
        <v>1</v>
      </c>
      <c r="E35" s="66">
        <f>OF</f>
        <v>88696</v>
      </c>
      <c r="F35" s="65">
        <v>28</v>
      </c>
      <c r="G35" s="231">
        <f>ROUND(+D35*E35/F35,0)</f>
        <v>3168</v>
      </c>
      <c r="H35" s="9"/>
      <c r="I35" s="16"/>
      <c r="J35" s="13"/>
      <c r="K35" s="8"/>
      <c r="L35" s="8"/>
      <c r="M35" s="8"/>
      <c r="N35" s="8"/>
      <c r="O35" s="15"/>
      <c r="P35" s="5"/>
    </row>
    <row r="36" spans="1:16">
      <c r="A36" s="233" t="s">
        <v>38</v>
      </c>
      <c r="B36" s="63">
        <f>BOB</f>
        <v>41749</v>
      </c>
      <c r="C36" s="68">
        <f>ffpp</f>
        <v>0.64539999999999997</v>
      </c>
      <c r="D36" s="72">
        <v>3</v>
      </c>
      <c r="E36" s="66">
        <f>OB</f>
        <v>72242</v>
      </c>
      <c r="F36" s="65">
        <f>F35</f>
        <v>28</v>
      </c>
      <c r="G36" s="231">
        <f>ROUND(+D36*E36/F36,0)</f>
        <v>7740</v>
      </c>
      <c r="H36" s="9"/>
      <c r="I36" s="8"/>
      <c r="J36" s="8"/>
      <c r="K36" s="13"/>
      <c r="L36" s="13"/>
      <c r="M36" s="13"/>
      <c r="N36" s="13"/>
      <c r="O36" s="13"/>
      <c r="P36" s="5"/>
    </row>
    <row r="37" spans="1:16">
      <c r="A37" s="234"/>
      <c r="B37" s="50"/>
      <c r="C37" s="961"/>
      <c r="D37" s="50"/>
      <c r="E37" s="66"/>
      <c r="F37" s="65"/>
      <c r="G37" s="231"/>
      <c r="H37" s="9"/>
      <c r="I37" s="8"/>
      <c r="J37" s="13"/>
      <c r="K37" s="13"/>
      <c r="L37" s="13"/>
      <c r="M37" s="33"/>
      <c r="N37" s="33"/>
      <c r="O37" s="43"/>
      <c r="P37" s="5"/>
    </row>
    <row r="38" spans="1:16">
      <c r="A38" s="233"/>
      <c r="B38" s="65"/>
      <c r="C38" s="68"/>
      <c r="D38" s="65"/>
      <c r="E38" s="69"/>
      <c r="F38" s="69"/>
      <c r="G38" s="236"/>
      <c r="H38" s="9"/>
      <c r="I38" s="8"/>
      <c r="J38" s="13"/>
      <c r="K38" s="13"/>
      <c r="L38" s="13"/>
      <c r="M38" s="33"/>
      <c r="N38" s="33"/>
      <c r="O38" s="43"/>
      <c r="P38" s="5"/>
    </row>
    <row r="39" spans="1:16">
      <c r="A39" s="249"/>
      <c r="B39" s="71"/>
      <c r="C39" s="71"/>
      <c r="D39" s="71" t="s">
        <v>34</v>
      </c>
      <c r="E39" s="71"/>
      <c r="F39" s="71"/>
      <c r="G39" s="250">
        <f>SUM(G35:G38)</f>
        <v>10908</v>
      </c>
      <c r="H39" s="9"/>
      <c r="I39" s="8"/>
      <c r="J39" s="13"/>
      <c r="K39" s="13"/>
      <c r="L39" s="13"/>
      <c r="M39" s="14"/>
      <c r="N39" s="14"/>
      <c r="O39" s="15"/>
      <c r="P39" s="5"/>
    </row>
    <row r="40" spans="1:16">
      <c r="A40" s="226"/>
      <c r="B40" s="4"/>
      <c r="C40" s="6"/>
      <c r="D40" s="4"/>
      <c r="E40" s="4"/>
      <c r="F40" s="4"/>
      <c r="G40" s="227"/>
      <c r="H40" s="9"/>
      <c r="I40" s="8"/>
      <c r="J40" s="13"/>
      <c r="K40" s="13"/>
      <c r="L40" s="13"/>
      <c r="M40" s="14"/>
      <c r="N40" s="14"/>
      <c r="O40" s="19"/>
      <c r="P40" s="5"/>
    </row>
    <row r="41" spans="1:16">
      <c r="A41" s="226"/>
      <c r="B41" s="4"/>
      <c r="C41" s="6"/>
      <c r="D41" s="4"/>
      <c r="E41" s="4"/>
      <c r="F41" s="4"/>
      <c r="G41" s="227"/>
      <c r="H41" s="9"/>
      <c r="I41" s="8"/>
      <c r="J41" s="13"/>
      <c r="K41" s="13"/>
      <c r="L41" s="13"/>
      <c r="M41" s="17"/>
      <c r="N41" s="17"/>
      <c r="O41" s="37"/>
      <c r="P41" s="5"/>
    </row>
    <row r="42" spans="1:16" ht="14.25">
      <c r="A42" s="226"/>
      <c r="B42" s="4"/>
      <c r="C42" s="6"/>
      <c r="D42" s="1357" t="s">
        <v>35</v>
      </c>
      <c r="E42" s="1358"/>
      <c r="F42" s="1359"/>
      <c r="G42" s="239">
        <f>+G39+G30+G16</f>
        <v>75504</v>
      </c>
      <c r="H42" s="9"/>
      <c r="I42" s="48"/>
      <c r="J42" s="20"/>
      <c r="K42" s="8"/>
      <c r="L42" s="8"/>
      <c r="M42" s="8"/>
      <c r="N42" s="8"/>
      <c r="O42" s="8"/>
      <c r="P42" s="5"/>
    </row>
    <row r="43" spans="1:16" ht="14.25">
      <c r="A43" s="240"/>
      <c r="B43" s="57"/>
      <c r="C43" s="58"/>
      <c r="D43" s="99"/>
      <c r="E43" s="99"/>
      <c r="F43" s="99"/>
      <c r="G43" s="251"/>
      <c r="H43" s="9"/>
      <c r="I43" s="48"/>
      <c r="J43" s="20"/>
      <c r="K43" s="8"/>
      <c r="L43" s="8"/>
      <c r="M43" s="8"/>
      <c r="N43" s="8"/>
      <c r="O43" s="8"/>
      <c r="P43" s="5"/>
    </row>
    <row r="44" spans="1:16" ht="14.25">
      <c r="A44" s="374"/>
      <c r="B44" s="375"/>
      <c r="C44" s="375"/>
      <c r="D44" s="99"/>
      <c r="E44" s="99"/>
      <c r="F44" s="99"/>
      <c r="G44" s="251"/>
      <c r="H44" s="9"/>
      <c r="I44" s="48"/>
      <c r="J44" s="20"/>
      <c r="K44" s="8"/>
      <c r="L44" s="8"/>
      <c r="M44" s="8"/>
      <c r="N44" s="8"/>
      <c r="O44" s="8"/>
      <c r="P44" s="5"/>
    </row>
    <row r="45" spans="1:16" ht="14.25">
      <c r="A45" s="373"/>
      <c r="B45" s="376"/>
      <c r="C45" s="376"/>
      <c r="D45" s="99"/>
      <c r="E45" s="99"/>
      <c r="F45" s="99"/>
      <c r="G45" s="251"/>
      <c r="H45" s="9"/>
      <c r="I45" s="48"/>
      <c r="J45" s="20"/>
      <c r="K45" s="8"/>
      <c r="L45" s="8"/>
      <c r="M45" s="8"/>
      <c r="N45" s="8"/>
      <c r="O45" s="8"/>
      <c r="P45" s="5"/>
    </row>
    <row r="46" spans="1:16" ht="14.25">
      <c r="A46" s="373"/>
      <c r="B46" s="376"/>
      <c r="C46" s="376"/>
      <c r="D46" s="44"/>
      <c r="E46" s="45"/>
      <c r="F46" s="45"/>
      <c r="G46" s="251"/>
      <c r="H46" s="9"/>
      <c r="I46" s="8"/>
      <c r="J46" s="13"/>
      <c r="K46" s="8"/>
      <c r="L46" s="8"/>
      <c r="M46" s="8"/>
      <c r="N46" s="8"/>
      <c r="O46" s="8"/>
      <c r="P46" s="5"/>
    </row>
    <row r="47" spans="1:16" ht="15" thickBot="1">
      <c r="A47" s="242"/>
      <c r="B47" s="243"/>
      <c r="C47" s="244"/>
      <c r="D47" s="245"/>
      <c r="E47" s="246"/>
      <c r="F47" s="246"/>
      <c r="G47" s="247"/>
      <c r="H47" s="9"/>
      <c r="I47" s="8"/>
      <c r="J47" s="13"/>
      <c r="K47" s="8"/>
      <c r="L47" s="8"/>
      <c r="M47" s="8"/>
      <c r="N47" s="8"/>
      <c r="O47" s="8"/>
      <c r="P47" s="5"/>
    </row>
    <row r="48" spans="1:16">
      <c r="I48" s="5"/>
      <c r="J48" s="5"/>
      <c r="K48" s="5"/>
      <c r="L48" s="5"/>
      <c r="M48" s="5"/>
      <c r="N48" s="5"/>
      <c r="O48" s="5"/>
      <c r="P48" s="5"/>
    </row>
    <row r="49" spans="9:16">
      <c r="I49" s="5"/>
      <c r="J49" s="5"/>
      <c r="K49" s="5"/>
      <c r="L49" s="5"/>
      <c r="M49" s="5"/>
      <c r="N49" s="5"/>
      <c r="O49" s="5"/>
      <c r="P49" s="5"/>
    </row>
  </sheetData>
  <mergeCells count="26">
    <mergeCell ref="A32:G32"/>
    <mergeCell ref="D42:F42"/>
    <mergeCell ref="A25:C25"/>
    <mergeCell ref="A26:C26"/>
    <mergeCell ref="A27:C27"/>
    <mergeCell ref="A28:C28"/>
    <mergeCell ref="A29:C29"/>
    <mergeCell ref="A30:C30"/>
    <mergeCell ref="A24:C24"/>
    <mergeCell ref="A11:C11"/>
    <mergeCell ref="A12:C12"/>
    <mergeCell ref="A13:C13"/>
    <mergeCell ref="A14:C14"/>
    <mergeCell ref="A15:C15"/>
    <mergeCell ref="A16:C16"/>
    <mergeCell ref="A18:G18"/>
    <mergeCell ref="A20:C20"/>
    <mergeCell ref="A21:C21"/>
    <mergeCell ref="A22:C22"/>
    <mergeCell ref="A23:C23"/>
    <mergeCell ref="A10:C10"/>
    <mergeCell ref="A1:G1"/>
    <mergeCell ref="A2:G2"/>
    <mergeCell ref="A3:G4"/>
    <mergeCell ref="B6:E6"/>
    <mergeCell ref="A8:G8"/>
  </mergeCells>
  <printOptions horizontalCentered="1" verticalCentered="1"/>
  <pageMargins left="0.74803149606299213" right="0.74803149606299213" top="0" bottom="0.98425196850393704" header="0" footer="0"/>
  <pageSetup scale="90" orientation="portrait" r:id="rId1"/>
  <headerFooter alignWithMargins="0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9"/>
  <dimension ref="A1:U49"/>
  <sheetViews>
    <sheetView view="pageBreakPreview" topLeftCell="A15" zoomScaleNormal="100" zoomScaleSheetLayoutView="100" workbookViewId="0">
      <selection activeCell="F22" sqref="F22"/>
    </sheetView>
  </sheetViews>
  <sheetFormatPr baseColWidth="10" defaultColWidth="10.7109375" defaultRowHeight="12.75"/>
  <cols>
    <col min="1" max="1" width="15.85546875" style="3" customWidth="1"/>
    <col min="2" max="2" width="14.85546875" style="3" customWidth="1"/>
    <col min="3" max="3" width="13.28515625" style="3" customWidth="1"/>
    <col min="4" max="4" width="11.42578125" style="3"/>
    <col min="5" max="5" width="13.42578125" style="3" customWidth="1"/>
    <col min="6" max="6" width="12.7109375" style="3" customWidth="1"/>
    <col min="7" max="7" width="14" style="3" customWidth="1"/>
    <col min="8" max="8" width="7.42578125" style="3" customWidth="1"/>
    <col min="9" max="256" width="11.42578125" style="3"/>
    <col min="257" max="257" width="15.85546875" style="3" customWidth="1"/>
    <col min="258" max="258" width="14.85546875" style="3" customWidth="1"/>
    <col min="259" max="259" width="13.28515625" style="3" customWidth="1"/>
    <col min="260" max="260" width="11.42578125" style="3"/>
    <col min="261" max="261" width="13.42578125" style="3" customWidth="1"/>
    <col min="262" max="262" width="12.7109375" style="3" customWidth="1"/>
    <col min="263" max="263" width="14" style="3" customWidth="1"/>
    <col min="264" max="264" width="7.42578125" style="3" customWidth="1"/>
    <col min="265" max="512" width="11.42578125" style="3"/>
    <col min="513" max="513" width="15.85546875" style="3" customWidth="1"/>
    <col min="514" max="514" width="14.85546875" style="3" customWidth="1"/>
    <col min="515" max="515" width="13.28515625" style="3" customWidth="1"/>
    <col min="516" max="516" width="11.42578125" style="3"/>
    <col min="517" max="517" width="13.42578125" style="3" customWidth="1"/>
    <col min="518" max="518" width="12.7109375" style="3" customWidth="1"/>
    <col min="519" max="519" width="14" style="3" customWidth="1"/>
    <col min="520" max="520" width="7.42578125" style="3" customWidth="1"/>
    <col min="521" max="768" width="11.42578125" style="3"/>
    <col min="769" max="769" width="15.85546875" style="3" customWidth="1"/>
    <col min="770" max="770" width="14.85546875" style="3" customWidth="1"/>
    <col min="771" max="771" width="13.28515625" style="3" customWidth="1"/>
    <col min="772" max="772" width="11.42578125" style="3"/>
    <col min="773" max="773" width="13.42578125" style="3" customWidth="1"/>
    <col min="774" max="774" width="12.7109375" style="3" customWidth="1"/>
    <col min="775" max="775" width="14" style="3" customWidth="1"/>
    <col min="776" max="776" width="7.42578125" style="3" customWidth="1"/>
    <col min="777" max="1024" width="11.42578125" style="3"/>
    <col min="1025" max="1025" width="15.85546875" style="3" customWidth="1"/>
    <col min="1026" max="1026" width="14.85546875" style="3" customWidth="1"/>
    <col min="1027" max="1027" width="13.28515625" style="3" customWidth="1"/>
    <col min="1028" max="1028" width="11.42578125" style="3"/>
    <col min="1029" max="1029" width="13.42578125" style="3" customWidth="1"/>
    <col min="1030" max="1030" width="12.7109375" style="3" customWidth="1"/>
    <col min="1031" max="1031" width="14" style="3" customWidth="1"/>
    <col min="1032" max="1032" width="7.42578125" style="3" customWidth="1"/>
    <col min="1033" max="1280" width="11.42578125" style="3"/>
    <col min="1281" max="1281" width="15.85546875" style="3" customWidth="1"/>
    <col min="1282" max="1282" width="14.85546875" style="3" customWidth="1"/>
    <col min="1283" max="1283" width="13.28515625" style="3" customWidth="1"/>
    <col min="1284" max="1284" width="11.42578125" style="3"/>
    <col min="1285" max="1285" width="13.42578125" style="3" customWidth="1"/>
    <col min="1286" max="1286" width="12.7109375" style="3" customWidth="1"/>
    <col min="1287" max="1287" width="14" style="3" customWidth="1"/>
    <col min="1288" max="1288" width="7.42578125" style="3" customWidth="1"/>
    <col min="1289" max="1536" width="11.42578125" style="3"/>
    <col min="1537" max="1537" width="15.85546875" style="3" customWidth="1"/>
    <col min="1538" max="1538" width="14.85546875" style="3" customWidth="1"/>
    <col min="1539" max="1539" width="13.28515625" style="3" customWidth="1"/>
    <col min="1540" max="1540" width="11.42578125" style="3"/>
    <col min="1541" max="1541" width="13.42578125" style="3" customWidth="1"/>
    <col min="1542" max="1542" width="12.7109375" style="3" customWidth="1"/>
    <col min="1543" max="1543" width="14" style="3" customWidth="1"/>
    <col min="1544" max="1544" width="7.42578125" style="3" customWidth="1"/>
    <col min="1545" max="1792" width="11.42578125" style="3"/>
    <col min="1793" max="1793" width="15.85546875" style="3" customWidth="1"/>
    <col min="1794" max="1794" width="14.85546875" style="3" customWidth="1"/>
    <col min="1795" max="1795" width="13.28515625" style="3" customWidth="1"/>
    <col min="1796" max="1796" width="11.42578125" style="3"/>
    <col min="1797" max="1797" width="13.42578125" style="3" customWidth="1"/>
    <col min="1798" max="1798" width="12.7109375" style="3" customWidth="1"/>
    <col min="1799" max="1799" width="14" style="3" customWidth="1"/>
    <col min="1800" max="1800" width="7.42578125" style="3" customWidth="1"/>
    <col min="1801" max="2048" width="11.42578125" style="3"/>
    <col min="2049" max="2049" width="15.85546875" style="3" customWidth="1"/>
    <col min="2050" max="2050" width="14.85546875" style="3" customWidth="1"/>
    <col min="2051" max="2051" width="13.28515625" style="3" customWidth="1"/>
    <col min="2052" max="2052" width="11.42578125" style="3"/>
    <col min="2053" max="2053" width="13.42578125" style="3" customWidth="1"/>
    <col min="2054" max="2054" width="12.7109375" style="3" customWidth="1"/>
    <col min="2055" max="2055" width="14" style="3" customWidth="1"/>
    <col min="2056" max="2056" width="7.42578125" style="3" customWidth="1"/>
    <col min="2057" max="2304" width="11.42578125" style="3"/>
    <col min="2305" max="2305" width="15.85546875" style="3" customWidth="1"/>
    <col min="2306" max="2306" width="14.85546875" style="3" customWidth="1"/>
    <col min="2307" max="2307" width="13.28515625" style="3" customWidth="1"/>
    <col min="2308" max="2308" width="11.42578125" style="3"/>
    <col min="2309" max="2309" width="13.42578125" style="3" customWidth="1"/>
    <col min="2310" max="2310" width="12.7109375" style="3" customWidth="1"/>
    <col min="2311" max="2311" width="14" style="3" customWidth="1"/>
    <col min="2312" max="2312" width="7.42578125" style="3" customWidth="1"/>
    <col min="2313" max="2560" width="11.42578125" style="3"/>
    <col min="2561" max="2561" width="15.85546875" style="3" customWidth="1"/>
    <col min="2562" max="2562" width="14.85546875" style="3" customWidth="1"/>
    <col min="2563" max="2563" width="13.28515625" style="3" customWidth="1"/>
    <col min="2564" max="2564" width="11.42578125" style="3"/>
    <col min="2565" max="2565" width="13.42578125" style="3" customWidth="1"/>
    <col min="2566" max="2566" width="12.7109375" style="3" customWidth="1"/>
    <col min="2567" max="2567" width="14" style="3" customWidth="1"/>
    <col min="2568" max="2568" width="7.42578125" style="3" customWidth="1"/>
    <col min="2569" max="2816" width="11.42578125" style="3"/>
    <col min="2817" max="2817" width="15.85546875" style="3" customWidth="1"/>
    <col min="2818" max="2818" width="14.85546875" style="3" customWidth="1"/>
    <col min="2819" max="2819" width="13.28515625" style="3" customWidth="1"/>
    <col min="2820" max="2820" width="11.42578125" style="3"/>
    <col min="2821" max="2821" width="13.42578125" style="3" customWidth="1"/>
    <col min="2822" max="2822" width="12.7109375" style="3" customWidth="1"/>
    <col min="2823" max="2823" width="14" style="3" customWidth="1"/>
    <col min="2824" max="2824" width="7.42578125" style="3" customWidth="1"/>
    <col min="2825" max="3072" width="11.42578125" style="3"/>
    <col min="3073" max="3073" width="15.85546875" style="3" customWidth="1"/>
    <col min="3074" max="3074" width="14.85546875" style="3" customWidth="1"/>
    <col min="3075" max="3075" width="13.28515625" style="3" customWidth="1"/>
    <col min="3076" max="3076" width="11.42578125" style="3"/>
    <col min="3077" max="3077" width="13.42578125" style="3" customWidth="1"/>
    <col min="3078" max="3078" width="12.7109375" style="3" customWidth="1"/>
    <col min="3079" max="3079" width="14" style="3" customWidth="1"/>
    <col min="3080" max="3080" width="7.42578125" style="3" customWidth="1"/>
    <col min="3081" max="3328" width="11.42578125" style="3"/>
    <col min="3329" max="3329" width="15.85546875" style="3" customWidth="1"/>
    <col min="3330" max="3330" width="14.85546875" style="3" customWidth="1"/>
    <col min="3331" max="3331" width="13.28515625" style="3" customWidth="1"/>
    <col min="3332" max="3332" width="11.42578125" style="3"/>
    <col min="3333" max="3333" width="13.42578125" style="3" customWidth="1"/>
    <col min="3334" max="3334" width="12.7109375" style="3" customWidth="1"/>
    <col min="3335" max="3335" width="14" style="3" customWidth="1"/>
    <col min="3336" max="3336" width="7.42578125" style="3" customWidth="1"/>
    <col min="3337" max="3584" width="11.42578125" style="3"/>
    <col min="3585" max="3585" width="15.85546875" style="3" customWidth="1"/>
    <col min="3586" max="3586" width="14.85546875" style="3" customWidth="1"/>
    <col min="3587" max="3587" width="13.28515625" style="3" customWidth="1"/>
    <col min="3588" max="3588" width="11.42578125" style="3"/>
    <col min="3589" max="3589" width="13.42578125" style="3" customWidth="1"/>
    <col min="3590" max="3590" width="12.7109375" style="3" customWidth="1"/>
    <col min="3591" max="3591" width="14" style="3" customWidth="1"/>
    <col min="3592" max="3592" width="7.42578125" style="3" customWidth="1"/>
    <col min="3593" max="3840" width="11.42578125" style="3"/>
    <col min="3841" max="3841" width="15.85546875" style="3" customWidth="1"/>
    <col min="3842" max="3842" width="14.85546875" style="3" customWidth="1"/>
    <col min="3843" max="3843" width="13.28515625" style="3" customWidth="1"/>
    <col min="3844" max="3844" width="11.42578125" style="3"/>
    <col min="3845" max="3845" width="13.42578125" style="3" customWidth="1"/>
    <col min="3846" max="3846" width="12.7109375" style="3" customWidth="1"/>
    <col min="3847" max="3847" width="14" style="3" customWidth="1"/>
    <col min="3848" max="3848" width="7.42578125" style="3" customWidth="1"/>
    <col min="3849" max="4096" width="11.42578125" style="3"/>
    <col min="4097" max="4097" width="15.85546875" style="3" customWidth="1"/>
    <col min="4098" max="4098" width="14.85546875" style="3" customWidth="1"/>
    <col min="4099" max="4099" width="13.28515625" style="3" customWidth="1"/>
    <col min="4100" max="4100" width="11.42578125" style="3"/>
    <col min="4101" max="4101" width="13.42578125" style="3" customWidth="1"/>
    <col min="4102" max="4102" width="12.7109375" style="3" customWidth="1"/>
    <col min="4103" max="4103" width="14" style="3" customWidth="1"/>
    <col min="4104" max="4104" width="7.42578125" style="3" customWidth="1"/>
    <col min="4105" max="4352" width="11.42578125" style="3"/>
    <col min="4353" max="4353" width="15.85546875" style="3" customWidth="1"/>
    <col min="4354" max="4354" width="14.85546875" style="3" customWidth="1"/>
    <col min="4355" max="4355" width="13.28515625" style="3" customWidth="1"/>
    <col min="4356" max="4356" width="11.42578125" style="3"/>
    <col min="4357" max="4357" width="13.42578125" style="3" customWidth="1"/>
    <col min="4358" max="4358" width="12.7109375" style="3" customWidth="1"/>
    <col min="4359" max="4359" width="14" style="3" customWidth="1"/>
    <col min="4360" max="4360" width="7.42578125" style="3" customWidth="1"/>
    <col min="4361" max="4608" width="11.42578125" style="3"/>
    <col min="4609" max="4609" width="15.85546875" style="3" customWidth="1"/>
    <col min="4610" max="4610" width="14.85546875" style="3" customWidth="1"/>
    <col min="4611" max="4611" width="13.28515625" style="3" customWidth="1"/>
    <col min="4612" max="4612" width="11.42578125" style="3"/>
    <col min="4613" max="4613" width="13.42578125" style="3" customWidth="1"/>
    <col min="4614" max="4614" width="12.7109375" style="3" customWidth="1"/>
    <col min="4615" max="4615" width="14" style="3" customWidth="1"/>
    <col min="4616" max="4616" width="7.42578125" style="3" customWidth="1"/>
    <col min="4617" max="4864" width="11.42578125" style="3"/>
    <col min="4865" max="4865" width="15.85546875" style="3" customWidth="1"/>
    <col min="4866" max="4866" width="14.85546875" style="3" customWidth="1"/>
    <col min="4867" max="4867" width="13.28515625" style="3" customWidth="1"/>
    <col min="4868" max="4868" width="11.42578125" style="3"/>
    <col min="4869" max="4869" width="13.42578125" style="3" customWidth="1"/>
    <col min="4870" max="4870" width="12.7109375" style="3" customWidth="1"/>
    <col min="4871" max="4871" width="14" style="3" customWidth="1"/>
    <col min="4872" max="4872" width="7.42578125" style="3" customWidth="1"/>
    <col min="4873" max="5120" width="11.42578125" style="3"/>
    <col min="5121" max="5121" width="15.85546875" style="3" customWidth="1"/>
    <col min="5122" max="5122" width="14.85546875" style="3" customWidth="1"/>
    <col min="5123" max="5123" width="13.28515625" style="3" customWidth="1"/>
    <col min="5124" max="5124" width="11.42578125" style="3"/>
    <col min="5125" max="5125" width="13.42578125" style="3" customWidth="1"/>
    <col min="5126" max="5126" width="12.7109375" style="3" customWidth="1"/>
    <col min="5127" max="5127" width="14" style="3" customWidth="1"/>
    <col min="5128" max="5128" width="7.42578125" style="3" customWidth="1"/>
    <col min="5129" max="5376" width="11.42578125" style="3"/>
    <col min="5377" max="5377" width="15.85546875" style="3" customWidth="1"/>
    <col min="5378" max="5378" width="14.85546875" style="3" customWidth="1"/>
    <col min="5379" max="5379" width="13.28515625" style="3" customWidth="1"/>
    <col min="5380" max="5380" width="11.42578125" style="3"/>
    <col min="5381" max="5381" width="13.42578125" style="3" customWidth="1"/>
    <col min="5382" max="5382" width="12.7109375" style="3" customWidth="1"/>
    <col min="5383" max="5383" width="14" style="3" customWidth="1"/>
    <col min="5384" max="5384" width="7.42578125" style="3" customWidth="1"/>
    <col min="5385" max="5632" width="11.42578125" style="3"/>
    <col min="5633" max="5633" width="15.85546875" style="3" customWidth="1"/>
    <col min="5634" max="5634" width="14.85546875" style="3" customWidth="1"/>
    <col min="5635" max="5635" width="13.28515625" style="3" customWidth="1"/>
    <col min="5636" max="5636" width="11.42578125" style="3"/>
    <col min="5637" max="5637" width="13.42578125" style="3" customWidth="1"/>
    <col min="5638" max="5638" width="12.7109375" style="3" customWidth="1"/>
    <col min="5639" max="5639" width="14" style="3" customWidth="1"/>
    <col min="5640" max="5640" width="7.42578125" style="3" customWidth="1"/>
    <col min="5641" max="5888" width="11.42578125" style="3"/>
    <col min="5889" max="5889" width="15.85546875" style="3" customWidth="1"/>
    <col min="5890" max="5890" width="14.85546875" style="3" customWidth="1"/>
    <col min="5891" max="5891" width="13.28515625" style="3" customWidth="1"/>
    <col min="5892" max="5892" width="11.42578125" style="3"/>
    <col min="5893" max="5893" width="13.42578125" style="3" customWidth="1"/>
    <col min="5894" max="5894" width="12.7109375" style="3" customWidth="1"/>
    <col min="5895" max="5895" width="14" style="3" customWidth="1"/>
    <col min="5896" max="5896" width="7.42578125" style="3" customWidth="1"/>
    <col min="5897" max="6144" width="11.42578125" style="3"/>
    <col min="6145" max="6145" width="15.85546875" style="3" customWidth="1"/>
    <col min="6146" max="6146" width="14.85546875" style="3" customWidth="1"/>
    <col min="6147" max="6147" width="13.28515625" style="3" customWidth="1"/>
    <col min="6148" max="6148" width="11.42578125" style="3"/>
    <col min="6149" max="6149" width="13.42578125" style="3" customWidth="1"/>
    <col min="6150" max="6150" width="12.7109375" style="3" customWidth="1"/>
    <col min="6151" max="6151" width="14" style="3" customWidth="1"/>
    <col min="6152" max="6152" width="7.42578125" style="3" customWidth="1"/>
    <col min="6153" max="6400" width="11.42578125" style="3"/>
    <col min="6401" max="6401" width="15.85546875" style="3" customWidth="1"/>
    <col min="6402" max="6402" width="14.85546875" style="3" customWidth="1"/>
    <col min="6403" max="6403" width="13.28515625" style="3" customWidth="1"/>
    <col min="6404" max="6404" width="11.42578125" style="3"/>
    <col min="6405" max="6405" width="13.42578125" style="3" customWidth="1"/>
    <col min="6406" max="6406" width="12.7109375" style="3" customWidth="1"/>
    <col min="6407" max="6407" width="14" style="3" customWidth="1"/>
    <col min="6408" max="6408" width="7.42578125" style="3" customWidth="1"/>
    <col min="6409" max="6656" width="11.42578125" style="3"/>
    <col min="6657" max="6657" width="15.85546875" style="3" customWidth="1"/>
    <col min="6658" max="6658" width="14.85546875" style="3" customWidth="1"/>
    <col min="6659" max="6659" width="13.28515625" style="3" customWidth="1"/>
    <col min="6660" max="6660" width="11.42578125" style="3"/>
    <col min="6661" max="6661" width="13.42578125" style="3" customWidth="1"/>
    <col min="6662" max="6662" width="12.7109375" style="3" customWidth="1"/>
    <col min="6663" max="6663" width="14" style="3" customWidth="1"/>
    <col min="6664" max="6664" width="7.42578125" style="3" customWidth="1"/>
    <col min="6665" max="6912" width="11.42578125" style="3"/>
    <col min="6913" max="6913" width="15.85546875" style="3" customWidth="1"/>
    <col min="6914" max="6914" width="14.85546875" style="3" customWidth="1"/>
    <col min="6915" max="6915" width="13.28515625" style="3" customWidth="1"/>
    <col min="6916" max="6916" width="11.42578125" style="3"/>
    <col min="6917" max="6917" width="13.42578125" style="3" customWidth="1"/>
    <col min="6918" max="6918" width="12.7109375" style="3" customWidth="1"/>
    <col min="6919" max="6919" width="14" style="3" customWidth="1"/>
    <col min="6920" max="6920" width="7.42578125" style="3" customWidth="1"/>
    <col min="6921" max="7168" width="11.42578125" style="3"/>
    <col min="7169" max="7169" width="15.85546875" style="3" customWidth="1"/>
    <col min="7170" max="7170" width="14.85546875" style="3" customWidth="1"/>
    <col min="7171" max="7171" width="13.28515625" style="3" customWidth="1"/>
    <col min="7172" max="7172" width="11.42578125" style="3"/>
    <col min="7173" max="7173" width="13.42578125" style="3" customWidth="1"/>
    <col min="7174" max="7174" width="12.7109375" style="3" customWidth="1"/>
    <col min="7175" max="7175" width="14" style="3" customWidth="1"/>
    <col min="7176" max="7176" width="7.42578125" style="3" customWidth="1"/>
    <col min="7177" max="7424" width="11.42578125" style="3"/>
    <col min="7425" max="7425" width="15.85546875" style="3" customWidth="1"/>
    <col min="7426" max="7426" width="14.85546875" style="3" customWidth="1"/>
    <col min="7427" max="7427" width="13.28515625" style="3" customWidth="1"/>
    <col min="7428" max="7428" width="11.42578125" style="3"/>
    <col min="7429" max="7429" width="13.42578125" style="3" customWidth="1"/>
    <col min="7430" max="7430" width="12.7109375" style="3" customWidth="1"/>
    <col min="7431" max="7431" width="14" style="3" customWidth="1"/>
    <col min="7432" max="7432" width="7.42578125" style="3" customWidth="1"/>
    <col min="7433" max="7680" width="11.42578125" style="3"/>
    <col min="7681" max="7681" width="15.85546875" style="3" customWidth="1"/>
    <col min="7682" max="7682" width="14.85546875" style="3" customWidth="1"/>
    <col min="7683" max="7683" width="13.28515625" style="3" customWidth="1"/>
    <col min="7684" max="7684" width="11.42578125" style="3"/>
    <col min="7685" max="7685" width="13.42578125" style="3" customWidth="1"/>
    <col min="7686" max="7686" width="12.7109375" style="3" customWidth="1"/>
    <col min="7687" max="7687" width="14" style="3" customWidth="1"/>
    <col min="7688" max="7688" width="7.42578125" style="3" customWidth="1"/>
    <col min="7689" max="7936" width="11.42578125" style="3"/>
    <col min="7937" max="7937" width="15.85546875" style="3" customWidth="1"/>
    <col min="7938" max="7938" width="14.85546875" style="3" customWidth="1"/>
    <col min="7939" max="7939" width="13.28515625" style="3" customWidth="1"/>
    <col min="7940" max="7940" width="11.42578125" style="3"/>
    <col min="7941" max="7941" width="13.42578125" style="3" customWidth="1"/>
    <col min="7942" max="7942" width="12.7109375" style="3" customWidth="1"/>
    <col min="7943" max="7943" width="14" style="3" customWidth="1"/>
    <col min="7944" max="7944" width="7.42578125" style="3" customWidth="1"/>
    <col min="7945" max="8192" width="11.42578125" style="3"/>
    <col min="8193" max="8193" width="15.85546875" style="3" customWidth="1"/>
    <col min="8194" max="8194" width="14.85546875" style="3" customWidth="1"/>
    <col min="8195" max="8195" width="13.28515625" style="3" customWidth="1"/>
    <col min="8196" max="8196" width="11.42578125" style="3"/>
    <col min="8197" max="8197" width="13.42578125" style="3" customWidth="1"/>
    <col min="8198" max="8198" width="12.7109375" style="3" customWidth="1"/>
    <col min="8199" max="8199" width="14" style="3" customWidth="1"/>
    <col min="8200" max="8200" width="7.42578125" style="3" customWidth="1"/>
    <col min="8201" max="8448" width="11.42578125" style="3"/>
    <col min="8449" max="8449" width="15.85546875" style="3" customWidth="1"/>
    <col min="8450" max="8450" width="14.85546875" style="3" customWidth="1"/>
    <col min="8451" max="8451" width="13.28515625" style="3" customWidth="1"/>
    <col min="8452" max="8452" width="11.42578125" style="3"/>
    <col min="8453" max="8453" width="13.42578125" style="3" customWidth="1"/>
    <col min="8454" max="8454" width="12.7109375" style="3" customWidth="1"/>
    <col min="8455" max="8455" width="14" style="3" customWidth="1"/>
    <col min="8456" max="8456" width="7.42578125" style="3" customWidth="1"/>
    <col min="8457" max="8704" width="11.42578125" style="3"/>
    <col min="8705" max="8705" width="15.85546875" style="3" customWidth="1"/>
    <col min="8706" max="8706" width="14.85546875" style="3" customWidth="1"/>
    <col min="8707" max="8707" width="13.28515625" style="3" customWidth="1"/>
    <col min="8708" max="8708" width="11.42578125" style="3"/>
    <col min="8709" max="8709" width="13.42578125" style="3" customWidth="1"/>
    <col min="8710" max="8710" width="12.7109375" style="3" customWidth="1"/>
    <col min="8711" max="8711" width="14" style="3" customWidth="1"/>
    <col min="8712" max="8712" width="7.42578125" style="3" customWidth="1"/>
    <col min="8713" max="8960" width="11.42578125" style="3"/>
    <col min="8961" max="8961" width="15.85546875" style="3" customWidth="1"/>
    <col min="8962" max="8962" width="14.85546875" style="3" customWidth="1"/>
    <col min="8963" max="8963" width="13.28515625" style="3" customWidth="1"/>
    <col min="8964" max="8964" width="11.42578125" style="3"/>
    <col min="8965" max="8965" width="13.42578125" style="3" customWidth="1"/>
    <col min="8966" max="8966" width="12.7109375" style="3" customWidth="1"/>
    <col min="8967" max="8967" width="14" style="3" customWidth="1"/>
    <col min="8968" max="8968" width="7.42578125" style="3" customWidth="1"/>
    <col min="8969" max="9216" width="11.42578125" style="3"/>
    <col min="9217" max="9217" width="15.85546875" style="3" customWidth="1"/>
    <col min="9218" max="9218" width="14.85546875" style="3" customWidth="1"/>
    <col min="9219" max="9219" width="13.28515625" style="3" customWidth="1"/>
    <col min="9220" max="9220" width="11.42578125" style="3"/>
    <col min="9221" max="9221" width="13.42578125" style="3" customWidth="1"/>
    <col min="9222" max="9222" width="12.7109375" style="3" customWidth="1"/>
    <col min="9223" max="9223" width="14" style="3" customWidth="1"/>
    <col min="9224" max="9224" width="7.42578125" style="3" customWidth="1"/>
    <col min="9225" max="9472" width="11.42578125" style="3"/>
    <col min="9473" max="9473" width="15.85546875" style="3" customWidth="1"/>
    <col min="9474" max="9474" width="14.85546875" style="3" customWidth="1"/>
    <col min="9475" max="9475" width="13.28515625" style="3" customWidth="1"/>
    <col min="9476" max="9476" width="11.42578125" style="3"/>
    <col min="9477" max="9477" width="13.42578125" style="3" customWidth="1"/>
    <col min="9478" max="9478" width="12.7109375" style="3" customWidth="1"/>
    <col min="9479" max="9479" width="14" style="3" customWidth="1"/>
    <col min="9480" max="9480" width="7.42578125" style="3" customWidth="1"/>
    <col min="9481" max="9728" width="11.42578125" style="3"/>
    <col min="9729" max="9729" width="15.85546875" style="3" customWidth="1"/>
    <col min="9730" max="9730" width="14.85546875" style="3" customWidth="1"/>
    <col min="9731" max="9731" width="13.28515625" style="3" customWidth="1"/>
    <col min="9732" max="9732" width="11.42578125" style="3"/>
    <col min="9733" max="9733" width="13.42578125" style="3" customWidth="1"/>
    <col min="9734" max="9734" width="12.7109375" style="3" customWidth="1"/>
    <col min="9735" max="9735" width="14" style="3" customWidth="1"/>
    <col min="9736" max="9736" width="7.42578125" style="3" customWidth="1"/>
    <col min="9737" max="9984" width="11.42578125" style="3"/>
    <col min="9985" max="9985" width="15.85546875" style="3" customWidth="1"/>
    <col min="9986" max="9986" width="14.85546875" style="3" customWidth="1"/>
    <col min="9987" max="9987" width="13.28515625" style="3" customWidth="1"/>
    <col min="9988" max="9988" width="11.42578125" style="3"/>
    <col min="9989" max="9989" width="13.42578125" style="3" customWidth="1"/>
    <col min="9990" max="9990" width="12.7109375" style="3" customWidth="1"/>
    <col min="9991" max="9991" width="14" style="3" customWidth="1"/>
    <col min="9992" max="9992" width="7.42578125" style="3" customWidth="1"/>
    <col min="9993" max="10240" width="11.42578125" style="3"/>
    <col min="10241" max="10241" width="15.85546875" style="3" customWidth="1"/>
    <col min="10242" max="10242" width="14.85546875" style="3" customWidth="1"/>
    <col min="10243" max="10243" width="13.28515625" style="3" customWidth="1"/>
    <col min="10244" max="10244" width="11.42578125" style="3"/>
    <col min="10245" max="10245" width="13.42578125" style="3" customWidth="1"/>
    <col min="10246" max="10246" width="12.7109375" style="3" customWidth="1"/>
    <col min="10247" max="10247" width="14" style="3" customWidth="1"/>
    <col min="10248" max="10248" width="7.42578125" style="3" customWidth="1"/>
    <col min="10249" max="10496" width="11.42578125" style="3"/>
    <col min="10497" max="10497" width="15.85546875" style="3" customWidth="1"/>
    <col min="10498" max="10498" width="14.85546875" style="3" customWidth="1"/>
    <col min="10499" max="10499" width="13.28515625" style="3" customWidth="1"/>
    <col min="10500" max="10500" width="11.42578125" style="3"/>
    <col min="10501" max="10501" width="13.42578125" style="3" customWidth="1"/>
    <col min="10502" max="10502" width="12.7109375" style="3" customWidth="1"/>
    <col min="10503" max="10503" width="14" style="3" customWidth="1"/>
    <col min="10504" max="10504" width="7.42578125" style="3" customWidth="1"/>
    <col min="10505" max="10752" width="11.42578125" style="3"/>
    <col min="10753" max="10753" width="15.85546875" style="3" customWidth="1"/>
    <col min="10754" max="10754" width="14.85546875" style="3" customWidth="1"/>
    <col min="10755" max="10755" width="13.28515625" style="3" customWidth="1"/>
    <col min="10756" max="10756" width="11.42578125" style="3"/>
    <col min="10757" max="10757" width="13.42578125" style="3" customWidth="1"/>
    <col min="10758" max="10758" width="12.7109375" style="3" customWidth="1"/>
    <col min="10759" max="10759" width="14" style="3" customWidth="1"/>
    <col min="10760" max="10760" width="7.42578125" style="3" customWidth="1"/>
    <col min="10761" max="11008" width="11.42578125" style="3"/>
    <col min="11009" max="11009" width="15.85546875" style="3" customWidth="1"/>
    <col min="11010" max="11010" width="14.85546875" style="3" customWidth="1"/>
    <col min="11011" max="11011" width="13.28515625" style="3" customWidth="1"/>
    <col min="11012" max="11012" width="11.42578125" style="3"/>
    <col min="11013" max="11013" width="13.42578125" style="3" customWidth="1"/>
    <col min="11014" max="11014" width="12.7109375" style="3" customWidth="1"/>
    <col min="11015" max="11015" width="14" style="3" customWidth="1"/>
    <col min="11016" max="11016" width="7.42578125" style="3" customWidth="1"/>
    <col min="11017" max="11264" width="11.42578125" style="3"/>
    <col min="11265" max="11265" width="15.85546875" style="3" customWidth="1"/>
    <col min="11266" max="11266" width="14.85546875" style="3" customWidth="1"/>
    <col min="11267" max="11267" width="13.28515625" style="3" customWidth="1"/>
    <col min="11268" max="11268" width="11.42578125" style="3"/>
    <col min="11269" max="11269" width="13.42578125" style="3" customWidth="1"/>
    <col min="11270" max="11270" width="12.7109375" style="3" customWidth="1"/>
    <col min="11271" max="11271" width="14" style="3" customWidth="1"/>
    <col min="11272" max="11272" width="7.42578125" style="3" customWidth="1"/>
    <col min="11273" max="11520" width="11.42578125" style="3"/>
    <col min="11521" max="11521" width="15.85546875" style="3" customWidth="1"/>
    <col min="11522" max="11522" width="14.85546875" style="3" customWidth="1"/>
    <col min="11523" max="11523" width="13.28515625" style="3" customWidth="1"/>
    <col min="11524" max="11524" width="11.42578125" style="3"/>
    <col min="11525" max="11525" width="13.42578125" style="3" customWidth="1"/>
    <col min="11526" max="11526" width="12.7109375" style="3" customWidth="1"/>
    <col min="11527" max="11527" width="14" style="3" customWidth="1"/>
    <col min="11528" max="11528" width="7.42578125" style="3" customWidth="1"/>
    <col min="11529" max="11776" width="11.42578125" style="3"/>
    <col min="11777" max="11777" width="15.85546875" style="3" customWidth="1"/>
    <col min="11778" max="11778" width="14.85546875" style="3" customWidth="1"/>
    <col min="11779" max="11779" width="13.28515625" style="3" customWidth="1"/>
    <col min="11780" max="11780" width="11.42578125" style="3"/>
    <col min="11781" max="11781" width="13.42578125" style="3" customWidth="1"/>
    <col min="11782" max="11782" width="12.7109375" style="3" customWidth="1"/>
    <col min="11783" max="11783" width="14" style="3" customWidth="1"/>
    <col min="11784" max="11784" width="7.42578125" style="3" customWidth="1"/>
    <col min="11785" max="12032" width="11.42578125" style="3"/>
    <col min="12033" max="12033" width="15.85546875" style="3" customWidth="1"/>
    <col min="12034" max="12034" width="14.85546875" style="3" customWidth="1"/>
    <col min="12035" max="12035" width="13.28515625" style="3" customWidth="1"/>
    <col min="12036" max="12036" width="11.42578125" style="3"/>
    <col min="12037" max="12037" width="13.42578125" style="3" customWidth="1"/>
    <col min="12038" max="12038" width="12.7109375" style="3" customWidth="1"/>
    <col min="12039" max="12039" width="14" style="3" customWidth="1"/>
    <col min="12040" max="12040" width="7.42578125" style="3" customWidth="1"/>
    <col min="12041" max="12288" width="11.42578125" style="3"/>
    <col min="12289" max="12289" width="15.85546875" style="3" customWidth="1"/>
    <col min="12290" max="12290" width="14.85546875" style="3" customWidth="1"/>
    <col min="12291" max="12291" width="13.28515625" style="3" customWidth="1"/>
    <col min="12292" max="12292" width="11.42578125" style="3"/>
    <col min="12293" max="12293" width="13.42578125" style="3" customWidth="1"/>
    <col min="12294" max="12294" width="12.7109375" style="3" customWidth="1"/>
    <col min="12295" max="12295" width="14" style="3" customWidth="1"/>
    <col min="12296" max="12296" width="7.42578125" style="3" customWidth="1"/>
    <col min="12297" max="12544" width="11.42578125" style="3"/>
    <col min="12545" max="12545" width="15.85546875" style="3" customWidth="1"/>
    <col min="12546" max="12546" width="14.85546875" style="3" customWidth="1"/>
    <col min="12547" max="12547" width="13.28515625" style="3" customWidth="1"/>
    <col min="12548" max="12548" width="11.42578125" style="3"/>
    <col min="12549" max="12549" width="13.42578125" style="3" customWidth="1"/>
    <col min="12550" max="12550" width="12.7109375" style="3" customWidth="1"/>
    <col min="12551" max="12551" width="14" style="3" customWidth="1"/>
    <col min="12552" max="12552" width="7.42578125" style="3" customWidth="1"/>
    <col min="12553" max="12800" width="11.42578125" style="3"/>
    <col min="12801" max="12801" width="15.85546875" style="3" customWidth="1"/>
    <col min="12802" max="12802" width="14.85546875" style="3" customWidth="1"/>
    <col min="12803" max="12803" width="13.28515625" style="3" customWidth="1"/>
    <col min="12804" max="12804" width="11.42578125" style="3"/>
    <col min="12805" max="12805" width="13.42578125" style="3" customWidth="1"/>
    <col min="12806" max="12806" width="12.7109375" style="3" customWidth="1"/>
    <col min="12807" max="12807" width="14" style="3" customWidth="1"/>
    <col min="12808" max="12808" width="7.42578125" style="3" customWidth="1"/>
    <col min="12809" max="13056" width="11.42578125" style="3"/>
    <col min="13057" max="13057" width="15.85546875" style="3" customWidth="1"/>
    <col min="13058" max="13058" width="14.85546875" style="3" customWidth="1"/>
    <col min="13059" max="13059" width="13.28515625" style="3" customWidth="1"/>
    <col min="13060" max="13060" width="11.42578125" style="3"/>
    <col min="13061" max="13061" width="13.42578125" style="3" customWidth="1"/>
    <col min="13062" max="13062" width="12.7109375" style="3" customWidth="1"/>
    <col min="13063" max="13063" width="14" style="3" customWidth="1"/>
    <col min="13064" max="13064" width="7.42578125" style="3" customWidth="1"/>
    <col min="13065" max="13312" width="11.42578125" style="3"/>
    <col min="13313" max="13313" width="15.85546875" style="3" customWidth="1"/>
    <col min="13314" max="13314" width="14.85546875" style="3" customWidth="1"/>
    <col min="13315" max="13315" width="13.28515625" style="3" customWidth="1"/>
    <col min="13316" max="13316" width="11.42578125" style="3"/>
    <col min="13317" max="13317" width="13.42578125" style="3" customWidth="1"/>
    <col min="13318" max="13318" width="12.7109375" style="3" customWidth="1"/>
    <col min="13319" max="13319" width="14" style="3" customWidth="1"/>
    <col min="13320" max="13320" width="7.42578125" style="3" customWidth="1"/>
    <col min="13321" max="13568" width="11.42578125" style="3"/>
    <col min="13569" max="13569" width="15.85546875" style="3" customWidth="1"/>
    <col min="13570" max="13570" width="14.85546875" style="3" customWidth="1"/>
    <col min="13571" max="13571" width="13.28515625" style="3" customWidth="1"/>
    <col min="13572" max="13572" width="11.42578125" style="3"/>
    <col min="13573" max="13573" width="13.42578125" style="3" customWidth="1"/>
    <col min="13574" max="13574" width="12.7109375" style="3" customWidth="1"/>
    <col min="13575" max="13575" width="14" style="3" customWidth="1"/>
    <col min="13576" max="13576" width="7.42578125" style="3" customWidth="1"/>
    <col min="13577" max="13824" width="11.42578125" style="3"/>
    <col min="13825" max="13825" width="15.85546875" style="3" customWidth="1"/>
    <col min="13826" max="13826" width="14.85546875" style="3" customWidth="1"/>
    <col min="13827" max="13827" width="13.28515625" style="3" customWidth="1"/>
    <col min="13828" max="13828" width="11.42578125" style="3"/>
    <col min="13829" max="13829" width="13.42578125" style="3" customWidth="1"/>
    <col min="13830" max="13830" width="12.7109375" style="3" customWidth="1"/>
    <col min="13831" max="13831" width="14" style="3" customWidth="1"/>
    <col min="13832" max="13832" width="7.42578125" style="3" customWidth="1"/>
    <col min="13833" max="14080" width="11.42578125" style="3"/>
    <col min="14081" max="14081" width="15.85546875" style="3" customWidth="1"/>
    <col min="14082" max="14082" width="14.85546875" style="3" customWidth="1"/>
    <col min="14083" max="14083" width="13.28515625" style="3" customWidth="1"/>
    <col min="14084" max="14084" width="11.42578125" style="3"/>
    <col min="14085" max="14085" width="13.42578125" style="3" customWidth="1"/>
    <col min="14086" max="14086" width="12.7109375" style="3" customWidth="1"/>
    <col min="14087" max="14087" width="14" style="3" customWidth="1"/>
    <col min="14088" max="14088" width="7.42578125" style="3" customWidth="1"/>
    <col min="14089" max="14336" width="11.42578125" style="3"/>
    <col min="14337" max="14337" width="15.85546875" style="3" customWidth="1"/>
    <col min="14338" max="14338" width="14.85546875" style="3" customWidth="1"/>
    <col min="14339" max="14339" width="13.28515625" style="3" customWidth="1"/>
    <col min="14340" max="14340" width="11.42578125" style="3"/>
    <col min="14341" max="14341" width="13.42578125" style="3" customWidth="1"/>
    <col min="14342" max="14342" width="12.7109375" style="3" customWidth="1"/>
    <col min="14343" max="14343" width="14" style="3" customWidth="1"/>
    <col min="14344" max="14344" width="7.42578125" style="3" customWidth="1"/>
    <col min="14345" max="14592" width="11.42578125" style="3"/>
    <col min="14593" max="14593" width="15.85546875" style="3" customWidth="1"/>
    <col min="14594" max="14594" width="14.85546875" style="3" customWidth="1"/>
    <col min="14595" max="14595" width="13.28515625" style="3" customWidth="1"/>
    <col min="14596" max="14596" width="11.42578125" style="3"/>
    <col min="14597" max="14597" width="13.42578125" style="3" customWidth="1"/>
    <col min="14598" max="14598" width="12.7109375" style="3" customWidth="1"/>
    <col min="14599" max="14599" width="14" style="3" customWidth="1"/>
    <col min="14600" max="14600" width="7.42578125" style="3" customWidth="1"/>
    <col min="14601" max="14848" width="11.42578125" style="3"/>
    <col min="14849" max="14849" width="15.85546875" style="3" customWidth="1"/>
    <col min="14850" max="14850" width="14.85546875" style="3" customWidth="1"/>
    <col min="14851" max="14851" width="13.28515625" style="3" customWidth="1"/>
    <col min="14852" max="14852" width="11.42578125" style="3"/>
    <col min="14853" max="14853" width="13.42578125" style="3" customWidth="1"/>
    <col min="14854" max="14854" width="12.7109375" style="3" customWidth="1"/>
    <col min="14855" max="14855" width="14" style="3" customWidth="1"/>
    <col min="14856" max="14856" width="7.42578125" style="3" customWidth="1"/>
    <col min="14857" max="15104" width="11.42578125" style="3"/>
    <col min="15105" max="15105" width="15.85546875" style="3" customWidth="1"/>
    <col min="15106" max="15106" width="14.85546875" style="3" customWidth="1"/>
    <col min="15107" max="15107" width="13.28515625" style="3" customWidth="1"/>
    <col min="15108" max="15108" width="11.42578125" style="3"/>
    <col min="15109" max="15109" width="13.42578125" style="3" customWidth="1"/>
    <col min="15110" max="15110" width="12.7109375" style="3" customWidth="1"/>
    <col min="15111" max="15111" width="14" style="3" customWidth="1"/>
    <col min="15112" max="15112" width="7.42578125" style="3" customWidth="1"/>
    <col min="15113" max="15360" width="11.42578125" style="3"/>
    <col min="15361" max="15361" width="15.85546875" style="3" customWidth="1"/>
    <col min="15362" max="15362" width="14.85546875" style="3" customWidth="1"/>
    <col min="15363" max="15363" width="13.28515625" style="3" customWidth="1"/>
    <col min="15364" max="15364" width="11.42578125" style="3"/>
    <col min="15365" max="15365" width="13.42578125" style="3" customWidth="1"/>
    <col min="15366" max="15366" width="12.7109375" style="3" customWidth="1"/>
    <col min="15367" max="15367" width="14" style="3" customWidth="1"/>
    <col min="15368" max="15368" width="7.42578125" style="3" customWidth="1"/>
    <col min="15369" max="15616" width="11.42578125" style="3"/>
    <col min="15617" max="15617" width="15.85546875" style="3" customWidth="1"/>
    <col min="15618" max="15618" width="14.85546875" style="3" customWidth="1"/>
    <col min="15619" max="15619" width="13.28515625" style="3" customWidth="1"/>
    <col min="15620" max="15620" width="11.42578125" style="3"/>
    <col min="15621" max="15621" width="13.42578125" style="3" customWidth="1"/>
    <col min="15622" max="15622" width="12.7109375" style="3" customWidth="1"/>
    <col min="15623" max="15623" width="14" style="3" customWidth="1"/>
    <col min="15624" max="15624" width="7.42578125" style="3" customWidth="1"/>
    <col min="15625" max="15872" width="11.42578125" style="3"/>
    <col min="15873" max="15873" width="15.85546875" style="3" customWidth="1"/>
    <col min="15874" max="15874" width="14.85546875" style="3" customWidth="1"/>
    <col min="15875" max="15875" width="13.28515625" style="3" customWidth="1"/>
    <col min="15876" max="15876" width="11.42578125" style="3"/>
    <col min="15877" max="15877" width="13.42578125" style="3" customWidth="1"/>
    <col min="15878" max="15878" width="12.7109375" style="3" customWidth="1"/>
    <col min="15879" max="15879" width="14" style="3" customWidth="1"/>
    <col min="15880" max="15880" width="7.42578125" style="3" customWidth="1"/>
    <col min="15881" max="16128" width="11.42578125" style="3"/>
    <col min="16129" max="16129" width="15.85546875" style="3" customWidth="1"/>
    <col min="16130" max="16130" width="14.85546875" style="3" customWidth="1"/>
    <col min="16131" max="16131" width="13.28515625" style="3" customWidth="1"/>
    <col min="16132" max="16132" width="11.42578125" style="3"/>
    <col min="16133" max="16133" width="13.42578125" style="3" customWidth="1"/>
    <col min="16134" max="16134" width="12.7109375" style="3" customWidth="1"/>
    <col min="16135" max="16135" width="14" style="3" customWidth="1"/>
    <col min="16136" max="16136" width="7.42578125" style="3" customWidth="1"/>
    <col min="16137" max="16384" width="11.42578125" style="3"/>
  </cols>
  <sheetData>
    <row r="1" spans="1:21" ht="48" customHeight="1">
      <c r="A1" s="1346" t="str">
        <f>PPTO!D3</f>
        <v>PRESUPUESTO
MUNICIPIO EL BAGRE (ANTIOQUIA).</v>
      </c>
      <c r="B1" s="1347"/>
      <c r="C1" s="1347"/>
      <c r="D1" s="1347"/>
      <c r="E1" s="1347"/>
      <c r="F1" s="1347"/>
      <c r="G1" s="1348"/>
      <c r="H1" s="1"/>
      <c r="I1" s="2"/>
    </row>
    <row r="2" spans="1:21" ht="18" customHeight="1">
      <c r="A2" s="1362" t="s">
        <v>16</v>
      </c>
      <c r="B2" s="1363"/>
      <c r="C2" s="1363"/>
      <c r="D2" s="1363"/>
      <c r="E2" s="1363"/>
      <c r="F2" s="1363"/>
      <c r="G2" s="1364"/>
      <c r="H2" s="1"/>
      <c r="I2" s="2"/>
    </row>
    <row r="3" spans="1:21" ht="27" customHeight="1">
      <c r="A3" s="1367" t="str">
        <f>+PPTO!$D$5</f>
        <v>PROYECTO DE MEJORAMIENTO VIAL, ESPACIO PUBLICO Y OBRAS COMPLEMENTARIAS DE LA AVENIDA LA JUVENTUD Y TRAMOS ADYACENTES Y PRIORITARIOS DEL SECTOR URBANO EN EL MUNICIPIO EL BAGRE ANTIOQUIA.</v>
      </c>
      <c r="B3" s="1368"/>
      <c r="C3" s="1368"/>
      <c r="D3" s="1368"/>
      <c r="E3" s="1368"/>
      <c r="F3" s="1368"/>
      <c r="G3" s="1369"/>
      <c r="H3" s="1"/>
      <c r="I3" s="2"/>
    </row>
    <row r="4" spans="1:21" ht="30" customHeight="1">
      <c r="A4" s="1370"/>
      <c r="B4" s="1368"/>
      <c r="C4" s="1368"/>
      <c r="D4" s="1368"/>
      <c r="E4" s="1368"/>
      <c r="F4" s="1368"/>
      <c r="G4" s="1369"/>
      <c r="H4" s="1"/>
      <c r="I4" s="2"/>
    </row>
    <row r="5" spans="1:21" ht="6.75" customHeight="1">
      <c r="A5" s="222"/>
      <c r="B5" s="6"/>
      <c r="C5" s="24"/>
      <c r="D5" s="25"/>
      <c r="E5" s="6"/>
      <c r="F5" s="6"/>
      <c r="G5" s="223"/>
      <c r="H5" s="9"/>
    </row>
    <row r="6" spans="1:21" ht="52.5" customHeight="1">
      <c r="A6" s="368">
        <v>6.5</v>
      </c>
      <c r="B6" s="1349" t="str">
        <f>VLOOKUP(A6,PPTO!D9:I136,2,FALSE)</f>
        <v>Suministro e instalacion tuberia en PVC Novafort 12"</v>
      </c>
      <c r="C6" s="1350"/>
      <c r="D6" s="1350"/>
      <c r="E6" s="1351"/>
      <c r="F6" s="192" t="s">
        <v>118</v>
      </c>
      <c r="G6" s="248" t="str">
        <f>VLOOKUP(A6,PPTO!D9:I136,3,FALSE)</f>
        <v>m</v>
      </c>
      <c r="H6" s="9"/>
    </row>
    <row r="7" spans="1:21" ht="3.75" customHeight="1">
      <c r="A7" s="226"/>
      <c r="B7" s="4"/>
      <c r="C7" s="6"/>
      <c r="D7" s="4"/>
      <c r="E7" s="4"/>
      <c r="F7" s="4"/>
      <c r="G7" s="227"/>
      <c r="H7" s="9"/>
    </row>
    <row r="8" spans="1:21" ht="22.5" customHeight="1">
      <c r="A8" s="1354" t="s">
        <v>69</v>
      </c>
      <c r="B8" s="1355"/>
      <c r="C8" s="1355"/>
      <c r="D8" s="1355"/>
      <c r="E8" s="1355"/>
      <c r="F8" s="1355"/>
      <c r="G8" s="1356"/>
      <c r="H8" s="9"/>
    </row>
    <row r="9" spans="1:21" ht="4.5" customHeight="1">
      <c r="A9" s="226"/>
      <c r="B9" s="4"/>
      <c r="C9" s="6"/>
      <c r="D9" s="4"/>
      <c r="E9" s="4"/>
      <c r="F9" s="4"/>
      <c r="G9" s="227"/>
      <c r="H9" s="9"/>
      <c r="I9" s="5"/>
      <c r="J9" s="5"/>
      <c r="K9" s="5"/>
      <c r="L9" s="26"/>
      <c r="M9" s="5"/>
      <c r="N9" s="5"/>
      <c r="O9" s="5"/>
      <c r="P9" s="5"/>
    </row>
    <row r="10" spans="1:21">
      <c r="A10" s="1373" t="s">
        <v>17</v>
      </c>
      <c r="B10" s="1374"/>
      <c r="C10" s="1374"/>
      <c r="D10" s="346" t="s">
        <v>18</v>
      </c>
      <c r="E10" s="346" t="s">
        <v>19</v>
      </c>
      <c r="F10" s="346" t="s">
        <v>20</v>
      </c>
      <c r="G10" s="228" t="s">
        <v>21</v>
      </c>
      <c r="H10" s="27"/>
      <c r="I10" s="28"/>
      <c r="J10" s="29"/>
      <c r="K10" s="30"/>
      <c r="L10" s="30"/>
      <c r="M10" s="30"/>
      <c r="N10" s="30"/>
      <c r="O10" s="30"/>
      <c r="P10" s="5"/>
    </row>
    <row r="11" spans="1:21">
      <c r="A11" s="1352" t="s">
        <v>47</v>
      </c>
      <c r="B11" s="1353"/>
      <c r="C11" s="1353"/>
      <c r="D11" s="346"/>
      <c r="E11" s="83"/>
      <c r="F11" s="97"/>
      <c r="G11" s="229">
        <f>+G39*10%</f>
        <v>1175</v>
      </c>
      <c r="H11" s="9"/>
      <c r="I11" s="30"/>
      <c r="J11" s="31"/>
      <c r="K11" s="30"/>
      <c r="L11" s="30"/>
      <c r="M11" s="30"/>
      <c r="N11" s="30"/>
      <c r="O11" s="30"/>
      <c r="P11" s="5"/>
    </row>
    <row r="12" spans="1:21">
      <c r="A12" s="1371"/>
      <c r="B12" s="1372"/>
      <c r="C12" s="1372"/>
      <c r="D12" s="83"/>
      <c r="E12" s="83"/>
      <c r="F12" s="93"/>
      <c r="G12" s="229"/>
      <c r="H12" s="9"/>
      <c r="I12" s="16"/>
      <c r="J12" s="13"/>
      <c r="K12" s="8"/>
      <c r="L12" s="8"/>
      <c r="M12" s="8"/>
      <c r="N12" s="8"/>
      <c r="O12" s="8"/>
      <c r="P12" s="5"/>
    </row>
    <row r="13" spans="1:21">
      <c r="A13" s="1371"/>
      <c r="B13" s="1372"/>
      <c r="C13" s="1372"/>
      <c r="D13" s="83"/>
      <c r="E13" s="83"/>
      <c r="F13" s="93"/>
      <c r="G13" s="229"/>
      <c r="H13" s="9"/>
      <c r="I13" s="13"/>
      <c r="J13" s="13"/>
      <c r="K13" s="13"/>
      <c r="L13" s="13"/>
      <c r="M13" s="13"/>
      <c r="N13" s="13"/>
      <c r="O13" s="13"/>
      <c r="P13" s="5"/>
    </row>
    <row r="14" spans="1:21">
      <c r="A14" s="1371"/>
      <c r="B14" s="1372"/>
      <c r="C14" s="1372"/>
      <c r="D14" s="83"/>
      <c r="E14" s="83"/>
      <c r="F14" s="93"/>
      <c r="G14" s="229"/>
      <c r="H14" s="9"/>
      <c r="I14" s="8"/>
      <c r="J14" s="14"/>
      <c r="K14" s="32"/>
      <c r="L14" s="14"/>
      <c r="M14" s="15"/>
      <c r="N14" s="15"/>
      <c r="O14" s="19"/>
      <c r="P14" s="5"/>
    </row>
    <row r="15" spans="1:21">
      <c r="A15" s="1371"/>
      <c r="B15" s="1372"/>
      <c r="C15" s="1372"/>
      <c r="D15" s="83"/>
      <c r="E15" s="83"/>
      <c r="F15" s="98"/>
      <c r="G15" s="229"/>
      <c r="H15" s="9"/>
      <c r="I15" s="8"/>
      <c r="J15" s="33"/>
      <c r="K15" s="32"/>
      <c r="L15" s="14"/>
      <c r="M15" s="15"/>
      <c r="N15" s="15"/>
      <c r="O15" s="19"/>
      <c r="P15" s="5"/>
      <c r="Q15" s="5"/>
      <c r="R15" s="5"/>
      <c r="S15" s="5"/>
      <c r="T15" s="5"/>
      <c r="U15" s="5"/>
    </row>
    <row r="16" spans="1:21">
      <c r="A16" s="1371"/>
      <c r="B16" s="1372"/>
      <c r="C16" s="1372"/>
      <c r="D16" s="85" t="s">
        <v>37</v>
      </c>
      <c r="E16" s="50"/>
      <c r="F16" s="49"/>
      <c r="G16" s="230">
        <f>SUM(G11:G15)</f>
        <v>1175</v>
      </c>
      <c r="H16" s="9"/>
      <c r="I16" s="34"/>
      <c r="J16" s="34"/>
      <c r="K16" s="35"/>
      <c r="L16" s="36"/>
      <c r="M16" s="7"/>
      <c r="N16" s="7"/>
      <c r="O16" s="19"/>
      <c r="P16" s="5"/>
      <c r="Q16" s="5"/>
      <c r="R16" s="5"/>
      <c r="S16" s="5"/>
      <c r="T16" s="5"/>
      <c r="U16" s="5"/>
    </row>
    <row r="17" spans="1:21" ht="4.5" customHeight="1">
      <c r="A17" s="226"/>
      <c r="B17" s="4"/>
      <c r="C17" s="6"/>
      <c r="D17" s="4"/>
      <c r="E17" s="4"/>
      <c r="F17" s="4"/>
      <c r="G17" s="227"/>
      <c r="H17" s="9"/>
      <c r="I17" s="34"/>
      <c r="J17" s="34"/>
      <c r="K17" s="35"/>
      <c r="L17" s="36"/>
      <c r="M17" s="7"/>
      <c r="N17" s="7"/>
      <c r="O17" s="19"/>
      <c r="P17" s="5"/>
      <c r="Q17" s="5"/>
      <c r="R17" s="5"/>
      <c r="S17" s="5"/>
      <c r="T17" s="5"/>
      <c r="U17" s="5"/>
    </row>
    <row r="18" spans="1:21" ht="22.5" customHeight="1">
      <c r="A18" s="1354" t="s">
        <v>70</v>
      </c>
      <c r="B18" s="1355"/>
      <c r="C18" s="1355"/>
      <c r="D18" s="1355"/>
      <c r="E18" s="1355"/>
      <c r="F18" s="1355"/>
      <c r="G18" s="1356"/>
      <c r="H18" s="9"/>
    </row>
    <row r="19" spans="1:21" ht="4.5" customHeight="1">
      <c r="A19" s="226"/>
      <c r="B19" s="4"/>
      <c r="C19" s="6"/>
      <c r="D19" s="4"/>
      <c r="E19" s="4"/>
      <c r="F19" s="38"/>
      <c r="G19" s="227"/>
      <c r="H19" s="9"/>
      <c r="I19" s="34"/>
      <c r="J19" s="34"/>
      <c r="K19" s="35"/>
      <c r="L19" s="39"/>
      <c r="M19" s="7"/>
      <c r="N19" s="7"/>
      <c r="O19" s="8"/>
      <c r="P19" s="5"/>
      <c r="Q19" s="5"/>
      <c r="R19" s="5"/>
      <c r="S19" s="5"/>
      <c r="T19" s="5"/>
      <c r="U19" s="5"/>
    </row>
    <row r="20" spans="1:21">
      <c r="A20" s="1373" t="s">
        <v>17</v>
      </c>
      <c r="B20" s="1374"/>
      <c r="C20" s="1374"/>
      <c r="D20" s="346" t="s">
        <v>3</v>
      </c>
      <c r="E20" s="346" t="s">
        <v>4</v>
      </c>
      <c r="F20" s="346" t="s">
        <v>25</v>
      </c>
      <c r="G20" s="228" t="s">
        <v>21</v>
      </c>
      <c r="H20" s="27"/>
      <c r="I20" s="34"/>
      <c r="J20" s="34"/>
      <c r="K20" s="35"/>
      <c r="L20" s="39"/>
      <c r="M20" s="7"/>
      <c r="N20" s="7"/>
      <c r="O20" s="8"/>
      <c r="P20" s="5"/>
      <c r="Q20" s="5"/>
      <c r="R20" s="5"/>
      <c r="S20" s="5"/>
      <c r="T20" s="5"/>
      <c r="U20" s="5"/>
    </row>
    <row r="21" spans="1:21" ht="31.5" customHeight="1">
      <c r="A21" s="1441" t="s">
        <v>221</v>
      </c>
      <c r="B21" s="1442"/>
      <c r="C21" s="1443"/>
      <c r="D21" s="118" t="s">
        <v>51</v>
      </c>
      <c r="E21" s="119">
        <v>1</v>
      </c>
      <c r="F21" s="87">
        <f>566437/6*IPC</f>
        <v>97408</v>
      </c>
      <c r="G21" s="231">
        <f>ROUND(F21*E21,0)</f>
        <v>97408</v>
      </c>
      <c r="H21" s="9"/>
      <c r="I21" s="34"/>
      <c r="J21" s="34"/>
      <c r="K21" s="35"/>
      <c r="L21" s="36"/>
      <c r="M21" s="7"/>
      <c r="N21" s="7"/>
      <c r="O21" s="19"/>
      <c r="P21" s="5"/>
      <c r="Q21" s="5"/>
      <c r="R21" s="5"/>
      <c r="S21" s="5"/>
      <c r="T21" s="5"/>
      <c r="U21" s="5"/>
    </row>
    <row r="22" spans="1:21" ht="27.75" customHeight="1">
      <c r="A22" s="1444"/>
      <c r="B22" s="1403"/>
      <c r="C22" s="1404"/>
      <c r="D22" s="116"/>
      <c r="E22" s="117"/>
      <c r="F22" s="91"/>
      <c r="G22" s="231"/>
      <c r="H22" s="9"/>
      <c r="I22" s="10"/>
      <c r="J22" s="10"/>
      <c r="K22" s="12"/>
      <c r="L22" s="39"/>
      <c r="M22" s="7"/>
      <c r="N22" s="7"/>
      <c r="O22" s="15"/>
      <c r="P22" s="5"/>
      <c r="Q22" s="5"/>
      <c r="R22" s="5"/>
      <c r="S22" s="5"/>
      <c r="T22" s="5"/>
      <c r="U22" s="5"/>
    </row>
    <row r="23" spans="1:21">
      <c r="A23" s="1386"/>
      <c r="B23" s="1353"/>
      <c r="C23" s="1353"/>
      <c r="D23" s="79"/>
      <c r="E23" s="82"/>
      <c r="F23" s="83"/>
      <c r="G23" s="67"/>
      <c r="H23" s="9"/>
      <c r="I23" s="10"/>
      <c r="J23" s="10"/>
      <c r="K23" s="12"/>
      <c r="L23" s="39"/>
      <c r="M23" s="7"/>
      <c r="N23" s="7"/>
      <c r="O23" s="15"/>
      <c r="P23" s="5"/>
      <c r="Q23" s="5"/>
      <c r="R23" s="5"/>
      <c r="S23" s="5"/>
      <c r="T23" s="5"/>
      <c r="U23" s="5"/>
    </row>
    <row r="24" spans="1:21">
      <c r="A24" s="1352"/>
      <c r="B24" s="1353"/>
      <c r="C24" s="1353"/>
      <c r="D24" s="81"/>
      <c r="E24" s="88"/>
      <c r="F24" s="78"/>
      <c r="G24" s="231"/>
      <c r="H24" s="9"/>
      <c r="I24" s="10"/>
      <c r="J24" s="40"/>
      <c r="K24" s="12"/>
      <c r="L24" s="13"/>
      <c r="M24" s="14"/>
      <c r="N24" s="14"/>
      <c r="O24" s="15"/>
      <c r="P24" s="5"/>
      <c r="Q24" s="5"/>
      <c r="R24" s="5"/>
      <c r="S24" s="5"/>
      <c r="T24" s="5"/>
      <c r="U24" s="5"/>
    </row>
    <row r="25" spans="1:21">
      <c r="A25" s="1352"/>
      <c r="B25" s="1353"/>
      <c r="C25" s="1353"/>
      <c r="D25" s="81"/>
      <c r="E25" s="82"/>
      <c r="F25" s="78"/>
      <c r="G25" s="231"/>
      <c r="H25" s="9"/>
      <c r="I25" s="10"/>
      <c r="J25" s="11"/>
      <c r="K25" s="12"/>
      <c r="L25" s="13"/>
      <c r="M25" s="14"/>
      <c r="N25" s="14"/>
      <c r="O25" s="15"/>
      <c r="P25" s="5"/>
      <c r="Q25" s="5"/>
      <c r="R25" s="5"/>
      <c r="S25" s="5"/>
      <c r="T25" s="5"/>
      <c r="U25" s="5"/>
    </row>
    <row r="26" spans="1:21">
      <c r="A26" s="1352"/>
      <c r="B26" s="1353"/>
      <c r="C26" s="1353"/>
      <c r="D26" s="79"/>
      <c r="E26" s="82"/>
      <c r="F26" s="78"/>
      <c r="G26" s="231"/>
      <c r="H26" s="9"/>
      <c r="I26" s="10"/>
      <c r="J26" s="11"/>
      <c r="K26" s="12"/>
      <c r="L26" s="13"/>
      <c r="M26" s="14"/>
      <c r="N26" s="14"/>
      <c r="O26" s="15"/>
      <c r="P26" s="5"/>
      <c r="Q26" s="5"/>
      <c r="R26" s="5"/>
      <c r="S26" s="5"/>
      <c r="T26" s="5"/>
      <c r="U26" s="5"/>
    </row>
    <row r="27" spans="1:21">
      <c r="A27" s="1352"/>
      <c r="B27" s="1353"/>
      <c r="C27" s="1353"/>
      <c r="D27" s="79"/>
      <c r="E27" s="82"/>
      <c r="F27" s="78"/>
      <c r="G27" s="231"/>
      <c r="H27" s="9"/>
      <c r="I27" s="10"/>
      <c r="J27" s="11"/>
      <c r="K27" s="12"/>
      <c r="L27" s="13"/>
      <c r="M27" s="14"/>
      <c r="N27" s="14"/>
      <c r="O27" s="15"/>
      <c r="P27" s="5"/>
      <c r="Q27" s="5"/>
      <c r="R27" s="5"/>
      <c r="S27" s="5"/>
      <c r="T27" s="5"/>
      <c r="U27" s="5"/>
    </row>
    <row r="28" spans="1:21">
      <c r="A28" s="1352"/>
      <c r="B28" s="1353"/>
      <c r="C28" s="1353"/>
      <c r="D28" s="79"/>
      <c r="E28" s="82"/>
      <c r="F28" s="83"/>
      <c r="G28" s="231"/>
      <c r="H28" s="9"/>
      <c r="I28" s="41"/>
      <c r="J28" s="41"/>
      <c r="K28" s="12"/>
      <c r="L28" s="13"/>
      <c r="M28" s="14"/>
      <c r="N28" s="14"/>
      <c r="O28" s="15"/>
      <c r="P28" s="5"/>
      <c r="Q28" s="5"/>
      <c r="R28" s="5"/>
      <c r="S28" s="5"/>
      <c r="T28" s="5"/>
      <c r="U28" s="5"/>
    </row>
    <row r="29" spans="1:21">
      <c r="A29" s="1352"/>
      <c r="B29" s="1353"/>
      <c r="C29" s="1353"/>
      <c r="D29" s="84"/>
      <c r="E29" s="84"/>
      <c r="F29" s="83"/>
      <c r="G29" s="231"/>
      <c r="H29" s="9"/>
      <c r="I29" s="42"/>
      <c r="J29" s="42"/>
      <c r="K29" s="42"/>
      <c r="L29" s="13"/>
      <c r="M29" s="14"/>
      <c r="N29" s="14"/>
      <c r="O29" s="15"/>
      <c r="P29" s="5"/>
      <c r="Q29" s="5"/>
      <c r="R29" s="5"/>
      <c r="S29" s="5"/>
      <c r="T29" s="5"/>
      <c r="U29" s="5"/>
    </row>
    <row r="30" spans="1:21">
      <c r="A30" s="1352"/>
      <c r="B30" s="1353"/>
      <c r="C30" s="1353"/>
      <c r="D30" s="85" t="s">
        <v>28</v>
      </c>
      <c r="E30" s="50"/>
      <c r="F30" s="49"/>
      <c r="G30" s="230">
        <f>SUM(G21:G29)</f>
        <v>97408</v>
      </c>
      <c r="H30" s="9"/>
      <c r="I30" s="8"/>
      <c r="J30" s="13"/>
      <c r="K30" s="8"/>
      <c r="L30" s="13"/>
      <c r="M30" s="14"/>
      <c r="N30" s="14"/>
      <c r="O30" s="15"/>
      <c r="P30" s="5"/>
    </row>
    <row r="31" spans="1:21" ht="3.75" customHeight="1">
      <c r="A31" s="226"/>
      <c r="B31" s="4"/>
      <c r="C31" s="6"/>
      <c r="D31" s="4"/>
      <c r="E31" s="4"/>
      <c r="F31" s="4"/>
      <c r="G31" s="227"/>
      <c r="H31" s="9"/>
      <c r="I31" s="8"/>
      <c r="J31" s="13"/>
      <c r="K31" s="18"/>
      <c r="L31" s="13"/>
      <c r="M31" s="33"/>
      <c r="N31" s="33"/>
      <c r="O31" s="15"/>
      <c r="P31" s="5"/>
    </row>
    <row r="32" spans="1:21" ht="22.5" customHeight="1">
      <c r="A32" s="1354" t="s">
        <v>71</v>
      </c>
      <c r="B32" s="1355"/>
      <c r="C32" s="1355"/>
      <c r="D32" s="1355"/>
      <c r="E32" s="1355"/>
      <c r="F32" s="1355"/>
      <c r="G32" s="1356"/>
      <c r="H32" s="9"/>
    </row>
    <row r="33" spans="1:16" ht="3.75" customHeight="1">
      <c r="A33" s="226"/>
      <c r="B33" s="4"/>
      <c r="C33" s="6"/>
      <c r="D33" s="4"/>
      <c r="E33" s="4"/>
      <c r="F33" s="4"/>
      <c r="G33" s="227"/>
      <c r="H33" s="9"/>
      <c r="I33" s="8"/>
      <c r="J33" s="13"/>
      <c r="K33" s="8"/>
      <c r="L33" s="8"/>
      <c r="M33" s="8"/>
      <c r="N33" s="8"/>
      <c r="O33" s="15"/>
      <c r="P33" s="5"/>
    </row>
    <row r="34" spans="1:16">
      <c r="A34" s="232" t="s">
        <v>5</v>
      </c>
      <c r="B34" s="60" t="s">
        <v>29</v>
      </c>
      <c r="C34" s="60" t="s">
        <v>30</v>
      </c>
      <c r="D34" s="60" t="s">
        <v>31</v>
      </c>
      <c r="E34" s="60" t="s">
        <v>32</v>
      </c>
      <c r="F34" s="60" t="s">
        <v>20</v>
      </c>
      <c r="G34" s="228" t="s">
        <v>33</v>
      </c>
      <c r="H34" s="27"/>
      <c r="I34" s="8"/>
      <c r="J34" s="13"/>
      <c r="K34" s="8"/>
      <c r="L34" s="8"/>
      <c r="M34" s="8"/>
      <c r="N34" s="8"/>
      <c r="O34" s="15"/>
      <c r="P34" s="5"/>
    </row>
    <row r="35" spans="1:16">
      <c r="A35" s="233" t="s">
        <v>41</v>
      </c>
      <c r="B35" s="63">
        <f>BOF</f>
        <v>51749</v>
      </c>
      <c r="C35" s="68">
        <f>ffpp</f>
        <v>0.64539999999999997</v>
      </c>
      <c r="D35" s="72">
        <v>1</v>
      </c>
      <c r="E35" s="66">
        <f>OF</f>
        <v>88696</v>
      </c>
      <c r="F35" s="65">
        <v>26</v>
      </c>
      <c r="G35" s="231">
        <f>ROUND(+D35*E35/F35,0)</f>
        <v>3411</v>
      </c>
      <c r="H35" s="9"/>
      <c r="I35" s="16"/>
      <c r="J35" s="13"/>
      <c r="K35" s="8"/>
      <c r="L35" s="8"/>
      <c r="M35" s="8"/>
      <c r="N35" s="8"/>
      <c r="O35" s="15"/>
      <c r="P35" s="5"/>
    </row>
    <row r="36" spans="1:16">
      <c r="A36" s="233" t="s">
        <v>38</v>
      </c>
      <c r="B36" s="63">
        <f>BOB</f>
        <v>41749</v>
      </c>
      <c r="C36" s="68">
        <f>ffpp</f>
        <v>0.64539999999999997</v>
      </c>
      <c r="D36" s="72">
        <v>3</v>
      </c>
      <c r="E36" s="66">
        <f>OB</f>
        <v>72242</v>
      </c>
      <c r="F36" s="65">
        <f>F35</f>
        <v>26</v>
      </c>
      <c r="G36" s="231">
        <f>ROUND(+D36*E36/F36,0)</f>
        <v>8336</v>
      </c>
      <c r="H36" s="9"/>
      <c r="I36" s="8"/>
      <c r="J36" s="8"/>
      <c r="K36" s="13"/>
      <c r="L36" s="13"/>
      <c r="M36" s="13"/>
      <c r="N36" s="13"/>
      <c r="O36" s="13"/>
      <c r="P36" s="5"/>
    </row>
    <row r="37" spans="1:16">
      <c r="A37" s="234"/>
      <c r="B37" s="50"/>
      <c r="C37" s="961"/>
      <c r="D37" s="50"/>
      <c r="E37" s="66"/>
      <c r="F37" s="65"/>
      <c r="G37" s="231"/>
      <c r="H37" s="9"/>
      <c r="I37" s="8"/>
      <c r="J37" s="13"/>
      <c r="K37" s="13"/>
      <c r="L37" s="13"/>
      <c r="M37" s="33"/>
      <c r="N37" s="33"/>
      <c r="O37" s="43"/>
      <c r="P37" s="5"/>
    </row>
    <row r="38" spans="1:16">
      <c r="A38" s="233"/>
      <c r="B38" s="65"/>
      <c r="C38" s="68"/>
      <c r="D38" s="65"/>
      <c r="E38" s="69"/>
      <c r="F38" s="69"/>
      <c r="G38" s="236"/>
      <c r="H38" s="9"/>
      <c r="I38" s="8"/>
      <c r="J38" s="13"/>
      <c r="K38" s="13"/>
      <c r="L38" s="13"/>
      <c r="M38" s="33"/>
      <c r="N38" s="33"/>
      <c r="O38" s="43"/>
      <c r="P38" s="5"/>
    </row>
    <row r="39" spans="1:16">
      <c r="A39" s="249"/>
      <c r="B39" s="71"/>
      <c r="C39" s="71"/>
      <c r="D39" s="71" t="s">
        <v>34</v>
      </c>
      <c r="E39" s="71"/>
      <c r="F39" s="71"/>
      <c r="G39" s="250">
        <f>SUM(G35:G38)</f>
        <v>11747</v>
      </c>
      <c r="H39" s="9"/>
      <c r="I39" s="8"/>
      <c r="J39" s="13"/>
      <c r="K39" s="13"/>
      <c r="L39" s="13"/>
      <c r="M39" s="14"/>
      <c r="N39" s="14"/>
      <c r="O39" s="15"/>
      <c r="P39" s="5"/>
    </row>
    <row r="40" spans="1:16">
      <c r="A40" s="226"/>
      <c r="B40" s="4"/>
      <c r="C40" s="6"/>
      <c r="D40" s="4"/>
      <c r="E40" s="4"/>
      <c r="F40" s="4"/>
      <c r="G40" s="227"/>
      <c r="H40" s="9"/>
      <c r="I40" s="8"/>
      <c r="J40" s="13"/>
      <c r="K40" s="13"/>
      <c r="L40" s="13"/>
      <c r="M40" s="14"/>
      <c r="N40" s="14"/>
      <c r="O40" s="19"/>
      <c r="P40" s="5"/>
    </row>
    <row r="41" spans="1:16">
      <c r="A41" s="226"/>
      <c r="B41" s="4"/>
      <c r="C41" s="6"/>
      <c r="D41" s="4"/>
      <c r="E41" s="4"/>
      <c r="F41" s="4"/>
      <c r="G41" s="227"/>
      <c r="H41" s="9"/>
      <c r="I41" s="8"/>
      <c r="J41" s="13"/>
      <c r="K41" s="13"/>
      <c r="L41" s="13"/>
      <c r="M41" s="17"/>
      <c r="N41" s="17"/>
      <c r="O41" s="37"/>
      <c r="P41" s="5"/>
    </row>
    <row r="42" spans="1:16" ht="14.25">
      <c r="A42" s="226"/>
      <c r="B42" s="4"/>
      <c r="C42" s="6"/>
      <c r="D42" s="1357" t="s">
        <v>35</v>
      </c>
      <c r="E42" s="1358"/>
      <c r="F42" s="1359"/>
      <c r="G42" s="239">
        <f>+G39+G30+G16</f>
        <v>110330</v>
      </c>
      <c r="H42" s="9"/>
      <c r="I42" s="48"/>
      <c r="J42" s="20"/>
      <c r="K42" s="8"/>
      <c r="L42" s="8"/>
      <c r="M42" s="8"/>
      <c r="N42" s="8"/>
      <c r="O42" s="8"/>
      <c r="P42" s="5"/>
    </row>
    <row r="43" spans="1:16" ht="14.25">
      <c r="A43" s="240"/>
      <c r="B43" s="57"/>
      <c r="C43" s="58"/>
      <c r="D43" s="99"/>
      <c r="E43" s="99"/>
      <c r="F43" s="99"/>
      <c r="G43" s="251"/>
      <c r="H43" s="9"/>
      <c r="I43" s="48"/>
      <c r="J43" s="20"/>
      <c r="K43" s="8"/>
      <c r="L43" s="8"/>
      <c r="M43" s="8"/>
      <c r="N43" s="8"/>
      <c r="O43" s="8"/>
      <c r="P43" s="5"/>
    </row>
    <row r="44" spans="1:16" ht="14.25">
      <c r="A44" s="374"/>
      <c r="B44" s="375"/>
      <c r="C44" s="375"/>
      <c r="D44" s="99"/>
      <c r="E44" s="99"/>
      <c r="F44" s="99"/>
      <c r="G44" s="251"/>
      <c r="H44" s="9"/>
      <c r="I44" s="48"/>
      <c r="J44" s="20"/>
      <c r="K44" s="8"/>
      <c r="L44" s="8"/>
      <c r="M44" s="8"/>
      <c r="N44" s="8"/>
      <c r="O44" s="8"/>
      <c r="P44" s="5"/>
    </row>
    <row r="45" spans="1:16" ht="14.25">
      <c r="A45" s="373"/>
      <c r="B45" s="376"/>
      <c r="C45" s="376"/>
      <c r="D45" s="99"/>
      <c r="E45" s="99"/>
      <c r="F45" s="99"/>
      <c r="G45" s="251"/>
      <c r="H45" s="9"/>
      <c r="I45" s="48"/>
      <c r="J45" s="20"/>
      <c r="K45" s="8"/>
      <c r="L45" s="8"/>
      <c r="M45" s="8"/>
      <c r="N45" s="8"/>
      <c r="O45" s="8"/>
      <c r="P45" s="5"/>
    </row>
    <row r="46" spans="1:16" ht="14.25">
      <c r="A46" s="373"/>
      <c r="B46" s="376"/>
      <c r="C46" s="376"/>
      <c r="D46" s="44"/>
      <c r="E46" s="45"/>
      <c r="F46" s="45"/>
      <c r="G46" s="251"/>
      <c r="H46" s="9"/>
      <c r="I46" s="8"/>
      <c r="J46" s="13"/>
      <c r="K46" s="8"/>
      <c r="L46" s="8"/>
      <c r="M46" s="8"/>
      <c r="N46" s="8"/>
      <c r="O46" s="8"/>
      <c r="P46" s="5"/>
    </row>
    <row r="47" spans="1:16" ht="15" thickBot="1">
      <c r="A47" s="242"/>
      <c r="B47" s="243"/>
      <c r="C47" s="244"/>
      <c r="D47" s="245"/>
      <c r="E47" s="246"/>
      <c r="F47" s="246"/>
      <c r="G47" s="247"/>
      <c r="H47" s="9"/>
      <c r="I47" s="8"/>
      <c r="J47" s="13"/>
      <c r="K47" s="8"/>
      <c r="L47" s="8"/>
      <c r="M47" s="8"/>
      <c r="N47" s="8"/>
      <c r="O47" s="8"/>
      <c r="P47" s="5"/>
    </row>
    <row r="48" spans="1:16">
      <c r="I48" s="5"/>
      <c r="J48" s="5"/>
      <c r="K48" s="5"/>
      <c r="L48" s="5"/>
      <c r="M48" s="5"/>
      <c r="N48" s="5"/>
      <c r="O48" s="5"/>
      <c r="P48" s="5"/>
    </row>
    <row r="49" spans="9:16">
      <c r="I49" s="5"/>
      <c r="J49" s="5"/>
      <c r="K49" s="5"/>
      <c r="L49" s="5"/>
      <c r="M49" s="5"/>
      <c r="N49" s="5"/>
      <c r="O49" s="5"/>
      <c r="P49" s="5"/>
    </row>
  </sheetData>
  <mergeCells count="26">
    <mergeCell ref="A32:G32"/>
    <mergeCell ref="D42:F42"/>
    <mergeCell ref="A25:C25"/>
    <mergeCell ref="A26:C26"/>
    <mergeCell ref="A27:C27"/>
    <mergeCell ref="A28:C28"/>
    <mergeCell ref="A29:C29"/>
    <mergeCell ref="A30:C30"/>
    <mergeCell ref="A24:C24"/>
    <mergeCell ref="A11:C11"/>
    <mergeCell ref="A12:C12"/>
    <mergeCell ref="A13:C13"/>
    <mergeCell ref="A14:C14"/>
    <mergeCell ref="A15:C15"/>
    <mergeCell ref="A16:C16"/>
    <mergeCell ref="A18:G18"/>
    <mergeCell ref="A20:C20"/>
    <mergeCell ref="A21:C21"/>
    <mergeCell ref="A22:C22"/>
    <mergeCell ref="A23:C23"/>
    <mergeCell ref="A10:C10"/>
    <mergeCell ref="A1:G1"/>
    <mergeCell ref="A2:G2"/>
    <mergeCell ref="A3:G4"/>
    <mergeCell ref="B6:E6"/>
    <mergeCell ref="A8:G8"/>
  </mergeCells>
  <printOptions horizontalCentered="1" verticalCentered="1"/>
  <pageMargins left="0.74803149606299213" right="0.74803149606299213" top="0" bottom="0.98425196850393704" header="0" footer="0"/>
  <pageSetup scale="90" orientation="portrait" r:id="rId1"/>
  <headerFooter alignWithMargins="0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0"/>
  <dimension ref="A1:U49"/>
  <sheetViews>
    <sheetView view="pageBreakPreview" topLeftCell="A15" zoomScaleNormal="100" zoomScaleSheetLayoutView="100" workbookViewId="0">
      <selection activeCell="F22" sqref="F22"/>
    </sheetView>
  </sheetViews>
  <sheetFormatPr baseColWidth="10" defaultColWidth="10.7109375" defaultRowHeight="12.75"/>
  <cols>
    <col min="1" max="1" width="15.85546875" style="3" customWidth="1"/>
    <col min="2" max="2" width="14.85546875" style="3" customWidth="1"/>
    <col min="3" max="3" width="13.28515625" style="3" customWidth="1"/>
    <col min="4" max="4" width="11.42578125" style="3"/>
    <col min="5" max="5" width="13.42578125" style="3" customWidth="1"/>
    <col min="6" max="6" width="12.7109375" style="3" customWidth="1"/>
    <col min="7" max="7" width="14" style="3" customWidth="1"/>
    <col min="8" max="8" width="7.42578125" style="3" customWidth="1"/>
    <col min="9" max="256" width="11.42578125" style="3"/>
    <col min="257" max="257" width="15.85546875" style="3" customWidth="1"/>
    <col min="258" max="258" width="14.85546875" style="3" customWidth="1"/>
    <col min="259" max="259" width="13.28515625" style="3" customWidth="1"/>
    <col min="260" max="260" width="11.42578125" style="3"/>
    <col min="261" max="261" width="13.42578125" style="3" customWidth="1"/>
    <col min="262" max="262" width="12.7109375" style="3" customWidth="1"/>
    <col min="263" max="263" width="14" style="3" customWidth="1"/>
    <col min="264" max="264" width="7.42578125" style="3" customWidth="1"/>
    <col min="265" max="512" width="11.42578125" style="3"/>
    <col min="513" max="513" width="15.85546875" style="3" customWidth="1"/>
    <col min="514" max="514" width="14.85546875" style="3" customWidth="1"/>
    <col min="515" max="515" width="13.28515625" style="3" customWidth="1"/>
    <col min="516" max="516" width="11.42578125" style="3"/>
    <col min="517" max="517" width="13.42578125" style="3" customWidth="1"/>
    <col min="518" max="518" width="12.7109375" style="3" customWidth="1"/>
    <col min="519" max="519" width="14" style="3" customWidth="1"/>
    <col min="520" max="520" width="7.42578125" style="3" customWidth="1"/>
    <col min="521" max="768" width="11.42578125" style="3"/>
    <col min="769" max="769" width="15.85546875" style="3" customWidth="1"/>
    <col min="770" max="770" width="14.85546875" style="3" customWidth="1"/>
    <col min="771" max="771" width="13.28515625" style="3" customWidth="1"/>
    <col min="772" max="772" width="11.42578125" style="3"/>
    <col min="773" max="773" width="13.42578125" style="3" customWidth="1"/>
    <col min="774" max="774" width="12.7109375" style="3" customWidth="1"/>
    <col min="775" max="775" width="14" style="3" customWidth="1"/>
    <col min="776" max="776" width="7.42578125" style="3" customWidth="1"/>
    <col min="777" max="1024" width="11.42578125" style="3"/>
    <col min="1025" max="1025" width="15.85546875" style="3" customWidth="1"/>
    <col min="1026" max="1026" width="14.85546875" style="3" customWidth="1"/>
    <col min="1027" max="1027" width="13.28515625" style="3" customWidth="1"/>
    <col min="1028" max="1028" width="11.42578125" style="3"/>
    <col min="1029" max="1029" width="13.42578125" style="3" customWidth="1"/>
    <col min="1030" max="1030" width="12.7109375" style="3" customWidth="1"/>
    <col min="1031" max="1031" width="14" style="3" customWidth="1"/>
    <col min="1032" max="1032" width="7.42578125" style="3" customWidth="1"/>
    <col min="1033" max="1280" width="11.42578125" style="3"/>
    <col min="1281" max="1281" width="15.85546875" style="3" customWidth="1"/>
    <col min="1282" max="1282" width="14.85546875" style="3" customWidth="1"/>
    <col min="1283" max="1283" width="13.28515625" style="3" customWidth="1"/>
    <col min="1284" max="1284" width="11.42578125" style="3"/>
    <col min="1285" max="1285" width="13.42578125" style="3" customWidth="1"/>
    <col min="1286" max="1286" width="12.7109375" style="3" customWidth="1"/>
    <col min="1287" max="1287" width="14" style="3" customWidth="1"/>
    <col min="1288" max="1288" width="7.42578125" style="3" customWidth="1"/>
    <col min="1289" max="1536" width="11.42578125" style="3"/>
    <col min="1537" max="1537" width="15.85546875" style="3" customWidth="1"/>
    <col min="1538" max="1538" width="14.85546875" style="3" customWidth="1"/>
    <col min="1539" max="1539" width="13.28515625" style="3" customWidth="1"/>
    <col min="1540" max="1540" width="11.42578125" style="3"/>
    <col min="1541" max="1541" width="13.42578125" style="3" customWidth="1"/>
    <col min="1542" max="1542" width="12.7109375" style="3" customWidth="1"/>
    <col min="1543" max="1543" width="14" style="3" customWidth="1"/>
    <col min="1544" max="1544" width="7.42578125" style="3" customWidth="1"/>
    <col min="1545" max="1792" width="11.42578125" style="3"/>
    <col min="1793" max="1793" width="15.85546875" style="3" customWidth="1"/>
    <col min="1794" max="1794" width="14.85546875" style="3" customWidth="1"/>
    <col min="1795" max="1795" width="13.28515625" style="3" customWidth="1"/>
    <col min="1796" max="1796" width="11.42578125" style="3"/>
    <col min="1797" max="1797" width="13.42578125" style="3" customWidth="1"/>
    <col min="1798" max="1798" width="12.7109375" style="3" customWidth="1"/>
    <col min="1799" max="1799" width="14" style="3" customWidth="1"/>
    <col min="1800" max="1800" width="7.42578125" style="3" customWidth="1"/>
    <col min="1801" max="2048" width="11.42578125" style="3"/>
    <col min="2049" max="2049" width="15.85546875" style="3" customWidth="1"/>
    <col min="2050" max="2050" width="14.85546875" style="3" customWidth="1"/>
    <col min="2051" max="2051" width="13.28515625" style="3" customWidth="1"/>
    <col min="2052" max="2052" width="11.42578125" style="3"/>
    <col min="2053" max="2053" width="13.42578125" style="3" customWidth="1"/>
    <col min="2054" max="2054" width="12.7109375" style="3" customWidth="1"/>
    <col min="2055" max="2055" width="14" style="3" customWidth="1"/>
    <col min="2056" max="2056" width="7.42578125" style="3" customWidth="1"/>
    <col min="2057" max="2304" width="11.42578125" style="3"/>
    <col min="2305" max="2305" width="15.85546875" style="3" customWidth="1"/>
    <col min="2306" max="2306" width="14.85546875" style="3" customWidth="1"/>
    <col min="2307" max="2307" width="13.28515625" style="3" customWidth="1"/>
    <col min="2308" max="2308" width="11.42578125" style="3"/>
    <col min="2309" max="2309" width="13.42578125" style="3" customWidth="1"/>
    <col min="2310" max="2310" width="12.7109375" style="3" customWidth="1"/>
    <col min="2311" max="2311" width="14" style="3" customWidth="1"/>
    <col min="2312" max="2312" width="7.42578125" style="3" customWidth="1"/>
    <col min="2313" max="2560" width="11.42578125" style="3"/>
    <col min="2561" max="2561" width="15.85546875" style="3" customWidth="1"/>
    <col min="2562" max="2562" width="14.85546875" style="3" customWidth="1"/>
    <col min="2563" max="2563" width="13.28515625" style="3" customWidth="1"/>
    <col min="2564" max="2564" width="11.42578125" style="3"/>
    <col min="2565" max="2565" width="13.42578125" style="3" customWidth="1"/>
    <col min="2566" max="2566" width="12.7109375" style="3" customWidth="1"/>
    <col min="2567" max="2567" width="14" style="3" customWidth="1"/>
    <col min="2568" max="2568" width="7.42578125" style="3" customWidth="1"/>
    <col min="2569" max="2816" width="11.42578125" style="3"/>
    <col min="2817" max="2817" width="15.85546875" style="3" customWidth="1"/>
    <col min="2818" max="2818" width="14.85546875" style="3" customWidth="1"/>
    <col min="2819" max="2819" width="13.28515625" style="3" customWidth="1"/>
    <col min="2820" max="2820" width="11.42578125" style="3"/>
    <col min="2821" max="2821" width="13.42578125" style="3" customWidth="1"/>
    <col min="2822" max="2822" width="12.7109375" style="3" customWidth="1"/>
    <col min="2823" max="2823" width="14" style="3" customWidth="1"/>
    <col min="2824" max="2824" width="7.42578125" style="3" customWidth="1"/>
    <col min="2825" max="3072" width="11.42578125" style="3"/>
    <col min="3073" max="3073" width="15.85546875" style="3" customWidth="1"/>
    <col min="3074" max="3074" width="14.85546875" style="3" customWidth="1"/>
    <col min="3075" max="3075" width="13.28515625" style="3" customWidth="1"/>
    <col min="3076" max="3076" width="11.42578125" style="3"/>
    <col min="3077" max="3077" width="13.42578125" style="3" customWidth="1"/>
    <col min="3078" max="3078" width="12.7109375" style="3" customWidth="1"/>
    <col min="3079" max="3079" width="14" style="3" customWidth="1"/>
    <col min="3080" max="3080" width="7.42578125" style="3" customWidth="1"/>
    <col min="3081" max="3328" width="11.42578125" style="3"/>
    <col min="3329" max="3329" width="15.85546875" style="3" customWidth="1"/>
    <col min="3330" max="3330" width="14.85546875" style="3" customWidth="1"/>
    <col min="3331" max="3331" width="13.28515625" style="3" customWidth="1"/>
    <col min="3332" max="3332" width="11.42578125" style="3"/>
    <col min="3333" max="3333" width="13.42578125" style="3" customWidth="1"/>
    <col min="3334" max="3334" width="12.7109375" style="3" customWidth="1"/>
    <col min="3335" max="3335" width="14" style="3" customWidth="1"/>
    <col min="3336" max="3336" width="7.42578125" style="3" customWidth="1"/>
    <col min="3337" max="3584" width="11.42578125" style="3"/>
    <col min="3585" max="3585" width="15.85546875" style="3" customWidth="1"/>
    <col min="3586" max="3586" width="14.85546875" style="3" customWidth="1"/>
    <col min="3587" max="3587" width="13.28515625" style="3" customWidth="1"/>
    <col min="3588" max="3588" width="11.42578125" style="3"/>
    <col min="3589" max="3589" width="13.42578125" style="3" customWidth="1"/>
    <col min="3590" max="3590" width="12.7109375" style="3" customWidth="1"/>
    <col min="3591" max="3591" width="14" style="3" customWidth="1"/>
    <col min="3592" max="3592" width="7.42578125" style="3" customWidth="1"/>
    <col min="3593" max="3840" width="11.42578125" style="3"/>
    <col min="3841" max="3841" width="15.85546875" style="3" customWidth="1"/>
    <col min="3842" max="3842" width="14.85546875" style="3" customWidth="1"/>
    <col min="3843" max="3843" width="13.28515625" style="3" customWidth="1"/>
    <col min="3844" max="3844" width="11.42578125" style="3"/>
    <col min="3845" max="3845" width="13.42578125" style="3" customWidth="1"/>
    <col min="3846" max="3846" width="12.7109375" style="3" customWidth="1"/>
    <col min="3847" max="3847" width="14" style="3" customWidth="1"/>
    <col min="3848" max="3848" width="7.42578125" style="3" customWidth="1"/>
    <col min="3849" max="4096" width="11.42578125" style="3"/>
    <col min="4097" max="4097" width="15.85546875" style="3" customWidth="1"/>
    <col min="4098" max="4098" width="14.85546875" style="3" customWidth="1"/>
    <col min="4099" max="4099" width="13.28515625" style="3" customWidth="1"/>
    <col min="4100" max="4100" width="11.42578125" style="3"/>
    <col min="4101" max="4101" width="13.42578125" style="3" customWidth="1"/>
    <col min="4102" max="4102" width="12.7109375" style="3" customWidth="1"/>
    <col min="4103" max="4103" width="14" style="3" customWidth="1"/>
    <col min="4104" max="4104" width="7.42578125" style="3" customWidth="1"/>
    <col min="4105" max="4352" width="11.42578125" style="3"/>
    <col min="4353" max="4353" width="15.85546875" style="3" customWidth="1"/>
    <col min="4354" max="4354" width="14.85546875" style="3" customWidth="1"/>
    <col min="4355" max="4355" width="13.28515625" style="3" customWidth="1"/>
    <col min="4356" max="4356" width="11.42578125" style="3"/>
    <col min="4357" max="4357" width="13.42578125" style="3" customWidth="1"/>
    <col min="4358" max="4358" width="12.7109375" style="3" customWidth="1"/>
    <col min="4359" max="4359" width="14" style="3" customWidth="1"/>
    <col min="4360" max="4360" width="7.42578125" style="3" customWidth="1"/>
    <col min="4361" max="4608" width="11.42578125" style="3"/>
    <col min="4609" max="4609" width="15.85546875" style="3" customWidth="1"/>
    <col min="4610" max="4610" width="14.85546875" style="3" customWidth="1"/>
    <col min="4611" max="4611" width="13.28515625" style="3" customWidth="1"/>
    <col min="4612" max="4612" width="11.42578125" style="3"/>
    <col min="4613" max="4613" width="13.42578125" style="3" customWidth="1"/>
    <col min="4614" max="4614" width="12.7109375" style="3" customWidth="1"/>
    <col min="4615" max="4615" width="14" style="3" customWidth="1"/>
    <col min="4616" max="4616" width="7.42578125" style="3" customWidth="1"/>
    <col min="4617" max="4864" width="11.42578125" style="3"/>
    <col min="4865" max="4865" width="15.85546875" style="3" customWidth="1"/>
    <col min="4866" max="4866" width="14.85546875" style="3" customWidth="1"/>
    <col min="4867" max="4867" width="13.28515625" style="3" customWidth="1"/>
    <col min="4868" max="4868" width="11.42578125" style="3"/>
    <col min="4869" max="4869" width="13.42578125" style="3" customWidth="1"/>
    <col min="4870" max="4870" width="12.7109375" style="3" customWidth="1"/>
    <col min="4871" max="4871" width="14" style="3" customWidth="1"/>
    <col min="4872" max="4872" width="7.42578125" style="3" customWidth="1"/>
    <col min="4873" max="5120" width="11.42578125" style="3"/>
    <col min="5121" max="5121" width="15.85546875" style="3" customWidth="1"/>
    <col min="5122" max="5122" width="14.85546875" style="3" customWidth="1"/>
    <col min="5123" max="5123" width="13.28515625" style="3" customWidth="1"/>
    <col min="5124" max="5124" width="11.42578125" style="3"/>
    <col min="5125" max="5125" width="13.42578125" style="3" customWidth="1"/>
    <col min="5126" max="5126" width="12.7109375" style="3" customWidth="1"/>
    <col min="5127" max="5127" width="14" style="3" customWidth="1"/>
    <col min="5128" max="5128" width="7.42578125" style="3" customWidth="1"/>
    <col min="5129" max="5376" width="11.42578125" style="3"/>
    <col min="5377" max="5377" width="15.85546875" style="3" customWidth="1"/>
    <col min="5378" max="5378" width="14.85546875" style="3" customWidth="1"/>
    <col min="5379" max="5379" width="13.28515625" style="3" customWidth="1"/>
    <col min="5380" max="5380" width="11.42578125" style="3"/>
    <col min="5381" max="5381" width="13.42578125" style="3" customWidth="1"/>
    <col min="5382" max="5382" width="12.7109375" style="3" customWidth="1"/>
    <col min="5383" max="5383" width="14" style="3" customWidth="1"/>
    <col min="5384" max="5384" width="7.42578125" style="3" customWidth="1"/>
    <col min="5385" max="5632" width="11.42578125" style="3"/>
    <col min="5633" max="5633" width="15.85546875" style="3" customWidth="1"/>
    <col min="5634" max="5634" width="14.85546875" style="3" customWidth="1"/>
    <col min="5635" max="5635" width="13.28515625" style="3" customWidth="1"/>
    <col min="5636" max="5636" width="11.42578125" style="3"/>
    <col min="5637" max="5637" width="13.42578125" style="3" customWidth="1"/>
    <col min="5638" max="5638" width="12.7109375" style="3" customWidth="1"/>
    <col min="5639" max="5639" width="14" style="3" customWidth="1"/>
    <col min="5640" max="5640" width="7.42578125" style="3" customWidth="1"/>
    <col min="5641" max="5888" width="11.42578125" style="3"/>
    <col min="5889" max="5889" width="15.85546875" style="3" customWidth="1"/>
    <col min="5890" max="5890" width="14.85546875" style="3" customWidth="1"/>
    <col min="5891" max="5891" width="13.28515625" style="3" customWidth="1"/>
    <col min="5892" max="5892" width="11.42578125" style="3"/>
    <col min="5893" max="5893" width="13.42578125" style="3" customWidth="1"/>
    <col min="5894" max="5894" width="12.7109375" style="3" customWidth="1"/>
    <col min="5895" max="5895" width="14" style="3" customWidth="1"/>
    <col min="5896" max="5896" width="7.42578125" style="3" customWidth="1"/>
    <col min="5897" max="6144" width="11.42578125" style="3"/>
    <col min="6145" max="6145" width="15.85546875" style="3" customWidth="1"/>
    <col min="6146" max="6146" width="14.85546875" style="3" customWidth="1"/>
    <col min="6147" max="6147" width="13.28515625" style="3" customWidth="1"/>
    <col min="6148" max="6148" width="11.42578125" style="3"/>
    <col min="6149" max="6149" width="13.42578125" style="3" customWidth="1"/>
    <col min="6150" max="6150" width="12.7109375" style="3" customWidth="1"/>
    <col min="6151" max="6151" width="14" style="3" customWidth="1"/>
    <col min="6152" max="6152" width="7.42578125" style="3" customWidth="1"/>
    <col min="6153" max="6400" width="11.42578125" style="3"/>
    <col min="6401" max="6401" width="15.85546875" style="3" customWidth="1"/>
    <col min="6402" max="6402" width="14.85546875" style="3" customWidth="1"/>
    <col min="6403" max="6403" width="13.28515625" style="3" customWidth="1"/>
    <col min="6404" max="6404" width="11.42578125" style="3"/>
    <col min="6405" max="6405" width="13.42578125" style="3" customWidth="1"/>
    <col min="6406" max="6406" width="12.7109375" style="3" customWidth="1"/>
    <col min="6407" max="6407" width="14" style="3" customWidth="1"/>
    <col min="6408" max="6408" width="7.42578125" style="3" customWidth="1"/>
    <col min="6409" max="6656" width="11.42578125" style="3"/>
    <col min="6657" max="6657" width="15.85546875" style="3" customWidth="1"/>
    <col min="6658" max="6658" width="14.85546875" style="3" customWidth="1"/>
    <col min="6659" max="6659" width="13.28515625" style="3" customWidth="1"/>
    <col min="6660" max="6660" width="11.42578125" style="3"/>
    <col min="6661" max="6661" width="13.42578125" style="3" customWidth="1"/>
    <col min="6662" max="6662" width="12.7109375" style="3" customWidth="1"/>
    <col min="6663" max="6663" width="14" style="3" customWidth="1"/>
    <col min="6664" max="6664" width="7.42578125" style="3" customWidth="1"/>
    <col min="6665" max="6912" width="11.42578125" style="3"/>
    <col min="6913" max="6913" width="15.85546875" style="3" customWidth="1"/>
    <col min="6914" max="6914" width="14.85546875" style="3" customWidth="1"/>
    <col min="6915" max="6915" width="13.28515625" style="3" customWidth="1"/>
    <col min="6916" max="6916" width="11.42578125" style="3"/>
    <col min="6917" max="6917" width="13.42578125" style="3" customWidth="1"/>
    <col min="6918" max="6918" width="12.7109375" style="3" customWidth="1"/>
    <col min="6919" max="6919" width="14" style="3" customWidth="1"/>
    <col min="6920" max="6920" width="7.42578125" style="3" customWidth="1"/>
    <col min="6921" max="7168" width="11.42578125" style="3"/>
    <col min="7169" max="7169" width="15.85546875" style="3" customWidth="1"/>
    <col min="7170" max="7170" width="14.85546875" style="3" customWidth="1"/>
    <col min="7171" max="7171" width="13.28515625" style="3" customWidth="1"/>
    <col min="7172" max="7172" width="11.42578125" style="3"/>
    <col min="7173" max="7173" width="13.42578125" style="3" customWidth="1"/>
    <col min="7174" max="7174" width="12.7109375" style="3" customWidth="1"/>
    <col min="7175" max="7175" width="14" style="3" customWidth="1"/>
    <col min="7176" max="7176" width="7.42578125" style="3" customWidth="1"/>
    <col min="7177" max="7424" width="11.42578125" style="3"/>
    <col min="7425" max="7425" width="15.85546875" style="3" customWidth="1"/>
    <col min="7426" max="7426" width="14.85546875" style="3" customWidth="1"/>
    <col min="7427" max="7427" width="13.28515625" style="3" customWidth="1"/>
    <col min="7428" max="7428" width="11.42578125" style="3"/>
    <col min="7429" max="7429" width="13.42578125" style="3" customWidth="1"/>
    <col min="7430" max="7430" width="12.7109375" style="3" customWidth="1"/>
    <col min="7431" max="7431" width="14" style="3" customWidth="1"/>
    <col min="7432" max="7432" width="7.42578125" style="3" customWidth="1"/>
    <col min="7433" max="7680" width="11.42578125" style="3"/>
    <col min="7681" max="7681" width="15.85546875" style="3" customWidth="1"/>
    <col min="7682" max="7682" width="14.85546875" style="3" customWidth="1"/>
    <col min="7683" max="7683" width="13.28515625" style="3" customWidth="1"/>
    <col min="7684" max="7684" width="11.42578125" style="3"/>
    <col min="7685" max="7685" width="13.42578125" style="3" customWidth="1"/>
    <col min="7686" max="7686" width="12.7109375" style="3" customWidth="1"/>
    <col min="7687" max="7687" width="14" style="3" customWidth="1"/>
    <col min="7688" max="7688" width="7.42578125" style="3" customWidth="1"/>
    <col min="7689" max="7936" width="11.42578125" style="3"/>
    <col min="7937" max="7937" width="15.85546875" style="3" customWidth="1"/>
    <col min="7938" max="7938" width="14.85546875" style="3" customWidth="1"/>
    <col min="7939" max="7939" width="13.28515625" style="3" customWidth="1"/>
    <col min="7940" max="7940" width="11.42578125" style="3"/>
    <col min="7941" max="7941" width="13.42578125" style="3" customWidth="1"/>
    <col min="7942" max="7942" width="12.7109375" style="3" customWidth="1"/>
    <col min="7943" max="7943" width="14" style="3" customWidth="1"/>
    <col min="7944" max="7944" width="7.42578125" style="3" customWidth="1"/>
    <col min="7945" max="8192" width="11.42578125" style="3"/>
    <col min="8193" max="8193" width="15.85546875" style="3" customWidth="1"/>
    <col min="8194" max="8194" width="14.85546875" style="3" customWidth="1"/>
    <col min="8195" max="8195" width="13.28515625" style="3" customWidth="1"/>
    <col min="8196" max="8196" width="11.42578125" style="3"/>
    <col min="8197" max="8197" width="13.42578125" style="3" customWidth="1"/>
    <col min="8198" max="8198" width="12.7109375" style="3" customWidth="1"/>
    <col min="8199" max="8199" width="14" style="3" customWidth="1"/>
    <col min="8200" max="8200" width="7.42578125" style="3" customWidth="1"/>
    <col min="8201" max="8448" width="11.42578125" style="3"/>
    <col min="8449" max="8449" width="15.85546875" style="3" customWidth="1"/>
    <col min="8450" max="8450" width="14.85546875" style="3" customWidth="1"/>
    <col min="8451" max="8451" width="13.28515625" style="3" customWidth="1"/>
    <col min="8452" max="8452" width="11.42578125" style="3"/>
    <col min="8453" max="8453" width="13.42578125" style="3" customWidth="1"/>
    <col min="8454" max="8454" width="12.7109375" style="3" customWidth="1"/>
    <col min="8455" max="8455" width="14" style="3" customWidth="1"/>
    <col min="8456" max="8456" width="7.42578125" style="3" customWidth="1"/>
    <col min="8457" max="8704" width="11.42578125" style="3"/>
    <col min="8705" max="8705" width="15.85546875" style="3" customWidth="1"/>
    <col min="8706" max="8706" width="14.85546875" style="3" customWidth="1"/>
    <col min="8707" max="8707" width="13.28515625" style="3" customWidth="1"/>
    <col min="8708" max="8708" width="11.42578125" style="3"/>
    <col min="8709" max="8709" width="13.42578125" style="3" customWidth="1"/>
    <col min="8710" max="8710" width="12.7109375" style="3" customWidth="1"/>
    <col min="8711" max="8711" width="14" style="3" customWidth="1"/>
    <col min="8712" max="8712" width="7.42578125" style="3" customWidth="1"/>
    <col min="8713" max="8960" width="11.42578125" style="3"/>
    <col min="8961" max="8961" width="15.85546875" style="3" customWidth="1"/>
    <col min="8962" max="8962" width="14.85546875" style="3" customWidth="1"/>
    <col min="8963" max="8963" width="13.28515625" style="3" customWidth="1"/>
    <col min="8964" max="8964" width="11.42578125" style="3"/>
    <col min="8965" max="8965" width="13.42578125" style="3" customWidth="1"/>
    <col min="8966" max="8966" width="12.7109375" style="3" customWidth="1"/>
    <col min="8967" max="8967" width="14" style="3" customWidth="1"/>
    <col min="8968" max="8968" width="7.42578125" style="3" customWidth="1"/>
    <col min="8969" max="9216" width="11.42578125" style="3"/>
    <col min="9217" max="9217" width="15.85546875" style="3" customWidth="1"/>
    <col min="9218" max="9218" width="14.85546875" style="3" customWidth="1"/>
    <col min="9219" max="9219" width="13.28515625" style="3" customWidth="1"/>
    <col min="9220" max="9220" width="11.42578125" style="3"/>
    <col min="9221" max="9221" width="13.42578125" style="3" customWidth="1"/>
    <col min="9222" max="9222" width="12.7109375" style="3" customWidth="1"/>
    <col min="9223" max="9223" width="14" style="3" customWidth="1"/>
    <col min="9224" max="9224" width="7.42578125" style="3" customWidth="1"/>
    <col min="9225" max="9472" width="11.42578125" style="3"/>
    <col min="9473" max="9473" width="15.85546875" style="3" customWidth="1"/>
    <col min="9474" max="9474" width="14.85546875" style="3" customWidth="1"/>
    <col min="9475" max="9475" width="13.28515625" style="3" customWidth="1"/>
    <col min="9476" max="9476" width="11.42578125" style="3"/>
    <col min="9477" max="9477" width="13.42578125" style="3" customWidth="1"/>
    <col min="9478" max="9478" width="12.7109375" style="3" customWidth="1"/>
    <col min="9479" max="9479" width="14" style="3" customWidth="1"/>
    <col min="9480" max="9480" width="7.42578125" style="3" customWidth="1"/>
    <col min="9481" max="9728" width="11.42578125" style="3"/>
    <col min="9729" max="9729" width="15.85546875" style="3" customWidth="1"/>
    <col min="9730" max="9730" width="14.85546875" style="3" customWidth="1"/>
    <col min="9731" max="9731" width="13.28515625" style="3" customWidth="1"/>
    <col min="9732" max="9732" width="11.42578125" style="3"/>
    <col min="9733" max="9733" width="13.42578125" style="3" customWidth="1"/>
    <col min="9734" max="9734" width="12.7109375" style="3" customWidth="1"/>
    <col min="9735" max="9735" width="14" style="3" customWidth="1"/>
    <col min="9736" max="9736" width="7.42578125" style="3" customWidth="1"/>
    <col min="9737" max="9984" width="11.42578125" style="3"/>
    <col min="9985" max="9985" width="15.85546875" style="3" customWidth="1"/>
    <col min="9986" max="9986" width="14.85546875" style="3" customWidth="1"/>
    <col min="9987" max="9987" width="13.28515625" style="3" customWidth="1"/>
    <col min="9988" max="9988" width="11.42578125" style="3"/>
    <col min="9989" max="9989" width="13.42578125" style="3" customWidth="1"/>
    <col min="9990" max="9990" width="12.7109375" style="3" customWidth="1"/>
    <col min="9991" max="9991" width="14" style="3" customWidth="1"/>
    <col min="9992" max="9992" width="7.42578125" style="3" customWidth="1"/>
    <col min="9993" max="10240" width="11.42578125" style="3"/>
    <col min="10241" max="10241" width="15.85546875" style="3" customWidth="1"/>
    <col min="10242" max="10242" width="14.85546875" style="3" customWidth="1"/>
    <col min="10243" max="10243" width="13.28515625" style="3" customWidth="1"/>
    <col min="10244" max="10244" width="11.42578125" style="3"/>
    <col min="10245" max="10245" width="13.42578125" style="3" customWidth="1"/>
    <col min="10246" max="10246" width="12.7109375" style="3" customWidth="1"/>
    <col min="10247" max="10247" width="14" style="3" customWidth="1"/>
    <col min="10248" max="10248" width="7.42578125" style="3" customWidth="1"/>
    <col min="10249" max="10496" width="11.42578125" style="3"/>
    <col min="10497" max="10497" width="15.85546875" style="3" customWidth="1"/>
    <col min="10498" max="10498" width="14.85546875" style="3" customWidth="1"/>
    <col min="10499" max="10499" width="13.28515625" style="3" customWidth="1"/>
    <col min="10500" max="10500" width="11.42578125" style="3"/>
    <col min="10501" max="10501" width="13.42578125" style="3" customWidth="1"/>
    <col min="10502" max="10502" width="12.7109375" style="3" customWidth="1"/>
    <col min="10503" max="10503" width="14" style="3" customWidth="1"/>
    <col min="10504" max="10504" width="7.42578125" style="3" customWidth="1"/>
    <col min="10505" max="10752" width="11.42578125" style="3"/>
    <col min="10753" max="10753" width="15.85546875" style="3" customWidth="1"/>
    <col min="10754" max="10754" width="14.85546875" style="3" customWidth="1"/>
    <col min="10755" max="10755" width="13.28515625" style="3" customWidth="1"/>
    <col min="10756" max="10756" width="11.42578125" style="3"/>
    <col min="10757" max="10757" width="13.42578125" style="3" customWidth="1"/>
    <col min="10758" max="10758" width="12.7109375" style="3" customWidth="1"/>
    <col min="10759" max="10759" width="14" style="3" customWidth="1"/>
    <col min="10760" max="10760" width="7.42578125" style="3" customWidth="1"/>
    <col min="10761" max="11008" width="11.42578125" style="3"/>
    <col min="11009" max="11009" width="15.85546875" style="3" customWidth="1"/>
    <col min="11010" max="11010" width="14.85546875" style="3" customWidth="1"/>
    <col min="11011" max="11011" width="13.28515625" style="3" customWidth="1"/>
    <col min="11012" max="11012" width="11.42578125" style="3"/>
    <col min="11013" max="11013" width="13.42578125" style="3" customWidth="1"/>
    <col min="11014" max="11014" width="12.7109375" style="3" customWidth="1"/>
    <col min="11015" max="11015" width="14" style="3" customWidth="1"/>
    <col min="11016" max="11016" width="7.42578125" style="3" customWidth="1"/>
    <col min="11017" max="11264" width="11.42578125" style="3"/>
    <col min="11265" max="11265" width="15.85546875" style="3" customWidth="1"/>
    <col min="11266" max="11266" width="14.85546875" style="3" customWidth="1"/>
    <col min="11267" max="11267" width="13.28515625" style="3" customWidth="1"/>
    <col min="11268" max="11268" width="11.42578125" style="3"/>
    <col min="11269" max="11269" width="13.42578125" style="3" customWidth="1"/>
    <col min="11270" max="11270" width="12.7109375" style="3" customWidth="1"/>
    <col min="11271" max="11271" width="14" style="3" customWidth="1"/>
    <col min="11272" max="11272" width="7.42578125" style="3" customWidth="1"/>
    <col min="11273" max="11520" width="11.42578125" style="3"/>
    <col min="11521" max="11521" width="15.85546875" style="3" customWidth="1"/>
    <col min="11522" max="11522" width="14.85546875" style="3" customWidth="1"/>
    <col min="11523" max="11523" width="13.28515625" style="3" customWidth="1"/>
    <col min="11524" max="11524" width="11.42578125" style="3"/>
    <col min="11525" max="11525" width="13.42578125" style="3" customWidth="1"/>
    <col min="11526" max="11526" width="12.7109375" style="3" customWidth="1"/>
    <col min="11527" max="11527" width="14" style="3" customWidth="1"/>
    <col min="11528" max="11528" width="7.42578125" style="3" customWidth="1"/>
    <col min="11529" max="11776" width="11.42578125" style="3"/>
    <col min="11777" max="11777" width="15.85546875" style="3" customWidth="1"/>
    <col min="11778" max="11778" width="14.85546875" style="3" customWidth="1"/>
    <col min="11779" max="11779" width="13.28515625" style="3" customWidth="1"/>
    <col min="11780" max="11780" width="11.42578125" style="3"/>
    <col min="11781" max="11781" width="13.42578125" style="3" customWidth="1"/>
    <col min="11782" max="11782" width="12.7109375" style="3" customWidth="1"/>
    <col min="11783" max="11783" width="14" style="3" customWidth="1"/>
    <col min="11784" max="11784" width="7.42578125" style="3" customWidth="1"/>
    <col min="11785" max="12032" width="11.42578125" style="3"/>
    <col min="12033" max="12033" width="15.85546875" style="3" customWidth="1"/>
    <col min="12034" max="12034" width="14.85546875" style="3" customWidth="1"/>
    <col min="12035" max="12035" width="13.28515625" style="3" customWidth="1"/>
    <col min="12036" max="12036" width="11.42578125" style="3"/>
    <col min="12037" max="12037" width="13.42578125" style="3" customWidth="1"/>
    <col min="12038" max="12038" width="12.7109375" style="3" customWidth="1"/>
    <col min="12039" max="12039" width="14" style="3" customWidth="1"/>
    <col min="12040" max="12040" width="7.42578125" style="3" customWidth="1"/>
    <col min="12041" max="12288" width="11.42578125" style="3"/>
    <col min="12289" max="12289" width="15.85546875" style="3" customWidth="1"/>
    <col min="12290" max="12290" width="14.85546875" style="3" customWidth="1"/>
    <col min="12291" max="12291" width="13.28515625" style="3" customWidth="1"/>
    <col min="12292" max="12292" width="11.42578125" style="3"/>
    <col min="12293" max="12293" width="13.42578125" style="3" customWidth="1"/>
    <col min="12294" max="12294" width="12.7109375" style="3" customWidth="1"/>
    <col min="12295" max="12295" width="14" style="3" customWidth="1"/>
    <col min="12296" max="12296" width="7.42578125" style="3" customWidth="1"/>
    <col min="12297" max="12544" width="11.42578125" style="3"/>
    <col min="12545" max="12545" width="15.85546875" style="3" customWidth="1"/>
    <col min="12546" max="12546" width="14.85546875" style="3" customWidth="1"/>
    <col min="12547" max="12547" width="13.28515625" style="3" customWidth="1"/>
    <col min="12548" max="12548" width="11.42578125" style="3"/>
    <col min="12549" max="12549" width="13.42578125" style="3" customWidth="1"/>
    <col min="12550" max="12550" width="12.7109375" style="3" customWidth="1"/>
    <col min="12551" max="12551" width="14" style="3" customWidth="1"/>
    <col min="12552" max="12552" width="7.42578125" style="3" customWidth="1"/>
    <col min="12553" max="12800" width="11.42578125" style="3"/>
    <col min="12801" max="12801" width="15.85546875" style="3" customWidth="1"/>
    <col min="12802" max="12802" width="14.85546875" style="3" customWidth="1"/>
    <col min="12803" max="12803" width="13.28515625" style="3" customWidth="1"/>
    <col min="12804" max="12804" width="11.42578125" style="3"/>
    <col min="12805" max="12805" width="13.42578125" style="3" customWidth="1"/>
    <col min="12806" max="12806" width="12.7109375" style="3" customWidth="1"/>
    <col min="12807" max="12807" width="14" style="3" customWidth="1"/>
    <col min="12808" max="12808" width="7.42578125" style="3" customWidth="1"/>
    <col min="12809" max="13056" width="11.42578125" style="3"/>
    <col min="13057" max="13057" width="15.85546875" style="3" customWidth="1"/>
    <col min="13058" max="13058" width="14.85546875" style="3" customWidth="1"/>
    <col min="13059" max="13059" width="13.28515625" style="3" customWidth="1"/>
    <col min="13060" max="13060" width="11.42578125" style="3"/>
    <col min="13061" max="13061" width="13.42578125" style="3" customWidth="1"/>
    <col min="13062" max="13062" width="12.7109375" style="3" customWidth="1"/>
    <col min="13063" max="13063" width="14" style="3" customWidth="1"/>
    <col min="13064" max="13064" width="7.42578125" style="3" customWidth="1"/>
    <col min="13065" max="13312" width="11.42578125" style="3"/>
    <col min="13313" max="13313" width="15.85546875" style="3" customWidth="1"/>
    <col min="13314" max="13314" width="14.85546875" style="3" customWidth="1"/>
    <col min="13315" max="13315" width="13.28515625" style="3" customWidth="1"/>
    <col min="13316" max="13316" width="11.42578125" style="3"/>
    <col min="13317" max="13317" width="13.42578125" style="3" customWidth="1"/>
    <col min="13318" max="13318" width="12.7109375" style="3" customWidth="1"/>
    <col min="13319" max="13319" width="14" style="3" customWidth="1"/>
    <col min="13320" max="13320" width="7.42578125" style="3" customWidth="1"/>
    <col min="13321" max="13568" width="11.42578125" style="3"/>
    <col min="13569" max="13569" width="15.85546875" style="3" customWidth="1"/>
    <col min="13570" max="13570" width="14.85546875" style="3" customWidth="1"/>
    <col min="13571" max="13571" width="13.28515625" style="3" customWidth="1"/>
    <col min="13572" max="13572" width="11.42578125" style="3"/>
    <col min="13573" max="13573" width="13.42578125" style="3" customWidth="1"/>
    <col min="13574" max="13574" width="12.7109375" style="3" customWidth="1"/>
    <col min="13575" max="13575" width="14" style="3" customWidth="1"/>
    <col min="13576" max="13576" width="7.42578125" style="3" customWidth="1"/>
    <col min="13577" max="13824" width="11.42578125" style="3"/>
    <col min="13825" max="13825" width="15.85546875" style="3" customWidth="1"/>
    <col min="13826" max="13826" width="14.85546875" style="3" customWidth="1"/>
    <col min="13827" max="13827" width="13.28515625" style="3" customWidth="1"/>
    <col min="13828" max="13828" width="11.42578125" style="3"/>
    <col min="13829" max="13829" width="13.42578125" style="3" customWidth="1"/>
    <col min="13830" max="13830" width="12.7109375" style="3" customWidth="1"/>
    <col min="13831" max="13831" width="14" style="3" customWidth="1"/>
    <col min="13832" max="13832" width="7.42578125" style="3" customWidth="1"/>
    <col min="13833" max="14080" width="11.42578125" style="3"/>
    <col min="14081" max="14081" width="15.85546875" style="3" customWidth="1"/>
    <col min="14082" max="14082" width="14.85546875" style="3" customWidth="1"/>
    <col min="14083" max="14083" width="13.28515625" style="3" customWidth="1"/>
    <col min="14084" max="14084" width="11.42578125" style="3"/>
    <col min="14085" max="14085" width="13.42578125" style="3" customWidth="1"/>
    <col min="14086" max="14086" width="12.7109375" style="3" customWidth="1"/>
    <col min="14087" max="14087" width="14" style="3" customWidth="1"/>
    <col min="14088" max="14088" width="7.42578125" style="3" customWidth="1"/>
    <col min="14089" max="14336" width="11.42578125" style="3"/>
    <col min="14337" max="14337" width="15.85546875" style="3" customWidth="1"/>
    <col min="14338" max="14338" width="14.85546875" style="3" customWidth="1"/>
    <col min="14339" max="14339" width="13.28515625" style="3" customWidth="1"/>
    <col min="14340" max="14340" width="11.42578125" style="3"/>
    <col min="14341" max="14341" width="13.42578125" style="3" customWidth="1"/>
    <col min="14342" max="14342" width="12.7109375" style="3" customWidth="1"/>
    <col min="14343" max="14343" width="14" style="3" customWidth="1"/>
    <col min="14344" max="14344" width="7.42578125" style="3" customWidth="1"/>
    <col min="14345" max="14592" width="11.42578125" style="3"/>
    <col min="14593" max="14593" width="15.85546875" style="3" customWidth="1"/>
    <col min="14594" max="14594" width="14.85546875" style="3" customWidth="1"/>
    <col min="14595" max="14595" width="13.28515625" style="3" customWidth="1"/>
    <col min="14596" max="14596" width="11.42578125" style="3"/>
    <col min="14597" max="14597" width="13.42578125" style="3" customWidth="1"/>
    <col min="14598" max="14598" width="12.7109375" style="3" customWidth="1"/>
    <col min="14599" max="14599" width="14" style="3" customWidth="1"/>
    <col min="14600" max="14600" width="7.42578125" style="3" customWidth="1"/>
    <col min="14601" max="14848" width="11.42578125" style="3"/>
    <col min="14849" max="14849" width="15.85546875" style="3" customWidth="1"/>
    <col min="14850" max="14850" width="14.85546875" style="3" customWidth="1"/>
    <col min="14851" max="14851" width="13.28515625" style="3" customWidth="1"/>
    <col min="14852" max="14852" width="11.42578125" style="3"/>
    <col min="14853" max="14853" width="13.42578125" style="3" customWidth="1"/>
    <col min="14854" max="14854" width="12.7109375" style="3" customWidth="1"/>
    <col min="14855" max="14855" width="14" style="3" customWidth="1"/>
    <col min="14856" max="14856" width="7.42578125" style="3" customWidth="1"/>
    <col min="14857" max="15104" width="11.42578125" style="3"/>
    <col min="15105" max="15105" width="15.85546875" style="3" customWidth="1"/>
    <col min="15106" max="15106" width="14.85546875" style="3" customWidth="1"/>
    <col min="15107" max="15107" width="13.28515625" style="3" customWidth="1"/>
    <col min="15108" max="15108" width="11.42578125" style="3"/>
    <col min="15109" max="15109" width="13.42578125" style="3" customWidth="1"/>
    <col min="15110" max="15110" width="12.7109375" style="3" customWidth="1"/>
    <col min="15111" max="15111" width="14" style="3" customWidth="1"/>
    <col min="15112" max="15112" width="7.42578125" style="3" customWidth="1"/>
    <col min="15113" max="15360" width="11.42578125" style="3"/>
    <col min="15361" max="15361" width="15.85546875" style="3" customWidth="1"/>
    <col min="15362" max="15362" width="14.85546875" style="3" customWidth="1"/>
    <col min="15363" max="15363" width="13.28515625" style="3" customWidth="1"/>
    <col min="15364" max="15364" width="11.42578125" style="3"/>
    <col min="15365" max="15365" width="13.42578125" style="3" customWidth="1"/>
    <col min="15366" max="15366" width="12.7109375" style="3" customWidth="1"/>
    <col min="15367" max="15367" width="14" style="3" customWidth="1"/>
    <col min="15368" max="15368" width="7.42578125" style="3" customWidth="1"/>
    <col min="15369" max="15616" width="11.42578125" style="3"/>
    <col min="15617" max="15617" width="15.85546875" style="3" customWidth="1"/>
    <col min="15618" max="15618" width="14.85546875" style="3" customWidth="1"/>
    <col min="15619" max="15619" width="13.28515625" style="3" customWidth="1"/>
    <col min="15620" max="15620" width="11.42578125" style="3"/>
    <col min="15621" max="15621" width="13.42578125" style="3" customWidth="1"/>
    <col min="15622" max="15622" width="12.7109375" style="3" customWidth="1"/>
    <col min="15623" max="15623" width="14" style="3" customWidth="1"/>
    <col min="15624" max="15624" width="7.42578125" style="3" customWidth="1"/>
    <col min="15625" max="15872" width="11.42578125" style="3"/>
    <col min="15873" max="15873" width="15.85546875" style="3" customWidth="1"/>
    <col min="15874" max="15874" width="14.85546875" style="3" customWidth="1"/>
    <col min="15875" max="15875" width="13.28515625" style="3" customWidth="1"/>
    <col min="15876" max="15876" width="11.42578125" style="3"/>
    <col min="15877" max="15877" width="13.42578125" style="3" customWidth="1"/>
    <col min="15878" max="15878" width="12.7109375" style="3" customWidth="1"/>
    <col min="15879" max="15879" width="14" style="3" customWidth="1"/>
    <col min="15880" max="15880" width="7.42578125" style="3" customWidth="1"/>
    <col min="15881" max="16128" width="11.42578125" style="3"/>
    <col min="16129" max="16129" width="15.85546875" style="3" customWidth="1"/>
    <col min="16130" max="16130" width="14.85546875" style="3" customWidth="1"/>
    <col min="16131" max="16131" width="13.28515625" style="3" customWidth="1"/>
    <col min="16132" max="16132" width="11.42578125" style="3"/>
    <col min="16133" max="16133" width="13.42578125" style="3" customWidth="1"/>
    <col min="16134" max="16134" width="12.7109375" style="3" customWidth="1"/>
    <col min="16135" max="16135" width="14" style="3" customWidth="1"/>
    <col min="16136" max="16136" width="7.42578125" style="3" customWidth="1"/>
    <col min="16137" max="16384" width="11.42578125" style="3"/>
  </cols>
  <sheetData>
    <row r="1" spans="1:21" ht="48" customHeight="1">
      <c r="A1" s="1346" t="str">
        <f>PPTO!D3</f>
        <v>PRESUPUESTO
MUNICIPIO EL BAGRE (ANTIOQUIA).</v>
      </c>
      <c r="B1" s="1347"/>
      <c r="C1" s="1347"/>
      <c r="D1" s="1347"/>
      <c r="E1" s="1347"/>
      <c r="F1" s="1347"/>
      <c r="G1" s="1348"/>
      <c r="H1" s="1"/>
      <c r="I1" s="2"/>
    </row>
    <row r="2" spans="1:21" ht="18" customHeight="1">
      <c r="A2" s="1362" t="s">
        <v>16</v>
      </c>
      <c r="B2" s="1363"/>
      <c r="C2" s="1363"/>
      <c r="D2" s="1363"/>
      <c r="E2" s="1363"/>
      <c r="F2" s="1363"/>
      <c r="G2" s="1364"/>
      <c r="H2" s="1"/>
      <c r="I2" s="2"/>
    </row>
    <row r="3" spans="1:21" ht="27" customHeight="1">
      <c r="A3" s="1367" t="str">
        <f>+PPTO!$D$5</f>
        <v>PROYECTO DE MEJORAMIENTO VIAL, ESPACIO PUBLICO Y OBRAS COMPLEMENTARIAS DE LA AVENIDA LA JUVENTUD Y TRAMOS ADYACENTES Y PRIORITARIOS DEL SECTOR URBANO EN EL MUNICIPIO EL BAGRE ANTIOQUIA.</v>
      </c>
      <c r="B3" s="1368"/>
      <c r="C3" s="1368"/>
      <c r="D3" s="1368"/>
      <c r="E3" s="1368"/>
      <c r="F3" s="1368"/>
      <c r="G3" s="1369"/>
      <c r="H3" s="1"/>
      <c r="I3" s="2"/>
    </row>
    <row r="4" spans="1:21" ht="30" customHeight="1">
      <c r="A4" s="1370"/>
      <c r="B4" s="1368"/>
      <c r="C4" s="1368"/>
      <c r="D4" s="1368"/>
      <c r="E4" s="1368"/>
      <c r="F4" s="1368"/>
      <c r="G4" s="1369"/>
      <c r="H4" s="1"/>
      <c r="I4" s="2"/>
    </row>
    <row r="5" spans="1:21" ht="6.75" customHeight="1">
      <c r="A5" s="222"/>
      <c r="B5" s="6"/>
      <c r="C5" s="24"/>
      <c r="D5" s="25"/>
      <c r="E5" s="6"/>
      <c r="F5" s="6"/>
      <c r="G5" s="223"/>
      <c r="H5" s="9"/>
    </row>
    <row r="6" spans="1:21" ht="52.5" customHeight="1">
      <c r="A6" s="368">
        <v>6.6</v>
      </c>
      <c r="B6" s="1349" t="str">
        <f>VLOOKUP(A6,PPTO!D9:I136,2,FALSE)</f>
        <v>Suministro e instalacion tuberia en PVC Novafort 14"</v>
      </c>
      <c r="C6" s="1350"/>
      <c r="D6" s="1350"/>
      <c r="E6" s="1351"/>
      <c r="F6" s="192" t="s">
        <v>118</v>
      </c>
      <c r="G6" s="248" t="str">
        <f>VLOOKUP(A6,PPTO!D9:I136,3,FALSE)</f>
        <v>m</v>
      </c>
      <c r="H6" s="9"/>
    </row>
    <row r="7" spans="1:21" ht="3.75" customHeight="1">
      <c r="A7" s="226"/>
      <c r="B7" s="4"/>
      <c r="C7" s="6"/>
      <c r="D7" s="4"/>
      <c r="E7" s="4"/>
      <c r="F7" s="4"/>
      <c r="G7" s="227"/>
      <c r="H7" s="9"/>
    </row>
    <row r="8" spans="1:21" ht="22.5" customHeight="1">
      <c r="A8" s="1354" t="s">
        <v>69</v>
      </c>
      <c r="B8" s="1355"/>
      <c r="C8" s="1355"/>
      <c r="D8" s="1355"/>
      <c r="E8" s="1355"/>
      <c r="F8" s="1355"/>
      <c r="G8" s="1356"/>
      <c r="H8" s="9"/>
    </row>
    <row r="9" spans="1:21" ht="4.5" customHeight="1">
      <c r="A9" s="226"/>
      <c r="B9" s="4"/>
      <c r="C9" s="6"/>
      <c r="D9" s="4"/>
      <c r="E9" s="4"/>
      <c r="F9" s="4"/>
      <c r="G9" s="227"/>
      <c r="H9" s="9"/>
      <c r="I9" s="5"/>
      <c r="J9" s="5"/>
      <c r="K9" s="5"/>
      <c r="L9" s="26"/>
      <c r="M9" s="5"/>
      <c r="N9" s="5"/>
      <c r="O9" s="5"/>
      <c r="P9" s="5"/>
    </row>
    <row r="10" spans="1:21">
      <c r="A10" s="1373" t="s">
        <v>17</v>
      </c>
      <c r="B10" s="1374"/>
      <c r="C10" s="1374"/>
      <c r="D10" s="346" t="s">
        <v>18</v>
      </c>
      <c r="E10" s="346" t="s">
        <v>19</v>
      </c>
      <c r="F10" s="346" t="s">
        <v>20</v>
      </c>
      <c r="G10" s="228" t="s">
        <v>21</v>
      </c>
      <c r="H10" s="27"/>
      <c r="I10" s="28"/>
      <c r="J10" s="29"/>
      <c r="K10" s="30"/>
      <c r="L10" s="30"/>
      <c r="M10" s="30"/>
      <c r="N10" s="30"/>
      <c r="O10" s="30"/>
      <c r="P10" s="5"/>
    </row>
    <row r="11" spans="1:21">
      <c r="A11" s="1352" t="s">
        <v>47</v>
      </c>
      <c r="B11" s="1353"/>
      <c r="C11" s="1353"/>
      <c r="D11" s="346"/>
      <c r="E11" s="83"/>
      <c r="F11" s="97"/>
      <c r="G11" s="229">
        <f>+G39*10%</f>
        <v>1273</v>
      </c>
      <c r="H11" s="9"/>
      <c r="I11" s="30"/>
      <c r="J11" s="31"/>
      <c r="K11" s="30"/>
      <c r="L11" s="30"/>
      <c r="M11" s="30"/>
      <c r="N11" s="30"/>
      <c r="O11" s="30"/>
      <c r="P11" s="5"/>
    </row>
    <row r="12" spans="1:21">
      <c r="A12" s="1371"/>
      <c r="B12" s="1372"/>
      <c r="C12" s="1372"/>
      <c r="D12" s="83"/>
      <c r="E12" s="83"/>
      <c r="F12" s="93"/>
      <c r="G12" s="229"/>
      <c r="H12" s="9"/>
      <c r="I12" s="16"/>
      <c r="J12" s="13"/>
      <c r="K12" s="8"/>
      <c r="L12" s="8"/>
      <c r="M12" s="8"/>
      <c r="N12" s="8"/>
      <c r="O12" s="8"/>
      <c r="P12" s="5"/>
    </row>
    <row r="13" spans="1:21">
      <c r="A13" s="1371"/>
      <c r="B13" s="1372"/>
      <c r="C13" s="1372"/>
      <c r="D13" s="83"/>
      <c r="E13" s="83"/>
      <c r="F13" s="93"/>
      <c r="G13" s="229"/>
      <c r="H13" s="9"/>
      <c r="I13" s="13"/>
      <c r="J13" s="13"/>
      <c r="K13" s="13"/>
      <c r="L13" s="13"/>
      <c r="M13" s="13"/>
      <c r="N13" s="13"/>
      <c r="O13" s="13"/>
      <c r="P13" s="5"/>
    </row>
    <row r="14" spans="1:21">
      <c r="A14" s="1371"/>
      <c r="B14" s="1372"/>
      <c r="C14" s="1372"/>
      <c r="D14" s="83"/>
      <c r="E14" s="83"/>
      <c r="F14" s="93"/>
      <c r="G14" s="229"/>
      <c r="H14" s="9"/>
      <c r="I14" s="8"/>
      <c r="J14" s="14"/>
      <c r="K14" s="32"/>
      <c r="L14" s="14"/>
      <c r="M14" s="15"/>
      <c r="N14" s="15"/>
      <c r="O14" s="19"/>
      <c r="P14" s="5"/>
    </row>
    <row r="15" spans="1:21">
      <c r="A15" s="1371"/>
      <c r="B15" s="1372"/>
      <c r="C15" s="1372"/>
      <c r="D15" s="83"/>
      <c r="E15" s="83"/>
      <c r="F15" s="98"/>
      <c r="G15" s="229"/>
      <c r="H15" s="9"/>
      <c r="I15" s="8"/>
      <c r="J15" s="33"/>
      <c r="K15" s="32"/>
      <c r="L15" s="14"/>
      <c r="M15" s="15"/>
      <c r="N15" s="15"/>
      <c r="O15" s="19"/>
      <c r="P15" s="5"/>
      <c r="Q15" s="5"/>
      <c r="R15" s="5"/>
      <c r="S15" s="5"/>
      <c r="T15" s="5"/>
      <c r="U15" s="5"/>
    </row>
    <row r="16" spans="1:21">
      <c r="A16" s="1371"/>
      <c r="B16" s="1372"/>
      <c r="C16" s="1372"/>
      <c r="D16" s="85" t="s">
        <v>37</v>
      </c>
      <c r="E16" s="50"/>
      <c r="F16" s="49"/>
      <c r="G16" s="230">
        <f>SUM(G11:G15)</f>
        <v>1273</v>
      </c>
      <c r="H16" s="9"/>
      <c r="I16" s="34"/>
      <c r="J16" s="34"/>
      <c r="K16" s="35"/>
      <c r="L16" s="36"/>
      <c r="M16" s="7"/>
      <c r="N16" s="7"/>
      <c r="O16" s="19"/>
      <c r="P16" s="5"/>
      <c r="Q16" s="5"/>
      <c r="R16" s="5"/>
      <c r="S16" s="5"/>
      <c r="T16" s="5"/>
      <c r="U16" s="5"/>
    </row>
    <row r="17" spans="1:21" ht="4.5" customHeight="1">
      <c r="A17" s="226"/>
      <c r="B17" s="4"/>
      <c r="C17" s="6"/>
      <c r="D17" s="4"/>
      <c r="E17" s="4"/>
      <c r="F17" s="4"/>
      <c r="G17" s="227"/>
      <c r="H17" s="9"/>
      <c r="I17" s="34"/>
      <c r="J17" s="34"/>
      <c r="K17" s="35"/>
      <c r="L17" s="36"/>
      <c r="M17" s="7"/>
      <c r="N17" s="7"/>
      <c r="O17" s="19"/>
      <c r="P17" s="5"/>
      <c r="Q17" s="5"/>
      <c r="R17" s="5"/>
      <c r="S17" s="5"/>
      <c r="T17" s="5"/>
      <c r="U17" s="5"/>
    </row>
    <row r="18" spans="1:21" ht="22.5" customHeight="1">
      <c r="A18" s="1354" t="s">
        <v>70</v>
      </c>
      <c r="B18" s="1355"/>
      <c r="C18" s="1355"/>
      <c r="D18" s="1355"/>
      <c r="E18" s="1355"/>
      <c r="F18" s="1355"/>
      <c r="G18" s="1356"/>
      <c r="H18" s="9"/>
    </row>
    <row r="19" spans="1:21" ht="4.5" customHeight="1">
      <c r="A19" s="226"/>
      <c r="B19" s="4"/>
      <c r="C19" s="6"/>
      <c r="D19" s="4"/>
      <c r="E19" s="4"/>
      <c r="F19" s="38"/>
      <c r="G19" s="227"/>
      <c r="H19" s="9"/>
      <c r="I19" s="34"/>
      <c r="J19" s="34"/>
      <c r="K19" s="35"/>
      <c r="L19" s="39"/>
      <c r="M19" s="7"/>
      <c r="N19" s="7"/>
      <c r="O19" s="8"/>
      <c r="P19" s="5"/>
      <c r="Q19" s="5"/>
      <c r="R19" s="5"/>
      <c r="S19" s="5"/>
      <c r="T19" s="5"/>
      <c r="U19" s="5"/>
    </row>
    <row r="20" spans="1:21">
      <c r="A20" s="1373" t="s">
        <v>17</v>
      </c>
      <c r="B20" s="1374"/>
      <c r="C20" s="1374"/>
      <c r="D20" s="346" t="s">
        <v>3</v>
      </c>
      <c r="E20" s="346" t="s">
        <v>4</v>
      </c>
      <c r="F20" s="346" t="s">
        <v>25</v>
      </c>
      <c r="G20" s="228" t="s">
        <v>21</v>
      </c>
      <c r="H20" s="27"/>
      <c r="I20" s="34"/>
      <c r="J20" s="34"/>
      <c r="K20" s="35"/>
      <c r="L20" s="39"/>
      <c r="M20" s="7"/>
      <c r="N20" s="7"/>
      <c r="O20" s="8"/>
      <c r="P20" s="5"/>
      <c r="Q20" s="5"/>
      <c r="R20" s="5"/>
      <c r="S20" s="5"/>
      <c r="T20" s="5"/>
      <c r="U20" s="5"/>
    </row>
    <row r="21" spans="1:21" ht="31.5" customHeight="1">
      <c r="A21" s="1441" t="s">
        <v>222</v>
      </c>
      <c r="B21" s="1442"/>
      <c r="C21" s="1443"/>
      <c r="D21" s="118" t="s">
        <v>51</v>
      </c>
      <c r="E21" s="119">
        <v>1</v>
      </c>
      <c r="F21" s="87">
        <f>760005/6*IPC</f>
        <v>130696</v>
      </c>
      <c r="G21" s="231">
        <f>ROUND(F21*E21,0)</f>
        <v>130696</v>
      </c>
      <c r="H21" s="9"/>
      <c r="I21" s="34"/>
      <c r="J21" s="34"/>
      <c r="K21" s="35"/>
      <c r="L21" s="36"/>
      <c r="M21" s="7"/>
      <c r="N21" s="7"/>
      <c r="O21" s="19"/>
      <c r="P21" s="5"/>
      <c r="Q21" s="5"/>
      <c r="R21" s="5"/>
      <c r="S21" s="5"/>
      <c r="T21" s="5"/>
      <c r="U21" s="5"/>
    </row>
    <row r="22" spans="1:21" ht="27.75" customHeight="1">
      <c r="A22" s="1444"/>
      <c r="B22" s="1403"/>
      <c r="C22" s="1404"/>
      <c r="D22" s="116"/>
      <c r="E22" s="117"/>
      <c r="F22" s="91"/>
      <c r="G22" s="231"/>
      <c r="H22" s="9"/>
      <c r="I22" s="10"/>
      <c r="J22" s="10"/>
      <c r="K22" s="12"/>
      <c r="L22" s="39"/>
      <c r="M22" s="7"/>
      <c r="N22" s="7"/>
      <c r="O22" s="15"/>
      <c r="P22" s="5"/>
      <c r="Q22" s="5"/>
      <c r="R22" s="5"/>
      <c r="S22" s="5"/>
      <c r="T22" s="5"/>
      <c r="U22" s="5"/>
    </row>
    <row r="23" spans="1:21">
      <c r="A23" s="1386"/>
      <c r="B23" s="1353"/>
      <c r="C23" s="1353"/>
      <c r="D23" s="79"/>
      <c r="E23" s="82"/>
      <c r="F23" s="83"/>
      <c r="G23" s="67"/>
      <c r="H23" s="9"/>
      <c r="I23" s="10"/>
      <c r="J23" s="10"/>
      <c r="K23" s="12"/>
      <c r="L23" s="39"/>
      <c r="M23" s="7"/>
      <c r="N23" s="7"/>
      <c r="O23" s="15"/>
      <c r="P23" s="5"/>
      <c r="Q23" s="5"/>
      <c r="R23" s="5"/>
      <c r="S23" s="5"/>
      <c r="T23" s="5"/>
      <c r="U23" s="5"/>
    </row>
    <row r="24" spans="1:21">
      <c r="A24" s="1352"/>
      <c r="B24" s="1353"/>
      <c r="C24" s="1353"/>
      <c r="D24" s="81"/>
      <c r="E24" s="88"/>
      <c r="F24" s="78"/>
      <c r="G24" s="231"/>
      <c r="H24" s="9"/>
      <c r="I24" s="10"/>
      <c r="J24" s="40"/>
      <c r="K24" s="12"/>
      <c r="L24" s="13"/>
      <c r="M24" s="14"/>
      <c r="N24" s="14"/>
      <c r="O24" s="15"/>
      <c r="P24" s="5"/>
      <c r="Q24" s="5"/>
      <c r="R24" s="5"/>
      <c r="S24" s="5"/>
      <c r="T24" s="5"/>
      <c r="U24" s="5"/>
    </row>
    <row r="25" spans="1:21">
      <c r="A25" s="1352"/>
      <c r="B25" s="1353"/>
      <c r="C25" s="1353"/>
      <c r="D25" s="81"/>
      <c r="E25" s="82"/>
      <c r="F25" s="78"/>
      <c r="G25" s="231"/>
      <c r="H25" s="9"/>
      <c r="I25" s="10"/>
      <c r="J25" s="11"/>
      <c r="K25" s="12"/>
      <c r="L25" s="13"/>
      <c r="M25" s="14"/>
      <c r="N25" s="14"/>
      <c r="O25" s="15"/>
      <c r="P25" s="5"/>
      <c r="Q25" s="5"/>
      <c r="R25" s="5"/>
      <c r="S25" s="5"/>
      <c r="T25" s="5"/>
      <c r="U25" s="5"/>
    </row>
    <row r="26" spans="1:21">
      <c r="A26" s="1352"/>
      <c r="B26" s="1353"/>
      <c r="C26" s="1353"/>
      <c r="D26" s="79"/>
      <c r="E26" s="82"/>
      <c r="F26" s="78"/>
      <c r="G26" s="231"/>
      <c r="H26" s="9"/>
      <c r="I26" s="10"/>
      <c r="J26" s="11"/>
      <c r="K26" s="12"/>
      <c r="L26" s="13"/>
      <c r="M26" s="14"/>
      <c r="N26" s="14"/>
      <c r="O26" s="15"/>
      <c r="P26" s="5"/>
      <c r="Q26" s="5"/>
      <c r="R26" s="5"/>
      <c r="S26" s="5"/>
      <c r="T26" s="5"/>
      <c r="U26" s="5"/>
    </row>
    <row r="27" spans="1:21">
      <c r="A27" s="1352"/>
      <c r="B27" s="1353"/>
      <c r="C27" s="1353"/>
      <c r="D27" s="79"/>
      <c r="E27" s="82"/>
      <c r="F27" s="78"/>
      <c r="G27" s="231"/>
      <c r="H27" s="9"/>
      <c r="I27" s="10"/>
      <c r="J27" s="11"/>
      <c r="K27" s="12"/>
      <c r="L27" s="13"/>
      <c r="M27" s="14"/>
      <c r="N27" s="14"/>
      <c r="O27" s="15"/>
      <c r="P27" s="5"/>
      <c r="Q27" s="5"/>
      <c r="R27" s="5"/>
      <c r="S27" s="5"/>
      <c r="T27" s="5"/>
      <c r="U27" s="5"/>
    </row>
    <row r="28" spans="1:21">
      <c r="A28" s="1352"/>
      <c r="B28" s="1353"/>
      <c r="C28" s="1353"/>
      <c r="D28" s="79"/>
      <c r="E28" s="82"/>
      <c r="F28" s="83"/>
      <c r="G28" s="231"/>
      <c r="H28" s="9"/>
      <c r="I28" s="41"/>
      <c r="J28" s="41"/>
      <c r="K28" s="12"/>
      <c r="L28" s="13"/>
      <c r="M28" s="14"/>
      <c r="N28" s="14"/>
      <c r="O28" s="15"/>
      <c r="P28" s="5"/>
      <c r="Q28" s="5"/>
      <c r="R28" s="5"/>
      <c r="S28" s="5"/>
      <c r="T28" s="5"/>
      <c r="U28" s="5"/>
    </row>
    <row r="29" spans="1:21">
      <c r="A29" s="1352"/>
      <c r="B29" s="1353"/>
      <c r="C29" s="1353"/>
      <c r="D29" s="84"/>
      <c r="E29" s="84"/>
      <c r="F29" s="83"/>
      <c r="G29" s="231"/>
      <c r="H29" s="9"/>
      <c r="I29" s="42"/>
      <c r="J29" s="42"/>
      <c r="K29" s="42"/>
      <c r="L29" s="13"/>
      <c r="M29" s="14"/>
      <c r="N29" s="14"/>
      <c r="O29" s="15"/>
      <c r="P29" s="5"/>
      <c r="Q29" s="5"/>
      <c r="R29" s="5"/>
      <c r="S29" s="5"/>
      <c r="T29" s="5"/>
      <c r="U29" s="5"/>
    </row>
    <row r="30" spans="1:21">
      <c r="A30" s="1352"/>
      <c r="B30" s="1353"/>
      <c r="C30" s="1353"/>
      <c r="D30" s="85" t="s">
        <v>28</v>
      </c>
      <c r="E30" s="50"/>
      <c r="F30" s="49"/>
      <c r="G30" s="230">
        <f>SUM(G21:G29)</f>
        <v>130696</v>
      </c>
      <c r="H30" s="9"/>
      <c r="I30" s="8"/>
      <c r="J30" s="13"/>
      <c r="K30" s="8"/>
      <c r="L30" s="13"/>
      <c r="M30" s="14"/>
      <c r="N30" s="14"/>
      <c r="O30" s="15"/>
      <c r="P30" s="5"/>
    </row>
    <row r="31" spans="1:21" ht="3.75" customHeight="1">
      <c r="A31" s="226"/>
      <c r="B31" s="4"/>
      <c r="C31" s="6"/>
      <c r="D31" s="4"/>
      <c r="E31" s="4"/>
      <c r="F31" s="4"/>
      <c r="G31" s="227"/>
      <c r="H31" s="9"/>
      <c r="I31" s="8"/>
      <c r="J31" s="13"/>
      <c r="K31" s="18"/>
      <c r="L31" s="13"/>
      <c r="M31" s="33"/>
      <c r="N31" s="33"/>
      <c r="O31" s="15"/>
      <c r="P31" s="5"/>
    </row>
    <row r="32" spans="1:21" ht="22.5" customHeight="1">
      <c r="A32" s="1354" t="s">
        <v>71</v>
      </c>
      <c r="B32" s="1355"/>
      <c r="C32" s="1355"/>
      <c r="D32" s="1355"/>
      <c r="E32" s="1355"/>
      <c r="F32" s="1355"/>
      <c r="G32" s="1356"/>
      <c r="H32" s="9"/>
    </row>
    <row r="33" spans="1:16" ht="3.75" customHeight="1">
      <c r="A33" s="226"/>
      <c r="B33" s="4"/>
      <c r="C33" s="6"/>
      <c r="D33" s="4"/>
      <c r="E33" s="4"/>
      <c r="F33" s="4"/>
      <c r="G33" s="227"/>
      <c r="H33" s="9"/>
      <c r="I33" s="8"/>
      <c r="J33" s="13"/>
      <c r="K33" s="8"/>
      <c r="L33" s="8"/>
      <c r="M33" s="8"/>
      <c r="N33" s="8"/>
      <c r="O33" s="15"/>
      <c r="P33" s="5"/>
    </row>
    <row r="34" spans="1:16">
      <c r="A34" s="232" t="s">
        <v>5</v>
      </c>
      <c r="B34" s="60" t="s">
        <v>29</v>
      </c>
      <c r="C34" s="60" t="s">
        <v>30</v>
      </c>
      <c r="D34" s="60" t="s">
        <v>31</v>
      </c>
      <c r="E34" s="60" t="s">
        <v>32</v>
      </c>
      <c r="F34" s="60" t="s">
        <v>20</v>
      </c>
      <c r="G34" s="228" t="s">
        <v>33</v>
      </c>
      <c r="H34" s="27"/>
      <c r="I34" s="8"/>
      <c r="J34" s="13"/>
      <c r="K34" s="8"/>
      <c r="L34" s="8"/>
      <c r="M34" s="8"/>
      <c r="N34" s="8"/>
      <c r="O34" s="15"/>
      <c r="P34" s="5"/>
    </row>
    <row r="35" spans="1:16">
      <c r="A35" s="233" t="s">
        <v>41</v>
      </c>
      <c r="B35" s="63">
        <f>BOF</f>
        <v>51749</v>
      </c>
      <c r="C35" s="68">
        <f>ffpp</f>
        <v>0.64539999999999997</v>
      </c>
      <c r="D35" s="72">
        <v>1</v>
      </c>
      <c r="E35" s="66">
        <f>OF</f>
        <v>88696</v>
      </c>
      <c r="F35" s="65">
        <v>24</v>
      </c>
      <c r="G35" s="231">
        <f>ROUND(+D35*E35/F35,0)</f>
        <v>3696</v>
      </c>
      <c r="H35" s="9"/>
      <c r="I35" s="16"/>
      <c r="J35" s="13"/>
      <c r="K35" s="8"/>
      <c r="L35" s="8"/>
      <c r="M35" s="8"/>
      <c r="N35" s="8"/>
      <c r="O35" s="15"/>
      <c r="P35" s="5"/>
    </row>
    <row r="36" spans="1:16">
      <c r="A36" s="233" t="s">
        <v>38</v>
      </c>
      <c r="B36" s="63">
        <f>BOB</f>
        <v>41749</v>
      </c>
      <c r="C36" s="68">
        <f>ffpp</f>
        <v>0.64539999999999997</v>
      </c>
      <c r="D36" s="72">
        <v>3</v>
      </c>
      <c r="E36" s="66">
        <f>OB</f>
        <v>72242</v>
      </c>
      <c r="F36" s="65">
        <f>F35</f>
        <v>24</v>
      </c>
      <c r="G36" s="231">
        <f>ROUND(+D36*E36/F36,0)</f>
        <v>9030</v>
      </c>
      <c r="H36" s="9"/>
      <c r="I36" s="8"/>
      <c r="J36" s="8"/>
      <c r="K36" s="13"/>
      <c r="L36" s="13"/>
      <c r="M36" s="13"/>
      <c r="N36" s="13"/>
      <c r="O36" s="13"/>
      <c r="P36" s="5"/>
    </row>
    <row r="37" spans="1:16">
      <c r="A37" s="234"/>
      <c r="B37" s="50"/>
      <c r="C37" s="961"/>
      <c r="D37" s="50"/>
      <c r="E37" s="66"/>
      <c r="F37" s="65"/>
      <c r="G37" s="231"/>
      <c r="H37" s="9"/>
      <c r="I37" s="8"/>
      <c r="J37" s="13"/>
      <c r="K37" s="13"/>
      <c r="L37" s="13"/>
      <c r="M37" s="33"/>
      <c r="N37" s="33"/>
      <c r="O37" s="43"/>
      <c r="P37" s="5"/>
    </row>
    <row r="38" spans="1:16">
      <c r="A38" s="233"/>
      <c r="B38" s="65"/>
      <c r="C38" s="68"/>
      <c r="D38" s="65"/>
      <c r="E38" s="69"/>
      <c r="F38" s="69"/>
      <c r="G38" s="236"/>
      <c r="H38" s="9"/>
      <c r="I38" s="8"/>
      <c r="J38" s="13"/>
      <c r="K38" s="13"/>
      <c r="L38" s="13"/>
      <c r="M38" s="33"/>
      <c r="N38" s="33"/>
      <c r="O38" s="43"/>
      <c r="P38" s="5"/>
    </row>
    <row r="39" spans="1:16">
      <c r="A39" s="249"/>
      <c r="B39" s="71"/>
      <c r="C39" s="71"/>
      <c r="D39" s="71" t="s">
        <v>34</v>
      </c>
      <c r="E39" s="71"/>
      <c r="F39" s="71"/>
      <c r="G39" s="250">
        <f>SUM(G35:G38)</f>
        <v>12726</v>
      </c>
      <c r="H39" s="9"/>
      <c r="I39" s="8"/>
      <c r="J39" s="13"/>
      <c r="K39" s="13"/>
      <c r="L39" s="13"/>
      <c r="M39" s="14"/>
      <c r="N39" s="14"/>
      <c r="O39" s="15"/>
      <c r="P39" s="5"/>
    </row>
    <row r="40" spans="1:16">
      <c r="A40" s="226"/>
      <c r="B40" s="4"/>
      <c r="C40" s="6"/>
      <c r="D40" s="4"/>
      <c r="E40" s="4"/>
      <c r="F40" s="4"/>
      <c r="G40" s="227"/>
      <c r="H40" s="9"/>
      <c r="I40" s="8"/>
      <c r="J40" s="13"/>
      <c r="K40" s="13"/>
      <c r="L40" s="13"/>
      <c r="M40" s="14"/>
      <c r="N40" s="14"/>
      <c r="O40" s="19"/>
      <c r="P40" s="5"/>
    </row>
    <row r="41" spans="1:16">
      <c r="A41" s="226"/>
      <c r="B41" s="4"/>
      <c r="C41" s="6"/>
      <c r="D41" s="4"/>
      <c r="E41" s="4"/>
      <c r="F41" s="4"/>
      <c r="G41" s="227"/>
      <c r="H41" s="9"/>
      <c r="I41" s="8"/>
      <c r="J41" s="13"/>
      <c r="K41" s="13"/>
      <c r="L41" s="13"/>
      <c r="M41" s="17"/>
      <c r="N41" s="17"/>
      <c r="O41" s="37"/>
      <c r="P41" s="5"/>
    </row>
    <row r="42" spans="1:16" ht="14.25">
      <c r="A42" s="226"/>
      <c r="B42" s="4"/>
      <c r="C42" s="6"/>
      <c r="D42" s="1357" t="s">
        <v>35</v>
      </c>
      <c r="E42" s="1358"/>
      <c r="F42" s="1359"/>
      <c r="G42" s="239">
        <f>+G39+G30+G16</f>
        <v>144695</v>
      </c>
      <c r="H42" s="9"/>
      <c r="I42" s="48"/>
      <c r="J42" s="20"/>
      <c r="K42" s="8"/>
      <c r="L42" s="8"/>
      <c r="M42" s="8"/>
      <c r="N42" s="8"/>
      <c r="O42" s="8"/>
      <c r="P42" s="5"/>
    </row>
    <row r="43" spans="1:16" ht="14.25">
      <c r="A43" s="240"/>
      <c r="B43" s="57"/>
      <c r="C43" s="58"/>
      <c r="D43" s="99"/>
      <c r="E43" s="99"/>
      <c r="F43" s="99"/>
      <c r="G43" s="251"/>
      <c r="H43" s="9"/>
      <c r="I43" s="48"/>
      <c r="J43" s="20"/>
      <c r="K43" s="8"/>
      <c r="L43" s="8"/>
      <c r="M43" s="8"/>
      <c r="N43" s="8"/>
      <c r="O43" s="8"/>
      <c r="P43" s="5"/>
    </row>
    <row r="44" spans="1:16" ht="14.25">
      <c r="A44" s="374"/>
      <c r="B44" s="375"/>
      <c r="C44" s="375"/>
      <c r="D44" s="99"/>
      <c r="E44" s="99"/>
      <c r="F44" s="99"/>
      <c r="G44" s="251"/>
      <c r="H44" s="9"/>
      <c r="I44" s="48"/>
      <c r="J44" s="20"/>
      <c r="K44" s="8"/>
      <c r="L44" s="8"/>
      <c r="M44" s="8"/>
      <c r="N44" s="8"/>
      <c r="O44" s="8"/>
      <c r="P44" s="5"/>
    </row>
    <row r="45" spans="1:16" ht="14.25">
      <c r="A45" s="373"/>
      <c r="B45" s="376"/>
      <c r="C45" s="376"/>
      <c r="D45" s="99"/>
      <c r="E45" s="99"/>
      <c r="F45" s="99"/>
      <c r="G45" s="251"/>
      <c r="H45" s="9"/>
      <c r="I45" s="48"/>
      <c r="J45" s="20"/>
      <c r="K45" s="8"/>
      <c r="L45" s="8"/>
      <c r="M45" s="8"/>
      <c r="N45" s="8"/>
      <c r="O45" s="8"/>
      <c r="P45" s="5"/>
    </row>
    <row r="46" spans="1:16" ht="14.25">
      <c r="A46" s="373"/>
      <c r="B46" s="376"/>
      <c r="C46" s="376"/>
      <c r="D46" s="44"/>
      <c r="E46" s="45"/>
      <c r="F46" s="45"/>
      <c r="G46" s="251"/>
      <c r="H46" s="9"/>
      <c r="I46" s="8"/>
      <c r="J46" s="13"/>
      <c r="K46" s="8"/>
      <c r="L46" s="8"/>
      <c r="M46" s="8"/>
      <c r="N46" s="8"/>
      <c r="O46" s="8"/>
      <c r="P46" s="5"/>
    </row>
    <row r="47" spans="1:16" ht="15" thickBot="1">
      <c r="A47" s="242"/>
      <c r="B47" s="243"/>
      <c r="C47" s="244"/>
      <c r="D47" s="245"/>
      <c r="E47" s="246"/>
      <c r="F47" s="246"/>
      <c r="G47" s="247"/>
      <c r="H47" s="9"/>
      <c r="I47" s="8"/>
      <c r="J47" s="13"/>
      <c r="K47" s="8"/>
      <c r="L47" s="8"/>
      <c r="M47" s="8"/>
      <c r="N47" s="8"/>
      <c r="O47" s="8"/>
      <c r="P47" s="5"/>
    </row>
    <row r="48" spans="1:16">
      <c r="I48" s="5"/>
      <c r="J48" s="5"/>
      <c r="K48" s="5"/>
      <c r="L48" s="5"/>
      <c r="M48" s="5"/>
      <c r="N48" s="5"/>
      <c r="O48" s="5"/>
      <c r="P48" s="5"/>
    </row>
    <row r="49" spans="9:16">
      <c r="I49" s="5"/>
      <c r="J49" s="5"/>
      <c r="K49" s="5"/>
      <c r="L49" s="5"/>
      <c r="M49" s="5"/>
      <c r="N49" s="5"/>
      <c r="O49" s="5"/>
      <c r="P49" s="5"/>
    </row>
  </sheetData>
  <mergeCells count="26">
    <mergeCell ref="A32:G32"/>
    <mergeCell ref="D42:F42"/>
    <mergeCell ref="A25:C25"/>
    <mergeCell ref="A26:C26"/>
    <mergeCell ref="A27:C27"/>
    <mergeCell ref="A28:C28"/>
    <mergeCell ref="A29:C29"/>
    <mergeCell ref="A30:C30"/>
    <mergeCell ref="A24:C24"/>
    <mergeCell ref="A11:C11"/>
    <mergeCell ref="A12:C12"/>
    <mergeCell ref="A13:C13"/>
    <mergeCell ref="A14:C14"/>
    <mergeCell ref="A15:C15"/>
    <mergeCell ref="A16:C16"/>
    <mergeCell ref="A18:G18"/>
    <mergeCell ref="A20:C20"/>
    <mergeCell ref="A21:C21"/>
    <mergeCell ref="A22:C22"/>
    <mergeCell ref="A23:C23"/>
    <mergeCell ref="A10:C10"/>
    <mergeCell ref="A1:G1"/>
    <mergeCell ref="A2:G2"/>
    <mergeCell ref="A3:G4"/>
    <mergeCell ref="B6:E6"/>
    <mergeCell ref="A8:G8"/>
  </mergeCells>
  <printOptions horizontalCentered="1" verticalCentered="1"/>
  <pageMargins left="0.74803149606299213" right="0.74803149606299213" top="0" bottom="0.98425196850393704" header="0" footer="0"/>
  <pageSetup scale="90" orientation="portrait" r:id="rId1"/>
  <headerFooter alignWithMargins="0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1"/>
  <dimension ref="A1:U49"/>
  <sheetViews>
    <sheetView view="pageBreakPreview" topLeftCell="A16" zoomScaleNormal="100" zoomScaleSheetLayoutView="100" workbookViewId="0">
      <selection activeCell="F22" sqref="F22"/>
    </sheetView>
  </sheetViews>
  <sheetFormatPr baseColWidth="10" defaultColWidth="10.7109375" defaultRowHeight="12.75"/>
  <cols>
    <col min="1" max="1" width="15.85546875" style="3" customWidth="1"/>
    <col min="2" max="2" width="14.85546875" style="3" customWidth="1"/>
    <col min="3" max="3" width="13.28515625" style="3" customWidth="1"/>
    <col min="4" max="4" width="11.42578125" style="3"/>
    <col min="5" max="5" width="13.42578125" style="3" customWidth="1"/>
    <col min="6" max="6" width="12.7109375" style="3" customWidth="1"/>
    <col min="7" max="7" width="14" style="3" customWidth="1"/>
    <col min="8" max="8" width="7.42578125" style="3" customWidth="1"/>
    <col min="9" max="256" width="11.42578125" style="3"/>
    <col min="257" max="257" width="15.85546875" style="3" customWidth="1"/>
    <col min="258" max="258" width="14.85546875" style="3" customWidth="1"/>
    <col min="259" max="259" width="13.28515625" style="3" customWidth="1"/>
    <col min="260" max="260" width="11.42578125" style="3"/>
    <col min="261" max="261" width="13.42578125" style="3" customWidth="1"/>
    <col min="262" max="262" width="12.7109375" style="3" customWidth="1"/>
    <col min="263" max="263" width="14" style="3" customWidth="1"/>
    <col min="264" max="264" width="7.42578125" style="3" customWidth="1"/>
    <col min="265" max="512" width="11.42578125" style="3"/>
    <col min="513" max="513" width="15.85546875" style="3" customWidth="1"/>
    <col min="514" max="514" width="14.85546875" style="3" customWidth="1"/>
    <col min="515" max="515" width="13.28515625" style="3" customWidth="1"/>
    <col min="516" max="516" width="11.42578125" style="3"/>
    <col min="517" max="517" width="13.42578125" style="3" customWidth="1"/>
    <col min="518" max="518" width="12.7109375" style="3" customWidth="1"/>
    <col min="519" max="519" width="14" style="3" customWidth="1"/>
    <col min="520" max="520" width="7.42578125" style="3" customWidth="1"/>
    <col min="521" max="768" width="11.42578125" style="3"/>
    <col min="769" max="769" width="15.85546875" style="3" customWidth="1"/>
    <col min="770" max="770" width="14.85546875" style="3" customWidth="1"/>
    <col min="771" max="771" width="13.28515625" style="3" customWidth="1"/>
    <col min="772" max="772" width="11.42578125" style="3"/>
    <col min="773" max="773" width="13.42578125" style="3" customWidth="1"/>
    <col min="774" max="774" width="12.7109375" style="3" customWidth="1"/>
    <col min="775" max="775" width="14" style="3" customWidth="1"/>
    <col min="776" max="776" width="7.42578125" style="3" customWidth="1"/>
    <col min="777" max="1024" width="11.42578125" style="3"/>
    <col min="1025" max="1025" width="15.85546875" style="3" customWidth="1"/>
    <col min="1026" max="1026" width="14.85546875" style="3" customWidth="1"/>
    <col min="1027" max="1027" width="13.28515625" style="3" customWidth="1"/>
    <col min="1028" max="1028" width="11.42578125" style="3"/>
    <col min="1029" max="1029" width="13.42578125" style="3" customWidth="1"/>
    <col min="1030" max="1030" width="12.7109375" style="3" customWidth="1"/>
    <col min="1031" max="1031" width="14" style="3" customWidth="1"/>
    <col min="1032" max="1032" width="7.42578125" style="3" customWidth="1"/>
    <col min="1033" max="1280" width="11.42578125" style="3"/>
    <col min="1281" max="1281" width="15.85546875" style="3" customWidth="1"/>
    <col min="1282" max="1282" width="14.85546875" style="3" customWidth="1"/>
    <col min="1283" max="1283" width="13.28515625" style="3" customWidth="1"/>
    <col min="1284" max="1284" width="11.42578125" style="3"/>
    <col min="1285" max="1285" width="13.42578125" style="3" customWidth="1"/>
    <col min="1286" max="1286" width="12.7109375" style="3" customWidth="1"/>
    <col min="1287" max="1287" width="14" style="3" customWidth="1"/>
    <col min="1288" max="1288" width="7.42578125" style="3" customWidth="1"/>
    <col min="1289" max="1536" width="11.42578125" style="3"/>
    <col min="1537" max="1537" width="15.85546875" style="3" customWidth="1"/>
    <col min="1538" max="1538" width="14.85546875" style="3" customWidth="1"/>
    <col min="1539" max="1539" width="13.28515625" style="3" customWidth="1"/>
    <col min="1540" max="1540" width="11.42578125" style="3"/>
    <col min="1541" max="1541" width="13.42578125" style="3" customWidth="1"/>
    <col min="1542" max="1542" width="12.7109375" style="3" customWidth="1"/>
    <col min="1543" max="1543" width="14" style="3" customWidth="1"/>
    <col min="1544" max="1544" width="7.42578125" style="3" customWidth="1"/>
    <col min="1545" max="1792" width="11.42578125" style="3"/>
    <col min="1793" max="1793" width="15.85546875" style="3" customWidth="1"/>
    <col min="1794" max="1794" width="14.85546875" style="3" customWidth="1"/>
    <col min="1795" max="1795" width="13.28515625" style="3" customWidth="1"/>
    <col min="1796" max="1796" width="11.42578125" style="3"/>
    <col min="1797" max="1797" width="13.42578125" style="3" customWidth="1"/>
    <col min="1798" max="1798" width="12.7109375" style="3" customWidth="1"/>
    <col min="1799" max="1799" width="14" style="3" customWidth="1"/>
    <col min="1800" max="1800" width="7.42578125" style="3" customWidth="1"/>
    <col min="1801" max="2048" width="11.42578125" style="3"/>
    <col min="2049" max="2049" width="15.85546875" style="3" customWidth="1"/>
    <col min="2050" max="2050" width="14.85546875" style="3" customWidth="1"/>
    <col min="2051" max="2051" width="13.28515625" style="3" customWidth="1"/>
    <col min="2052" max="2052" width="11.42578125" style="3"/>
    <col min="2053" max="2053" width="13.42578125" style="3" customWidth="1"/>
    <col min="2054" max="2054" width="12.7109375" style="3" customWidth="1"/>
    <col min="2055" max="2055" width="14" style="3" customWidth="1"/>
    <col min="2056" max="2056" width="7.42578125" style="3" customWidth="1"/>
    <col min="2057" max="2304" width="11.42578125" style="3"/>
    <col min="2305" max="2305" width="15.85546875" style="3" customWidth="1"/>
    <col min="2306" max="2306" width="14.85546875" style="3" customWidth="1"/>
    <col min="2307" max="2307" width="13.28515625" style="3" customWidth="1"/>
    <col min="2308" max="2308" width="11.42578125" style="3"/>
    <col min="2309" max="2309" width="13.42578125" style="3" customWidth="1"/>
    <col min="2310" max="2310" width="12.7109375" style="3" customWidth="1"/>
    <col min="2311" max="2311" width="14" style="3" customWidth="1"/>
    <col min="2312" max="2312" width="7.42578125" style="3" customWidth="1"/>
    <col min="2313" max="2560" width="11.42578125" style="3"/>
    <col min="2561" max="2561" width="15.85546875" style="3" customWidth="1"/>
    <col min="2562" max="2562" width="14.85546875" style="3" customWidth="1"/>
    <col min="2563" max="2563" width="13.28515625" style="3" customWidth="1"/>
    <col min="2564" max="2564" width="11.42578125" style="3"/>
    <col min="2565" max="2565" width="13.42578125" style="3" customWidth="1"/>
    <col min="2566" max="2566" width="12.7109375" style="3" customWidth="1"/>
    <col min="2567" max="2567" width="14" style="3" customWidth="1"/>
    <col min="2568" max="2568" width="7.42578125" style="3" customWidth="1"/>
    <col min="2569" max="2816" width="11.42578125" style="3"/>
    <col min="2817" max="2817" width="15.85546875" style="3" customWidth="1"/>
    <col min="2818" max="2818" width="14.85546875" style="3" customWidth="1"/>
    <col min="2819" max="2819" width="13.28515625" style="3" customWidth="1"/>
    <col min="2820" max="2820" width="11.42578125" style="3"/>
    <col min="2821" max="2821" width="13.42578125" style="3" customWidth="1"/>
    <col min="2822" max="2822" width="12.7109375" style="3" customWidth="1"/>
    <col min="2823" max="2823" width="14" style="3" customWidth="1"/>
    <col min="2824" max="2824" width="7.42578125" style="3" customWidth="1"/>
    <col min="2825" max="3072" width="11.42578125" style="3"/>
    <col min="3073" max="3073" width="15.85546875" style="3" customWidth="1"/>
    <col min="3074" max="3074" width="14.85546875" style="3" customWidth="1"/>
    <col min="3075" max="3075" width="13.28515625" style="3" customWidth="1"/>
    <col min="3076" max="3076" width="11.42578125" style="3"/>
    <col min="3077" max="3077" width="13.42578125" style="3" customWidth="1"/>
    <col min="3078" max="3078" width="12.7109375" style="3" customWidth="1"/>
    <col min="3079" max="3079" width="14" style="3" customWidth="1"/>
    <col min="3080" max="3080" width="7.42578125" style="3" customWidth="1"/>
    <col min="3081" max="3328" width="11.42578125" style="3"/>
    <col min="3329" max="3329" width="15.85546875" style="3" customWidth="1"/>
    <col min="3330" max="3330" width="14.85546875" style="3" customWidth="1"/>
    <col min="3331" max="3331" width="13.28515625" style="3" customWidth="1"/>
    <col min="3332" max="3332" width="11.42578125" style="3"/>
    <col min="3333" max="3333" width="13.42578125" style="3" customWidth="1"/>
    <col min="3334" max="3334" width="12.7109375" style="3" customWidth="1"/>
    <col min="3335" max="3335" width="14" style="3" customWidth="1"/>
    <col min="3336" max="3336" width="7.42578125" style="3" customWidth="1"/>
    <col min="3337" max="3584" width="11.42578125" style="3"/>
    <col min="3585" max="3585" width="15.85546875" style="3" customWidth="1"/>
    <col min="3586" max="3586" width="14.85546875" style="3" customWidth="1"/>
    <col min="3587" max="3587" width="13.28515625" style="3" customWidth="1"/>
    <col min="3588" max="3588" width="11.42578125" style="3"/>
    <col min="3589" max="3589" width="13.42578125" style="3" customWidth="1"/>
    <col min="3590" max="3590" width="12.7109375" style="3" customWidth="1"/>
    <col min="3591" max="3591" width="14" style="3" customWidth="1"/>
    <col min="3592" max="3592" width="7.42578125" style="3" customWidth="1"/>
    <col min="3593" max="3840" width="11.42578125" style="3"/>
    <col min="3841" max="3841" width="15.85546875" style="3" customWidth="1"/>
    <col min="3842" max="3842" width="14.85546875" style="3" customWidth="1"/>
    <col min="3843" max="3843" width="13.28515625" style="3" customWidth="1"/>
    <col min="3844" max="3844" width="11.42578125" style="3"/>
    <col min="3845" max="3845" width="13.42578125" style="3" customWidth="1"/>
    <col min="3846" max="3846" width="12.7109375" style="3" customWidth="1"/>
    <col min="3847" max="3847" width="14" style="3" customWidth="1"/>
    <col min="3848" max="3848" width="7.42578125" style="3" customWidth="1"/>
    <col min="3849" max="4096" width="11.42578125" style="3"/>
    <col min="4097" max="4097" width="15.85546875" style="3" customWidth="1"/>
    <col min="4098" max="4098" width="14.85546875" style="3" customWidth="1"/>
    <col min="4099" max="4099" width="13.28515625" style="3" customWidth="1"/>
    <col min="4100" max="4100" width="11.42578125" style="3"/>
    <col min="4101" max="4101" width="13.42578125" style="3" customWidth="1"/>
    <col min="4102" max="4102" width="12.7109375" style="3" customWidth="1"/>
    <col min="4103" max="4103" width="14" style="3" customWidth="1"/>
    <col min="4104" max="4104" width="7.42578125" style="3" customWidth="1"/>
    <col min="4105" max="4352" width="11.42578125" style="3"/>
    <col min="4353" max="4353" width="15.85546875" style="3" customWidth="1"/>
    <col min="4354" max="4354" width="14.85546875" style="3" customWidth="1"/>
    <col min="4355" max="4355" width="13.28515625" style="3" customWidth="1"/>
    <col min="4356" max="4356" width="11.42578125" style="3"/>
    <col min="4357" max="4357" width="13.42578125" style="3" customWidth="1"/>
    <col min="4358" max="4358" width="12.7109375" style="3" customWidth="1"/>
    <col min="4359" max="4359" width="14" style="3" customWidth="1"/>
    <col min="4360" max="4360" width="7.42578125" style="3" customWidth="1"/>
    <col min="4361" max="4608" width="11.42578125" style="3"/>
    <col min="4609" max="4609" width="15.85546875" style="3" customWidth="1"/>
    <col min="4610" max="4610" width="14.85546875" style="3" customWidth="1"/>
    <col min="4611" max="4611" width="13.28515625" style="3" customWidth="1"/>
    <col min="4612" max="4612" width="11.42578125" style="3"/>
    <col min="4613" max="4613" width="13.42578125" style="3" customWidth="1"/>
    <col min="4614" max="4614" width="12.7109375" style="3" customWidth="1"/>
    <col min="4615" max="4615" width="14" style="3" customWidth="1"/>
    <col min="4616" max="4616" width="7.42578125" style="3" customWidth="1"/>
    <col min="4617" max="4864" width="11.42578125" style="3"/>
    <col min="4865" max="4865" width="15.85546875" style="3" customWidth="1"/>
    <col min="4866" max="4866" width="14.85546875" style="3" customWidth="1"/>
    <col min="4867" max="4867" width="13.28515625" style="3" customWidth="1"/>
    <col min="4868" max="4868" width="11.42578125" style="3"/>
    <col min="4869" max="4869" width="13.42578125" style="3" customWidth="1"/>
    <col min="4870" max="4870" width="12.7109375" style="3" customWidth="1"/>
    <col min="4871" max="4871" width="14" style="3" customWidth="1"/>
    <col min="4872" max="4872" width="7.42578125" style="3" customWidth="1"/>
    <col min="4873" max="5120" width="11.42578125" style="3"/>
    <col min="5121" max="5121" width="15.85546875" style="3" customWidth="1"/>
    <col min="5122" max="5122" width="14.85546875" style="3" customWidth="1"/>
    <col min="5123" max="5123" width="13.28515625" style="3" customWidth="1"/>
    <col min="5124" max="5124" width="11.42578125" style="3"/>
    <col min="5125" max="5125" width="13.42578125" style="3" customWidth="1"/>
    <col min="5126" max="5126" width="12.7109375" style="3" customWidth="1"/>
    <col min="5127" max="5127" width="14" style="3" customWidth="1"/>
    <col min="5128" max="5128" width="7.42578125" style="3" customWidth="1"/>
    <col min="5129" max="5376" width="11.42578125" style="3"/>
    <col min="5377" max="5377" width="15.85546875" style="3" customWidth="1"/>
    <col min="5378" max="5378" width="14.85546875" style="3" customWidth="1"/>
    <col min="5379" max="5379" width="13.28515625" style="3" customWidth="1"/>
    <col min="5380" max="5380" width="11.42578125" style="3"/>
    <col min="5381" max="5381" width="13.42578125" style="3" customWidth="1"/>
    <col min="5382" max="5382" width="12.7109375" style="3" customWidth="1"/>
    <col min="5383" max="5383" width="14" style="3" customWidth="1"/>
    <col min="5384" max="5384" width="7.42578125" style="3" customWidth="1"/>
    <col min="5385" max="5632" width="11.42578125" style="3"/>
    <col min="5633" max="5633" width="15.85546875" style="3" customWidth="1"/>
    <col min="5634" max="5634" width="14.85546875" style="3" customWidth="1"/>
    <col min="5635" max="5635" width="13.28515625" style="3" customWidth="1"/>
    <col min="5636" max="5636" width="11.42578125" style="3"/>
    <col min="5637" max="5637" width="13.42578125" style="3" customWidth="1"/>
    <col min="5638" max="5638" width="12.7109375" style="3" customWidth="1"/>
    <col min="5639" max="5639" width="14" style="3" customWidth="1"/>
    <col min="5640" max="5640" width="7.42578125" style="3" customWidth="1"/>
    <col min="5641" max="5888" width="11.42578125" style="3"/>
    <col min="5889" max="5889" width="15.85546875" style="3" customWidth="1"/>
    <col min="5890" max="5890" width="14.85546875" style="3" customWidth="1"/>
    <col min="5891" max="5891" width="13.28515625" style="3" customWidth="1"/>
    <col min="5892" max="5892" width="11.42578125" style="3"/>
    <col min="5893" max="5893" width="13.42578125" style="3" customWidth="1"/>
    <col min="5894" max="5894" width="12.7109375" style="3" customWidth="1"/>
    <col min="5895" max="5895" width="14" style="3" customWidth="1"/>
    <col min="5896" max="5896" width="7.42578125" style="3" customWidth="1"/>
    <col min="5897" max="6144" width="11.42578125" style="3"/>
    <col min="6145" max="6145" width="15.85546875" style="3" customWidth="1"/>
    <col min="6146" max="6146" width="14.85546875" style="3" customWidth="1"/>
    <col min="6147" max="6147" width="13.28515625" style="3" customWidth="1"/>
    <col min="6148" max="6148" width="11.42578125" style="3"/>
    <col min="6149" max="6149" width="13.42578125" style="3" customWidth="1"/>
    <col min="6150" max="6150" width="12.7109375" style="3" customWidth="1"/>
    <col min="6151" max="6151" width="14" style="3" customWidth="1"/>
    <col min="6152" max="6152" width="7.42578125" style="3" customWidth="1"/>
    <col min="6153" max="6400" width="11.42578125" style="3"/>
    <col min="6401" max="6401" width="15.85546875" style="3" customWidth="1"/>
    <col min="6402" max="6402" width="14.85546875" style="3" customWidth="1"/>
    <col min="6403" max="6403" width="13.28515625" style="3" customWidth="1"/>
    <col min="6404" max="6404" width="11.42578125" style="3"/>
    <col min="6405" max="6405" width="13.42578125" style="3" customWidth="1"/>
    <col min="6406" max="6406" width="12.7109375" style="3" customWidth="1"/>
    <col min="6407" max="6407" width="14" style="3" customWidth="1"/>
    <col min="6408" max="6408" width="7.42578125" style="3" customWidth="1"/>
    <col min="6409" max="6656" width="11.42578125" style="3"/>
    <col min="6657" max="6657" width="15.85546875" style="3" customWidth="1"/>
    <col min="6658" max="6658" width="14.85546875" style="3" customWidth="1"/>
    <col min="6659" max="6659" width="13.28515625" style="3" customWidth="1"/>
    <col min="6660" max="6660" width="11.42578125" style="3"/>
    <col min="6661" max="6661" width="13.42578125" style="3" customWidth="1"/>
    <col min="6662" max="6662" width="12.7109375" style="3" customWidth="1"/>
    <col min="6663" max="6663" width="14" style="3" customWidth="1"/>
    <col min="6664" max="6664" width="7.42578125" style="3" customWidth="1"/>
    <col min="6665" max="6912" width="11.42578125" style="3"/>
    <col min="6913" max="6913" width="15.85546875" style="3" customWidth="1"/>
    <col min="6914" max="6914" width="14.85546875" style="3" customWidth="1"/>
    <col min="6915" max="6915" width="13.28515625" style="3" customWidth="1"/>
    <col min="6916" max="6916" width="11.42578125" style="3"/>
    <col min="6917" max="6917" width="13.42578125" style="3" customWidth="1"/>
    <col min="6918" max="6918" width="12.7109375" style="3" customWidth="1"/>
    <col min="6919" max="6919" width="14" style="3" customWidth="1"/>
    <col min="6920" max="6920" width="7.42578125" style="3" customWidth="1"/>
    <col min="6921" max="7168" width="11.42578125" style="3"/>
    <col min="7169" max="7169" width="15.85546875" style="3" customWidth="1"/>
    <col min="7170" max="7170" width="14.85546875" style="3" customWidth="1"/>
    <col min="7171" max="7171" width="13.28515625" style="3" customWidth="1"/>
    <col min="7172" max="7172" width="11.42578125" style="3"/>
    <col min="7173" max="7173" width="13.42578125" style="3" customWidth="1"/>
    <col min="7174" max="7174" width="12.7109375" style="3" customWidth="1"/>
    <col min="7175" max="7175" width="14" style="3" customWidth="1"/>
    <col min="7176" max="7176" width="7.42578125" style="3" customWidth="1"/>
    <col min="7177" max="7424" width="11.42578125" style="3"/>
    <col min="7425" max="7425" width="15.85546875" style="3" customWidth="1"/>
    <col min="7426" max="7426" width="14.85546875" style="3" customWidth="1"/>
    <col min="7427" max="7427" width="13.28515625" style="3" customWidth="1"/>
    <col min="7428" max="7428" width="11.42578125" style="3"/>
    <col min="7429" max="7429" width="13.42578125" style="3" customWidth="1"/>
    <col min="7430" max="7430" width="12.7109375" style="3" customWidth="1"/>
    <col min="7431" max="7431" width="14" style="3" customWidth="1"/>
    <col min="7432" max="7432" width="7.42578125" style="3" customWidth="1"/>
    <col min="7433" max="7680" width="11.42578125" style="3"/>
    <col min="7681" max="7681" width="15.85546875" style="3" customWidth="1"/>
    <col min="7682" max="7682" width="14.85546875" style="3" customWidth="1"/>
    <col min="7683" max="7683" width="13.28515625" style="3" customWidth="1"/>
    <col min="7684" max="7684" width="11.42578125" style="3"/>
    <col min="7685" max="7685" width="13.42578125" style="3" customWidth="1"/>
    <col min="7686" max="7686" width="12.7109375" style="3" customWidth="1"/>
    <col min="7687" max="7687" width="14" style="3" customWidth="1"/>
    <col min="7688" max="7688" width="7.42578125" style="3" customWidth="1"/>
    <col min="7689" max="7936" width="11.42578125" style="3"/>
    <col min="7937" max="7937" width="15.85546875" style="3" customWidth="1"/>
    <col min="7938" max="7938" width="14.85546875" style="3" customWidth="1"/>
    <col min="7939" max="7939" width="13.28515625" style="3" customWidth="1"/>
    <col min="7940" max="7940" width="11.42578125" style="3"/>
    <col min="7941" max="7941" width="13.42578125" style="3" customWidth="1"/>
    <col min="7942" max="7942" width="12.7109375" style="3" customWidth="1"/>
    <col min="7943" max="7943" width="14" style="3" customWidth="1"/>
    <col min="7944" max="7944" width="7.42578125" style="3" customWidth="1"/>
    <col min="7945" max="8192" width="11.42578125" style="3"/>
    <col min="8193" max="8193" width="15.85546875" style="3" customWidth="1"/>
    <col min="8194" max="8194" width="14.85546875" style="3" customWidth="1"/>
    <col min="8195" max="8195" width="13.28515625" style="3" customWidth="1"/>
    <col min="8196" max="8196" width="11.42578125" style="3"/>
    <col min="8197" max="8197" width="13.42578125" style="3" customWidth="1"/>
    <col min="8198" max="8198" width="12.7109375" style="3" customWidth="1"/>
    <col min="8199" max="8199" width="14" style="3" customWidth="1"/>
    <col min="8200" max="8200" width="7.42578125" style="3" customWidth="1"/>
    <col min="8201" max="8448" width="11.42578125" style="3"/>
    <col min="8449" max="8449" width="15.85546875" style="3" customWidth="1"/>
    <col min="8450" max="8450" width="14.85546875" style="3" customWidth="1"/>
    <col min="8451" max="8451" width="13.28515625" style="3" customWidth="1"/>
    <col min="8452" max="8452" width="11.42578125" style="3"/>
    <col min="8453" max="8453" width="13.42578125" style="3" customWidth="1"/>
    <col min="8454" max="8454" width="12.7109375" style="3" customWidth="1"/>
    <col min="8455" max="8455" width="14" style="3" customWidth="1"/>
    <col min="8456" max="8456" width="7.42578125" style="3" customWidth="1"/>
    <col min="8457" max="8704" width="11.42578125" style="3"/>
    <col min="8705" max="8705" width="15.85546875" style="3" customWidth="1"/>
    <col min="8706" max="8706" width="14.85546875" style="3" customWidth="1"/>
    <col min="8707" max="8707" width="13.28515625" style="3" customWidth="1"/>
    <col min="8708" max="8708" width="11.42578125" style="3"/>
    <col min="8709" max="8709" width="13.42578125" style="3" customWidth="1"/>
    <col min="8710" max="8710" width="12.7109375" style="3" customWidth="1"/>
    <col min="8711" max="8711" width="14" style="3" customWidth="1"/>
    <col min="8712" max="8712" width="7.42578125" style="3" customWidth="1"/>
    <col min="8713" max="8960" width="11.42578125" style="3"/>
    <col min="8961" max="8961" width="15.85546875" style="3" customWidth="1"/>
    <col min="8962" max="8962" width="14.85546875" style="3" customWidth="1"/>
    <col min="8963" max="8963" width="13.28515625" style="3" customWidth="1"/>
    <col min="8964" max="8964" width="11.42578125" style="3"/>
    <col min="8965" max="8965" width="13.42578125" style="3" customWidth="1"/>
    <col min="8966" max="8966" width="12.7109375" style="3" customWidth="1"/>
    <col min="8967" max="8967" width="14" style="3" customWidth="1"/>
    <col min="8968" max="8968" width="7.42578125" style="3" customWidth="1"/>
    <col min="8969" max="9216" width="11.42578125" style="3"/>
    <col min="9217" max="9217" width="15.85546875" style="3" customWidth="1"/>
    <col min="9218" max="9218" width="14.85546875" style="3" customWidth="1"/>
    <col min="9219" max="9219" width="13.28515625" style="3" customWidth="1"/>
    <col min="9220" max="9220" width="11.42578125" style="3"/>
    <col min="9221" max="9221" width="13.42578125" style="3" customWidth="1"/>
    <col min="9222" max="9222" width="12.7109375" style="3" customWidth="1"/>
    <col min="9223" max="9223" width="14" style="3" customWidth="1"/>
    <col min="9224" max="9224" width="7.42578125" style="3" customWidth="1"/>
    <col min="9225" max="9472" width="11.42578125" style="3"/>
    <col min="9473" max="9473" width="15.85546875" style="3" customWidth="1"/>
    <col min="9474" max="9474" width="14.85546875" style="3" customWidth="1"/>
    <col min="9475" max="9475" width="13.28515625" style="3" customWidth="1"/>
    <col min="9476" max="9476" width="11.42578125" style="3"/>
    <col min="9477" max="9477" width="13.42578125" style="3" customWidth="1"/>
    <col min="9478" max="9478" width="12.7109375" style="3" customWidth="1"/>
    <col min="9479" max="9479" width="14" style="3" customWidth="1"/>
    <col min="9480" max="9480" width="7.42578125" style="3" customWidth="1"/>
    <col min="9481" max="9728" width="11.42578125" style="3"/>
    <col min="9729" max="9729" width="15.85546875" style="3" customWidth="1"/>
    <col min="9730" max="9730" width="14.85546875" style="3" customWidth="1"/>
    <col min="9731" max="9731" width="13.28515625" style="3" customWidth="1"/>
    <col min="9732" max="9732" width="11.42578125" style="3"/>
    <col min="9733" max="9733" width="13.42578125" style="3" customWidth="1"/>
    <col min="9734" max="9734" width="12.7109375" style="3" customWidth="1"/>
    <col min="9735" max="9735" width="14" style="3" customWidth="1"/>
    <col min="9736" max="9736" width="7.42578125" style="3" customWidth="1"/>
    <col min="9737" max="9984" width="11.42578125" style="3"/>
    <col min="9985" max="9985" width="15.85546875" style="3" customWidth="1"/>
    <col min="9986" max="9986" width="14.85546875" style="3" customWidth="1"/>
    <col min="9987" max="9987" width="13.28515625" style="3" customWidth="1"/>
    <col min="9988" max="9988" width="11.42578125" style="3"/>
    <col min="9989" max="9989" width="13.42578125" style="3" customWidth="1"/>
    <col min="9990" max="9990" width="12.7109375" style="3" customWidth="1"/>
    <col min="9991" max="9991" width="14" style="3" customWidth="1"/>
    <col min="9992" max="9992" width="7.42578125" style="3" customWidth="1"/>
    <col min="9993" max="10240" width="11.42578125" style="3"/>
    <col min="10241" max="10241" width="15.85546875" style="3" customWidth="1"/>
    <col min="10242" max="10242" width="14.85546875" style="3" customWidth="1"/>
    <col min="10243" max="10243" width="13.28515625" style="3" customWidth="1"/>
    <col min="10244" max="10244" width="11.42578125" style="3"/>
    <col min="10245" max="10245" width="13.42578125" style="3" customWidth="1"/>
    <col min="10246" max="10246" width="12.7109375" style="3" customWidth="1"/>
    <col min="10247" max="10247" width="14" style="3" customWidth="1"/>
    <col min="10248" max="10248" width="7.42578125" style="3" customWidth="1"/>
    <col min="10249" max="10496" width="11.42578125" style="3"/>
    <col min="10497" max="10497" width="15.85546875" style="3" customWidth="1"/>
    <col min="10498" max="10498" width="14.85546875" style="3" customWidth="1"/>
    <col min="10499" max="10499" width="13.28515625" style="3" customWidth="1"/>
    <col min="10500" max="10500" width="11.42578125" style="3"/>
    <col min="10501" max="10501" width="13.42578125" style="3" customWidth="1"/>
    <col min="10502" max="10502" width="12.7109375" style="3" customWidth="1"/>
    <col min="10503" max="10503" width="14" style="3" customWidth="1"/>
    <col min="10504" max="10504" width="7.42578125" style="3" customWidth="1"/>
    <col min="10505" max="10752" width="11.42578125" style="3"/>
    <col min="10753" max="10753" width="15.85546875" style="3" customWidth="1"/>
    <col min="10754" max="10754" width="14.85546875" style="3" customWidth="1"/>
    <col min="10755" max="10755" width="13.28515625" style="3" customWidth="1"/>
    <col min="10756" max="10756" width="11.42578125" style="3"/>
    <col min="10757" max="10757" width="13.42578125" style="3" customWidth="1"/>
    <col min="10758" max="10758" width="12.7109375" style="3" customWidth="1"/>
    <col min="10759" max="10759" width="14" style="3" customWidth="1"/>
    <col min="10760" max="10760" width="7.42578125" style="3" customWidth="1"/>
    <col min="10761" max="11008" width="11.42578125" style="3"/>
    <col min="11009" max="11009" width="15.85546875" style="3" customWidth="1"/>
    <col min="11010" max="11010" width="14.85546875" style="3" customWidth="1"/>
    <col min="11011" max="11011" width="13.28515625" style="3" customWidth="1"/>
    <col min="11012" max="11012" width="11.42578125" style="3"/>
    <col min="11013" max="11013" width="13.42578125" style="3" customWidth="1"/>
    <col min="11014" max="11014" width="12.7109375" style="3" customWidth="1"/>
    <col min="11015" max="11015" width="14" style="3" customWidth="1"/>
    <col min="11016" max="11016" width="7.42578125" style="3" customWidth="1"/>
    <col min="11017" max="11264" width="11.42578125" style="3"/>
    <col min="11265" max="11265" width="15.85546875" style="3" customWidth="1"/>
    <col min="11266" max="11266" width="14.85546875" style="3" customWidth="1"/>
    <col min="11267" max="11267" width="13.28515625" style="3" customWidth="1"/>
    <col min="11268" max="11268" width="11.42578125" style="3"/>
    <col min="11269" max="11269" width="13.42578125" style="3" customWidth="1"/>
    <col min="11270" max="11270" width="12.7109375" style="3" customWidth="1"/>
    <col min="11271" max="11271" width="14" style="3" customWidth="1"/>
    <col min="11272" max="11272" width="7.42578125" style="3" customWidth="1"/>
    <col min="11273" max="11520" width="11.42578125" style="3"/>
    <col min="11521" max="11521" width="15.85546875" style="3" customWidth="1"/>
    <col min="11522" max="11522" width="14.85546875" style="3" customWidth="1"/>
    <col min="11523" max="11523" width="13.28515625" style="3" customWidth="1"/>
    <col min="11524" max="11524" width="11.42578125" style="3"/>
    <col min="11525" max="11525" width="13.42578125" style="3" customWidth="1"/>
    <col min="11526" max="11526" width="12.7109375" style="3" customWidth="1"/>
    <col min="11527" max="11527" width="14" style="3" customWidth="1"/>
    <col min="11528" max="11528" width="7.42578125" style="3" customWidth="1"/>
    <col min="11529" max="11776" width="11.42578125" style="3"/>
    <col min="11777" max="11777" width="15.85546875" style="3" customWidth="1"/>
    <col min="11778" max="11778" width="14.85546875" style="3" customWidth="1"/>
    <col min="11779" max="11779" width="13.28515625" style="3" customWidth="1"/>
    <col min="11780" max="11780" width="11.42578125" style="3"/>
    <col min="11781" max="11781" width="13.42578125" style="3" customWidth="1"/>
    <col min="11782" max="11782" width="12.7109375" style="3" customWidth="1"/>
    <col min="11783" max="11783" width="14" style="3" customWidth="1"/>
    <col min="11784" max="11784" width="7.42578125" style="3" customWidth="1"/>
    <col min="11785" max="12032" width="11.42578125" style="3"/>
    <col min="12033" max="12033" width="15.85546875" style="3" customWidth="1"/>
    <col min="12034" max="12034" width="14.85546875" style="3" customWidth="1"/>
    <col min="12035" max="12035" width="13.28515625" style="3" customWidth="1"/>
    <col min="12036" max="12036" width="11.42578125" style="3"/>
    <col min="12037" max="12037" width="13.42578125" style="3" customWidth="1"/>
    <col min="12038" max="12038" width="12.7109375" style="3" customWidth="1"/>
    <col min="12039" max="12039" width="14" style="3" customWidth="1"/>
    <col min="12040" max="12040" width="7.42578125" style="3" customWidth="1"/>
    <col min="12041" max="12288" width="11.42578125" style="3"/>
    <col min="12289" max="12289" width="15.85546875" style="3" customWidth="1"/>
    <col min="12290" max="12290" width="14.85546875" style="3" customWidth="1"/>
    <col min="12291" max="12291" width="13.28515625" style="3" customWidth="1"/>
    <col min="12292" max="12292" width="11.42578125" style="3"/>
    <col min="12293" max="12293" width="13.42578125" style="3" customWidth="1"/>
    <col min="12294" max="12294" width="12.7109375" style="3" customWidth="1"/>
    <col min="12295" max="12295" width="14" style="3" customWidth="1"/>
    <col min="12296" max="12296" width="7.42578125" style="3" customWidth="1"/>
    <col min="12297" max="12544" width="11.42578125" style="3"/>
    <col min="12545" max="12545" width="15.85546875" style="3" customWidth="1"/>
    <col min="12546" max="12546" width="14.85546875" style="3" customWidth="1"/>
    <col min="12547" max="12547" width="13.28515625" style="3" customWidth="1"/>
    <col min="12548" max="12548" width="11.42578125" style="3"/>
    <col min="12549" max="12549" width="13.42578125" style="3" customWidth="1"/>
    <col min="12550" max="12550" width="12.7109375" style="3" customWidth="1"/>
    <col min="12551" max="12551" width="14" style="3" customWidth="1"/>
    <col min="12552" max="12552" width="7.42578125" style="3" customWidth="1"/>
    <col min="12553" max="12800" width="11.42578125" style="3"/>
    <col min="12801" max="12801" width="15.85546875" style="3" customWidth="1"/>
    <col min="12802" max="12802" width="14.85546875" style="3" customWidth="1"/>
    <col min="12803" max="12803" width="13.28515625" style="3" customWidth="1"/>
    <col min="12804" max="12804" width="11.42578125" style="3"/>
    <col min="12805" max="12805" width="13.42578125" style="3" customWidth="1"/>
    <col min="12806" max="12806" width="12.7109375" style="3" customWidth="1"/>
    <col min="12807" max="12807" width="14" style="3" customWidth="1"/>
    <col min="12808" max="12808" width="7.42578125" style="3" customWidth="1"/>
    <col min="12809" max="13056" width="11.42578125" style="3"/>
    <col min="13057" max="13057" width="15.85546875" style="3" customWidth="1"/>
    <col min="13058" max="13058" width="14.85546875" style="3" customWidth="1"/>
    <col min="13059" max="13059" width="13.28515625" style="3" customWidth="1"/>
    <col min="13060" max="13060" width="11.42578125" style="3"/>
    <col min="13061" max="13061" width="13.42578125" style="3" customWidth="1"/>
    <col min="13062" max="13062" width="12.7109375" style="3" customWidth="1"/>
    <col min="13063" max="13063" width="14" style="3" customWidth="1"/>
    <col min="13064" max="13064" width="7.42578125" style="3" customWidth="1"/>
    <col min="13065" max="13312" width="11.42578125" style="3"/>
    <col min="13313" max="13313" width="15.85546875" style="3" customWidth="1"/>
    <col min="13314" max="13314" width="14.85546875" style="3" customWidth="1"/>
    <col min="13315" max="13315" width="13.28515625" style="3" customWidth="1"/>
    <col min="13316" max="13316" width="11.42578125" style="3"/>
    <col min="13317" max="13317" width="13.42578125" style="3" customWidth="1"/>
    <col min="13318" max="13318" width="12.7109375" style="3" customWidth="1"/>
    <col min="13319" max="13319" width="14" style="3" customWidth="1"/>
    <col min="13320" max="13320" width="7.42578125" style="3" customWidth="1"/>
    <col min="13321" max="13568" width="11.42578125" style="3"/>
    <col min="13569" max="13569" width="15.85546875" style="3" customWidth="1"/>
    <col min="13570" max="13570" width="14.85546875" style="3" customWidth="1"/>
    <col min="13571" max="13571" width="13.28515625" style="3" customWidth="1"/>
    <col min="13572" max="13572" width="11.42578125" style="3"/>
    <col min="13573" max="13573" width="13.42578125" style="3" customWidth="1"/>
    <col min="13574" max="13574" width="12.7109375" style="3" customWidth="1"/>
    <col min="13575" max="13575" width="14" style="3" customWidth="1"/>
    <col min="13576" max="13576" width="7.42578125" style="3" customWidth="1"/>
    <col min="13577" max="13824" width="11.42578125" style="3"/>
    <col min="13825" max="13825" width="15.85546875" style="3" customWidth="1"/>
    <col min="13826" max="13826" width="14.85546875" style="3" customWidth="1"/>
    <col min="13827" max="13827" width="13.28515625" style="3" customWidth="1"/>
    <col min="13828" max="13828" width="11.42578125" style="3"/>
    <col min="13829" max="13829" width="13.42578125" style="3" customWidth="1"/>
    <col min="13830" max="13830" width="12.7109375" style="3" customWidth="1"/>
    <col min="13831" max="13831" width="14" style="3" customWidth="1"/>
    <col min="13832" max="13832" width="7.42578125" style="3" customWidth="1"/>
    <col min="13833" max="14080" width="11.42578125" style="3"/>
    <col min="14081" max="14081" width="15.85546875" style="3" customWidth="1"/>
    <col min="14082" max="14082" width="14.85546875" style="3" customWidth="1"/>
    <col min="14083" max="14083" width="13.28515625" style="3" customWidth="1"/>
    <col min="14084" max="14084" width="11.42578125" style="3"/>
    <col min="14085" max="14085" width="13.42578125" style="3" customWidth="1"/>
    <col min="14086" max="14086" width="12.7109375" style="3" customWidth="1"/>
    <col min="14087" max="14087" width="14" style="3" customWidth="1"/>
    <col min="14088" max="14088" width="7.42578125" style="3" customWidth="1"/>
    <col min="14089" max="14336" width="11.42578125" style="3"/>
    <col min="14337" max="14337" width="15.85546875" style="3" customWidth="1"/>
    <col min="14338" max="14338" width="14.85546875" style="3" customWidth="1"/>
    <col min="14339" max="14339" width="13.28515625" style="3" customWidth="1"/>
    <col min="14340" max="14340" width="11.42578125" style="3"/>
    <col min="14341" max="14341" width="13.42578125" style="3" customWidth="1"/>
    <col min="14342" max="14342" width="12.7109375" style="3" customWidth="1"/>
    <col min="14343" max="14343" width="14" style="3" customWidth="1"/>
    <col min="14344" max="14344" width="7.42578125" style="3" customWidth="1"/>
    <col min="14345" max="14592" width="11.42578125" style="3"/>
    <col min="14593" max="14593" width="15.85546875" style="3" customWidth="1"/>
    <col min="14594" max="14594" width="14.85546875" style="3" customWidth="1"/>
    <col min="14595" max="14595" width="13.28515625" style="3" customWidth="1"/>
    <col min="14596" max="14596" width="11.42578125" style="3"/>
    <col min="14597" max="14597" width="13.42578125" style="3" customWidth="1"/>
    <col min="14598" max="14598" width="12.7109375" style="3" customWidth="1"/>
    <col min="14599" max="14599" width="14" style="3" customWidth="1"/>
    <col min="14600" max="14600" width="7.42578125" style="3" customWidth="1"/>
    <col min="14601" max="14848" width="11.42578125" style="3"/>
    <col min="14849" max="14849" width="15.85546875" style="3" customWidth="1"/>
    <col min="14850" max="14850" width="14.85546875" style="3" customWidth="1"/>
    <col min="14851" max="14851" width="13.28515625" style="3" customWidth="1"/>
    <col min="14852" max="14852" width="11.42578125" style="3"/>
    <col min="14853" max="14853" width="13.42578125" style="3" customWidth="1"/>
    <col min="14854" max="14854" width="12.7109375" style="3" customWidth="1"/>
    <col min="14855" max="14855" width="14" style="3" customWidth="1"/>
    <col min="14856" max="14856" width="7.42578125" style="3" customWidth="1"/>
    <col min="14857" max="15104" width="11.42578125" style="3"/>
    <col min="15105" max="15105" width="15.85546875" style="3" customWidth="1"/>
    <col min="15106" max="15106" width="14.85546875" style="3" customWidth="1"/>
    <col min="15107" max="15107" width="13.28515625" style="3" customWidth="1"/>
    <col min="15108" max="15108" width="11.42578125" style="3"/>
    <col min="15109" max="15109" width="13.42578125" style="3" customWidth="1"/>
    <col min="15110" max="15110" width="12.7109375" style="3" customWidth="1"/>
    <col min="15111" max="15111" width="14" style="3" customWidth="1"/>
    <col min="15112" max="15112" width="7.42578125" style="3" customWidth="1"/>
    <col min="15113" max="15360" width="11.42578125" style="3"/>
    <col min="15361" max="15361" width="15.85546875" style="3" customWidth="1"/>
    <col min="15362" max="15362" width="14.85546875" style="3" customWidth="1"/>
    <col min="15363" max="15363" width="13.28515625" style="3" customWidth="1"/>
    <col min="15364" max="15364" width="11.42578125" style="3"/>
    <col min="15365" max="15365" width="13.42578125" style="3" customWidth="1"/>
    <col min="15366" max="15366" width="12.7109375" style="3" customWidth="1"/>
    <col min="15367" max="15367" width="14" style="3" customWidth="1"/>
    <col min="15368" max="15368" width="7.42578125" style="3" customWidth="1"/>
    <col min="15369" max="15616" width="11.42578125" style="3"/>
    <col min="15617" max="15617" width="15.85546875" style="3" customWidth="1"/>
    <col min="15618" max="15618" width="14.85546875" style="3" customWidth="1"/>
    <col min="15619" max="15619" width="13.28515625" style="3" customWidth="1"/>
    <col min="15620" max="15620" width="11.42578125" style="3"/>
    <col min="15621" max="15621" width="13.42578125" style="3" customWidth="1"/>
    <col min="15622" max="15622" width="12.7109375" style="3" customWidth="1"/>
    <col min="15623" max="15623" width="14" style="3" customWidth="1"/>
    <col min="15624" max="15624" width="7.42578125" style="3" customWidth="1"/>
    <col min="15625" max="15872" width="11.42578125" style="3"/>
    <col min="15873" max="15873" width="15.85546875" style="3" customWidth="1"/>
    <col min="15874" max="15874" width="14.85546875" style="3" customWidth="1"/>
    <col min="15875" max="15875" width="13.28515625" style="3" customWidth="1"/>
    <col min="15876" max="15876" width="11.42578125" style="3"/>
    <col min="15877" max="15877" width="13.42578125" style="3" customWidth="1"/>
    <col min="15878" max="15878" width="12.7109375" style="3" customWidth="1"/>
    <col min="15879" max="15879" width="14" style="3" customWidth="1"/>
    <col min="15880" max="15880" width="7.42578125" style="3" customWidth="1"/>
    <col min="15881" max="16128" width="11.42578125" style="3"/>
    <col min="16129" max="16129" width="15.85546875" style="3" customWidth="1"/>
    <col min="16130" max="16130" width="14.85546875" style="3" customWidth="1"/>
    <col min="16131" max="16131" width="13.28515625" style="3" customWidth="1"/>
    <col min="16132" max="16132" width="11.42578125" style="3"/>
    <col min="16133" max="16133" width="13.42578125" style="3" customWidth="1"/>
    <col min="16134" max="16134" width="12.7109375" style="3" customWidth="1"/>
    <col min="16135" max="16135" width="14" style="3" customWidth="1"/>
    <col min="16136" max="16136" width="7.42578125" style="3" customWidth="1"/>
    <col min="16137" max="16384" width="11.42578125" style="3"/>
  </cols>
  <sheetData>
    <row r="1" spans="1:21" ht="48" customHeight="1">
      <c r="A1" s="1346" t="str">
        <f>PPTO!D3</f>
        <v>PRESUPUESTO
MUNICIPIO EL BAGRE (ANTIOQUIA).</v>
      </c>
      <c r="B1" s="1347"/>
      <c r="C1" s="1347"/>
      <c r="D1" s="1347"/>
      <c r="E1" s="1347"/>
      <c r="F1" s="1347"/>
      <c r="G1" s="1348"/>
      <c r="H1" s="1"/>
      <c r="I1" s="2"/>
    </row>
    <row r="2" spans="1:21" ht="18" customHeight="1">
      <c r="A2" s="1362" t="s">
        <v>16</v>
      </c>
      <c r="B2" s="1363"/>
      <c r="C2" s="1363"/>
      <c r="D2" s="1363"/>
      <c r="E2" s="1363"/>
      <c r="F2" s="1363"/>
      <c r="G2" s="1364"/>
      <c r="H2" s="1"/>
      <c r="I2" s="2"/>
    </row>
    <row r="3" spans="1:21" ht="27" customHeight="1">
      <c r="A3" s="1367" t="str">
        <f>+PPTO!$D$5</f>
        <v>PROYECTO DE MEJORAMIENTO VIAL, ESPACIO PUBLICO Y OBRAS COMPLEMENTARIAS DE LA AVENIDA LA JUVENTUD Y TRAMOS ADYACENTES Y PRIORITARIOS DEL SECTOR URBANO EN EL MUNICIPIO EL BAGRE ANTIOQUIA.</v>
      </c>
      <c r="B3" s="1368"/>
      <c r="C3" s="1368"/>
      <c r="D3" s="1368"/>
      <c r="E3" s="1368"/>
      <c r="F3" s="1368"/>
      <c r="G3" s="1369"/>
      <c r="H3" s="1"/>
      <c r="I3" s="2"/>
    </row>
    <row r="4" spans="1:21" ht="30" customHeight="1">
      <c r="A4" s="1370"/>
      <c r="B4" s="1368"/>
      <c r="C4" s="1368"/>
      <c r="D4" s="1368"/>
      <c r="E4" s="1368"/>
      <c r="F4" s="1368"/>
      <c r="G4" s="1369"/>
      <c r="H4" s="1"/>
      <c r="I4" s="2"/>
    </row>
    <row r="5" spans="1:21" ht="6.75" customHeight="1">
      <c r="A5" s="222"/>
      <c r="B5" s="6"/>
      <c r="C5" s="24"/>
      <c r="D5" s="25"/>
      <c r="E5" s="6"/>
      <c r="F5" s="6"/>
      <c r="G5" s="223"/>
      <c r="H5" s="9"/>
    </row>
    <row r="6" spans="1:21" ht="52.5" customHeight="1">
      <c r="A6" s="368">
        <v>6.7</v>
      </c>
      <c r="B6" s="1349" t="str">
        <f>VLOOKUP(A6,PPTO!D9:I136,2,FALSE)</f>
        <v>Suministro e instalacion tuberia en PVC Novafort 16"</v>
      </c>
      <c r="C6" s="1350"/>
      <c r="D6" s="1350"/>
      <c r="E6" s="1351"/>
      <c r="F6" s="192" t="s">
        <v>118</v>
      </c>
      <c r="G6" s="248" t="str">
        <f>VLOOKUP(A6,PPTO!D9:I136,3,FALSE)</f>
        <v>m</v>
      </c>
      <c r="H6" s="9"/>
    </row>
    <row r="7" spans="1:21" ht="3.75" customHeight="1">
      <c r="A7" s="226"/>
      <c r="B7" s="4"/>
      <c r="C7" s="6"/>
      <c r="D7" s="4"/>
      <c r="E7" s="4"/>
      <c r="F7" s="4"/>
      <c r="G7" s="227"/>
      <c r="H7" s="9"/>
    </row>
    <row r="8" spans="1:21" ht="22.5" customHeight="1">
      <c r="A8" s="1354" t="s">
        <v>69</v>
      </c>
      <c r="B8" s="1355"/>
      <c r="C8" s="1355"/>
      <c r="D8" s="1355"/>
      <c r="E8" s="1355"/>
      <c r="F8" s="1355"/>
      <c r="G8" s="1356"/>
      <c r="H8" s="9"/>
    </row>
    <row r="9" spans="1:21" ht="4.5" customHeight="1">
      <c r="A9" s="226"/>
      <c r="B9" s="4"/>
      <c r="C9" s="6"/>
      <c r="D9" s="4"/>
      <c r="E9" s="4"/>
      <c r="F9" s="4"/>
      <c r="G9" s="227"/>
      <c r="H9" s="9"/>
      <c r="I9" s="5"/>
      <c r="J9" s="5"/>
      <c r="K9" s="5"/>
      <c r="L9" s="26"/>
      <c r="M9" s="5"/>
      <c r="N9" s="5"/>
      <c r="O9" s="5"/>
      <c r="P9" s="5"/>
    </row>
    <row r="10" spans="1:21">
      <c r="A10" s="1373" t="s">
        <v>17</v>
      </c>
      <c r="B10" s="1374"/>
      <c r="C10" s="1374"/>
      <c r="D10" s="346" t="s">
        <v>18</v>
      </c>
      <c r="E10" s="346" t="s">
        <v>19</v>
      </c>
      <c r="F10" s="346" t="s">
        <v>20</v>
      </c>
      <c r="G10" s="228" t="s">
        <v>21</v>
      </c>
      <c r="H10" s="27"/>
      <c r="I10" s="28"/>
      <c r="J10" s="29"/>
      <c r="K10" s="30"/>
      <c r="L10" s="30"/>
      <c r="M10" s="30"/>
      <c r="N10" s="30"/>
      <c r="O10" s="30"/>
      <c r="P10" s="5"/>
    </row>
    <row r="11" spans="1:21">
      <c r="A11" s="1352" t="s">
        <v>47</v>
      </c>
      <c r="B11" s="1353"/>
      <c r="C11" s="1353"/>
      <c r="D11" s="346"/>
      <c r="E11" s="83"/>
      <c r="F11" s="97"/>
      <c r="G11" s="229">
        <f>+G39*10%</f>
        <v>1388</v>
      </c>
      <c r="H11" s="9"/>
      <c r="I11" s="30"/>
      <c r="J11" s="31"/>
      <c r="K11" s="30"/>
      <c r="L11" s="30"/>
      <c r="M11" s="30"/>
      <c r="N11" s="30"/>
      <c r="O11" s="30"/>
      <c r="P11" s="5"/>
    </row>
    <row r="12" spans="1:21">
      <c r="A12" s="1371"/>
      <c r="B12" s="1372"/>
      <c r="C12" s="1372"/>
      <c r="D12" s="83"/>
      <c r="E12" s="83"/>
      <c r="F12" s="93"/>
      <c r="G12" s="229"/>
      <c r="H12" s="9"/>
      <c r="I12" s="16"/>
      <c r="J12" s="13"/>
      <c r="K12" s="8"/>
      <c r="L12" s="8"/>
      <c r="M12" s="8"/>
      <c r="N12" s="8"/>
      <c r="O12" s="8"/>
      <c r="P12" s="5"/>
    </row>
    <row r="13" spans="1:21">
      <c r="A13" s="1371"/>
      <c r="B13" s="1372"/>
      <c r="C13" s="1372"/>
      <c r="D13" s="83"/>
      <c r="E13" s="83"/>
      <c r="F13" s="93"/>
      <c r="G13" s="229"/>
      <c r="H13" s="9"/>
      <c r="I13" s="13"/>
      <c r="J13" s="13"/>
      <c r="K13" s="13"/>
      <c r="L13" s="13"/>
      <c r="M13" s="13"/>
      <c r="N13" s="13"/>
      <c r="O13" s="13"/>
      <c r="P13" s="5"/>
    </row>
    <row r="14" spans="1:21">
      <c r="A14" s="1371"/>
      <c r="B14" s="1372"/>
      <c r="C14" s="1372"/>
      <c r="D14" s="83"/>
      <c r="E14" s="83"/>
      <c r="F14" s="93"/>
      <c r="G14" s="229"/>
      <c r="H14" s="9"/>
      <c r="I14" s="8"/>
      <c r="J14" s="14"/>
      <c r="K14" s="32"/>
      <c r="L14" s="14"/>
      <c r="M14" s="15"/>
      <c r="N14" s="15"/>
      <c r="O14" s="19"/>
      <c r="P14" s="5"/>
    </row>
    <row r="15" spans="1:21">
      <c r="A15" s="1371"/>
      <c r="B15" s="1372"/>
      <c r="C15" s="1372"/>
      <c r="D15" s="83"/>
      <c r="E15" s="83"/>
      <c r="F15" s="98"/>
      <c r="G15" s="229"/>
      <c r="H15" s="9"/>
      <c r="I15" s="8"/>
      <c r="J15" s="33"/>
      <c r="K15" s="32"/>
      <c r="L15" s="14"/>
      <c r="M15" s="15"/>
      <c r="N15" s="15"/>
      <c r="O15" s="19"/>
      <c r="P15" s="5"/>
      <c r="Q15" s="5"/>
      <c r="R15" s="5"/>
      <c r="S15" s="5"/>
      <c r="T15" s="5"/>
      <c r="U15" s="5"/>
    </row>
    <row r="16" spans="1:21">
      <c r="A16" s="1371"/>
      <c r="B16" s="1372"/>
      <c r="C16" s="1372"/>
      <c r="D16" s="85" t="s">
        <v>37</v>
      </c>
      <c r="E16" s="50"/>
      <c r="F16" s="49"/>
      <c r="G16" s="230">
        <f>SUM(G11:G15)</f>
        <v>1388</v>
      </c>
      <c r="H16" s="9"/>
      <c r="I16" s="34"/>
      <c r="J16" s="34"/>
      <c r="K16" s="35"/>
      <c r="L16" s="36"/>
      <c r="M16" s="7"/>
      <c r="N16" s="7"/>
      <c r="O16" s="19"/>
      <c r="P16" s="5"/>
      <c r="Q16" s="5"/>
      <c r="R16" s="5"/>
      <c r="S16" s="5"/>
      <c r="T16" s="5"/>
      <c r="U16" s="5"/>
    </row>
    <row r="17" spans="1:21" ht="4.5" customHeight="1">
      <c r="A17" s="226"/>
      <c r="B17" s="4"/>
      <c r="C17" s="6"/>
      <c r="D17" s="4"/>
      <c r="E17" s="4"/>
      <c r="F17" s="4"/>
      <c r="G17" s="227"/>
      <c r="H17" s="9"/>
      <c r="I17" s="34"/>
      <c r="J17" s="34"/>
      <c r="K17" s="35"/>
      <c r="L17" s="36"/>
      <c r="M17" s="7"/>
      <c r="N17" s="7"/>
      <c r="O17" s="19"/>
      <c r="P17" s="5"/>
      <c r="Q17" s="5"/>
      <c r="R17" s="5"/>
      <c r="S17" s="5"/>
      <c r="T17" s="5"/>
      <c r="U17" s="5"/>
    </row>
    <row r="18" spans="1:21" ht="22.5" customHeight="1">
      <c r="A18" s="1354" t="s">
        <v>70</v>
      </c>
      <c r="B18" s="1355"/>
      <c r="C18" s="1355"/>
      <c r="D18" s="1355"/>
      <c r="E18" s="1355"/>
      <c r="F18" s="1355"/>
      <c r="G18" s="1356"/>
      <c r="H18" s="9"/>
    </row>
    <row r="19" spans="1:21" ht="4.5" customHeight="1">
      <c r="A19" s="226"/>
      <c r="B19" s="4"/>
      <c r="C19" s="6"/>
      <c r="D19" s="4"/>
      <c r="E19" s="4"/>
      <c r="F19" s="38"/>
      <c r="G19" s="227"/>
      <c r="H19" s="9"/>
      <c r="I19" s="34"/>
      <c r="J19" s="34"/>
      <c r="K19" s="35"/>
      <c r="L19" s="39"/>
      <c r="M19" s="7"/>
      <c r="N19" s="7"/>
      <c r="O19" s="8"/>
      <c r="P19" s="5"/>
      <c r="Q19" s="5"/>
      <c r="R19" s="5"/>
      <c r="S19" s="5"/>
      <c r="T19" s="5"/>
      <c r="U19" s="5"/>
    </row>
    <row r="20" spans="1:21">
      <c r="A20" s="1373" t="s">
        <v>17</v>
      </c>
      <c r="B20" s="1374"/>
      <c r="C20" s="1374"/>
      <c r="D20" s="346" t="s">
        <v>3</v>
      </c>
      <c r="E20" s="346" t="s">
        <v>4</v>
      </c>
      <c r="F20" s="346" t="s">
        <v>25</v>
      </c>
      <c r="G20" s="228" t="s">
        <v>21</v>
      </c>
      <c r="H20" s="27"/>
      <c r="I20" s="34"/>
      <c r="J20" s="34"/>
      <c r="K20" s="35"/>
      <c r="L20" s="39"/>
      <c r="M20" s="7"/>
      <c r="N20" s="7"/>
      <c r="O20" s="8"/>
      <c r="P20" s="5"/>
      <c r="Q20" s="5"/>
      <c r="R20" s="5"/>
      <c r="S20" s="5"/>
      <c r="T20" s="5"/>
      <c r="U20" s="5"/>
    </row>
    <row r="21" spans="1:21" ht="31.5" customHeight="1">
      <c r="A21" s="1441" t="s">
        <v>223</v>
      </c>
      <c r="B21" s="1442"/>
      <c r="C21" s="1443"/>
      <c r="D21" s="118" t="s">
        <v>51</v>
      </c>
      <c r="E21" s="119">
        <v>1</v>
      </c>
      <c r="F21" s="87">
        <f>945107/6*IPC</f>
        <v>162527</v>
      </c>
      <c r="G21" s="231">
        <f>ROUND(F21*E21,0)</f>
        <v>162527</v>
      </c>
      <c r="H21" s="9"/>
      <c r="I21" s="34"/>
      <c r="J21" s="34"/>
      <c r="K21" s="35"/>
      <c r="L21" s="36"/>
      <c r="M21" s="7"/>
      <c r="N21" s="7"/>
      <c r="O21" s="19"/>
      <c r="P21" s="5"/>
      <c r="Q21" s="5"/>
      <c r="R21" s="5"/>
      <c r="S21" s="5"/>
      <c r="T21" s="5"/>
      <c r="U21" s="5"/>
    </row>
    <row r="22" spans="1:21" ht="27.75" customHeight="1">
      <c r="A22" s="1444"/>
      <c r="B22" s="1403"/>
      <c r="C22" s="1404"/>
      <c r="D22" s="116"/>
      <c r="E22" s="117"/>
      <c r="F22" s="91"/>
      <c r="G22" s="231"/>
      <c r="H22" s="9"/>
      <c r="I22" s="10"/>
      <c r="J22" s="10"/>
      <c r="K22" s="12"/>
      <c r="L22" s="39"/>
      <c r="M22" s="7"/>
      <c r="N22" s="7"/>
      <c r="O22" s="15"/>
      <c r="P22" s="5"/>
      <c r="Q22" s="5"/>
      <c r="R22" s="5"/>
      <c r="S22" s="5"/>
      <c r="T22" s="5"/>
      <c r="U22" s="5"/>
    </row>
    <row r="23" spans="1:21">
      <c r="A23" s="1386"/>
      <c r="B23" s="1353"/>
      <c r="C23" s="1353"/>
      <c r="D23" s="79"/>
      <c r="E23" s="82"/>
      <c r="F23" s="83"/>
      <c r="G23" s="67"/>
      <c r="H23" s="9"/>
      <c r="I23" s="10"/>
      <c r="J23" s="10"/>
      <c r="K23" s="12"/>
      <c r="L23" s="39"/>
      <c r="M23" s="7"/>
      <c r="N23" s="7"/>
      <c r="O23" s="15"/>
      <c r="P23" s="5"/>
      <c r="Q23" s="5"/>
      <c r="R23" s="5"/>
      <c r="S23" s="5"/>
      <c r="T23" s="5"/>
      <c r="U23" s="5"/>
    </row>
    <row r="24" spans="1:21">
      <c r="A24" s="1352"/>
      <c r="B24" s="1353"/>
      <c r="C24" s="1353"/>
      <c r="D24" s="81"/>
      <c r="E24" s="88"/>
      <c r="F24" s="78"/>
      <c r="G24" s="231"/>
      <c r="H24" s="9"/>
      <c r="I24" s="10"/>
      <c r="J24" s="40"/>
      <c r="K24" s="12"/>
      <c r="L24" s="13"/>
      <c r="M24" s="14"/>
      <c r="N24" s="14"/>
      <c r="O24" s="15"/>
      <c r="P24" s="5"/>
      <c r="Q24" s="5"/>
      <c r="R24" s="5"/>
      <c r="S24" s="5"/>
      <c r="T24" s="5"/>
      <c r="U24" s="5"/>
    </row>
    <row r="25" spans="1:21">
      <c r="A25" s="1352"/>
      <c r="B25" s="1353"/>
      <c r="C25" s="1353"/>
      <c r="D25" s="81"/>
      <c r="E25" s="82"/>
      <c r="F25" s="78"/>
      <c r="G25" s="231"/>
      <c r="H25" s="9"/>
      <c r="I25" s="10"/>
      <c r="J25" s="11"/>
      <c r="K25" s="12"/>
      <c r="L25" s="13"/>
      <c r="M25" s="14"/>
      <c r="N25" s="14"/>
      <c r="O25" s="15"/>
      <c r="P25" s="5"/>
      <c r="Q25" s="5"/>
      <c r="R25" s="5"/>
      <c r="S25" s="5"/>
      <c r="T25" s="5"/>
      <c r="U25" s="5"/>
    </row>
    <row r="26" spans="1:21">
      <c r="A26" s="1352"/>
      <c r="B26" s="1353"/>
      <c r="C26" s="1353"/>
      <c r="D26" s="79"/>
      <c r="E26" s="82"/>
      <c r="F26" s="78"/>
      <c r="G26" s="231"/>
      <c r="H26" s="9"/>
      <c r="I26" s="10"/>
      <c r="J26" s="11"/>
      <c r="K26" s="12"/>
      <c r="L26" s="13"/>
      <c r="M26" s="14"/>
      <c r="N26" s="14"/>
      <c r="O26" s="15"/>
      <c r="P26" s="5"/>
      <c r="Q26" s="5"/>
      <c r="R26" s="5"/>
      <c r="S26" s="5"/>
      <c r="T26" s="5"/>
      <c r="U26" s="5"/>
    </row>
    <row r="27" spans="1:21">
      <c r="A27" s="1352"/>
      <c r="B27" s="1353"/>
      <c r="C27" s="1353"/>
      <c r="D27" s="79"/>
      <c r="E27" s="82"/>
      <c r="F27" s="78"/>
      <c r="G27" s="231"/>
      <c r="H27" s="9"/>
      <c r="I27" s="10"/>
      <c r="J27" s="11"/>
      <c r="K27" s="12"/>
      <c r="L27" s="13"/>
      <c r="M27" s="14"/>
      <c r="N27" s="14"/>
      <c r="O27" s="15"/>
      <c r="P27" s="5"/>
      <c r="Q27" s="5"/>
      <c r="R27" s="5"/>
      <c r="S27" s="5"/>
      <c r="T27" s="5"/>
      <c r="U27" s="5"/>
    </row>
    <row r="28" spans="1:21">
      <c r="A28" s="1352"/>
      <c r="B28" s="1353"/>
      <c r="C28" s="1353"/>
      <c r="D28" s="79"/>
      <c r="E28" s="82"/>
      <c r="F28" s="83"/>
      <c r="G28" s="231"/>
      <c r="H28" s="9"/>
      <c r="I28" s="41"/>
      <c r="J28" s="41"/>
      <c r="K28" s="12"/>
      <c r="L28" s="13"/>
      <c r="M28" s="14"/>
      <c r="N28" s="14"/>
      <c r="O28" s="15"/>
      <c r="P28" s="5"/>
      <c r="Q28" s="5"/>
      <c r="R28" s="5"/>
      <c r="S28" s="5"/>
      <c r="T28" s="5"/>
      <c r="U28" s="5"/>
    </row>
    <row r="29" spans="1:21">
      <c r="A29" s="1352"/>
      <c r="B29" s="1353"/>
      <c r="C29" s="1353"/>
      <c r="D29" s="84"/>
      <c r="E29" s="84"/>
      <c r="F29" s="83"/>
      <c r="G29" s="231"/>
      <c r="H29" s="9"/>
      <c r="I29" s="42"/>
      <c r="J29" s="42"/>
      <c r="K29" s="42"/>
      <c r="L29" s="13"/>
      <c r="M29" s="14"/>
      <c r="N29" s="14"/>
      <c r="O29" s="15"/>
      <c r="P29" s="5"/>
      <c r="Q29" s="5"/>
      <c r="R29" s="5"/>
      <c r="S29" s="5"/>
      <c r="T29" s="5"/>
      <c r="U29" s="5"/>
    </row>
    <row r="30" spans="1:21">
      <c r="A30" s="1352"/>
      <c r="B30" s="1353"/>
      <c r="C30" s="1353"/>
      <c r="D30" s="85" t="s">
        <v>28</v>
      </c>
      <c r="E30" s="50"/>
      <c r="F30" s="49"/>
      <c r="G30" s="230">
        <f>SUM(G21:G29)</f>
        <v>162527</v>
      </c>
      <c r="H30" s="9"/>
      <c r="I30" s="8"/>
      <c r="J30" s="13"/>
      <c r="K30" s="8"/>
      <c r="L30" s="13"/>
      <c r="M30" s="14"/>
      <c r="N30" s="14"/>
      <c r="O30" s="15"/>
      <c r="P30" s="5"/>
    </row>
    <row r="31" spans="1:21" ht="3.75" customHeight="1">
      <c r="A31" s="226"/>
      <c r="B31" s="4"/>
      <c r="C31" s="6"/>
      <c r="D31" s="4"/>
      <c r="E31" s="4"/>
      <c r="F31" s="4"/>
      <c r="G31" s="227"/>
      <c r="H31" s="9"/>
      <c r="I31" s="8"/>
      <c r="J31" s="13"/>
      <c r="K31" s="18"/>
      <c r="L31" s="13"/>
      <c r="M31" s="33"/>
      <c r="N31" s="33"/>
      <c r="O31" s="15"/>
      <c r="P31" s="5"/>
    </row>
    <row r="32" spans="1:21" ht="22.5" customHeight="1">
      <c r="A32" s="1354" t="s">
        <v>71</v>
      </c>
      <c r="B32" s="1355"/>
      <c r="C32" s="1355"/>
      <c r="D32" s="1355"/>
      <c r="E32" s="1355"/>
      <c r="F32" s="1355"/>
      <c r="G32" s="1356"/>
      <c r="H32" s="9"/>
    </row>
    <row r="33" spans="1:16" ht="3.75" customHeight="1">
      <c r="A33" s="226"/>
      <c r="B33" s="4"/>
      <c r="C33" s="6"/>
      <c r="D33" s="4"/>
      <c r="E33" s="4"/>
      <c r="F33" s="4"/>
      <c r="G33" s="227"/>
      <c r="H33" s="9"/>
      <c r="I33" s="8"/>
      <c r="J33" s="13"/>
      <c r="K33" s="8"/>
      <c r="L33" s="8"/>
      <c r="M33" s="8"/>
      <c r="N33" s="8"/>
      <c r="O33" s="15"/>
      <c r="P33" s="5"/>
    </row>
    <row r="34" spans="1:16">
      <c r="A34" s="232" t="s">
        <v>5</v>
      </c>
      <c r="B34" s="60" t="s">
        <v>29</v>
      </c>
      <c r="C34" s="60" t="s">
        <v>30</v>
      </c>
      <c r="D34" s="60" t="s">
        <v>31</v>
      </c>
      <c r="E34" s="60" t="s">
        <v>32</v>
      </c>
      <c r="F34" s="60" t="s">
        <v>20</v>
      </c>
      <c r="G34" s="228" t="s">
        <v>33</v>
      </c>
      <c r="H34" s="27"/>
      <c r="I34" s="8"/>
      <c r="J34" s="13"/>
      <c r="K34" s="8"/>
      <c r="L34" s="8"/>
      <c r="M34" s="8"/>
      <c r="N34" s="8"/>
      <c r="O34" s="15"/>
      <c r="P34" s="5"/>
    </row>
    <row r="35" spans="1:16">
      <c r="A35" s="233" t="s">
        <v>41</v>
      </c>
      <c r="B35" s="63">
        <f>BOF</f>
        <v>51749</v>
      </c>
      <c r="C35" s="68">
        <f>ffpp</f>
        <v>0.64539999999999997</v>
      </c>
      <c r="D35" s="72">
        <v>1</v>
      </c>
      <c r="E35" s="66">
        <f>OF</f>
        <v>88696</v>
      </c>
      <c r="F35" s="65">
        <v>22</v>
      </c>
      <c r="G35" s="231">
        <f>ROUND(+D35*E35/F35,0)</f>
        <v>4032</v>
      </c>
      <c r="H35" s="9"/>
      <c r="I35" s="16"/>
      <c r="J35" s="13"/>
      <c r="K35" s="8"/>
      <c r="L35" s="8"/>
      <c r="M35" s="8"/>
      <c r="N35" s="8"/>
      <c r="O35" s="15"/>
      <c r="P35" s="5"/>
    </row>
    <row r="36" spans="1:16">
      <c r="A36" s="233" t="s">
        <v>38</v>
      </c>
      <c r="B36" s="63">
        <f>BOB</f>
        <v>41749</v>
      </c>
      <c r="C36" s="68">
        <f>ffpp</f>
        <v>0.64539999999999997</v>
      </c>
      <c r="D36" s="72">
        <v>3</v>
      </c>
      <c r="E36" s="66">
        <f>OB</f>
        <v>72242</v>
      </c>
      <c r="F36" s="65">
        <f>F35</f>
        <v>22</v>
      </c>
      <c r="G36" s="231">
        <f>ROUND(+D36*E36/F36,0)</f>
        <v>9851</v>
      </c>
      <c r="H36" s="9"/>
      <c r="I36" s="8"/>
      <c r="J36" s="8"/>
      <c r="K36" s="13"/>
      <c r="L36" s="13"/>
      <c r="M36" s="13"/>
      <c r="N36" s="13"/>
      <c r="O36" s="13"/>
      <c r="P36" s="5"/>
    </row>
    <row r="37" spans="1:16">
      <c r="A37" s="234"/>
      <c r="B37" s="50"/>
      <c r="C37" s="961"/>
      <c r="D37" s="50"/>
      <c r="E37" s="66"/>
      <c r="F37" s="65"/>
      <c r="G37" s="231"/>
      <c r="H37" s="9"/>
      <c r="I37" s="8"/>
      <c r="J37" s="13"/>
      <c r="K37" s="13"/>
      <c r="L37" s="13"/>
      <c r="M37" s="33"/>
      <c r="N37" s="33"/>
      <c r="O37" s="43"/>
      <c r="P37" s="5"/>
    </row>
    <row r="38" spans="1:16">
      <c r="A38" s="233"/>
      <c r="B38" s="65"/>
      <c r="C38" s="68"/>
      <c r="D38" s="65"/>
      <c r="E38" s="69"/>
      <c r="F38" s="69"/>
      <c r="G38" s="236"/>
      <c r="H38" s="9"/>
      <c r="I38" s="8"/>
      <c r="J38" s="13"/>
      <c r="K38" s="13"/>
      <c r="L38" s="13"/>
      <c r="M38" s="33"/>
      <c r="N38" s="33"/>
      <c r="O38" s="43"/>
      <c r="P38" s="5"/>
    </row>
    <row r="39" spans="1:16">
      <c r="A39" s="249"/>
      <c r="B39" s="71"/>
      <c r="C39" s="71"/>
      <c r="D39" s="71" t="s">
        <v>34</v>
      </c>
      <c r="E39" s="71"/>
      <c r="F39" s="71"/>
      <c r="G39" s="250">
        <f>SUM(G35:G38)</f>
        <v>13883</v>
      </c>
      <c r="H39" s="9"/>
      <c r="I39" s="8"/>
      <c r="J39" s="13"/>
      <c r="K39" s="13"/>
      <c r="L39" s="13"/>
      <c r="M39" s="14"/>
      <c r="N39" s="14"/>
      <c r="O39" s="15"/>
      <c r="P39" s="5"/>
    </row>
    <row r="40" spans="1:16">
      <c r="A40" s="226"/>
      <c r="B40" s="4"/>
      <c r="C40" s="6"/>
      <c r="D40" s="4"/>
      <c r="E40" s="4"/>
      <c r="F40" s="4"/>
      <c r="G40" s="227"/>
      <c r="H40" s="9"/>
      <c r="I40" s="8"/>
      <c r="J40" s="13"/>
      <c r="K40" s="13"/>
      <c r="L40" s="13"/>
      <c r="M40" s="14"/>
      <c r="N40" s="14"/>
      <c r="O40" s="19"/>
      <c r="P40" s="5"/>
    </row>
    <row r="41" spans="1:16">
      <c r="A41" s="226"/>
      <c r="B41" s="4"/>
      <c r="C41" s="6"/>
      <c r="D41" s="4"/>
      <c r="E41" s="4"/>
      <c r="F41" s="4"/>
      <c r="G41" s="227"/>
      <c r="H41" s="9"/>
      <c r="I41" s="8"/>
      <c r="J41" s="13"/>
      <c r="K41" s="13"/>
      <c r="L41" s="13"/>
      <c r="M41" s="17"/>
      <c r="N41" s="17"/>
      <c r="O41" s="37"/>
      <c r="P41" s="5"/>
    </row>
    <row r="42" spans="1:16" ht="14.25">
      <c r="A42" s="226"/>
      <c r="B42" s="4"/>
      <c r="C42" s="6"/>
      <c r="D42" s="1357" t="s">
        <v>35</v>
      </c>
      <c r="E42" s="1358"/>
      <c r="F42" s="1359"/>
      <c r="G42" s="239">
        <f>+G39+G30+G16</f>
        <v>177798</v>
      </c>
      <c r="H42" s="9"/>
      <c r="I42" s="48"/>
      <c r="J42" s="20"/>
      <c r="K42" s="8"/>
      <c r="L42" s="8"/>
      <c r="M42" s="8"/>
      <c r="N42" s="8"/>
      <c r="O42" s="8"/>
      <c r="P42" s="5"/>
    </row>
    <row r="43" spans="1:16" ht="14.25">
      <c r="A43" s="240"/>
      <c r="B43" s="57"/>
      <c r="C43" s="58"/>
      <c r="D43" s="99"/>
      <c r="E43" s="99"/>
      <c r="F43" s="99"/>
      <c r="G43" s="251"/>
      <c r="H43" s="9"/>
      <c r="I43" s="48"/>
      <c r="J43" s="20"/>
      <c r="K43" s="8"/>
      <c r="L43" s="8"/>
      <c r="M43" s="8"/>
      <c r="N43" s="8"/>
      <c r="O43" s="8"/>
      <c r="P43" s="5"/>
    </row>
    <row r="44" spans="1:16" ht="14.25">
      <c r="A44" s="374"/>
      <c r="B44" s="375"/>
      <c r="C44" s="375"/>
      <c r="D44" s="99"/>
      <c r="E44" s="99"/>
      <c r="F44" s="99"/>
      <c r="G44" s="251"/>
      <c r="H44" s="9"/>
      <c r="I44" s="48"/>
      <c r="J44" s="20"/>
      <c r="K44" s="8"/>
      <c r="L44" s="8"/>
      <c r="M44" s="8"/>
      <c r="N44" s="8"/>
      <c r="O44" s="8"/>
      <c r="P44" s="5"/>
    </row>
    <row r="45" spans="1:16" ht="14.25">
      <c r="A45" s="373"/>
      <c r="B45" s="376"/>
      <c r="C45" s="376"/>
      <c r="D45" s="99"/>
      <c r="E45" s="99"/>
      <c r="F45" s="99"/>
      <c r="G45" s="251"/>
      <c r="H45" s="9"/>
      <c r="I45" s="48"/>
      <c r="J45" s="20"/>
      <c r="K45" s="8"/>
      <c r="L45" s="8"/>
      <c r="M45" s="8"/>
      <c r="N45" s="8"/>
      <c r="O45" s="8"/>
      <c r="P45" s="5"/>
    </row>
    <row r="46" spans="1:16" ht="14.25">
      <c r="A46" s="373"/>
      <c r="B46" s="376"/>
      <c r="C46" s="376"/>
      <c r="D46" s="44"/>
      <c r="E46" s="45"/>
      <c r="F46" s="45"/>
      <c r="G46" s="251"/>
      <c r="H46" s="9"/>
      <c r="I46" s="8"/>
      <c r="J46" s="13"/>
      <c r="K46" s="8"/>
      <c r="L46" s="8"/>
      <c r="M46" s="8"/>
      <c r="N46" s="8"/>
      <c r="O46" s="8"/>
      <c r="P46" s="5"/>
    </row>
    <row r="47" spans="1:16" ht="15" thickBot="1">
      <c r="A47" s="242"/>
      <c r="B47" s="243"/>
      <c r="C47" s="244"/>
      <c r="D47" s="245"/>
      <c r="E47" s="246"/>
      <c r="F47" s="246"/>
      <c r="G47" s="247"/>
      <c r="H47" s="9"/>
      <c r="I47" s="8"/>
      <c r="J47" s="13"/>
      <c r="K47" s="8"/>
      <c r="L47" s="8"/>
      <c r="M47" s="8"/>
      <c r="N47" s="8"/>
      <c r="O47" s="8"/>
      <c r="P47" s="5"/>
    </row>
    <row r="48" spans="1:16">
      <c r="I48" s="5"/>
      <c r="J48" s="5"/>
      <c r="K48" s="5"/>
      <c r="L48" s="5"/>
      <c r="M48" s="5"/>
      <c r="N48" s="5"/>
      <c r="O48" s="5"/>
      <c r="P48" s="5"/>
    </row>
    <row r="49" spans="9:16">
      <c r="I49" s="5"/>
      <c r="J49" s="5"/>
      <c r="K49" s="5"/>
      <c r="L49" s="5"/>
      <c r="M49" s="5"/>
      <c r="N49" s="5"/>
      <c r="O49" s="5"/>
      <c r="P49" s="5"/>
    </row>
  </sheetData>
  <mergeCells count="26">
    <mergeCell ref="A32:G32"/>
    <mergeCell ref="D42:F42"/>
    <mergeCell ref="A25:C25"/>
    <mergeCell ref="A26:C26"/>
    <mergeCell ref="A27:C27"/>
    <mergeCell ref="A28:C28"/>
    <mergeCell ref="A29:C29"/>
    <mergeCell ref="A30:C30"/>
    <mergeCell ref="A24:C24"/>
    <mergeCell ref="A11:C11"/>
    <mergeCell ref="A12:C12"/>
    <mergeCell ref="A13:C13"/>
    <mergeCell ref="A14:C14"/>
    <mergeCell ref="A15:C15"/>
    <mergeCell ref="A16:C16"/>
    <mergeCell ref="A18:G18"/>
    <mergeCell ref="A20:C20"/>
    <mergeCell ref="A21:C21"/>
    <mergeCell ref="A22:C22"/>
    <mergeCell ref="A23:C23"/>
    <mergeCell ref="A10:C10"/>
    <mergeCell ref="A1:G1"/>
    <mergeCell ref="A2:G2"/>
    <mergeCell ref="A3:G4"/>
    <mergeCell ref="B6:E6"/>
    <mergeCell ref="A8:G8"/>
  </mergeCells>
  <printOptions horizontalCentered="1" verticalCentered="1"/>
  <pageMargins left="0.74803149606299213" right="0.74803149606299213" top="0" bottom="0.98425196850393704" header="0" footer="0"/>
  <pageSetup scale="90" orientation="portrait" r:id="rId1"/>
  <headerFooter alignWithMargins="0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2"/>
  <dimension ref="A1:U49"/>
  <sheetViews>
    <sheetView view="pageBreakPreview" topLeftCell="A16" zoomScaleNormal="100" zoomScaleSheetLayoutView="100" workbookViewId="0">
      <selection activeCell="F22" sqref="F22"/>
    </sheetView>
  </sheetViews>
  <sheetFormatPr baseColWidth="10" defaultColWidth="10.7109375" defaultRowHeight="12.75"/>
  <cols>
    <col min="1" max="1" width="15.85546875" style="3" customWidth="1"/>
    <col min="2" max="2" width="14.85546875" style="3" customWidth="1"/>
    <col min="3" max="3" width="13.28515625" style="3" customWidth="1"/>
    <col min="4" max="4" width="11.42578125" style="3"/>
    <col min="5" max="5" width="13.42578125" style="3" customWidth="1"/>
    <col min="6" max="6" width="12.7109375" style="3" customWidth="1"/>
    <col min="7" max="7" width="14" style="3" customWidth="1"/>
    <col min="8" max="8" width="7.42578125" style="3" customWidth="1"/>
    <col min="9" max="256" width="11.42578125" style="3"/>
    <col min="257" max="257" width="15.85546875" style="3" customWidth="1"/>
    <col min="258" max="258" width="14.85546875" style="3" customWidth="1"/>
    <col min="259" max="259" width="13.28515625" style="3" customWidth="1"/>
    <col min="260" max="260" width="11.42578125" style="3"/>
    <col min="261" max="261" width="13.42578125" style="3" customWidth="1"/>
    <col min="262" max="262" width="12.7109375" style="3" customWidth="1"/>
    <col min="263" max="263" width="14" style="3" customWidth="1"/>
    <col min="264" max="264" width="7.42578125" style="3" customWidth="1"/>
    <col min="265" max="512" width="11.42578125" style="3"/>
    <col min="513" max="513" width="15.85546875" style="3" customWidth="1"/>
    <col min="514" max="514" width="14.85546875" style="3" customWidth="1"/>
    <col min="515" max="515" width="13.28515625" style="3" customWidth="1"/>
    <col min="516" max="516" width="11.42578125" style="3"/>
    <col min="517" max="517" width="13.42578125" style="3" customWidth="1"/>
    <col min="518" max="518" width="12.7109375" style="3" customWidth="1"/>
    <col min="519" max="519" width="14" style="3" customWidth="1"/>
    <col min="520" max="520" width="7.42578125" style="3" customWidth="1"/>
    <col min="521" max="768" width="11.42578125" style="3"/>
    <col min="769" max="769" width="15.85546875" style="3" customWidth="1"/>
    <col min="770" max="770" width="14.85546875" style="3" customWidth="1"/>
    <col min="771" max="771" width="13.28515625" style="3" customWidth="1"/>
    <col min="772" max="772" width="11.42578125" style="3"/>
    <col min="773" max="773" width="13.42578125" style="3" customWidth="1"/>
    <col min="774" max="774" width="12.7109375" style="3" customWidth="1"/>
    <col min="775" max="775" width="14" style="3" customWidth="1"/>
    <col min="776" max="776" width="7.42578125" style="3" customWidth="1"/>
    <col min="777" max="1024" width="11.42578125" style="3"/>
    <col min="1025" max="1025" width="15.85546875" style="3" customWidth="1"/>
    <col min="1026" max="1026" width="14.85546875" style="3" customWidth="1"/>
    <col min="1027" max="1027" width="13.28515625" style="3" customWidth="1"/>
    <col min="1028" max="1028" width="11.42578125" style="3"/>
    <col min="1029" max="1029" width="13.42578125" style="3" customWidth="1"/>
    <col min="1030" max="1030" width="12.7109375" style="3" customWidth="1"/>
    <col min="1031" max="1031" width="14" style="3" customWidth="1"/>
    <col min="1032" max="1032" width="7.42578125" style="3" customWidth="1"/>
    <col min="1033" max="1280" width="11.42578125" style="3"/>
    <col min="1281" max="1281" width="15.85546875" style="3" customWidth="1"/>
    <col min="1282" max="1282" width="14.85546875" style="3" customWidth="1"/>
    <col min="1283" max="1283" width="13.28515625" style="3" customWidth="1"/>
    <col min="1284" max="1284" width="11.42578125" style="3"/>
    <col min="1285" max="1285" width="13.42578125" style="3" customWidth="1"/>
    <col min="1286" max="1286" width="12.7109375" style="3" customWidth="1"/>
    <col min="1287" max="1287" width="14" style="3" customWidth="1"/>
    <col min="1288" max="1288" width="7.42578125" style="3" customWidth="1"/>
    <col min="1289" max="1536" width="11.42578125" style="3"/>
    <col min="1537" max="1537" width="15.85546875" style="3" customWidth="1"/>
    <col min="1538" max="1538" width="14.85546875" style="3" customWidth="1"/>
    <col min="1539" max="1539" width="13.28515625" style="3" customWidth="1"/>
    <col min="1540" max="1540" width="11.42578125" style="3"/>
    <col min="1541" max="1541" width="13.42578125" style="3" customWidth="1"/>
    <col min="1542" max="1542" width="12.7109375" style="3" customWidth="1"/>
    <col min="1543" max="1543" width="14" style="3" customWidth="1"/>
    <col min="1544" max="1544" width="7.42578125" style="3" customWidth="1"/>
    <col min="1545" max="1792" width="11.42578125" style="3"/>
    <col min="1793" max="1793" width="15.85546875" style="3" customWidth="1"/>
    <col min="1794" max="1794" width="14.85546875" style="3" customWidth="1"/>
    <col min="1795" max="1795" width="13.28515625" style="3" customWidth="1"/>
    <col min="1796" max="1796" width="11.42578125" style="3"/>
    <col min="1797" max="1797" width="13.42578125" style="3" customWidth="1"/>
    <col min="1798" max="1798" width="12.7109375" style="3" customWidth="1"/>
    <col min="1799" max="1799" width="14" style="3" customWidth="1"/>
    <col min="1800" max="1800" width="7.42578125" style="3" customWidth="1"/>
    <col min="1801" max="2048" width="11.42578125" style="3"/>
    <col min="2049" max="2049" width="15.85546875" style="3" customWidth="1"/>
    <col min="2050" max="2050" width="14.85546875" style="3" customWidth="1"/>
    <col min="2051" max="2051" width="13.28515625" style="3" customWidth="1"/>
    <col min="2052" max="2052" width="11.42578125" style="3"/>
    <col min="2053" max="2053" width="13.42578125" style="3" customWidth="1"/>
    <col min="2054" max="2054" width="12.7109375" style="3" customWidth="1"/>
    <col min="2055" max="2055" width="14" style="3" customWidth="1"/>
    <col min="2056" max="2056" width="7.42578125" style="3" customWidth="1"/>
    <col min="2057" max="2304" width="11.42578125" style="3"/>
    <col min="2305" max="2305" width="15.85546875" style="3" customWidth="1"/>
    <col min="2306" max="2306" width="14.85546875" style="3" customWidth="1"/>
    <col min="2307" max="2307" width="13.28515625" style="3" customWidth="1"/>
    <col min="2308" max="2308" width="11.42578125" style="3"/>
    <col min="2309" max="2309" width="13.42578125" style="3" customWidth="1"/>
    <col min="2310" max="2310" width="12.7109375" style="3" customWidth="1"/>
    <col min="2311" max="2311" width="14" style="3" customWidth="1"/>
    <col min="2312" max="2312" width="7.42578125" style="3" customWidth="1"/>
    <col min="2313" max="2560" width="11.42578125" style="3"/>
    <col min="2561" max="2561" width="15.85546875" style="3" customWidth="1"/>
    <col min="2562" max="2562" width="14.85546875" style="3" customWidth="1"/>
    <col min="2563" max="2563" width="13.28515625" style="3" customWidth="1"/>
    <col min="2564" max="2564" width="11.42578125" style="3"/>
    <col min="2565" max="2565" width="13.42578125" style="3" customWidth="1"/>
    <col min="2566" max="2566" width="12.7109375" style="3" customWidth="1"/>
    <col min="2567" max="2567" width="14" style="3" customWidth="1"/>
    <col min="2568" max="2568" width="7.42578125" style="3" customWidth="1"/>
    <col min="2569" max="2816" width="11.42578125" style="3"/>
    <col min="2817" max="2817" width="15.85546875" style="3" customWidth="1"/>
    <col min="2818" max="2818" width="14.85546875" style="3" customWidth="1"/>
    <col min="2819" max="2819" width="13.28515625" style="3" customWidth="1"/>
    <col min="2820" max="2820" width="11.42578125" style="3"/>
    <col min="2821" max="2821" width="13.42578125" style="3" customWidth="1"/>
    <col min="2822" max="2822" width="12.7109375" style="3" customWidth="1"/>
    <col min="2823" max="2823" width="14" style="3" customWidth="1"/>
    <col min="2824" max="2824" width="7.42578125" style="3" customWidth="1"/>
    <col min="2825" max="3072" width="11.42578125" style="3"/>
    <col min="3073" max="3073" width="15.85546875" style="3" customWidth="1"/>
    <col min="3074" max="3074" width="14.85546875" style="3" customWidth="1"/>
    <col min="3075" max="3075" width="13.28515625" style="3" customWidth="1"/>
    <col min="3076" max="3076" width="11.42578125" style="3"/>
    <col min="3077" max="3077" width="13.42578125" style="3" customWidth="1"/>
    <col min="3078" max="3078" width="12.7109375" style="3" customWidth="1"/>
    <col min="3079" max="3079" width="14" style="3" customWidth="1"/>
    <col min="3080" max="3080" width="7.42578125" style="3" customWidth="1"/>
    <col min="3081" max="3328" width="11.42578125" style="3"/>
    <col min="3329" max="3329" width="15.85546875" style="3" customWidth="1"/>
    <col min="3330" max="3330" width="14.85546875" style="3" customWidth="1"/>
    <col min="3331" max="3331" width="13.28515625" style="3" customWidth="1"/>
    <col min="3332" max="3332" width="11.42578125" style="3"/>
    <col min="3333" max="3333" width="13.42578125" style="3" customWidth="1"/>
    <col min="3334" max="3334" width="12.7109375" style="3" customWidth="1"/>
    <col min="3335" max="3335" width="14" style="3" customWidth="1"/>
    <col min="3336" max="3336" width="7.42578125" style="3" customWidth="1"/>
    <col min="3337" max="3584" width="11.42578125" style="3"/>
    <col min="3585" max="3585" width="15.85546875" style="3" customWidth="1"/>
    <col min="3586" max="3586" width="14.85546875" style="3" customWidth="1"/>
    <col min="3587" max="3587" width="13.28515625" style="3" customWidth="1"/>
    <col min="3588" max="3588" width="11.42578125" style="3"/>
    <col min="3589" max="3589" width="13.42578125" style="3" customWidth="1"/>
    <col min="3590" max="3590" width="12.7109375" style="3" customWidth="1"/>
    <col min="3591" max="3591" width="14" style="3" customWidth="1"/>
    <col min="3592" max="3592" width="7.42578125" style="3" customWidth="1"/>
    <col min="3593" max="3840" width="11.42578125" style="3"/>
    <col min="3841" max="3841" width="15.85546875" style="3" customWidth="1"/>
    <col min="3842" max="3842" width="14.85546875" style="3" customWidth="1"/>
    <col min="3843" max="3843" width="13.28515625" style="3" customWidth="1"/>
    <col min="3844" max="3844" width="11.42578125" style="3"/>
    <col min="3845" max="3845" width="13.42578125" style="3" customWidth="1"/>
    <col min="3846" max="3846" width="12.7109375" style="3" customWidth="1"/>
    <col min="3847" max="3847" width="14" style="3" customWidth="1"/>
    <col min="3848" max="3848" width="7.42578125" style="3" customWidth="1"/>
    <col min="3849" max="4096" width="11.42578125" style="3"/>
    <col min="4097" max="4097" width="15.85546875" style="3" customWidth="1"/>
    <col min="4098" max="4098" width="14.85546875" style="3" customWidth="1"/>
    <col min="4099" max="4099" width="13.28515625" style="3" customWidth="1"/>
    <col min="4100" max="4100" width="11.42578125" style="3"/>
    <col min="4101" max="4101" width="13.42578125" style="3" customWidth="1"/>
    <col min="4102" max="4102" width="12.7109375" style="3" customWidth="1"/>
    <col min="4103" max="4103" width="14" style="3" customWidth="1"/>
    <col min="4104" max="4104" width="7.42578125" style="3" customWidth="1"/>
    <col min="4105" max="4352" width="11.42578125" style="3"/>
    <col min="4353" max="4353" width="15.85546875" style="3" customWidth="1"/>
    <col min="4354" max="4354" width="14.85546875" style="3" customWidth="1"/>
    <col min="4355" max="4355" width="13.28515625" style="3" customWidth="1"/>
    <col min="4356" max="4356" width="11.42578125" style="3"/>
    <col min="4357" max="4357" width="13.42578125" style="3" customWidth="1"/>
    <col min="4358" max="4358" width="12.7109375" style="3" customWidth="1"/>
    <col min="4359" max="4359" width="14" style="3" customWidth="1"/>
    <col min="4360" max="4360" width="7.42578125" style="3" customWidth="1"/>
    <col min="4361" max="4608" width="11.42578125" style="3"/>
    <col min="4609" max="4609" width="15.85546875" style="3" customWidth="1"/>
    <col min="4610" max="4610" width="14.85546875" style="3" customWidth="1"/>
    <col min="4611" max="4611" width="13.28515625" style="3" customWidth="1"/>
    <col min="4612" max="4612" width="11.42578125" style="3"/>
    <col min="4613" max="4613" width="13.42578125" style="3" customWidth="1"/>
    <col min="4614" max="4614" width="12.7109375" style="3" customWidth="1"/>
    <col min="4615" max="4615" width="14" style="3" customWidth="1"/>
    <col min="4616" max="4616" width="7.42578125" style="3" customWidth="1"/>
    <col min="4617" max="4864" width="11.42578125" style="3"/>
    <col min="4865" max="4865" width="15.85546875" style="3" customWidth="1"/>
    <col min="4866" max="4866" width="14.85546875" style="3" customWidth="1"/>
    <col min="4867" max="4867" width="13.28515625" style="3" customWidth="1"/>
    <col min="4868" max="4868" width="11.42578125" style="3"/>
    <col min="4869" max="4869" width="13.42578125" style="3" customWidth="1"/>
    <col min="4870" max="4870" width="12.7109375" style="3" customWidth="1"/>
    <col min="4871" max="4871" width="14" style="3" customWidth="1"/>
    <col min="4872" max="4872" width="7.42578125" style="3" customWidth="1"/>
    <col min="4873" max="5120" width="11.42578125" style="3"/>
    <col min="5121" max="5121" width="15.85546875" style="3" customWidth="1"/>
    <col min="5122" max="5122" width="14.85546875" style="3" customWidth="1"/>
    <col min="5123" max="5123" width="13.28515625" style="3" customWidth="1"/>
    <col min="5124" max="5124" width="11.42578125" style="3"/>
    <col min="5125" max="5125" width="13.42578125" style="3" customWidth="1"/>
    <col min="5126" max="5126" width="12.7109375" style="3" customWidth="1"/>
    <col min="5127" max="5127" width="14" style="3" customWidth="1"/>
    <col min="5128" max="5128" width="7.42578125" style="3" customWidth="1"/>
    <col min="5129" max="5376" width="11.42578125" style="3"/>
    <col min="5377" max="5377" width="15.85546875" style="3" customWidth="1"/>
    <col min="5378" max="5378" width="14.85546875" style="3" customWidth="1"/>
    <col min="5379" max="5379" width="13.28515625" style="3" customWidth="1"/>
    <col min="5380" max="5380" width="11.42578125" style="3"/>
    <col min="5381" max="5381" width="13.42578125" style="3" customWidth="1"/>
    <col min="5382" max="5382" width="12.7109375" style="3" customWidth="1"/>
    <col min="5383" max="5383" width="14" style="3" customWidth="1"/>
    <col min="5384" max="5384" width="7.42578125" style="3" customWidth="1"/>
    <col min="5385" max="5632" width="11.42578125" style="3"/>
    <col min="5633" max="5633" width="15.85546875" style="3" customWidth="1"/>
    <col min="5634" max="5634" width="14.85546875" style="3" customWidth="1"/>
    <col min="5635" max="5635" width="13.28515625" style="3" customWidth="1"/>
    <col min="5636" max="5636" width="11.42578125" style="3"/>
    <col min="5637" max="5637" width="13.42578125" style="3" customWidth="1"/>
    <col min="5638" max="5638" width="12.7109375" style="3" customWidth="1"/>
    <col min="5639" max="5639" width="14" style="3" customWidth="1"/>
    <col min="5640" max="5640" width="7.42578125" style="3" customWidth="1"/>
    <col min="5641" max="5888" width="11.42578125" style="3"/>
    <col min="5889" max="5889" width="15.85546875" style="3" customWidth="1"/>
    <col min="5890" max="5890" width="14.85546875" style="3" customWidth="1"/>
    <col min="5891" max="5891" width="13.28515625" style="3" customWidth="1"/>
    <col min="5892" max="5892" width="11.42578125" style="3"/>
    <col min="5893" max="5893" width="13.42578125" style="3" customWidth="1"/>
    <col min="5894" max="5894" width="12.7109375" style="3" customWidth="1"/>
    <col min="5895" max="5895" width="14" style="3" customWidth="1"/>
    <col min="5896" max="5896" width="7.42578125" style="3" customWidth="1"/>
    <col min="5897" max="6144" width="11.42578125" style="3"/>
    <col min="6145" max="6145" width="15.85546875" style="3" customWidth="1"/>
    <col min="6146" max="6146" width="14.85546875" style="3" customWidth="1"/>
    <col min="6147" max="6147" width="13.28515625" style="3" customWidth="1"/>
    <col min="6148" max="6148" width="11.42578125" style="3"/>
    <col min="6149" max="6149" width="13.42578125" style="3" customWidth="1"/>
    <col min="6150" max="6150" width="12.7109375" style="3" customWidth="1"/>
    <col min="6151" max="6151" width="14" style="3" customWidth="1"/>
    <col min="6152" max="6152" width="7.42578125" style="3" customWidth="1"/>
    <col min="6153" max="6400" width="11.42578125" style="3"/>
    <col min="6401" max="6401" width="15.85546875" style="3" customWidth="1"/>
    <col min="6402" max="6402" width="14.85546875" style="3" customWidth="1"/>
    <col min="6403" max="6403" width="13.28515625" style="3" customWidth="1"/>
    <col min="6404" max="6404" width="11.42578125" style="3"/>
    <col min="6405" max="6405" width="13.42578125" style="3" customWidth="1"/>
    <col min="6406" max="6406" width="12.7109375" style="3" customWidth="1"/>
    <col min="6407" max="6407" width="14" style="3" customWidth="1"/>
    <col min="6408" max="6408" width="7.42578125" style="3" customWidth="1"/>
    <col min="6409" max="6656" width="11.42578125" style="3"/>
    <col min="6657" max="6657" width="15.85546875" style="3" customWidth="1"/>
    <col min="6658" max="6658" width="14.85546875" style="3" customWidth="1"/>
    <col min="6659" max="6659" width="13.28515625" style="3" customWidth="1"/>
    <col min="6660" max="6660" width="11.42578125" style="3"/>
    <col min="6661" max="6661" width="13.42578125" style="3" customWidth="1"/>
    <col min="6662" max="6662" width="12.7109375" style="3" customWidth="1"/>
    <col min="6663" max="6663" width="14" style="3" customWidth="1"/>
    <col min="6664" max="6664" width="7.42578125" style="3" customWidth="1"/>
    <col min="6665" max="6912" width="11.42578125" style="3"/>
    <col min="6913" max="6913" width="15.85546875" style="3" customWidth="1"/>
    <col min="6914" max="6914" width="14.85546875" style="3" customWidth="1"/>
    <col min="6915" max="6915" width="13.28515625" style="3" customWidth="1"/>
    <col min="6916" max="6916" width="11.42578125" style="3"/>
    <col min="6917" max="6917" width="13.42578125" style="3" customWidth="1"/>
    <col min="6918" max="6918" width="12.7109375" style="3" customWidth="1"/>
    <col min="6919" max="6919" width="14" style="3" customWidth="1"/>
    <col min="6920" max="6920" width="7.42578125" style="3" customWidth="1"/>
    <col min="6921" max="7168" width="11.42578125" style="3"/>
    <col min="7169" max="7169" width="15.85546875" style="3" customWidth="1"/>
    <col min="7170" max="7170" width="14.85546875" style="3" customWidth="1"/>
    <col min="7171" max="7171" width="13.28515625" style="3" customWidth="1"/>
    <col min="7172" max="7172" width="11.42578125" style="3"/>
    <col min="7173" max="7173" width="13.42578125" style="3" customWidth="1"/>
    <col min="7174" max="7174" width="12.7109375" style="3" customWidth="1"/>
    <col min="7175" max="7175" width="14" style="3" customWidth="1"/>
    <col min="7176" max="7176" width="7.42578125" style="3" customWidth="1"/>
    <col min="7177" max="7424" width="11.42578125" style="3"/>
    <col min="7425" max="7425" width="15.85546875" style="3" customWidth="1"/>
    <col min="7426" max="7426" width="14.85546875" style="3" customWidth="1"/>
    <col min="7427" max="7427" width="13.28515625" style="3" customWidth="1"/>
    <col min="7428" max="7428" width="11.42578125" style="3"/>
    <col min="7429" max="7429" width="13.42578125" style="3" customWidth="1"/>
    <col min="7430" max="7430" width="12.7109375" style="3" customWidth="1"/>
    <col min="7431" max="7431" width="14" style="3" customWidth="1"/>
    <col min="7432" max="7432" width="7.42578125" style="3" customWidth="1"/>
    <col min="7433" max="7680" width="11.42578125" style="3"/>
    <col min="7681" max="7681" width="15.85546875" style="3" customWidth="1"/>
    <col min="7682" max="7682" width="14.85546875" style="3" customWidth="1"/>
    <col min="7683" max="7683" width="13.28515625" style="3" customWidth="1"/>
    <col min="7684" max="7684" width="11.42578125" style="3"/>
    <col min="7685" max="7685" width="13.42578125" style="3" customWidth="1"/>
    <col min="7686" max="7686" width="12.7109375" style="3" customWidth="1"/>
    <col min="7687" max="7687" width="14" style="3" customWidth="1"/>
    <col min="7688" max="7688" width="7.42578125" style="3" customWidth="1"/>
    <col min="7689" max="7936" width="11.42578125" style="3"/>
    <col min="7937" max="7937" width="15.85546875" style="3" customWidth="1"/>
    <col min="7938" max="7938" width="14.85546875" style="3" customWidth="1"/>
    <col min="7939" max="7939" width="13.28515625" style="3" customWidth="1"/>
    <col min="7940" max="7940" width="11.42578125" style="3"/>
    <col min="7941" max="7941" width="13.42578125" style="3" customWidth="1"/>
    <col min="7942" max="7942" width="12.7109375" style="3" customWidth="1"/>
    <col min="7943" max="7943" width="14" style="3" customWidth="1"/>
    <col min="7944" max="7944" width="7.42578125" style="3" customWidth="1"/>
    <col min="7945" max="8192" width="11.42578125" style="3"/>
    <col min="8193" max="8193" width="15.85546875" style="3" customWidth="1"/>
    <col min="8194" max="8194" width="14.85546875" style="3" customWidth="1"/>
    <col min="8195" max="8195" width="13.28515625" style="3" customWidth="1"/>
    <col min="8196" max="8196" width="11.42578125" style="3"/>
    <col min="8197" max="8197" width="13.42578125" style="3" customWidth="1"/>
    <col min="8198" max="8198" width="12.7109375" style="3" customWidth="1"/>
    <col min="8199" max="8199" width="14" style="3" customWidth="1"/>
    <col min="8200" max="8200" width="7.42578125" style="3" customWidth="1"/>
    <col min="8201" max="8448" width="11.42578125" style="3"/>
    <col min="8449" max="8449" width="15.85546875" style="3" customWidth="1"/>
    <col min="8450" max="8450" width="14.85546875" style="3" customWidth="1"/>
    <col min="8451" max="8451" width="13.28515625" style="3" customWidth="1"/>
    <col min="8452" max="8452" width="11.42578125" style="3"/>
    <col min="8453" max="8453" width="13.42578125" style="3" customWidth="1"/>
    <col min="8454" max="8454" width="12.7109375" style="3" customWidth="1"/>
    <col min="8455" max="8455" width="14" style="3" customWidth="1"/>
    <col min="8456" max="8456" width="7.42578125" style="3" customWidth="1"/>
    <col min="8457" max="8704" width="11.42578125" style="3"/>
    <col min="8705" max="8705" width="15.85546875" style="3" customWidth="1"/>
    <col min="8706" max="8706" width="14.85546875" style="3" customWidth="1"/>
    <col min="8707" max="8707" width="13.28515625" style="3" customWidth="1"/>
    <col min="8708" max="8708" width="11.42578125" style="3"/>
    <col min="8709" max="8709" width="13.42578125" style="3" customWidth="1"/>
    <col min="8710" max="8710" width="12.7109375" style="3" customWidth="1"/>
    <col min="8711" max="8711" width="14" style="3" customWidth="1"/>
    <col min="8712" max="8712" width="7.42578125" style="3" customWidth="1"/>
    <col min="8713" max="8960" width="11.42578125" style="3"/>
    <col min="8961" max="8961" width="15.85546875" style="3" customWidth="1"/>
    <col min="8962" max="8962" width="14.85546875" style="3" customWidth="1"/>
    <col min="8963" max="8963" width="13.28515625" style="3" customWidth="1"/>
    <col min="8964" max="8964" width="11.42578125" style="3"/>
    <col min="8965" max="8965" width="13.42578125" style="3" customWidth="1"/>
    <col min="8966" max="8966" width="12.7109375" style="3" customWidth="1"/>
    <col min="8967" max="8967" width="14" style="3" customWidth="1"/>
    <col min="8968" max="8968" width="7.42578125" style="3" customWidth="1"/>
    <col min="8969" max="9216" width="11.42578125" style="3"/>
    <col min="9217" max="9217" width="15.85546875" style="3" customWidth="1"/>
    <col min="9218" max="9218" width="14.85546875" style="3" customWidth="1"/>
    <col min="9219" max="9219" width="13.28515625" style="3" customWidth="1"/>
    <col min="9220" max="9220" width="11.42578125" style="3"/>
    <col min="9221" max="9221" width="13.42578125" style="3" customWidth="1"/>
    <col min="9222" max="9222" width="12.7109375" style="3" customWidth="1"/>
    <col min="9223" max="9223" width="14" style="3" customWidth="1"/>
    <col min="9224" max="9224" width="7.42578125" style="3" customWidth="1"/>
    <col min="9225" max="9472" width="11.42578125" style="3"/>
    <col min="9473" max="9473" width="15.85546875" style="3" customWidth="1"/>
    <col min="9474" max="9474" width="14.85546875" style="3" customWidth="1"/>
    <col min="9475" max="9475" width="13.28515625" style="3" customWidth="1"/>
    <col min="9476" max="9476" width="11.42578125" style="3"/>
    <col min="9477" max="9477" width="13.42578125" style="3" customWidth="1"/>
    <col min="9478" max="9478" width="12.7109375" style="3" customWidth="1"/>
    <col min="9479" max="9479" width="14" style="3" customWidth="1"/>
    <col min="9480" max="9480" width="7.42578125" style="3" customWidth="1"/>
    <col min="9481" max="9728" width="11.42578125" style="3"/>
    <col min="9729" max="9729" width="15.85546875" style="3" customWidth="1"/>
    <col min="9730" max="9730" width="14.85546875" style="3" customWidth="1"/>
    <col min="9731" max="9731" width="13.28515625" style="3" customWidth="1"/>
    <col min="9732" max="9732" width="11.42578125" style="3"/>
    <col min="9733" max="9733" width="13.42578125" style="3" customWidth="1"/>
    <col min="9734" max="9734" width="12.7109375" style="3" customWidth="1"/>
    <col min="9735" max="9735" width="14" style="3" customWidth="1"/>
    <col min="9736" max="9736" width="7.42578125" style="3" customWidth="1"/>
    <col min="9737" max="9984" width="11.42578125" style="3"/>
    <col min="9985" max="9985" width="15.85546875" style="3" customWidth="1"/>
    <col min="9986" max="9986" width="14.85546875" style="3" customWidth="1"/>
    <col min="9987" max="9987" width="13.28515625" style="3" customWidth="1"/>
    <col min="9988" max="9988" width="11.42578125" style="3"/>
    <col min="9989" max="9989" width="13.42578125" style="3" customWidth="1"/>
    <col min="9990" max="9990" width="12.7109375" style="3" customWidth="1"/>
    <col min="9991" max="9991" width="14" style="3" customWidth="1"/>
    <col min="9992" max="9992" width="7.42578125" style="3" customWidth="1"/>
    <col min="9993" max="10240" width="11.42578125" style="3"/>
    <col min="10241" max="10241" width="15.85546875" style="3" customWidth="1"/>
    <col min="10242" max="10242" width="14.85546875" style="3" customWidth="1"/>
    <col min="10243" max="10243" width="13.28515625" style="3" customWidth="1"/>
    <col min="10244" max="10244" width="11.42578125" style="3"/>
    <col min="10245" max="10245" width="13.42578125" style="3" customWidth="1"/>
    <col min="10246" max="10246" width="12.7109375" style="3" customWidth="1"/>
    <col min="10247" max="10247" width="14" style="3" customWidth="1"/>
    <col min="10248" max="10248" width="7.42578125" style="3" customWidth="1"/>
    <col min="10249" max="10496" width="11.42578125" style="3"/>
    <col min="10497" max="10497" width="15.85546875" style="3" customWidth="1"/>
    <col min="10498" max="10498" width="14.85546875" style="3" customWidth="1"/>
    <col min="10499" max="10499" width="13.28515625" style="3" customWidth="1"/>
    <col min="10500" max="10500" width="11.42578125" style="3"/>
    <col min="10501" max="10501" width="13.42578125" style="3" customWidth="1"/>
    <col min="10502" max="10502" width="12.7109375" style="3" customWidth="1"/>
    <col min="10503" max="10503" width="14" style="3" customWidth="1"/>
    <col min="10504" max="10504" width="7.42578125" style="3" customWidth="1"/>
    <col min="10505" max="10752" width="11.42578125" style="3"/>
    <col min="10753" max="10753" width="15.85546875" style="3" customWidth="1"/>
    <col min="10754" max="10754" width="14.85546875" style="3" customWidth="1"/>
    <col min="10755" max="10755" width="13.28515625" style="3" customWidth="1"/>
    <col min="10756" max="10756" width="11.42578125" style="3"/>
    <col min="10757" max="10757" width="13.42578125" style="3" customWidth="1"/>
    <col min="10758" max="10758" width="12.7109375" style="3" customWidth="1"/>
    <col min="10759" max="10759" width="14" style="3" customWidth="1"/>
    <col min="10760" max="10760" width="7.42578125" style="3" customWidth="1"/>
    <col min="10761" max="11008" width="11.42578125" style="3"/>
    <col min="11009" max="11009" width="15.85546875" style="3" customWidth="1"/>
    <col min="11010" max="11010" width="14.85546875" style="3" customWidth="1"/>
    <col min="11011" max="11011" width="13.28515625" style="3" customWidth="1"/>
    <col min="11012" max="11012" width="11.42578125" style="3"/>
    <col min="11013" max="11013" width="13.42578125" style="3" customWidth="1"/>
    <col min="11014" max="11014" width="12.7109375" style="3" customWidth="1"/>
    <col min="11015" max="11015" width="14" style="3" customWidth="1"/>
    <col min="11016" max="11016" width="7.42578125" style="3" customWidth="1"/>
    <col min="11017" max="11264" width="11.42578125" style="3"/>
    <col min="11265" max="11265" width="15.85546875" style="3" customWidth="1"/>
    <col min="11266" max="11266" width="14.85546875" style="3" customWidth="1"/>
    <col min="11267" max="11267" width="13.28515625" style="3" customWidth="1"/>
    <col min="11268" max="11268" width="11.42578125" style="3"/>
    <col min="11269" max="11269" width="13.42578125" style="3" customWidth="1"/>
    <col min="11270" max="11270" width="12.7109375" style="3" customWidth="1"/>
    <col min="11271" max="11271" width="14" style="3" customWidth="1"/>
    <col min="11272" max="11272" width="7.42578125" style="3" customWidth="1"/>
    <col min="11273" max="11520" width="11.42578125" style="3"/>
    <col min="11521" max="11521" width="15.85546875" style="3" customWidth="1"/>
    <col min="11522" max="11522" width="14.85546875" style="3" customWidth="1"/>
    <col min="11523" max="11523" width="13.28515625" style="3" customWidth="1"/>
    <col min="11524" max="11524" width="11.42578125" style="3"/>
    <col min="11525" max="11525" width="13.42578125" style="3" customWidth="1"/>
    <col min="11526" max="11526" width="12.7109375" style="3" customWidth="1"/>
    <col min="11527" max="11527" width="14" style="3" customWidth="1"/>
    <col min="11528" max="11528" width="7.42578125" style="3" customWidth="1"/>
    <col min="11529" max="11776" width="11.42578125" style="3"/>
    <col min="11777" max="11777" width="15.85546875" style="3" customWidth="1"/>
    <col min="11778" max="11778" width="14.85546875" style="3" customWidth="1"/>
    <col min="11779" max="11779" width="13.28515625" style="3" customWidth="1"/>
    <col min="11780" max="11780" width="11.42578125" style="3"/>
    <col min="11781" max="11781" width="13.42578125" style="3" customWidth="1"/>
    <col min="11782" max="11782" width="12.7109375" style="3" customWidth="1"/>
    <col min="11783" max="11783" width="14" style="3" customWidth="1"/>
    <col min="11784" max="11784" width="7.42578125" style="3" customWidth="1"/>
    <col min="11785" max="12032" width="11.42578125" style="3"/>
    <col min="12033" max="12033" width="15.85546875" style="3" customWidth="1"/>
    <col min="12034" max="12034" width="14.85546875" style="3" customWidth="1"/>
    <col min="12035" max="12035" width="13.28515625" style="3" customWidth="1"/>
    <col min="12036" max="12036" width="11.42578125" style="3"/>
    <col min="12037" max="12037" width="13.42578125" style="3" customWidth="1"/>
    <col min="12038" max="12038" width="12.7109375" style="3" customWidth="1"/>
    <col min="12039" max="12039" width="14" style="3" customWidth="1"/>
    <col min="12040" max="12040" width="7.42578125" style="3" customWidth="1"/>
    <col min="12041" max="12288" width="11.42578125" style="3"/>
    <col min="12289" max="12289" width="15.85546875" style="3" customWidth="1"/>
    <col min="12290" max="12290" width="14.85546875" style="3" customWidth="1"/>
    <col min="12291" max="12291" width="13.28515625" style="3" customWidth="1"/>
    <col min="12292" max="12292" width="11.42578125" style="3"/>
    <col min="12293" max="12293" width="13.42578125" style="3" customWidth="1"/>
    <col min="12294" max="12294" width="12.7109375" style="3" customWidth="1"/>
    <col min="12295" max="12295" width="14" style="3" customWidth="1"/>
    <col min="12296" max="12296" width="7.42578125" style="3" customWidth="1"/>
    <col min="12297" max="12544" width="11.42578125" style="3"/>
    <col min="12545" max="12545" width="15.85546875" style="3" customWidth="1"/>
    <col min="12546" max="12546" width="14.85546875" style="3" customWidth="1"/>
    <col min="12547" max="12547" width="13.28515625" style="3" customWidth="1"/>
    <col min="12548" max="12548" width="11.42578125" style="3"/>
    <col min="12549" max="12549" width="13.42578125" style="3" customWidth="1"/>
    <col min="12550" max="12550" width="12.7109375" style="3" customWidth="1"/>
    <col min="12551" max="12551" width="14" style="3" customWidth="1"/>
    <col min="12552" max="12552" width="7.42578125" style="3" customWidth="1"/>
    <col min="12553" max="12800" width="11.42578125" style="3"/>
    <col min="12801" max="12801" width="15.85546875" style="3" customWidth="1"/>
    <col min="12802" max="12802" width="14.85546875" style="3" customWidth="1"/>
    <col min="12803" max="12803" width="13.28515625" style="3" customWidth="1"/>
    <col min="12804" max="12804" width="11.42578125" style="3"/>
    <col min="12805" max="12805" width="13.42578125" style="3" customWidth="1"/>
    <col min="12806" max="12806" width="12.7109375" style="3" customWidth="1"/>
    <col min="12807" max="12807" width="14" style="3" customWidth="1"/>
    <col min="12808" max="12808" width="7.42578125" style="3" customWidth="1"/>
    <col min="12809" max="13056" width="11.42578125" style="3"/>
    <col min="13057" max="13057" width="15.85546875" style="3" customWidth="1"/>
    <col min="13058" max="13058" width="14.85546875" style="3" customWidth="1"/>
    <col min="13059" max="13059" width="13.28515625" style="3" customWidth="1"/>
    <col min="13060" max="13060" width="11.42578125" style="3"/>
    <col min="13061" max="13061" width="13.42578125" style="3" customWidth="1"/>
    <col min="13062" max="13062" width="12.7109375" style="3" customWidth="1"/>
    <col min="13063" max="13063" width="14" style="3" customWidth="1"/>
    <col min="13064" max="13064" width="7.42578125" style="3" customWidth="1"/>
    <col min="13065" max="13312" width="11.42578125" style="3"/>
    <col min="13313" max="13313" width="15.85546875" style="3" customWidth="1"/>
    <col min="13314" max="13314" width="14.85546875" style="3" customWidth="1"/>
    <col min="13315" max="13315" width="13.28515625" style="3" customWidth="1"/>
    <col min="13316" max="13316" width="11.42578125" style="3"/>
    <col min="13317" max="13317" width="13.42578125" style="3" customWidth="1"/>
    <col min="13318" max="13318" width="12.7109375" style="3" customWidth="1"/>
    <col min="13319" max="13319" width="14" style="3" customWidth="1"/>
    <col min="13320" max="13320" width="7.42578125" style="3" customWidth="1"/>
    <col min="13321" max="13568" width="11.42578125" style="3"/>
    <col min="13569" max="13569" width="15.85546875" style="3" customWidth="1"/>
    <col min="13570" max="13570" width="14.85546875" style="3" customWidth="1"/>
    <col min="13571" max="13571" width="13.28515625" style="3" customWidth="1"/>
    <col min="13572" max="13572" width="11.42578125" style="3"/>
    <col min="13573" max="13573" width="13.42578125" style="3" customWidth="1"/>
    <col min="13574" max="13574" width="12.7109375" style="3" customWidth="1"/>
    <col min="13575" max="13575" width="14" style="3" customWidth="1"/>
    <col min="13576" max="13576" width="7.42578125" style="3" customWidth="1"/>
    <col min="13577" max="13824" width="11.42578125" style="3"/>
    <col min="13825" max="13825" width="15.85546875" style="3" customWidth="1"/>
    <col min="13826" max="13826" width="14.85546875" style="3" customWidth="1"/>
    <col min="13827" max="13827" width="13.28515625" style="3" customWidth="1"/>
    <col min="13828" max="13828" width="11.42578125" style="3"/>
    <col min="13829" max="13829" width="13.42578125" style="3" customWidth="1"/>
    <col min="13830" max="13830" width="12.7109375" style="3" customWidth="1"/>
    <col min="13831" max="13831" width="14" style="3" customWidth="1"/>
    <col min="13832" max="13832" width="7.42578125" style="3" customWidth="1"/>
    <col min="13833" max="14080" width="11.42578125" style="3"/>
    <col min="14081" max="14081" width="15.85546875" style="3" customWidth="1"/>
    <col min="14082" max="14082" width="14.85546875" style="3" customWidth="1"/>
    <col min="14083" max="14083" width="13.28515625" style="3" customWidth="1"/>
    <col min="14084" max="14084" width="11.42578125" style="3"/>
    <col min="14085" max="14085" width="13.42578125" style="3" customWidth="1"/>
    <col min="14086" max="14086" width="12.7109375" style="3" customWidth="1"/>
    <col min="14087" max="14087" width="14" style="3" customWidth="1"/>
    <col min="14088" max="14088" width="7.42578125" style="3" customWidth="1"/>
    <col min="14089" max="14336" width="11.42578125" style="3"/>
    <col min="14337" max="14337" width="15.85546875" style="3" customWidth="1"/>
    <col min="14338" max="14338" width="14.85546875" style="3" customWidth="1"/>
    <col min="14339" max="14339" width="13.28515625" style="3" customWidth="1"/>
    <col min="14340" max="14340" width="11.42578125" style="3"/>
    <col min="14341" max="14341" width="13.42578125" style="3" customWidth="1"/>
    <col min="14342" max="14342" width="12.7109375" style="3" customWidth="1"/>
    <col min="14343" max="14343" width="14" style="3" customWidth="1"/>
    <col min="14344" max="14344" width="7.42578125" style="3" customWidth="1"/>
    <col min="14345" max="14592" width="11.42578125" style="3"/>
    <col min="14593" max="14593" width="15.85546875" style="3" customWidth="1"/>
    <col min="14594" max="14594" width="14.85546875" style="3" customWidth="1"/>
    <col min="14595" max="14595" width="13.28515625" style="3" customWidth="1"/>
    <col min="14596" max="14596" width="11.42578125" style="3"/>
    <col min="14597" max="14597" width="13.42578125" style="3" customWidth="1"/>
    <col min="14598" max="14598" width="12.7109375" style="3" customWidth="1"/>
    <col min="14599" max="14599" width="14" style="3" customWidth="1"/>
    <col min="14600" max="14600" width="7.42578125" style="3" customWidth="1"/>
    <col min="14601" max="14848" width="11.42578125" style="3"/>
    <col min="14849" max="14849" width="15.85546875" style="3" customWidth="1"/>
    <col min="14850" max="14850" width="14.85546875" style="3" customWidth="1"/>
    <col min="14851" max="14851" width="13.28515625" style="3" customWidth="1"/>
    <col min="14852" max="14852" width="11.42578125" style="3"/>
    <col min="14853" max="14853" width="13.42578125" style="3" customWidth="1"/>
    <col min="14854" max="14854" width="12.7109375" style="3" customWidth="1"/>
    <col min="14855" max="14855" width="14" style="3" customWidth="1"/>
    <col min="14856" max="14856" width="7.42578125" style="3" customWidth="1"/>
    <col min="14857" max="15104" width="11.42578125" style="3"/>
    <col min="15105" max="15105" width="15.85546875" style="3" customWidth="1"/>
    <col min="15106" max="15106" width="14.85546875" style="3" customWidth="1"/>
    <col min="15107" max="15107" width="13.28515625" style="3" customWidth="1"/>
    <col min="15108" max="15108" width="11.42578125" style="3"/>
    <col min="15109" max="15109" width="13.42578125" style="3" customWidth="1"/>
    <col min="15110" max="15110" width="12.7109375" style="3" customWidth="1"/>
    <col min="15111" max="15111" width="14" style="3" customWidth="1"/>
    <col min="15112" max="15112" width="7.42578125" style="3" customWidth="1"/>
    <col min="15113" max="15360" width="11.42578125" style="3"/>
    <col min="15361" max="15361" width="15.85546875" style="3" customWidth="1"/>
    <col min="15362" max="15362" width="14.85546875" style="3" customWidth="1"/>
    <col min="15363" max="15363" width="13.28515625" style="3" customWidth="1"/>
    <col min="15364" max="15364" width="11.42578125" style="3"/>
    <col min="15365" max="15365" width="13.42578125" style="3" customWidth="1"/>
    <col min="15366" max="15366" width="12.7109375" style="3" customWidth="1"/>
    <col min="15367" max="15367" width="14" style="3" customWidth="1"/>
    <col min="15368" max="15368" width="7.42578125" style="3" customWidth="1"/>
    <col min="15369" max="15616" width="11.42578125" style="3"/>
    <col min="15617" max="15617" width="15.85546875" style="3" customWidth="1"/>
    <col min="15618" max="15618" width="14.85546875" style="3" customWidth="1"/>
    <col min="15619" max="15619" width="13.28515625" style="3" customWidth="1"/>
    <col min="15620" max="15620" width="11.42578125" style="3"/>
    <col min="15621" max="15621" width="13.42578125" style="3" customWidth="1"/>
    <col min="15622" max="15622" width="12.7109375" style="3" customWidth="1"/>
    <col min="15623" max="15623" width="14" style="3" customWidth="1"/>
    <col min="15624" max="15624" width="7.42578125" style="3" customWidth="1"/>
    <col min="15625" max="15872" width="11.42578125" style="3"/>
    <col min="15873" max="15873" width="15.85546875" style="3" customWidth="1"/>
    <col min="15874" max="15874" width="14.85546875" style="3" customWidth="1"/>
    <col min="15875" max="15875" width="13.28515625" style="3" customWidth="1"/>
    <col min="15876" max="15876" width="11.42578125" style="3"/>
    <col min="15877" max="15877" width="13.42578125" style="3" customWidth="1"/>
    <col min="15878" max="15878" width="12.7109375" style="3" customWidth="1"/>
    <col min="15879" max="15879" width="14" style="3" customWidth="1"/>
    <col min="15880" max="15880" width="7.42578125" style="3" customWidth="1"/>
    <col min="15881" max="16128" width="11.42578125" style="3"/>
    <col min="16129" max="16129" width="15.85546875" style="3" customWidth="1"/>
    <col min="16130" max="16130" width="14.85546875" style="3" customWidth="1"/>
    <col min="16131" max="16131" width="13.28515625" style="3" customWidth="1"/>
    <col min="16132" max="16132" width="11.42578125" style="3"/>
    <col min="16133" max="16133" width="13.42578125" style="3" customWidth="1"/>
    <col min="16134" max="16134" width="12.7109375" style="3" customWidth="1"/>
    <col min="16135" max="16135" width="14" style="3" customWidth="1"/>
    <col min="16136" max="16136" width="7.42578125" style="3" customWidth="1"/>
    <col min="16137" max="16384" width="11.42578125" style="3"/>
  </cols>
  <sheetData>
    <row r="1" spans="1:21" ht="48" customHeight="1">
      <c r="A1" s="1346" t="str">
        <f>PPTO!D3</f>
        <v>PRESUPUESTO
MUNICIPIO EL BAGRE (ANTIOQUIA).</v>
      </c>
      <c r="B1" s="1347"/>
      <c r="C1" s="1347"/>
      <c r="D1" s="1347"/>
      <c r="E1" s="1347"/>
      <c r="F1" s="1347"/>
      <c r="G1" s="1348"/>
      <c r="H1" s="1"/>
      <c r="I1" s="2"/>
    </row>
    <row r="2" spans="1:21" ht="18" customHeight="1">
      <c r="A2" s="1362" t="s">
        <v>16</v>
      </c>
      <c r="B2" s="1363"/>
      <c r="C2" s="1363"/>
      <c r="D2" s="1363"/>
      <c r="E2" s="1363"/>
      <c r="F2" s="1363"/>
      <c r="G2" s="1364"/>
      <c r="H2" s="1"/>
      <c r="I2" s="2"/>
    </row>
    <row r="3" spans="1:21" ht="27" customHeight="1">
      <c r="A3" s="1367" t="str">
        <f>+PPTO!$D$5</f>
        <v>PROYECTO DE MEJORAMIENTO VIAL, ESPACIO PUBLICO Y OBRAS COMPLEMENTARIAS DE LA AVENIDA LA JUVENTUD Y TRAMOS ADYACENTES Y PRIORITARIOS DEL SECTOR URBANO EN EL MUNICIPIO EL BAGRE ANTIOQUIA.</v>
      </c>
      <c r="B3" s="1368"/>
      <c r="C3" s="1368"/>
      <c r="D3" s="1368"/>
      <c r="E3" s="1368"/>
      <c r="F3" s="1368"/>
      <c r="G3" s="1369"/>
      <c r="H3" s="1"/>
      <c r="I3" s="2"/>
    </row>
    <row r="4" spans="1:21" ht="30" customHeight="1">
      <c r="A4" s="1370"/>
      <c r="B4" s="1368"/>
      <c r="C4" s="1368"/>
      <c r="D4" s="1368"/>
      <c r="E4" s="1368"/>
      <c r="F4" s="1368"/>
      <c r="G4" s="1369"/>
      <c r="H4" s="1"/>
      <c r="I4" s="2"/>
    </row>
    <row r="5" spans="1:21" ht="6.75" customHeight="1">
      <c r="A5" s="222"/>
      <c r="B5" s="6"/>
      <c r="C5" s="24"/>
      <c r="D5" s="25"/>
      <c r="E5" s="6"/>
      <c r="F5" s="6"/>
      <c r="G5" s="223"/>
      <c r="H5" s="9"/>
    </row>
    <row r="6" spans="1:21" ht="52.5" customHeight="1">
      <c r="A6" s="368">
        <v>6.8</v>
      </c>
      <c r="B6" s="1349" t="str">
        <f>VLOOKUP(A6,PPTO!D9:I136,2,FALSE)</f>
        <v>Suministro e instalacion tuberia en PVC Novafort 18"</v>
      </c>
      <c r="C6" s="1350"/>
      <c r="D6" s="1350"/>
      <c r="E6" s="1351"/>
      <c r="F6" s="192" t="s">
        <v>118</v>
      </c>
      <c r="G6" s="248" t="str">
        <f>VLOOKUP(A6,PPTO!D9:I136,3,FALSE)</f>
        <v>m</v>
      </c>
      <c r="H6" s="9"/>
    </row>
    <row r="7" spans="1:21" ht="3.75" customHeight="1">
      <c r="A7" s="226"/>
      <c r="B7" s="4"/>
      <c r="C7" s="6"/>
      <c r="D7" s="4"/>
      <c r="E7" s="4"/>
      <c r="F7" s="4"/>
      <c r="G7" s="227"/>
      <c r="H7" s="9"/>
    </row>
    <row r="8" spans="1:21" ht="22.5" customHeight="1">
      <c r="A8" s="1354" t="s">
        <v>69</v>
      </c>
      <c r="B8" s="1355"/>
      <c r="C8" s="1355"/>
      <c r="D8" s="1355"/>
      <c r="E8" s="1355"/>
      <c r="F8" s="1355"/>
      <c r="G8" s="1356"/>
      <c r="H8" s="9"/>
    </row>
    <row r="9" spans="1:21" ht="4.5" customHeight="1">
      <c r="A9" s="226"/>
      <c r="B9" s="4"/>
      <c r="C9" s="6"/>
      <c r="D9" s="4"/>
      <c r="E9" s="4"/>
      <c r="F9" s="4"/>
      <c r="G9" s="227"/>
      <c r="H9" s="9"/>
      <c r="I9" s="5"/>
      <c r="J9" s="5"/>
      <c r="K9" s="5"/>
      <c r="L9" s="26"/>
      <c r="M9" s="5"/>
      <c r="N9" s="5"/>
      <c r="O9" s="5"/>
      <c r="P9" s="5"/>
    </row>
    <row r="10" spans="1:21">
      <c r="A10" s="1373" t="s">
        <v>17</v>
      </c>
      <c r="B10" s="1374"/>
      <c r="C10" s="1374"/>
      <c r="D10" s="346" t="s">
        <v>18</v>
      </c>
      <c r="E10" s="346" t="s">
        <v>19</v>
      </c>
      <c r="F10" s="346" t="s">
        <v>20</v>
      </c>
      <c r="G10" s="228" t="s">
        <v>21</v>
      </c>
      <c r="H10" s="27"/>
      <c r="I10" s="28"/>
      <c r="J10" s="29"/>
      <c r="K10" s="30"/>
      <c r="L10" s="30"/>
      <c r="M10" s="30"/>
      <c r="N10" s="30"/>
      <c r="O10" s="30"/>
      <c r="P10" s="5"/>
    </row>
    <row r="11" spans="1:21">
      <c r="A11" s="1352" t="s">
        <v>47</v>
      </c>
      <c r="B11" s="1353"/>
      <c r="C11" s="1353"/>
      <c r="D11" s="346"/>
      <c r="E11" s="83"/>
      <c r="F11" s="97"/>
      <c r="G11" s="229">
        <f>+G39*10%</f>
        <v>1527</v>
      </c>
      <c r="H11" s="9"/>
      <c r="I11" s="30"/>
      <c r="J11" s="31"/>
      <c r="K11" s="30"/>
      <c r="L11" s="30"/>
      <c r="M11" s="30"/>
      <c r="N11" s="30"/>
      <c r="O11" s="30"/>
      <c r="P11" s="5"/>
    </row>
    <row r="12" spans="1:21">
      <c r="A12" s="1371"/>
      <c r="B12" s="1372"/>
      <c r="C12" s="1372"/>
      <c r="D12" s="83"/>
      <c r="E12" s="83"/>
      <c r="F12" s="93"/>
      <c r="G12" s="229"/>
      <c r="H12" s="9"/>
      <c r="I12" s="16"/>
      <c r="J12" s="13"/>
      <c r="K12" s="8"/>
      <c r="L12" s="8"/>
      <c r="M12" s="8"/>
      <c r="N12" s="8"/>
      <c r="O12" s="8"/>
      <c r="P12" s="5"/>
    </row>
    <row r="13" spans="1:21">
      <c r="A13" s="1371"/>
      <c r="B13" s="1372"/>
      <c r="C13" s="1372"/>
      <c r="D13" s="83"/>
      <c r="E13" s="83"/>
      <c r="F13" s="93"/>
      <c r="G13" s="229"/>
      <c r="H13" s="9"/>
      <c r="I13" s="13"/>
      <c r="J13" s="13"/>
      <c r="K13" s="13"/>
      <c r="L13" s="13"/>
      <c r="M13" s="13"/>
      <c r="N13" s="13"/>
      <c r="O13" s="13"/>
      <c r="P13" s="5"/>
    </row>
    <row r="14" spans="1:21">
      <c r="A14" s="1371"/>
      <c r="B14" s="1372"/>
      <c r="C14" s="1372"/>
      <c r="D14" s="83"/>
      <c r="E14" s="83"/>
      <c r="F14" s="93"/>
      <c r="G14" s="229"/>
      <c r="H14" s="9"/>
      <c r="I14" s="8"/>
      <c r="J14" s="14"/>
      <c r="K14" s="32"/>
      <c r="L14" s="14"/>
      <c r="M14" s="15"/>
      <c r="N14" s="15"/>
      <c r="O14" s="19"/>
      <c r="P14" s="5"/>
    </row>
    <row r="15" spans="1:21">
      <c r="A15" s="1371"/>
      <c r="B15" s="1372"/>
      <c r="C15" s="1372"/>
      <c r="D15" s="83"/>
      <c r="E15" s="83"/>
      <c r="F15" s="98"/>
      <c r="G15" s="229"/>
      <c r="H15" s="9"/>
      <c r="I15" s="8"/>
      <c r="J15" s="33"/>
      <c r="K15" s="32"/>
      <c r="L15" s="14"/>
      <c r="M15" s="15"/>
      <c r="N15" s="15"/>
      <c r="O15" s="19"/>
      <c r="P15" s="5"/>
      <c r="Q15" s="5"/>
      <c r="R15" s="5"/>
      <c r="S15" s="5"/>
      <c r="T15" s="5"/>
      <c r="U15" s="5"/>
    </row>
    <row r="16" spans="1:21">
      <c r="A16" s="1371"/>
      <c r="B16" s="1372"/>
      <c r="C16" s="1372"/>
      <c r="D16" s="85" t="s">
        <v>37</v>
      </c>
      <c r="E16" s="50"/>
      <c r="F16" s="49"/>
      <c r="G16" s="230">
        <f>SUM(G11:G15)</f>
        <v>1527</v>
      </c>
      <c r="H16" s="9"/>
      <c r="I16" s="34"/>
      <c r="J16" s="34"/>
      <c r="K16" s="35"/>
      <c r="L16" s="36"/>
      <c r="M16" s="7"/>
      <c r="N16" s="7"/>
      <c r="O16" s="19"/>
      <c r="P16" s="5"/>
      <c r="Q16" s="5"/>
      <c r="R16" s="5"/>
      <c r="S16" s="5"/>
      <c r="T16" s="5"/>
      <c r="U16" s="5"/>
    </row>
    <row r="17" spans="1:21" ht="4.5" customHeight="1">
      <c r="A17" s="226"/>
      <c r="B17" s="4"/>
      <c r="C17" s="6"/>
      <c r="D17" s="4"/>
      <c r="E17" s="4"/>
      <c r="F17" s="4"/>
      <c r="G17" s="227"/>
      <c r="H17" s="9"/>
      <c r="I17" s="34"/>
      <c r="J17" s="34"/>
      <c r="K17" s="35"/>
      <c r="L17" s="36"/>
      <c r="M17" s="7"/>
      <c r="N17" s="7"/>
      <c r="O17" s="19"/>
      <c r="P17" s="5"/>
      <c r="Q17" s="5"/>
      <c r="R17" s="5"/>
      <c r="S17" s="5"/>
      <c r="T17" s="5"/>
      <c r="U17" s="5"/>
    </row>
    <row r="18" spans="1:21" ht="22.5" customHeight="1">
      <c r="A18" s="1354" t="s">
        <v>70</v>
      </c>
      <c r="B18" s="1355"/>
      <c r="C18" s="1355"/>
      <c r="D18" s="1355"/>
      <c r="E18" s="1355"/>
      <c r="F18" s="1355"/>
      <c r="G18" s="1356"/>
      <c r="H18" s="9"/>
    </row>
    <row r="19" spans="1:21" ht="4.5" customHeight="1">
      <c r="A19" s="226"/>
      <c r="B19" s="4"/>
      <c r="C19" s="6"/>
      <c r="D19" s="4"/>
      <c r="E19" s="4"/>
      <c r="F19" s="38"/>
      <c r="G19" s="227"/>
      <c r="H19" s="9"/>
      <c r="I19" s="34"/>
      <c r="J19" s="34"/>
      <c r="K19" s="35"/>
      <c r="L19" s="39"/>
      <c r="M19" s="7"/>
      <c r="N19" s="7"/>
      <c r="O19" s="8"/>
      <c r="P19" s="5"/>
      <c r="Q19" s="5"/>
      <c r="R19" s="5"/>
      <c r="S19" s="5"/>
      <c r="T19" s="5"/>
      <c r="U19" s="5"/>
    </row>
    <row r="20" spans="1:21">
      <c r="A20" s="1373" t="s">
        <v>17</v>
      </c>
      <c r="B20" s="1374"/>
      <c r="C20" s="1374"/>
      <c r="D20" s="346" t="s">
        <v>3</v>
      </c>
      <c r="E20" s="346" t="s">
        <v>4</v>
      </c>
      <c r="F20" s="346" t="s">
        <v>25</v>
      </c>
      <c r="G20" s="228" t="s">
        <v>21</v>
      </c>
      <c r="H20" s="27"/>
      <c r="I20" s="34"/>
      <c r="J20" s="34"/>
      <c r="K20" s="35"/>
      <c r="L20" s="39"/>
      <c r="M20" s="7"/>
      <c r="N20" s="7"/>
      <c r="O20" s="8"/>
      <c r="P20" s="5"/>
      <c r="Q20" s="5"/>
      <c r="R20" s="5"/>
      <c r="S20" s="5"/>
      <c r="T20" s="5"/>
      <c r="U20" s="5"/>
    </row>
    <row r="21" spans="1:21" ht="31.5" customHeight="1">
      <c r="A21" s="1441" t="s">
        <v>224</v>
      </c>
      <c r="B21" s="1442"/>
      <c r="C21" s="1443"/>
      <c r="D21" s="118" t="s">
        <v>51</v>
      </c>
      <c r="E21" s="119">
        <v>1</v>
      </c>
      <c r="F21" s="87">
        <f>1218944/6*IPC</f>
        <v>209618</v>
      </c>
      <c r="G21" s="231">
        <f>ROUND(F21*E21,0)</f>
        <v>209618</v>
      </c>
      <c r="H21" s="9"/>
      <c r="I21" s="34"/>
      <c r="J21" s="34"/>
      <c r="K21" s="35"/>
      <c r="L21" s="36"/>
      <c r="M21" s="7"/>
      <c r="N21" s="7"/>
      <c r="O21" s="19"/>
      <c r="P21" s="5"/>
      <c r="Q21" s="5"/>
      <c r="R21" s="5"/>
      <c r="S21" s="5"/>
      <c r="T21" s="5"/>
      <c r="U21" s="5"/>
    </row>
    <row r="22" spans="1:21" ht="27.75" customHeight="1">
      <c r="A22" s="1444"/>
      <c r="B22" s="1403"/>
      <c r="C22" s="1404"/>
      <c r="D22" s="116"/>
      <c r="E22" s="117"/>
      <c r="F22" s="91"/>
      <c r="G22" s="231"/>
      <c r="H22" s="9"/>
      <c r="I22" s="10"/>
      <c r="J22" s="10"/>
      <c r="K22" s="12"/>
      <c r="L22" s="39"/>
      <c r="M22" s="7"/>
      <c r="N22" s="7"/>
      <c r="O22" s="15"/>
      <c r="P22" s="5"/>
      <c r="Q22" s="5"/>
      <c r="R22" s="5"/>
      <c r="S22" s="5"/>
      <c r="T22" s="5"/>
      <c r="U22" s="5"/>
    </row>
    <row r="23" spans="1:21">
      <c r="A23" s="1386"/>
      <c r="B23" s="1353"/>
      <c r="C23" s="1353"/>
      <c r="D23" s="79"/>
      <c r="E23" s="82"/>
      <c r="F23" s="83"/>
      <c r="G23" s="67"/>
      <c r="H23" s="9"/>
      <c r="I23" s="10"/>
      <c r="J23" s="10"/>
      <c r="K23" s="12"/>
      <c r="L23" s="39"/>
      <c r="M23" s="7"/>
      <c r="N23" s="7"/>
      <c r="O23" s="15"/>
      <c r="P23" s="5"/>
      <c r="Q23" s="5"/>
      <c r="R23" s="5"/>
      <c r="S23" s="5"/>
      <c r="T23" s="5"/>
      <c r="U23" s="5"/>
    </row>
    <row r="24" spans="1:21">
      <c r="A24" s="1352"/>
      <c r="B24" s="1353"/>
      <c r="C24" s="1353"/>
      <c r="D24" s="81"/>
      <c r="E24" s="88"/>
      <c r="F24" s="78"/>
      <c r="G24" s="231"/>
      <c r="H24" s="9"/>
      <c r="I24" s="10"/>
      <c r="J24" s="40"/>
      <c r="K24" s="12"/>
      <c r="L24" s="13"/>
      <c r="M24" s="14"/>
      <c r="N24" s="14"/>
      <c r="O24" s="15"/>
      <c r="P24" s="5"/>
      <c r="Q24" s="5"/>
      <c r="R24" s="5"/>
      <c r="S24" s="5"/>
      <c r="T24" s="5"/>
      <c r="U24" s="5"/>
    </row>
    <row r="25" spans="1:21">
      <c r="A25" s="1352"/>
      <c r="B25" s="1353"/>
      <c r="C25" s="1353"/>
      <c r="D25" s="81"/>
      <c r="E25" s="82"/>
      <c r="F25" s="78"/>
      <c r="G25" s="231"/>
      <c r="H25" s="9"/>
      <c r="I25" s="10"/>
      <c r="J25" s="11"/>
      <c r="K25" s="12"/>
      <c r="L25" s="13"/>
      <c r="M25" s="14"/>
      <c r="N25" s="14"/>
      <c r="O25" s="15"/>
      <c r="P25" s="5"/>
      <c r="Q25" s="5"/>
      <c r="R25" s="5"/>
      <c r="S25" s="5"/>
      <c r="T25" s="5"/>
      <c r="U25" s="5"/>
    </row>
    <row r="26" spans="1:21">
      <c r="A26" s="1352"/>
      <c r="B26" s="1353"/>
      <c r="C26" s="1353"/>
      <c r="D26" s="79"/>
      <c r="E26" s="82"/>
      <c r="F26" s="78"/>
      <c r="G26" s="231"/>
      <c r="H26" s="9"/>
      <c r="I26" s="10"/>
      <c r="J26" s="11"/>
      <c r="K26" s="12"/>
      <c r="L26" s="13"/>
      <c r="M26" s="14"/>
      <c r="N26" s="14"/>
      <c r="O26" s="15"/>
      <c r="P26" s="5"/>
      <c r="Q26" s="5"/>
      <c r="R26" s="5"/>
      <c r="S26" s="5"/>
      <c r="T26" s="5"/>
      <c r="U26" s="5"/>
    </row>
    <row r="27" spans="1:21">
      <c r="A27" s="1352"/>
      <c r="B27" s="1353"/>
      <c r="C27" s="1353"/>
      <c r="D27" s="79"/>
      <c r="E27" s="82"/>
      <c r="F27" s="78"/>
      <c r="G27" s="231"/>
      <c r="H27" s="9"/>
      <c r="I27" s="10"/>
      <c r="J27" s="11"/>
      <c r="K27" s="12"/>
      <c r="L27" s="13"/>
      <c r="M27" s="14"/>
      <c r="N27" s="14"/>
      <c r="O27" s="15"/>
      <c r="P27" s="5"/>
      <c r="Q27" s="5"/>
      <c r="R27" s="5"/>
      <c r="S27" s="5"/>
      <c r="T27" s="5"/>
      <c r="U27" s="5"/>
    </row>
    <row r="28" spans="1:21">
      <c r="A28" s="1352"/>
      <c r="B28" s="1353"/>
      <c r="C28" s="1353"/>
      <c r="D28" s="79"/>
      <c r="E28" s="82"/>
      <c r="F28" s="83"/>
      <c r="G28" s="231"/>
      <c r="H28" s="9"/>
      <c r="I28" s="41"/>
      <c r="J28" s="41"/>
      <c r="K28" s="12"/>
      <c r="L28" s="13"/>
      <c r="M28" s="14"/>
      <c r="N28" s="14"/>
      <c r="O28" s="15"/>
      <c r="P28" s="5"/>
      <c r="Q28" s="5"/>
      <c r="R28" s="5"/>
      <c r="S28" s="5"/>
      <c r="T28" s="5"/>
      <c r="U28" s="5"/>
    </row>
    <row r="29" spans="1:21">
      <c r="A29" s="1352"/>
      <c r="B29" s="1353"/>
      <c r="C29" s="1353"/>
      <c r="D29" s="84"/>
      <c r="E29" s="84"/>
      <c r="F29" s="83"/>
      <c r="G29" s="231"/>
      <c r="H29" s="9"/>
      <c r="I29" s="42"/>
      <c r="J29" s="42"/>
      <c r="K29" s="42"/>
      <c r="L29" s="13"/>
      <c r="M29" s="14"/>
      <c r="N29" s="14"/>
      <c r="O29" s="15"/>
      <c r="P29" s="5"/>
      <c r="Q29" s="5"/>
      <c r="R29" s="5"/>
      <c r="S29" s="5"/>
      <c r="T29" s="5"/>
      <c r="U29" s="5"/>
    </row>
    <row r="30" spans="1:21">
      <c r="A30" s="1352"/>
      <c r="B30" s="1353"/>
      <c r="C30" s="1353"/>
      <c r="D30" s="85" t="s">
        <v>28</v>
      </c>
      <c r="E30" s="50"/>
      <c r="F30" s="49"/>
      <c r="G30" s="230">
        <f>SUM(G21:G29)</f>
        <v>209618</v>
      </c>
      <c r="H30" s="9"/>
      <c r="I30" s="8"/>
      <c r="J30" s="13"/>
      <c r="K30" s="8"/>
      <c r="L30" s="13"/>
      <c r="M30" s="14"/>
      <c r="N30" s="14"/>
      <c r="O30" s="15"/>
      <c r="P30" s="5"/>
    </row>
    <row r="31" spans="1:21" ht="3.75" customHeight="1">
      <c r="A31" s="226"/>
      <c r="B31" s="4"/>
      <c r="C31" s="6"/>
      <c r="D31" s="4"/>
      <c r="E31" s="4"/>
      <c r="F31" s="4"/>
      <c r="G31" s="227"/>
      <c r="H31" s="9"/>
      <c r="I31" s="8"/>
      <c r="J31" s="13"/>
      <c r="K31" s="18"/>
      <c r="L31" s="13"/>
      <c r="M31" s="33"/>
      <c r="N31" s="33"/>
      <c r="O31" s="15"/>
      <c r="P31" s="5"/>
    </row>
    <row r="32" spans="1:21" ht="22.5" customHeight="1">
      <c r="A32" s="1354" t="s">
        <v>71</v>
      </c>
      <c r="B32" s="1355"/>
      <c r="C32" s="1355"/>
      <c r="D32" s="1355"/>
      <c r="E32" s="1355"/>
      <c r="F32" s="1355"/>
      <c r="G32" s="1356"/>
      <c r="H32" s="9"/>
    </row>
    <row r="33" spans="1:16" ht="3.75" customHeight="1">
      <c r="A33" s="226"/>
      <c r="B33" s="4"/>
      <c r="C33" s="6"/>
      <c r="D33" s="4"/>
      <c r="E33" s="4"/>
      <c r="F33" s="4"/>
      <c r="G33" s="227"/>
      <c r="H33" s="9"/>
      <c r="I33" s="8"/>
      <c r="J33" s="13"/>
      <c r="K33" s="8"/>
      <c r="L33" s="8"/>
      <c r="M33" s="8"/>
      <c r="N33" s="8"/>
      <c r="O33" s="15"/>
      <c r="P33" s="5"/>
    </row>
    <row r="34" spans="1:16">
      <c r="A34" s="232" t="s">
        <v>5</v>
      </c>
      <c r="B34" s="60" t="s">
        <v>29</v>
      </c>
      <c r="C34" s="60" t="s">
        <v>30</v>
      </c>
      <c r="D34" s="60" t="s">
        <v>31</v>
      </c>
      <c r="E34" s="60" t="s">
        <v>32</v>
      </c>
      <c r="F34" s="60" t="s">
        <v>20</v>
      </c>
      <c r="G34" s="228" t="s">
        <v>33</v>
      </c>
      <c r="H34" s="27"/>
      <c r="I34" s="8"/>
      <c r="J34" s="13"/>
      <c r="K34" s="8"/>
      <c r="L34" s="8"/>
      <c r="M34" s="8"/>
      <c r="N34" s="8"/>
      <c r="O34" s="15"/>
      <c r="P34" s="5"/>
    </row>
    <row r="35" spans="1:16">
      <c r="A35" s="233" t="s">
        <v>41</v>
      </c>
      <c r="B35" s="63">
        <f>BOF</f>
        <v>51749</v>
      </c>
      <c r="C35" s="68">
        <f>ffpp</f>
        <v>0.64539999999999997</v>
      </c>
      <c r="D35" s="72">
        <v>1</v>
      </c>
      <c r="E35" s="66">
        <f>OF</f>
        <v>88696</v>
      </c>
      <c r="F35" s="65">
        <v>20</v>
      </c>
      <c r="G35" s="231">
        <f>ROUND(+D35*E35/F35,0)</f>
        <v>4435</v>
      </c>
      <c r="H35" s="9"/>
      <c r="I35" s="16"/>
      <c r="J35" s="13"/>
      <c r="K35" s="8"/>
      <c r="L35" s="8"/>
      <c r="M35" s="8"/>
      <c r="N35" s="8"/>
      <c r="O35" s="15"/>
      <c r="P35" s="5"/>
    </row>
    <row r="36" spans="1:16">
      <c r="A36" s="233" t="s">
        <v>38</v>
      </c>
      <c r="B36" s="63">
        <f>BOB</f>
        <v>41749</v>
      </c>
      <c r="C36" s="68">
        <f>ffpp</f>
        <v>0.64539999999999997</v>
      </c>
      <c r="D36" s="72">
        <v>3</v>
      </c>
      <c r="E36" s="66">
        <f>OB</f>
        <v>72242</v>
      </c>
      <c r="F36" s="65">
        <f>F35</f>
        <v>20</v>
      </c>
      <c r="G36" s="231">
        <f>ROUND(+D36*E36/F36,0)</f>
        <v>10836</v>
      </c>
      <c r="H36" s="9"/>
      <c r="I36" s="8"/>
      <c r="J36" s="8"/>
      <c r="K36" s="13"/>
      <c r="L36" s="13"/>
      <c r="M36" s="13"/>
      <c r="N36" s="13"/>
      <c r="O36" s="13"/>
      <c r="P36" s="5"/>
    </row>
    <row r="37" spans="1:16">
      <c r="A37" s="234"/>
      <c r="B37" s="50"/>
      <c r="C37" s="961"/>
      <c r="D37" s="50"/>
      <c r="E37" s="66"/>
      <c r="F37" s="65"/>
      <c r="G37" s="231"/>
      <c r="H37" s="9"/>
      <c r="I37" s="8"/>
      <c r="J37" s="13"/>
      <c r="K37" s="13"/>
      <c r="L37" s="13"/>
      <c r="M37" s="33"/>
      <c r="N37" s="33"/>
      <c r="O37" s="43"/>
      <c r="P37" s="5"/>
    </row>
    <row r="38" spans="1:16">
      <c r="A38" s="233"/>
      <c r="B38" s="65"/>
      <c r="C38" s="68"/>
      <c r="D38" s="65"/>
      <c r="E38" s="69"/>
      <c r="F38" s="69"/>
      <c r="G38" s="236"/>
      <c r="H38" s="9"/>
      <c r="I38" s="8"/>
      <c r="J38" s="13"/>
      <c r="K38" s="13"/>
      <c r="L38" s="13"/>
      <c r="M38" s="33"/>
      <c r="N38" s="33"/>
      <c r="O38" s="43"/>
      <c r="P38" s="5"/>
    </row>
    <row r="39" spans="1:16">
      <c r="A39" s="249"/>
      <c r="B39" s="71"/>
      <c r="C39" s="71"/>
      <c r="D39" s="71" t="s">
        <v>34</v>
      </c>
      <c r="E39" s="71"/>
      <c r="F39" s="71"/>
      <c r="G39" s="250">
        <f>SUM(G35:G38)</f>
        <v>15271</v>
      </c>
      <c r="H39" s="9"/>
      <c r="I39" s="8"/>
      <c r="J39" s="13"/>
      <c r="K39" s="13"/>
      <c r="L39" s="13"/>
      <c r="M39" s="14"/>
      <c r="N39" s="14"/>
      <c r="O39" s="15"/>
      <c r="P39" s="5"/>
    </row>
    <row r="40" spans="1:16">
      <c r="A40" s="226"/>
      <c r="B40" s="4"/>
      <c r="C40" s="6"/>
      <c r="D40" s="4"/>
      <c r="E40" s="4"/>
      <c r="F40" s="4"/>
      <c r="G40" s="227"/>
      <c r="H40" s="9"/>
      <c r="I40" s="8"/>
      <c r="J40" s="13"/>
      <c r="K40" s="13"/>
      <c r="L40" s="13"/>
      <c r="M40" s="14"/>
      <c r="N40" s="14"/>
      <c r="O40" s="19"/>
      <c r="P40" s="5"/>
    </row>
    <row r="41" spans="1:16">
      <c r="A41" s="226"/>
      <c r="B41" s="4"/>
      <c r="C41" s="6"/>
      <c r="D41" s="4"/>
      <c r="E41" s="4"/>
      <c r="F41" s="4"/>
      <c r="G41" s="227"/>
      <c r="H41" s="9"/>
      <c r="I41" s="8"/>
      <c r="J41" s="13"/>
      <c r="K41" s="13"/>
      <c r="L41" s="13"/>
      <c r="M41" s="17"/>
      <c r="N41" s="17"/>
      <c r="O41" s="37"/>
      <c r="P41" s="5"/>
    </row>
    <row r="42" spans="1:16" ht="14.25">
      <c r="A42" s="226"/>
      <c r="B42" s="4"/>
      <c r="C42" s="6"/>
      <c r="D42" s="1357" t="s">
        <v>35</v>
      </c>
      <c r="E42" s="1358"/>
      <c r="F42" s="1359"/>
      <c r="G42" s="239">
        <f>+G39+G30+G16</f>
        <v>226416</v>
      </c>
      <c r="H42" s="9"/>
      <c r="I42" s="48"/>
      <c r="J42" s="20"/>
      <c r="K42" s="8"/>
      <c r="L42" s="8"/>
      <c r="M42" s="8"/>
      <c r="N42" s="8"/>
      <c r="O42" s="8"/>
      <c r="P42" s="5"/>
    </row>
    <row r="43" spans="1:16" ht="14.25">
      <c r="A43" s="240"/>
      <c r="B43" s="57"/>
      <c r="C43" s="58"/>
      <c r="D43" s="99"/>
      <c r="E43" s="99"/>
      <c r="F43" s="99"/>
      <c r="G43" s="251"/>
      <c r="H43" s="9"/>
      <c r="I43" s="48"/>
      <c r="J43" s="20"/>
      <c r="K43" s="8"/>
      <c r="L43" s="8"/>
      <c r="M43" s="8"/>
      <c r="N43" s="8"/>
      <c r="O43" s="8"/>
      <c r="P43" s="5"/>
    </row>
    <row r="44" spans="1:16" ht="14.25">
      <c r="A44" s="374"/>
      <c r="B44" s="375"/>
      <c r="C44" s="375"/>
      <c r="D44" s="99"/>
      <c r="E44" s="99"/>
      <c r="F44" s="99"/>
      <c r="G44" s="251"/>
      <c r="H44" s="9"/>
      <c r="I44" s="48"/>
      <c r="J44" s="20"/>
      <c r="K44" s="8"/>
      <c r="L44" s="8"/>
      <c r="M44" s="8"/>
      <c r="N44" s="8"/>
      <c r="O44" s="8"/>
      <c r="P44" s="5"/>
    </row>
    <row r="45" spans="1:16" ht="14.25">
      <c r="A45" s="373"/>
      <c r="B45" s="376"/>
      <c r="C45" s="376"/>
      <c r="D45" s="99"/>
      <c r="E45" s="99"/>
      <c r="F45" s="99"/>
      <c r="G45" s="251"/>
      <c r="H45" s="9"/>
      <c r="I45" s="48"/>
      <c r="J45" s="20"/>
      <c r="K45" s="8"/>
      <c r="L45" s="8"/>
      <c r="M45" s="8"/>
      <c r="N45" s="8"/>
      <c r="O45" s="8"/>
      <c r="P45" s="5"/>
    </row>
    <row r="46" spans="1:16" ht="14.25">
      <c r="A46" s="373"/>
      <c r="B46" s="376"/>
      <c r="C46" s="376"/>
      <c r="D46" s="44"/>
      <c r="E46" s="45"/>
      <c r="F46" s="45"/>
      <c r="G46" s="251"/>
      <c r="H46" s="9"/>
      <c r="I46" s="8"/>
      <c r="J46" s="13"/>
      <c r="K46" s="8"/>
      <c r="L46" s="8"/>
      <c r="M46" s="8"/>
      <c r="N46" s="8"/>
      <c r="O46" s="8"/>
      <c r="P46" s="5"/>
    </row>
    <row r="47" spans="1:16" ht="15" thickBot="1">
      <c r="A47" s="242"/>
      <c r="B47" s="243"/>
      <c r="C47" s="244"/>
      <c r="D47" s="245"/>
      <c r="E47" s="246"/>
      <c r="F47" s="246"/>
      <c r="G47" s="247"/>
      <c r="H47" s="9"/>
      <c r="I47" s="8"/>
      <c r="J47" s="13"/>
      <c r="K47" s="8"/>
      <c r="L47" s="8"/>
      <c r="M47" s="8"/>
      <c r="N47" s="8"/>
      <c r="O47" s="8"/>
      <c r="P47" s="5"/>
    </row>
    <row r="48" spans="1:16">
      <c r="I48" s="5"/>
      <c r="J48" s="5"/>
      <c r="K48" s="5"/>
      <c r="L48" s="5"/>
      <c r="M48" s="5"/>
      <c r="N48" s="5"/>
      <c r="O48" s="5"/>
      <c r="P48" s="5"/>
    </row>
    <row r="49" spans="9:16">
      <c r="I49" s="5"/>
      <c r="J49" s="5"/>
      <c r="K49" s="5"/>
      <c r="L49" s="5"/>
      <c r="M49" s="5"/>
      <c r="N49" s="5"/>
      <c r="O49" s="5"/>
      <c r="P49" s="5"/>
    </row>
  </sheetData>
  <mergeCells count="26">
    <mergeCell ref="A32:G32"/>
    <mergeCell ref="D42:F42"/>
    <mergeCell ref="A25:C25"/>
    <mergeCell ref="A26:C26"/>
    <mergeCell ref="A27:C27"/>
    <mergeCell ref="A28:C28"/>
    <mergeCell ref="A29:C29"/>
    <mergeCell ref="A30:C30"/>
    <mergeCell ref="A24:C24"/>
    <mergeCell ref="A11:C11"/>
    <mergeCell ref="A12:C12"/>
    <mergeCell ref="A13:C13"/>
    <mergeCell ref="A14:C14"/>
    <mergeCell ref="A15:C15"/>
    <mergeCell ref="A16:C16"/>
    <mergeCell ref="A18:G18"/>
    <mergeCell ref="A20:C20"/>
    <mergeCell ref="A21:C21"/>
    <mergeCell ref="A22:C22"/>
    <mergeCell ref="A23:C23"/>
    <mergeCell ref="A10:C10"/>
    <mergeCell ref="A1:G1"/>
    <mergeCell ref="A2:G2"/>
    <mergeCell ref="A3:G4"/>
    <mergeCell ref="B6:E6"/>
    <mergeCell ref="A8:G8"/>
  </mergeCells>
  <printOptions horizontalCentered="1" verticalCentered="1"/>
  <pageMargins left="0.74803149606299213" right="0.74803149606299213" top="0" bottom="0.98425196850393704" header="0" footer="0"/>
  <pageSetup scale="90" orientation="portrait" r:id="rId1"/>
  <headerFooter alignWithMargins="0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3"/>
  <dimension ref="A1:U49"/>
  <sheetViews>
    <sheetView view="pageBreakPreview" topLeftCell="A16" zoomScaleNormal="100" zoomScaleSheetLayoutView="100" workbookViewId="0">
      <selection activeCell="F22" sqref="F22"/>
    </sheetView>
  </sheetViews>
  <sheetFormatPr baseColWidth="10" defaultColWidth="10.7109375" defaultRowHeight="12.75"/>
  <cols>
    <col min="1" max="1" width="15.85546875" style="3" customWidth="1"/>
    <col min="2" max="2" width="14.85546875" style="3" customWidth="1"/>
    <col min="3" max="3" width="13.28515625" style="3" customWidth="1"/>
    <col min="4" max="4" width="11.42578125" style="3"/>
    <col min="5" max="5" width="13.42578125" style="3" customWidth="1"/>
    <col min="6" max="6" width="12.7109375" style="3" customWidth="1"/>
    <col min="7" max="7" width="14" style="3" customWidth="1"/>
    <col min="8" max="8" width="7.42578125" style="3" customWidth="1"/>
    <col min="9" max="256" width="11.42578125" style="3"/>
    <col min="257" max="257" width="15.85546875" style="3" customWidth="1"/>
    <col min="258" max="258" width="14.85546875" style="3" customWidth="1"/>
    <col min="259" max="259" width="13.28515625" style="3" customWidth="1"/>
    <col min="260" max="260" width="11.42578125" style="3"/>
    <col min="261" max="261" width="13.42578125" style="3" customWidth="1"/>
    <col min="262" max="262" width="12.7109375" style="3" customWidth="1"/>
    <col min="263" max="263" width="14" style="3" customWidth="1"/>
    <col min="264" max="264" width="7.42578125" style="3" customWidth="1"/>
    <col min="265" max="512" width="11.42578125" style="3"/>
    <col min="513" max="513" width="15.85546875" style="3" customWidth="1"/>
    <col min="514" max="514" width="14.85546875" style="3" customWidth="1"/>
    <col min="515" max="515" width="13.28515625" style="3" customWidth="1"/>
    <col min="516" max="516" width="11.42578125" style="3"/>
    <col min="517" max="517" width="13.42578125" style="3" customWidth="1"/>
    <col min="518" max="518" width="12.7109375" style="3" customWidth="1"/>
    <col min="519" max="519" width="14" style="3" customWidth="1"/>
    <col min="520" max="520" width="7.42578125" style="3" customWidth="1"/>
    <col min="521" max="768" width="11.42578125" style="3"/>
    <col min="769" max="769" width="15.85546875" style="3" customWidth="1"/>
    <col min="770" max="770" width="14.85546875" style="3" customWidth="1"/>
    <col min="771" max="771" width="13.28515625" style="3" customWidth="1"/>
    <col min="772" max="772" width="11.42578125" style="3"/>
    <col min="773" max="773" width="13.42578125" style="3" customWidth="1"/>
    <col min="774" max="774" width="12.7109375" style="3" customWidth="1"/>
    <col min="775" max="775" width="14" style="3" customWidth="1"/>
    <col min="776" max="776" width="7.42578125" style="3" customWidth="1"/>
    <col min="777" max="1024" width="11.42578125" style="3"/>
    <col min="1025" max="1025" width="15.85546875" style="3" customWidth="1"/>
    <col min="1026" max="1026" width="14.85546875" style="3" customWidth="1"/>
    <col min="1027" max="1027" width="13.28515625" style="3" customWidth="1"/>
    <col min="1028" max="1028" width="11.42578125" style="3"/>
    <col min="1029" max="1029" width="13.42578125" style="3" customWidth="1"/>
    <col min="1030" max="1030" width="12.7109375" style="3" customWidth="1"/>
    <col min="1031" max="1031" width="14" style="3" customWidth="1"/>
    <col min="1032" max="1032" width="7.42578125" style="3" customWidth="1"/>
    <col min="1033" max="1280" width="11.42578125" style="3"/>
    <col min="1281" max="1281" width="15.85546875" style="3" customWidth="1"/>
    <col min="1282" max="1282" width="14.85546875" style="3" customWidth="1"/>
    <col min="1283" max="1283" width="13.28515625" style="3" customWidth="1"/>
    <col min="1284" max="1284" width="11.42578125" style="3"/>
    <col min="1285" max="1285" width="13.42578125" style="3" customWidth="1"/>
    <col min="1286" max="1286" width="12.7109375" style="3" customWidth="1"/>
    <col min="1287" max="1287" width="14" style="3" customWidth="1"/>
    <col min="1288" max="1288" width="7.42578125" style="3" customWidth="1"/>
    <col min="1289" max="1536" width="11.42578125" style="3"/>
    <col min="1537" max="1537" width="15.85546875" style="3" customWidth="1"/>
    <col min="1538" max="1538" width="14.85546875" style="3" customWidth="1"/>
    <col min="1539" max="1539" width="13.28515625" style="3" customWidth="1"/>
    <col min="1540" max="1540" width="11.42578125" style="3"/>
    <col min="1541" max="1541" width="13.42578125" style="3" customWidth="1"/>
    <col min="1542" max="1542" width="12.7109375" style="3" customWidth="1"/>
    <col min="1543" max="1543" width="14" style="3" customWidth="1"/>
    <col min="1544" max="1544" width="7.42578125" style="3" customWidth="1"/>
    <col min="1545" max="1792" width="11.42578125" style="3"/>
    <col min="1793" max="1793" width="15.85546875" style="3" customWidth="1"/>
    <col min="1794" max="1794" width="14.85546875" style="3" customWidth="1"/>
    <col min="1795" max="1795" width="13.28515625" style="3" customWidth="1"/>
    <col min="1796" max="1796" width="11.42578125" style="3"/>
    <col min="1797" max="1797" width="13.42578125" style="3" customWidth="1"/>
    <col min="1798" max="1798" width="12.7109375" style="3" customWidth="1"/>
    <col min="1799" max="1799" width="14" style="3" customWidth="1"/>
    <col min="1800" max="1800" width="7.42578125" style="3" customWidth="1"/>
    <col min="1801" max="2048" width="11.42578125" style="3"/>
    <col min="2049" max="2049" width="15.85546875" style="3" customWidth="1"/>
    <col min="2050" max="2050" width="14.85546875" style="3" customWidth="1"/>
    <col min="2051" max="2051" width="13.28515625" style="3" customWidth="1"/>
    <col min="2052" max="2052" width="11.42578125" style="3"/>
    <col min="2053" max="2053" width="13.42578125" style="3" customWidth="1"/>
    <col min="2054" max="2054" width="12.7109375" style="3" customWidth="1"/>
    <col min="2055" max="2055" width="14" style="3" customWidth="1"/>
    <col min="2056" max="2056" width="7.42578125" style="3" customWidth="1"/>
    <col min="2057" max="2304" width="11.42578125" style="3"/>
    <col min="2305" max="2305" width="15.85546875" style="3" customWidth="1"/>
    <col min="2306" max="2306" width="14.85546875" style="3" customWidth="1"/>
    <col min="2307" max="2307" width="13.28515625" style="3" customWidth="1"/>
    <col min="2308" max="2308" width="11.42578125" style="3"/>
    <col min="2309" max="2309" width="13.42578125" style="3" customWidth="1"/>
    <col min="2310" max="2310" width="12.7109375" style="3" customWidth="1"/>
    <col min="2311" max="2311" width="14" style="3" customWidth="1"/>
    <col min="2312" max="2312" width="7.42578125" style="3" customWidth="1"/>
    <col min="2313" max="2560" width="11.42578125" style="3"/>
    <col min="2561" max="2561" width="15.85546875" style="3" customWidth="1"/>
    <col min="2562" max="2562" width="14.85546875" style="3" customWidth="1"/>
    <col min="2563" max="2563" width="13.28515625" style="3" customWidth="1"/>
    <col min="2564" max="2564" width="11.42578125" style="3"/>
    <col min="2565" max="2565" width="13.42578125" style="3" customWidth="1"/>
    <col min="2566" max="2566" width="12.7109375" style="3" customWidth="1"/>
    <col min="2567" max="2567" width="14" style="3" customWidth="1"/>
    <col min="2568" max="2568" width="7.42578125" style="3" customWidth="1"/>
    <col min="2569" max="2816" width="11.42578125" style="3"/>
    <col min="2817" max="2817" width="15.85546875" style="3" customWidth="1"/>
    <col min="2818" max="2818" width="14.85546875" style="3" customWidth="1"/>
    <col min="2819" max="2819" width="13.28515625" style="3" customWidth="1"/>
    <col min="2820" max="2820" width="11.42578125" style="3"/>
    <col min="2821" max="2821" width="13.42578125" style="3" customWidth="1"/>
    <col min="2822" max="2822" width="12.7109375" style="3" customWidth="1"/>
    <col min="2823" max="2823" width="14" style="3" customWidth="1"/>
    <col min="2824" max="2824" width="7.42578125" style="3" customWidth="1"/>
    <col min="2825" max="3072" width="11.42578125" style="3"/>
    <col min="3073" max="3073" width="15.85546875" style="3" customWidth="1"/>
    <col min="3074" max="3074" width="14.85546875" style="3" customWidth="1"/>
    <col min="3075" max="3075" width="13.28515625" style="3" customWidth="1"/>
    <col min="3076" max="3076" width="11.42578125" style="3"/>
    <col min="3077" max="3077" width="13.42578125" style="3" customWidth="1"/>
    <col min="3078" max="3078" width="12.7109375" style="3" customWidth="1"/>
    <col min="3079" max="3079" width="14" style="3" customWidth="1"/>
    <col min="3080" max="3080" width="7.42578125" style="3" customWidth="1"/>
    <col min="3081" max="3328" width="11.42578125" style="3"/>
    <col min="3329" max="3329" width="15.85546875" style="3" customWidth="1"/>
    <col min="3330" max="3330" width="14.85546875" style="3" customWidth="1"/>
    <col min="3331" max="3331" width="13.28515625" style="3" customWidth="1"/>
    <col min="3332" max="3332" width="11.42578125" style="3"/>
    <col min="3333" max="3333" width="13.42578125" style="3" customWidth="1"/>
    <col min="3334" max="3334" width="12.7109375" style="3" customWidth="1"/>
    <col min="3335" max="3335" width="14" style="3" customWidth="1"/>
    <col min="3336" max="3336" width="7.42578125" style="3" customWidth="1"/>
    <col min="3337" max="3584" width="11.42578125" style="3"/>
    <col min="3585" max="3585" width="15.85546875" style="3" customWidth="1"/>
    <col min="3586" max="3586" width="14.85546875" style="3" customWidth="1"/>
    <col min="3587" max="3587" width="13.28515625" style="3" customWidth="1"/>
    <col min="3588" max="3588" width="11.42578125" style="3"/>
    <col min="3589" max="3589" width="13.42578125" style="3" customWidth="1"/>
    <col min="3590" max="3590" width="12.7109375" style="3" customWidth="1"/>
    <col min="3591" max="3591" width="14" style="3" customWidth="1"/>
    <col min="3592" max="3592" width="7.42578125" style="3" customWidth="1"/>
    <col min="3593" max="3840" width="11.42578125" style="3"/>
    <col min="3841" max="3841" width="15.85546875" style="3" customWidth="1"/>
    <col min="3842" max="3842" width="14.85546875" style="3" customWidth="1"/>
    <col min="3843" max="3843" width="13.28515625" style="3" customWidth="1"/>
    <col min="3844" max="3844" width="11.42578125" style="3"/>
    <col min="3845" max="3845" width="13.42578125" style="3" customWidth="1"/>
    <col min="3846" max="3846" width="12.7109375" style="3" customWidth="1"/>
    <col min="3847" max="3847" width="14" style="3" customWidth="1"/>
    <col min="3848" max="3848" width="7.42578125" style="3" customWidth="1"/>
    <col min="3849" max="4096" width="11.42578125" style="3"/>
    <col min="4097" max="4097" width="15.85546875" style="3" customWidth="1"/>
    <col min="4098" max="4098" width="14.85546875" style="3" customWidth="1"/>
    <col min="4099" max="4099" width="13.28515625" style="3" customWidth="1"/>
    <col min="4100" max="4100" width="11.42578125" style="3"/>
    <col min="4101" max="4101" width="13.42578125" style="3" customWidth="1"/>
    <col min="4102" max="4102" width="12.7109375" style="3" customWidth="1"/>
    <col min="4103" max="4103" width="14" style="3" customWidth="1"/>
    <col min="4104" max="4104" width="7.42578125" style="3" customWidth="1"/>
    <col min="4105" max="4352" width="11.42578125" style="3"/>
    <col min="4353" max="4353" width="15.85546875" style="3" customWidth="1"/>
    <col min="4354" max="4354" width="14.85546875" style="3" customWidth="1"/>
    <col min="4355" max="4355" width="13.28515625" style="3" customWidth="1"/>
    <col min="4356" max="4356" width="11.42578125" style="3"/>
    <col min="4357" max="4357" width="13.42578125" style="3" customWidth="1"/>
    <col min="4358" max="4358" width="12.7109375" style="3" customWidth="1"/>
    <col min="4359" max="4359" width="14" style="3" customWidth="1"/>
    <col min="4360" max="4360" width="7.42578125" style="3" customWidth="1"/>
    <col min="4361" max="4608" width="11.42578125" style="3"/>
    <col min="4609" max="4609" width="15.85546875" style="3" customWidth="1"/>
    <col min="4610" max="4610" width="14.85546875" style="3" customWidth="1"/>
    <col min="4611" max="4611" width="13.28515625" style="3" customWidth="1"/>
    <col min="4612" max="4612" width="11.42578125" style="3"/>
    <col min="4613" max="4613" width="13.42578125" style="3" customWidth="1"/>
    <col min="4614" max="4614" width="12.7109375" style="3" customWidth="1"/>
    <col min="4615" max="4615" width="14" style="3" customWidth="1"/>
    <col min="4616" max="4616" width="7.42578125" style="3" customWidth="1"/>
    <col min="4617" max="4864" width="11.42578125" style="3"/>
    <col min="4865" max="4865" width="15.85546875" style="3" customWidth="1"/>
    <col min="4866" max="4866" width="14.85546875" style="3" customWidth="1"/>
    <col min="4867" max="4867" width="13.28515625" style="3" customWidth="1"/>
    <col min="4868" max="4868" width="11.42578125" style="3"/>
    <col min="4869" max="4869" width="13.42578125" style="3" customWidth="1"/>
    <col min="4870" max="4870" width="12.7109375" style="3" customWidth="1"/>
    <col min="4871" max="4871" width="14" style="3" customWidth="1"/>
    <col min="4872" max="4872" width="7.42578125" style="3" customWidth="1"/>
    <col min="4873" max="5120" width="11.42578125" style="3"/>
    <col min="5121" max="5121" width="15.85546875" style="3" customWidth="1"/>
    <col min="5122" max="5122" width="14.85546875" style="3" customWidth="1"/>
    <col min="5123" max="5123" width="13.28515625" style="3" customWidth="1"/>
    <col min="5124" max="5124" width="11.42578125" style="3"/>
    <col min="5125" max="5125" width="13.42578125" style="3" customWidth="1"/>
    <col min="5126" max="5126" width="12.7109375" style="3" customWidth="1"/>
    <col min="5127" max="5127" width="14" style="3" customWidth="1"/>
    <col min="5128" max="5128" width="7.42578125" style="3" customWidth="1"/>
    <col min="5129" max="5376" width="11.42578125" style="3"/>
    <col min="5377" max="5377" width="15.85546875" style="3" customWidth="1"/>
    <col min="5378" max="5378" width="14.85546875" style="3" customWidth="1"/>
    <col min="5379" max="5379" width="13.28515625" style="3" customWidth="1"/>
    <col min="5380" max="5380" width="11.42578125" style="3"/>
    <col min="5381" max="5381" width="13.42578125" style="3" customWidth="1"/>
    <col min="5382" max="5382" width="12.7109375" style="3" customWidth="1"/>
    <col min="5383" max="5383" width="14" style="3" customWidth="1"/>
    <col min="5384" max="5384" width="7.42578125" style="3" customWidth="1"/>
    <col min="5385" max="5632" width="11.42578125" style="3"/>
    <col min="5633" max="5633" width="15.85546875" style="3" customWidth="1"/>
    <col min="5634" max="5634" width="14.85546875" style="3" customWidth="1"/>
    <col min="5635" max="5635" width="13.28515625" style="3" customWidth="1"/>
    <col min="5636" max="5636" width="11.42578125" style="3"/>
    <col min="5637" max="5637" width="13.42578125" style="3" customWidth="1"/>
    <col min="5638" max="5638" width="12.7109375" style="3" customWidth="1"/>
    <col min="5639" max="5639" width="14" style="3" customWidth="1"/>
    <col min="5640" max="5640" width="7.42578125" style="3" customWidth="1"/>
    <col min="5641" max="5888" width="11.42578125" style="3"/>
    <col min="5889" max="5889" width="15.85546875" style="3" customWidth="1"/>
    <col min="5890" max="5890" width="14.85546875" style="3" customWidth="1"/>
    <col min="5891" max="5891" width="13.28515625" style="3" customWidth="1"/>
    <col min="5892" max="5892" width="11.42578125" style="3"/>
    <col min="5893" max="5893" width="13.42578125" style="3" customWidth="1"/>
    <col min="5894" max="5894" width="12.7109375" style="3" customWidth="1"/>
    <col min="5895" max="5895" width="14" style="3" customWidth="1"/>
    <col min="5896" max="5896" width="7.42578125" style="3" customWidth="1"/>
    <col min="5897" max="6144" width="11.42578125" style="3"/>
    <col min="6145" max="6145" width="15.85546875" style="3" customWidth="1"/>
    <col min="6146" max="6146" width="14.85546875" style="3" customWidth="1"/>
    <col min="6147" max="6147" width="13.28515625" style="3" customWidth="1"/>
    <col min="6148" max="6148" width="11.42578125" style="3"/>
    <col min="6149" max="6149" width="13.42578125" style="3" customWidth="1"/>
    <col min="6150" max="6150" width="12.7109375" style="3" customWidth="1"/>
    <col min="6151" max="6151" width="14" style="3" customWidth="1"/>
    <col min="6152" max="6152" width="7.42578125" style="3" customWidth="1"/>
    <col min="6153" max="6400" width="11.42578125" style="3"/>
    <col min="6401" max="6401" width="15.85546875" style="3" customWidth="1"/>
    <col min="6402" max="6402" width="14.85546875" style="3" customWidth="1"/>
    <col min="6403" max="6403" width="13.28515625" style="3" customWidth="1"/>
    <col min="6404" max="6404" width="11.42578125" style="3"/>
    <col min="6405" max="6405" width="13.42578125" style="3" customWidth="1"/>
    <col min="6406" max="6406" width="12.7109375" style="3" customWidth="1"/>
    <col min="6407" max="6407" width="14" style="3" customWidth="1"/>
    <col min="6408" max="6408" width="7.42578125" style="3" customWidth="1"/>
    <col min="6409" max="6656" width="11.42578125" style="3"/>
    <col min="6657" max="6657" width="15.85546875" style="3" customWidth="1"/>
    <col min="6658" max="6658" width="14.85546875" style="3" customWidth="1"/>
    <col min="6659" max="6659" width="13.28515625" style="3" customWidth="1"/>
    <col min="6660" max="6660" width="11.42578125" style="3"/>
    <col min="6661" max="6661" width="13.42578125" style="3" customWidth="1"/>
    <col min="6662" max="6662" width="12.7109375" style="3" customWidth="1"/>
    <col min="6663" max="6663" width="14" style="3" customWidth="1"/>
    <col min="6664" max="6664" width="7.42578125" style="3" customWidth="1"/>
    <col min="6665" max="6912" width="11.42578125" style="3"/>
    <col min="6913" max="6913" width="15.85546875" style="3" customWidth="1"/>
    <col min="6914" max="6914" width="14.85546875" style="3" customWidth="1"/>
    <col min="6915" max="6915" width="13.28515625" style="3" customWidth="1"/>
    <col min="6916" max="6916" width="11.42578125" style="3"/>
    <col min="6917" max="6917" width="13.42578125" style="3" customWidth="1"/>
    <col min="6918" max="6918" width="12.7109375" style="3" customWidth="1"/>
    <col min="6919" max="6919" width="14" style="3" customWidth="1"/>
    <col min="6920" max="6920" width="7.42578125" style="3" customWidth="1"/>
    <col min="6921" max="7168" width="11.42578125" style="3"/>
    <col min="7169" max="7169" width="15.85546875" style="3" customWidth="1"/>
    <col min="7170" max="7170" width="14.85546875" style="3" customWidth="1"/>
    <col min="7171" max="7171" width="13.28515625" style="3" customWidth="1"/>
    <col min="7172" max="7172" width="11.42578125" style="3"/>
    <col min="7173" max="7173" width="13.42578125" style="3" customWidth="1"/>
    <col min="7174" max="7174" width="12.7109375" style="3" customWidth="1"/>
    <col min="7175" max="7175" width="14" style="3" customWidth="1"/>
    <col min="7176" max="7176" width="7.42578125" style="3" customWidth="1"/>
    <col min="7177" max="7424" width="11.42578125" style="3"/>
    <col min="7425" max="7425" width="15.85546875" style="3" customWidth="1"/>
    <col min="7426" max="7426" width="14.85546875" style="3" customWidth="1"/>
    <col min="7427" max="7427" width="13.28515625" style="3" customWidth="1"/>
    <col min="7428" max="7428" width="11.42578125" style="3"/>
    <col min="7429" max="7429" width="13.42578125" style="3" customWidth="1"/>
    <col min="7430" max="7430" width="12.7109375" style="3" customWidth="1"/>
    <col min="7431" max="7431" width="14" style="3" customWidth="1"/>
    <col min="7432" max="7432" width="7.42578125" style="3" customWidth="1"/>
    <col min="7433" max="7680" width="11.42578125" style="3"/>
    <col min="7681" max="7681" width="15.85546875" style="3" customWidth="1"/>
    <col min="7682" max="7682" width="14.85546875" style="3" customWidth="1"/>
    <col min="7683" max="7683" width="13.28515625" style="3" customWidth="1"/>
    <col min="7684" max="7684" width="11.42578125" style="3"/>
    <col min="7685" max="7685" width="13.42578125" style="3" customWidth="1"/>
    <col min="7686" max="7686" width="12.7109375" style="3" customWidth="1"/>
    <col min="7687" max="7687" width="14" style="3" customWidth="1"/>
    <col min="7688" max="7688" width="7.42578125" style="3" customWidth="1"/>
    <col min="7689" max="7936" width="11.42578125" style="3"/>
    <col min="7937" max="7937" width="15.85546875" style="3" customWidth="1"/>
    <col min="7938" max="7938" width="14.85546875" style="3" customWidth="1"/>
    <col min="7939" max="7939" width="13.28515625" style="3" customWidth="1"/>
    <col min="7940" max="7940" width="11.42578125" style="3"/>
    <col min="7941" max="7941" width="13.42578125" style="3" customWidth="1"/>
    <col min="7942" max="7942" width="12.7109375" style="3" customWidth="1"/>
    <col min="7943" max="7943" width="14" style="3" customWidth="1"/>
    <col min="7944" max="7944" width="7.42578125" style="3" customWidth="1"/>
    <col min="7945" max="8192" width="11.42578125" style="3"/>
    <col min="8193" max="8193" width="15.85546875" style="3" customWidth="1"/>
    <col min="8194" max="8194" width="14.85546875" style="3" customWidth="1"/>
    <col min="8195" max="8195" width="13.28515625" style="3" customWidth="1"/>
    <col min="8196" max="8196" width="11.42578125" style="3"/>
    <col min="8197" max="8197" width="13.42578125" style="3" customWidth="1"/>
    <col min="8198" max="8198" width="12.7109375" style="3" customWidth="1"/>
    <col min="8199" max="8199" width="14" style="3" customWidth="1"/>
    <col min="8200" max="8200" width="7.42578125" style="3" customWidth="1"/>
    <col min="8201" max="8448" width="11.42578125" style="3"/>
    <col min="8449" max="8449" width="15.85546875" style="3" customWidth="1"/>
    <col min="8450" max="8450" width="14.85546875" style="3" customWidth="1"/>
    <col min="8451" max="8451" width="13.28515625" style="3" customWidth="1"/>
    <col min="8452" max="8452" width="11.42578125" style="3"/>
    <col min="8453" max="8453" width="13.42578125" style="3" customWidth="1"/>
    <col min="8454" max="8454" width="12.7109375" style="3" customWidth="1"/>
    <col min="8455" max="8455" width="14" style="3" customWidth="1"/>
    <col min="8456" max="8456" width="7.42578125" style="3" customWidth="1"/>
    <col min="8457" max="8704" width="11.42578125" style="3"/>
    <col min="8705" max="8705" width="15.85546875" style="3" customWidth="1"/>
    <col min="8706" max="8706" width="14.85546875" style="3" customWidth="1"/>
    <col min="8707" max="8707" width="13.28515625" style="3" customWidth="1"/>
    <col min="8708" max="8708" width="11.42578125" style="3"/>
    <col min="8709" max="8709" width="13.42578125" style="3" customWidth="1"/>
    <col min="8710" max="8710" width="12.7109375" style="3" customWidth="1"/>
    <col min="8711" max="8711" width="14" style="3" customWidth="1"/>
    <col min="8712" max="8712" width="7.42578125" style="3" customWidth="1"/>
    <col min="8713" max="8960" width="11.42578125" style="3"/>
    <col min="8961" max="8961" width="15.85546875" style="3" customWidth="1"/>
    <col min="8962" max="8962" width="14.85546875" style="3" customWidth="1"/>
    <col min="8963" max="8963" width="13.28515625" style="3" customWidth="1"/>
    <col min="8964" max="8964" width="11.42578125" style="3"/>
    <col min="8965" max="8965" width="13.42578125" style="3" customWidth="1"/>
    <col min="8966" max="8966" width="12.7109375" style="3" customWidth="1"/>
    <col min="8967" max="8967" width="14" style="3" customWidth="1"/>
    <col min="8968" max="8968" width="7.42578125" style="3" customWidth="1"/>
    <col min="8969" max="9216" width="11.42578125" style="3"/>
    <col min="9217" max="9217" width="15.85546875" style="3" customWidth="1"/>
    <col min="9218" max="9218" width="14.85546875" style="3" customWidth="1"/>
    <col min="9219" max="9219" width="13.28515625" style="3" customWidth="1"/>
    <col min="9220" max="9220" width="11.42578125" style="3"/>
    <col min="9221" max="9221" width="13.42578125" style="3" customWidth="1"/>
    <col min="9222" max="9222" width="12.7109375" style="3" customWidth="1"/>
    <col min="9223" max="9223" width="14" style="3" customWidth="1"/>
    <col min="9224" max="9224" width="7.42578125" style="3" customWidth="1"/>
    <col min="9225" max="9472" width="11.42578125" style="3"/>
    <col min="9473" max="9473" width="15.85546875" style="3" customWidth="1"/>
    <col min="9474" max="9474" width="14.85546875" style="3" customWidth="1"/>
    <col min="9475" max="9475" width="13.28515625" style="3" customWidth="1"/>
    <col min="9476" max="9476" width="11.42578125" style="3"/>
    <col min="9477" max="9477" width="13.42578125" style="3" customWidth="1"/>
    <col min="9478" max="9478" width="12.7109375" style="3" customWidth="1"/>
    <col min="9479" max="9479" width="14" style="3" customWidth="1"/>
    <col min="9480" max="9480" width="7.42578125" style="3" customWidth="1"/>
    <col min="9481" max="9728" width="11.42578125" style="3"/>
    <col min="9729" max="9729" width="15.85546875" style="3" customWidth="1"/>
    <col min="9730" max="9730" width="14.85546875" style="3" customWidth="1"/>
    <col min="9731" max="9731" width="13.28515625" style="3" customWidth="1"/>
    <col min="9732" max="9732" width="11.42578125" style="3"/>
    <col min="9733" max="9733" width="13.42578125" style="3" customWidth="1"/>
    <col min="9734" max="9734" width="12.7109375" style="3" customWidth="1"/>
    <col min="9735" max="9735" width="14" style="3" customWidth="1"/>
    <col min="9736" max="9736" width="7.42578125" style="3" customWidth="1"/>
    <col min="9737" max="9984" width="11.42578125" style="3"/>
    <col min="9985" max="9985" width="15.85546875" style="3" customWidth="1"/>
    <col min="9986" max="9986" width="14.85546875" style="3" customWidth="1"/>
    <col min="9987" max="9987" width="13.28515625" style="3" customWidth="1"/>
    <col min="9988" max="9988" width="11.42578125" style="3"/>
    <col min="9989" max="9989" width="13.42578125" style="3" customWidth="1"/>
    <col min="9990" max="9990" width="12.7109375" style="3" customWidth="1"/>
    <col min="9991" max="9991" width="14" style="3" customWidth="1"/>
    <col min="9992" max="9992" width="7.42578125" style="3" customWidth="1"/>
    <col min="9993" max="10240" width="11.42578125" style="3"/>
    <col min="10241" max="10241" width="15.85546875" style="3" customWidth="1"/>
    <col min="10242" max="10242" width="14.85546875" style="3" customWidth="1"/>
    <col min="10243" max="10243" width="13.28515625" style="3" customWidth="1"/>
    <col min="10244" max="10244" width="11.42578125" style="3"/>
    <col min="10245" max="10245" width="13.42578125" style="3" customWidth="1"/>
    <col min="10246" max="10246" width="12.7109375" style="3" customWidth="1"/>
    <col min="10247" max="10247" width="14" style="3" customWidth="1"/>
    <col min="10248" max="10248" width="7.42578125" style="3" customWidth="1"/>
    <col min="10249" max="10496" width="11.42578125" style="3"/>
    <col min="10497" max="10497" width="15.85546875" style="3" customWidth="1"/>
    <col min="10498" max="10498" width="14.85546875" style="3" customWidth="1"/>
    <col min="10499" max="10499" width="13.28515625" style="3" customWidth="1"/>
    <col min="10500" max="10500" width="11.42578125" style="3"/>
    <col min="10501" max="10501" width="13.42578125" style="3" customWidth="1"/>
    <col min="10502" max="10502" width="12.7109375" style="3" customWidth="1"/>
    <col min="10503" max="10503" width="14" style="3" customWidth="1"/>
    <col min="10504" max="10504" width="7.42578125" style="3" customWidth="1"/>
    <col min="10505" max="10752" width="11.42578125" style="3"/>
    <col min="10753" max="10753" width="15.85546875" style="3" customWidth="1"/>
    <col min="10754" max="10754" width="14.85546875" style="3" customWidth="1"/>
    <col min="10755" max="10755" width="13.28515625" style="3" customWidth="1"/>
    <col min="10756" max="10756" width="11.42578125" style="3"/>
    <col min="10757" max="10757" width="13.42578125" style="3" customWidth="1"/>
    <col min="10758" max="10758" width="12.7109375" style="3" customWidth="1"/>
    <col min="10759" max="10759" width="14" style="3" customWidth="1"/>
    <col min="10760" max="10760" width="7.42578125" style="3" customWidth="1"/>
    <col min="10761" max="11008" width="11.42578125" style="3"/>
    <col min="11009" max="11009" width="15.85546875" style="3" customWidth="1"/>
    <col min="11010" max="11010" width="14.85546875" style="3" customWidth="1"/>
    <col min="11011" max="11011" width="13.28515625" style="3" customWidth="1"/>
    <col min="11012" max="11012" width="11.42578125" style="3"/>
    <col min="11013" max="11013" width="13.42578125" style="3" customWidth="1"/>
    <col min="11014" max="11014" width="12.7109375" style="3" customWidth="1"/>
    <col min="11015" max="11015" width="14" style="3" customWidth="1"/>
    <col min="11016" max="11016" width="7.42578125" style="3" customWidth="1"/>
    <col min="11017" max="11264" width="11.42578125" style="3"/>
    <col min="11265" max="11265" width="15.85546875" style="3" customWidth="1"/>
    <col min="11266" max="11266" width="14.85546875" style="3" customWidth="1"/>
    <col min="11267" max="11267" width="13.28515625" style="3" customWidth="1"/>
    <col min="11268" max="11268" width="11.42578125" style="3"/>
    <col min="11269" max="11269" width="13.42578125" style="3" customWidth="1"/>
    <col min="11270" max="11270" width="12.7109375" style="3" customWidth="1"/>
    <col min="11271" max="11271" width="14" style="3" customWidth="1"/>
    <col min="11272" max="11272" width="7.42578125" style="3" customWidth="1"/>
    <col min="11273" max="11520" width="11.42578125" style="3"/>
    <col min="11521" max="11521" width="15.85546875" style="3" customWidth="1"/>
    <col min="11522" max="11522" width="14.85546875" style="3" customWidth="1"/>
    <col min="11523" max="11523" width="13.28515625" style="3" customWidth="1"/>
    <col min="11524" max="11524" width="11.42578125" style="3"/>
    <col min="11525" max="11525" width="13.42578125" style="3" customWidth="1"/>
    <col min="11526" max="11526" width="12.7109375" style="3" customWidth="1"/>
    <col min="11527" max="11527" width="14" style="3" customWidth="1"/>
    <col min="11528" max="11528" width="7.42578125" style="3" customWidth="1"/>
    <col min="11529" max="11776" width="11.42578125" style="3"/>
    <col min="11777" max="11777" width="15.85546875" style="3" customWidth="1"/>
    <col min="11778" max="11778" width="14.85546875" style="3" customWidth="1"/>
    <col min="11779" max="11779" width="13.28515625" style="3" customWidth="1"/>
    <col min="11780" max="11780" width="11.42578125" style="3"/>
    <col min="11781" max="11781" width="13.42578125" style="3" customWidth="1"/>
    <col min="11782" max="11782" width="12.7109375" style="3" customWidth="1"/>
    <col min="11783" max="11783" width="14" style="3" customWidth="1"/>
    <col min="11784" max="11784" width="7.42578125" style="3" customWidth="1"/>
    <col min="11785" max="12032" width="11.42578125" style="3"/>
    <col min="12033" max="12033" width="15.85546875" style="3" customWidth="1"/>
    <col min="12034" max="12034" width="14.85546875" style="3" customWidth="1"/>
    <col min="12035" max="12035" width="13.28515625" style="3" customWidth="1"/>
    <col min="12036" max="12036" width="11.42578125" style="3"/>
    <col min="12037" max="12037" width="13.42578125" style="3" customWidth="1"/>
    <col min="12038" max="12038" width="12.7109375" style="3" customWidth="1"/>
    <col min="12039" max="12039" width="14" style="3" customWidth="1"/>
    <col min="12040" max="12040" width="7.42578125" style="3" customWidth="1"/>
    <col min="12041" max="12288" width="11.42578125" style="3"/>
    <col min="12289" max="12289" width="15.85546875" style="3" customWidth="1"/>
    <col min="12290" max="12290" width="14.85546875" style="3" customWidth="1"/>
    <col min="12291" max="12291" width="13.28515625" style="3" customWidth="1"/>
    <col min="12292" max="12292" width="11.42578125" style="3"/>
    <col min="12293" max="12293" width="13.42578125" style="3" customWidth="1"/>
    <col min="12294" max="12294" width="12.7109375" style="3" customWidth="1"/>
    <col min="12295" max="12295" width="14" style="3" customWidth="1"/>
    <col min="12296" max="12296" width="7.42578125" style="3" customWidth="1"/>
    <col min="12297" max="12544" width="11.42578125" style="3"/>
    <col min="12545" max="12545" width="15.85546875" style="3" customWidth="1"/>
    <col min="12546" max="12546" width="14.85546875" style="3" customWidth="1"/>
    <col min="12547" max="12547" width="13.28515625" style="3" customWidth="1"/>
    <col min="12548" max="12548" width="11.42578125" style="3"/>
    <col min="12549" max="12549" width="13.42578125" style="3" customWidth="1"/>
    <col min="12550" max="12550" width="12.7109375" style="3" customWidth="1"/>
    <col min="12551" max="12551" width="14" style="3" customWidth="1"/>
    <col min="12552" max="12552" width="7.42578125" style="3" customWidth="1"/>
    <col min="12553" max="12800" width="11.42578125" style="3"/>
    <col min="12801" max="12801" width="15.85546875" style="3" customWidth="1"/>
    <col min="12802" max="12802" width="14.85546875" style="3" customWidth="1"/>
    <col min="12803" max="12803" width="13.28515625" style="3" customWidth="1"/>
    <col min="12804" max="12804" width="11.42578125" style="3"/>
    <col min="12805" max="12805" width="13.42578125" style="3" customWidth="1"/>
    <col min="12806" max="12806" width="12.7109375" style="3" customWidth="1"/>
    <col min="12807" max="12807" width="14" style="3" customWidth="1"/>
    <col min="12808" max="12808" width="7.42578125" style="3" customWidth="1"/>
    <col min="12809" max="13056" width="11.42578125" style="3"/>
    <col min="13057" max="13057" width="15.85546875" style="3" customWidth="1"/>
    <col min="13058" max="13058" width="14.85546875" style="3" customWidth="1"/>
    <col min="13059" max="13059" width="13.28515625" style="3" customWidth="1"/>
    <col min="13060" max="13060" width="11.42578125" style="3"/>
    <col min="13061" max="13061" width="13.42578125" style="3" customWidth="1"/>
    <col min="13062" max="13062" width="12.7109375" style="3" customWidth="1"/>
    <col min="13063" max="13063" width="14" style="3" customWidth="1"/>
    <col min="13064" max="13064" width="7.42578125" style="3" customWidth="1"/>
    <col min="13065" max="13312" width="11.42578125" style="3"/>
    <col min="13313" max="13313" width="15.85546875" style="3" customWidth="1"/>
    <col min="13314" max="13314" width="14.85546875" style="3" customWidth="1"/>
    <col min="13315" max="13315" width="13.28515625" style="3" customWidth="1"/>
    <col min="13316" max="13316" width="11.42578125" style="3"/>
    <col min="13317" max="13317" width="13.42578125" style="3" customWidth="1"/>
    <col min="13318" max="13318" width="12.7109375" style="3" customWidth="1"/>
    <col min="13319" max="13319" width="14" style="3" customWidth="1"/>
    <col min="13320" max="13320" width="7.42578125" style="3" customWidth="1"/>
    <col min="13321" max="13568" width="11.42578125" style="3"/>
    <col min="13569" max="13569" width="15.85546875" style="3" customWidth="1"/>
    <col min="13570" max="13570" width="14.85546875" style="3" customWidth="1"/>
    <col min="13571" max="13571" width="13.28515625" style="3" customWidth="1"/>
    <col min="13572" max="13572" width="11.42578125" style="3"/>
    <col min="13573" max="13573" width="13.42578125" style="3" customWidth="1"/>
    <col min="13574" max="13574" width="12.7109375" style="3" customWidth="1"/>
    <col min="13575" max="13575" width="14" style="3" customWidth="1"/>
    <col min="13576" max="13576" width="7.42578125" style="3" customWidth="1"/>
    <col min="13577" max="13824" width="11.42578125" style="3"/>
    <col min="13825" max="13825" width="15.85546875" style="3" customWidth="1"/>
    <col min="13826" max="13826" width="14.85546875" style="3" customWidth="1"/>
    <col min="13827" max="13827" width="13.28515625" style="3" customWidth="1"/>
    <col min="13828" max="13828" width="11.42578125" style="3"/>
    <col min="13829" max="13829" width="13.42578125" style="3" customWidth="1"/>
    <col min="13830" max="13830" width="12.7109375" style="3" customWidth="1"/>
    <col min="13831" max="13831" width="14" style="3" customWidth="1"/>
    <col min="13832" max="13832" width="7.42578125" style="3" customWidth="1"/>
    <col min="13833" max="14080" width="11.42578125" style="3"/>
    <col min="14081" max="14081" width="15.85546875" style="3" customWidth="1"/>
    <col min="14082" max="14082" width="14.85546875" style="3" customWidth="1"/>
    <col min="14083" max="14083" width="13.28515625" style="3" customWidth="1"/>
    <col min="14084" max="14084" width="11.42578125" style="3"/>
    <col min="14085" max="14085" width="13.42578125" style="3" customWidth="1"/>
    <col min="14086" max="14086" width="12.7109375" style="3" customWidth="1"/>
    <col min="14087" max="14087" width="14" style="3" customWidth="1"/>
    <col min="14088" max="14088" width="7.42578125" style="3" customWidth="1"/>
    <col min="14089" max="14336" width="11.42578125" style="3"/>
    <col min="14337" max="14337" width="15.85546875" style="3" customWidth="1"/>
    <col min="14338" max="14338" width="14.85546875" style="3" customWidth="1"/>
    <col min="14339" max="14339" width="13.28515625" style="3" customWidth="1"/>
    <col min="14340" max="14340" width="11.42578125" style="3"/>
    <col min="14341" max="14341" width="13.42578125" style="3" customWidth="1"/>
    <col min="14342" max="14342" width="12.7109375" style="3" customWidth="1"/>
    <col min="14343" max="14343" width="14" style="3" customWidth="1"/>
    <col min="14344" max="14344" width="7.42578125" style="3" customWidth="1"/>
    <col min="14345" max="14592" width="11.42578125" style="3"/>
    <col min="14593" max="14593" width="15.85546875" style="3" customWidth="1"/>
    <col min="14594" max="14594" width="14.85546875" style="3" customWidth="1"/>
    <col min="14595" max="14595" width="13.28515625" style="3" customWidth="1"/>
    <col min="14596" max="14596" width="11.42578125" style="3"/>
    <col min="14597" max="14597" width="13.42578125" style="3" customWidth="1"/>
    <col min="14598" max="14598" width="12.7109375" style="3" customWidth="1"/>
    <col min="14599" max="14599" width="14" style="3" customWidth="1"/>
    <col min="14600" max="14600" width="7.42578125" style="3" customWidth="1"/>
    <col min="14601" max="14848" width="11.42578125" style="3"/>
    <col min="14849" max="14849" width="15.85546875" style="3" customWidth="1"/>
    <col min="14850" max="14850" width="14.85546875" style="3" customWidth="1"/>
    <col min="14851" max="14851" width="13.28515625" style="3" customWidth="1"/>
    <col min="14852" max="14852" width="11.42578125" style="3"/>
    <col min="14853" max="14853" width="13.42578125" style="3" customWidth="1"/>
    <col min="14854" max="14854" width="12.7109375" style="3" customWidth="1"/>
    <col min="14855" max="14855" width="14" style="3" customWidth="1"/>
    <col min="14856" max="14856" width="7.42578125" style="3" customWidth="1"/>
    <col min="14857" max="15104" width="11.42578125" style="3"/>
    <col min="15105" max="15105" width="15.85546875" style="3" customWidth="1"/>
    <col min="15106" max="15106" width="14.85546875" style="3" customWidth="1"/>
    <col min="15107" max="15107" width="13.28515625" style="3" customWidth="1"/>
    <col min="15108" max="15108" width="11.42578125" style="3"/>
    <col min="15109" max="15109" width="13.42578125" style="3" customWidth="1"/>
    <col min="15110" max="15110" width="12.7109375" style="3" customWidth="1"/>
    <col min="15111" max="15111" width="14" style="3" customWidth="1"/>
    <col min="15112" max="15112" width="7.42578125" style="3" customWidth="1"/>
    <col min="15113" max="15360" width="11.42578125" style="3"/>
    <col min="15361" max="15361" width="15.85546875" style="3" customWidth="1"/>
    <col min="15362" max="15362" width="14.85546875" style="3" customWidth="1"/>
    <col min="15363" max="15363" width="13.28515625" style="3" customWidth="1"/>
    <col min="15364" max="15364" width="11.42578125" style="3"/>
    <col min="15365" max="15365" width="13.42578125" style="3" customWidth="1"/>
    <col min="15366" max="15366" width="12.7109375" style="3" customWidth="1"/>
    <col min="15367" max="15367" width="14" style="3" customWidth="1"/>
    <col min="15368" max="15368" width="7.42578125" style="3" customWidth="1"/>
    <col min="15369" max="15616" width="11.42578125" style="3"/>
    <col min="15617" max="15617" width="15.85546875" style="3" customWidth="1"/>
    <col min="15618" max="15618" width="14.85546875" style="3" customWidth="1"/>
    <col min="15619" max="15619" width="13.28515625" style="3" customWidth="1"/>
    <col min="15620" max="15620" width="11.42578125" style="3"/>
    <col min="15621" max="15621" width="13.42578125" style="3" customWidth="1"/>
    <col min="15622" max="15622" width="12.7109375" style="3" customWidth="1"/>
    <col min="15623" max="15623" width="14" style="3" customWidth="1"/>
    <col min="15624" max="15624" width="7.42578125" style="3" customWidth="1"/>
    <col min="15625" max="15872" width="11.42578125" style="3"/>
    <col min="15873" max="15873" width="15.85546875" style="3" customWidth="1"/>
    <col min="15874" max="15874" width="14.85546875" style="3" customWidth="1"/>
    <col min="15875" max="15875" width="13.28515625" style="3" customWidth="1"/>
    <col min="15876" max="15876" width="11.42578125" style="3"/>
    <col min="15877" max="15877" width="13.42578125" style="3" customWidth="1"/>
    <col min="15878" max="15878" width="12.7109375" style="3" customWidth="1"/>
    <col min="15879" max="15879" width="14" style="3" customWidth="1"/>
    <col min="15880" max="15880" width="7.42578125" style="3" customWidth="1"/>
    <col min="15881" max="16128" width="11.42578125" style="3"/>
    <col min="16129" max="16129" width="15.85546875" style="3" customWidth="1"/>
    <col min="16130" max="16130" width="14.85546875" style="3" customWidth="1"/>
    <col min="16131" max="16131" width="13.28515625" style="3" customWidth="1"/>
    <col min="16132" max="16132" width="11.42578125" style="3"/>
    <col min="16133" max="16133" width="13.42578125" style="3" customWidth="1"/>
    <col min="16134" max="16134" width="12.7109375" style="3" customWidth="1"/>
    <col min="16135" max="16135" width="14" style="3" customWidth="1"/>
    <col min="16136" max="16136" width="7.42578125" style="3" customWidth="1"/>
    <col min="16137" max="16384" width="11.42578125" style="3"/>
  </cols>
  <sheetData>
    <row r="1" spans="1:21" ht="48" customHeight="1">
      <c r="A1" s="1346" t="str">
        <f>PPTO!D3</f>
        <v>PRESUPUESTO
MUNICIPIO EL BAGRE (ANTIOQUIA).</v>
      </c>
      <c r="B1" s="1347"/>
      <c r="C1" s="1347"/>
      <c r="D1" s="1347"/>
      <c r="E1" s="1347"/>
      <c r="F1" s="1347"/>
      <c r="G1" s="1348"/>
      <c r="H1" s="1"/>
      <c r="I1" s="2"/>
    </row>
    <row r="2" spans="1:21" ht="18" customHeight="1">
      <c r="A2" s="1362" t="s">
        <v>16</v>
      </c>
      <c r="B2" s="1363"/>
      <c r="C2" s="1363"/>
      <c r="D2" s="1363"/>
      <c r="E2" s="1363"/>
      <c r="F2" s="1363"/>
      <c r="G2" s="1364"/>
      <c r="H2" s="1"/>
      <c r="I2" s="2"/>
    </row>
    <row r="3" spans="1:21" ht="27" customHeight="1">
      <c r="A3" s="1367" t="str">
        <f>+PPTO!$D$5</f>
        <v>PROYECTO DE MEJORAMIENTO VIAL, ESPACIO PUBLICO Y OBRAS COMPLEMENTARIAS DE LA AVENIDA LA JUVENTUD Y TRAMOS ADYACENTES Y PRIORITARIOS DEL SECTOR URBANO EN EL MUNICIPIO EL BAGRE ANTIOQUIA.</v>
      </c>
      <c r="B3" s="1368"/>
      <c r="C3" s="1368"/>
      <c r="D3" s="1368"/>
      <c r="E3" s="1368"/>
      <c r="F3" s="1368"/>
      <c r="G3" s="1369"/>
      <c r="H3" s="1"/>
      <c r="I3" s="2"/>
    </row>
    <row r="4" spans="1:21" ht="30" customHeight="1">
      <c r="A4" s="1370"/>
      <c r="B4" s="1368"/>
      <c r="C4" s="1368"/>
      <c r="D4" s="1368"/>
      <c r="E4" s="1368"/>
      <c r="F4" s="1368"/>
      <c r="G4" s="1369"/>
      <c r="H4" s="1"/>
      <c r="I4" s="2"/>
    </row>
    <row r="5" spans="1:21" ht="6.75" customHeight="1">
      <c r="A5" s="222"/>
      <c r="B5" s="6"/>
      <c r="C5" s="24"/>
      <c r="D5" s="25"/>
      <c r="E5" s="6"/>
      <c r="F5" s="6"/>
      <c r="G5" s="223"/>
      <c r="H5" s="9"/>
    </row>
    <row r="6" spans="1:21" ht="52.5" customHeight="1">
      <c r="A6" s="368">
        <v>6.9</v>
      </c>
      <c r="B6" s="1349" t="str">
        <f>VLOOKUP(A6,PPTO!D9:I136,2,FALSE)</f>
        <v>Suministro e instalacion tuberia en PVC Novafort 20"</v>
      </c>
      <c r="C6" s="1350"/>
      <c r="D6" s="1350"/>
      <c r="E6" s="1351"/>
      <c r="F6" s="192" t="s">
        <v>118</v>
      </c>
      <c r="G6" s="248" t="str">
        <f>VLOOKUP(A6,PPTO!D9:I136,3,FALSE)</f>
        <v>m</v>
      </c>
      <c r="H6" s="9"/>
    </row>
    <row r="7" spans="1:21" ht="3.75" customHeight="1">
      <c r="A7" s="226"/>
      <c r="B7" s="4"/>
      <c r="C7" s="6"/>
      <c r="D7" s="4"/>
      <c r="E7" s="4"/>
      <c r="F7" s="4"/>
      <c r="G7" s="227"/>
      <c r="H7" s="9"/>
    </row>
    <row r="8" spans="1:21" ht="22.5" customHeight="1">
      <c r="A8" s="1354" t="s">
        <v>69</v>
      </c>
      <c r="B8" s="1355"/>
      <c r="C8" s="1355"/>
      <c r="D8" s="1355"/>
      <c r="E8" s="1355"/>
      <c r="F8" s="1355"/>
      <c r="G8" s="1356"/>
      <c r="H8" s="9"/>
    </row>
    <row r="9" spans="1:21" ht="4.5" customHeight="1">
      <c r="A9" s="226"/>
      <c r="B9" s="4"/>
      <c r="C9" s="6"/>
      <c r="D9" s="4"/>
      <c r="E9" s="4"/>
      <c r="F9" s="4"/>
      <c r="G9" s="227"/>
      <c r="H9" s="9"/>
      <c r="I9" s="5"/>
      <c r="J9" s="5"/>
      <c r="K9" s="5"/>
      <c r="L9" s="26"/>
      <c r="M9" s="5"/>
      <c r="N9" s="5"/>
      <c r="O9" s="5"/>
      <c r="P9" s="5"/>
    </row>
    <row r="10" spans="1:21">
      <c r="A10" s="1373" t="s">
        <v>17</v>
      </c>
      <c r="B10" s="1374"/>
      <c r="C10" s="1374"/>
      <c r="D10" s="346" t="s">
        <v>18</v>
      </c>
      <c r="E10" s="346" t="s">
        <v>19</v>
      </c>
      <c r="F10" s="346" t="s">
        <v>20</v>
      </c>
      <c r="G10" s="228" t="s">
        <v>21</v>
      </c>
      <c r="H10" s="27"/>
      <c r="I10" s="28"/>
      <c r="J10" s="29"/>
      <c r="K10" s="30"/>
      <c r="L10" s="30"/>
      <c r="M10" s="30"/>
      <c r="N10" s="30"/>
      <c r="O10" s="30"/>
      <c r="P10" s="5"/>
    </row>
    <row r="11" spans="1:21">
      <c r="A11" s="1352" t="s">
        <v>47</v>
      </c>
      <c r="B11" s="1353"/>
      <c r="C11" s="1353"/>
      <c r="D11" s="346"/>
      <c r="E11" s="83"/>
      <c r="F11" s="97"/>
      <c r="G11" s="229">
        <f>+G39*10%</f>
        <v>1697</v>
      </c>
      <c r="H11" s="9"/>
      <c r="I11" s="30"/>
      <c r="J11" s="31"/>
      <c r="K11" s="30"/>
      <c r="L11" s="30"/>
      <c r="M11" s="30"/>
      <c r="N11" s="30"/>
      <c r="O11" s="30"/>
      <c r="P11" s="5"/>
    </row>
    <row r="12" spans="1:21">
      <c r="A12" s="1371"/>
      <c r="B12" s="1372"/>
      <c r="C12" s="1372"/>
      <c r="D12" s="83"/>
      <c r="E12" s="83"/>
      <c r="F12" s="93"/>
      <c r="G12" s="229"/>
      <c r="H12" s="9"/>
      <c r="I12" s="16"/>
      <c r="J12" s="13"/>
      <c r="K12" s="8"/>
      <c r="L12" s="8"/>
      <c r="M12" s="8"/>
      <c r="N12" s="8"/>
      <c r="O12" s="8"/>
      <c r="P12" s="5"/>
    </row>
    <row r="13" spans="1:21">
      <c r="A13" s="1371"/>
      <c r="B13" s="1372"/>
      <c r="C13" s="1372"/>
      <c r="D13" s="83"/>
      <c r="E13" s="83"/>
      <c r="F13" s="93"/>
      <c r="G13" s="229"/>
      <c r="H13" s="9"/>
      <c r="I13" s="13"/>
      <c r="J13" s="13"/>
      <c r="K13" s="13"/>
      <c r="L13" s="13"/>
      <c r="M13" s="13"/>
      <c r="N13" s="13"/>
      <c r="O13" s="13"/>
      <c r="P13" s="5"/>
    </row>
    <row r="14" spans="1:21">
      <c r="A14" s="1371"/>
      <c r="B14" s="1372"/>
      <c r="C14" s="1372"/>
      <c r="D14" s="83"/>
      <c r="E14" s="83"/>
      <c r="F14" s="93"/>
      <c r="G14" s="229"/>
      <c r="H14" s="9"/>
      <c r="I14" s="8"/>
      <c r="J14" s="14"/>
      <c r="K14" s="32"/>
      <c r="L14" s="14"/>
      <c r="M14" s="15"/>
      <c r="N14" s="15"/>
      <c r="O14" s="19"/>
      <c r="P14" s="5"/>
    </row>
    <row r="15" spans="1:21">
      <c r="A15" s="1371"/>
      <c r="B15" s="1372"/>
      <c r="C15" s="1372"/>
      <c r="D15" s="83"/>
      <c r="E15" s="83"/>
      <c r="F15" s="98"/>
      <c r="G15" s="229"/>
      <c r="H15" s="9"/>
      <c r="I15" s="8"/>
      <c r="J15" s="33"/>
      <c r="K15" s="32"/>
      <c r="L15" s="14"/>
      <c r="M15" s="15"/>
      <c r="N15" s="15"/>
      <c r="O15" s="19"/>
      <c r="P15" s="5"/>
      <c r="Q15" s="5"/>
      <c r="R15" s="5"/>
      <c r="S15" s="5"/>
      <c r="T15" s="5"/>
      <c r="U15" s="5"/>
    </row>
    <row r="16" spans="1:21">
      <c r="A16" s="1371"/>
      <c r="B16" s="1372"/>
      <c r="C16" s="1372"/>
      <c r="D16" s="85" t="s">
        <v>37</v>
      </c>
      <c r="E16" s="50"/>
      <c r="F16" s="49"/>
      <c r="G16" s="230">
        <f>SUM(G11:G15)</f>
        <v>1697</v>
      </c>
      <c r="H16" s="9"/>
      <c r="I16" s="34"/>
      <c r="J16" s="34"/>
      <c r="K16" s="35"/>
      <c r="L16" s="36"/>
      <c r="M16" s="7"/>
      <c r="N16" s="7"/>
      <c r="O16" s="19"/>
      <c r="P16" s="5"/>
      <c r="Q16" s="5"/>
      <c r="R16" s="5"/>
      <c r="S16" s="5"/>
      <c r="T16" s="5"/>
      <c r="U16" s="5"/>
    </row>
    <row r="17" spans="1:21" ht="4.5" customHeight="1">
      <c r="A17" s="226"/>
      <c r="B17" s="4"/>
      <c r="C17" s="6"/>
      <c r="D17" s="4"/>
      <c r="E17" s="4"/>
      <c r="F17" s="4"/>
      <c r="G17" s="227"/>
      <c r="H17" s="9"/>
      <c r="I17" s="34"/>
      <c r="J17" s="34"/>
      <c r="K17" s="35"/>
      <c r="L17" s="36"/>
      <c r="M17" s="7"/>
      <c r="N17" s="7"/>
      <c r="O17" s="19"/>
      <c r="P17" s="5"/>
      <c r="Q17" s="5"/>
      <c r="R17" s="5"/>
      <c r="S17" s="5"/>
      <c r="T17" s="5"/>
      <c r="U17" s="5"/>
    </row>
    <row r="18" spans="1:21" ht="22.5" customHeight="1">
      <c r="A18" s="1354" t="s">
        <v>70</v>
      </c>
      <c r="B18" s="1355"/>
      <c r="C18" s="1355"/>
      <c r="D18" s="1355"/>
      <c r="E18" s="1355"/>
      <c r="F18" s="1355"/>
      <c r="G18" s="1356"/>
      <c r="H18" s="9"/>
    </row>
    <row r="19" spans="1:21" ht="4.5" customHeight="1">
      <c r="A19" s="226"/>
      <c r="B19" s="4"/>
      <c r="C19" s="6"/>
      <c r="D19" s="4"/>
      <c r="E19" s="4"/>
      <c r="F19" s="38"/>
      <c r="G19" s="227"/>
      <c r="H19" s="9"/>
      <c r="I19" s="34"/>
      <c r="J19" s="34"/>
      <c r="K19" s="35"/>
      <c r="L19" s="39"/>
      <c r="M19" s="7"/>
      <c r="N19" s="7"/>
      <c r="O19" s="8"/>
      <c r="P19" s="5"/>
      <c r="Q19" s="5"/>
      <c r="R19" s="5"/>
      <c r="S19" s="5"/>
      <c r="T19" s="5"/>
      <c r="U19" s="5"/>
    </row>
    <row r="20" spans="1:21">
      <c r="A20" s="1373" t="s">
        <v>17</v>
      </c>
      <c r="B20" s="1374"/>
      <c r="C20" s="1374"/>
      <c r="D20" s="346" t="s">
        <v>3</v>
      </c>
      <c r="E20" s="346" t="s">
        <v>4</v>
      </c>
      <c r="F20" s="346" t="s">
        <v>25</v>
      </c>
      <c r="G20" s="228" t="s">
        <v>21</v>
      </c>
      <c r="H20" s="27"/>
      <c r="I20" s="34"/>
      <c r="J20" s="34"/>
      <c r="K20" s="35"/>
      <c r="L20" s="39"/>
      <c r="M20" s="7"/>
      <c r="N20" s="7"/>
      <c r="O20" s="8"/>
      <c r="P20" s="5"/>
      <c r="Q20" s="5"/>
      <c r="R20" s="5"/>
      <c r="S20" s="5"/>
      <c r="T20" s="5"/>
      <c r="U20" s="5"/>
    </row>
    <row r="21" spans="1:21" ht="31.5" customHeight="1">
      <c r="A21" s="1441" t="s">
        <v>225</v>
      </c>
      <c r="B21" s="1442"/>
      <c r="C21" s="1443"/>
      <c r="D21" s="118" t="s">
        <v>51</v>
      </c>
      <c r="E21" s="119">
        <v>1</v>
      </c>
      <c r="F21" s="87">
        <f>1593959/6*IPC</f>
        <v>274108</v>
      </c>
      <c r="G21" s="231">
        <f>ROUND(F21*E21,0)</f>
        <v>274108</v>
      </c>
      <c r="H21" s="9"/>
      <c r="I21" s="34"/>
      <c r="J21" s="34"/>
      <c r="K21" s="35"/>
      <c r="L21" s="36"/>
      <c r="M21" s="7"/>
      <c r="N21" s="7"/>
      <c r="O21" s="19"/>
      <c r="P21" s="5"/>
      <c r="Q21" s="5"/>
      <c r="R21" s="5"/>
      <c r="S21" s="5"/>
      <c r="T21" s="5"/>
      <c r="U21" s="5"/>
    </row>
    <row r="22" spans="1:21" ht="27.75" customHeight="1">
      <c r="A22" s="1444"/>
      <c r="B22" s="1403"/>
      <c r="C22" s="1404"/>
      <c r="D22" s="116"/>
      <c r="E22" s="117"/>
      <c r="F22" s="91"/>
      <c r="G22" s="231"/>
      <c r="H22" s="9"/>
      <c r="I22" s="10"/>
      <c r="J22" s="10"/>
      <c r="K22" s="12"/>
      <c r="L22" s="39"/>
      <c r="M22" s="7"/>
      <c r="N22" s="7"/>
      <c r="O22" s="15"/>
      <c r="P22" s="5"/>
      <c r="Q22" s="5"/>
      <c r="R22" s="5"/>
      <c r="S22" s="5"/>
      <c r="T22" s="5"/>
      <c r="U22" s="5"/>
    </row>
    <row r="23" spans="1:21">
      <c r="A23" s="1386"/>
      <c r="B23" s="1353"/>
      <c r="C23" s="1353"/>
      <c r="D23" s="79"/>
      <c r="E23" s="82"/>
      <c r="F23" s="83"/>
      <c r="G23" s="67"/>
      <c r="H23" s="9"/>
      <c r="I23" s="10"/>
      <c r="J23" s="10"/>
      <c r="K23" s="12"/>
      <c r="L23" s="39"/>
      <c r="M23" s="7"/>
      <c r="N23" s="7"/>
      <c r="O23" s="15"/>
      <c r="P23" s="5"/>
      <c r="Q23" s="5"/>
      <c r="R23" s="5"/>
      <c r="S23" s="5"/>
      <c r="T23" s="5"/>
      <c r="U23" s="5"/>
    </row>
    <row r="24" spans="1:21">
      <c r="A24" s="1352"/>
      <c r="B24" s="1353"/>
      <c r="C24" s="1353"/>
      <c r="D24" s="81"/>
      <c r="E24" s="88"/>
      <c r="F24" s="78"/>
      <c r="G24" s="231"/>
      <c r="H24" s="9"/>
      <c r="I24" s="10"/>
      <c r="J24" s="40"/>
      <c r="K24" s="12"/>
      <c r="L24" s="13"/>
      <c r="M24" s="14"/>
      <c r="N24" s="14"/>
      <c r="O24" s="15"/>
      <c r="P24" s="5"/>
      <c r="Q24" s="5"/>
      <c r="R24" s="5"/>
      <c r="S24" s="5"/>
      <c r="T24" s="5"/>
      <c r="U24" s="5"/>
    </row>
    <row r="25" spans="1:21">
      <c r="A25" s="1352"/>
      <c r="B25" s="1353"/>
      <c r="C25" s="1353"/>
      <c r="D25" s="81"/>
      <c r="E25" s="82"/>
      <c r="F25" s="78"/>
      <c r="G25" s="231"/>
      <c r="H25" s="9"/>
      <c r="I25" s="10"/>
      <c r="J25" s="11"/>
      <c r="K25" s="12"/>
      <c r="L25" s="13"/>
      <c r="M25" s="14"/>
      <c r="N25" s="14"/>
      <c r="O25" s="15"/>
      <c r="P25" s="5"/>
      <c r="Q25" s="5"/>
      <c r="R25" s="5"/>
      <c r="S25" s="5"/>
      <c r="T25" s="5"/>
      <c r="U25" s="5"/>
    </row>
    <row r="26" spans="1:21">
      <c r="A26" s="1352"/>
      <c r="B26" s="1353"/>
      <c r="C26" s="1353"/>
      <c r="D26" s="79"/>
      <c r="E26" s="82"/>
      <c r="F26" s="78"/>
      <c r="G26" s="231"/>
      <c r="H26" s="9"/>
      <c r="I26" s="10"/>
      <c r="J26" s="11"/>
      <c r="K26" s="12"/>
      <c r="L26" s="13"/>
      <c r="M26" s="14"/>
      <c r="N26" s="14"/>
      <c r="O26" s="15"/>
      <c r="P26" s="5"/>
      <c r="Q26" s="5"/>
      <c r="R26" s="5"/>
      <c r="S26" s="5"/>
      <c r="T26" s="5"/>
      <c r="U26" s="5"/>
    </row>
    <row r="27" spans="1:21">
      <c r="A27" s="1352"/>
      <c r="B27" s="1353"/>
      <c r="C27" s="1353"/>
      <c r="D27" s="79"/>
      <c r="E27" s="82"/>
      <c r="F27" s="78"/>
      <c r="G27" s="231"/>
      <c r="H27" s="9"/>
      <c r="I27" s="10"/>
      <c r="J27" s="11"/>
      <c r="K27" s="12"/>
      <c r="L27" s="13"/>
      <c r="M27" s="14"/>
      <c r="N27" s="14"/>
      <c r="O27" s="15"/>
      <c r="P27" s="5"/>
      <c r="Q27" s="5"/>
      <c r="R27" s="5"/>
      <c r="S27" s="5"/>
      <c r="T27" s="5"/>
      <c r="U27" s="5"/>
    </row>
    <row r="28" spans="1:21">
      <c r="A28" s="1352"/>
      <c r="B28" s="1353"/>
      <c r="C28" s="1353"/>
      <c r="D28" s="79"/>
      <c r="E28" s="82"/>
      <c r="F28" s="83"/>
      <c r="G28" s="231"/>
      <c r="H28" s="9"/>
      <c r="I28" s="41"/>
      <c r="J28" s="41"/>
      <c r="K28" s="12"/>
      <c r="L28" s="13"/>
      <c r="M28" s="14"/>
      <c r="N28" s="14"/>
      <c r="O28" s="15"/>
      <c r="P28" s="5"/>
      <c r="Q28" s="5"/>
      <c r="R28" s="5"/>
      <c r="S28" s="5"/>
      <c r="T28" s="5"/>
      <c r="U28" s="5"/>
    </row>
    <row r="29" spans="1:21">
      <c r="A29" s="1352"/>
      <c r="B29" s="1353"/>
      <c r="C29" s="1353"/>
      <c r="D29" s="84"/>
      <c r="E29" s="84"/>
      <c r="F29" s="83"/>
      <c r="G29" s="231"/>
      <c r="H29" s="9"/>
      <c r="I29" s="42"/>
      <c r="J29" s="42"/>
      <c r="K29" s="42"/>
      <c r="L29" s="13"/>
      <c r="M29" s="14"/>
      <c r="N29" s="14"/>
      <c r="O29" s="15"/>
      <c r="P29" s="5"/>
      <c r="Q29" s="5"/>
      <c r="R29" s="5"/>
      <c r="S29" s="5"/>
      <c r="T29" s="5"/>
      <c r="U29" s="5"/>
    </row>
    <row r="30" spans="1:21">
      <c r="A30" s="1352"/>
      <c r="B30" s="1353"/>
      <c r="C30" s="1353"/>
      <c r="D30" s="85" t="s">
        <v>28</v>
      </c>
      <c r="E30" s="50"/>
      <c r="F30" s="49"/>
      <c r="G30" s="230">
        <f>SUM(G21:G29)</f>
        <v>274108</v>
      </c>
      <c r="H30" s="9"/>
      <c r="I30" s="8"/>
      <c r="J30" s="13"/>
      <c r="K30" s="8"/>
      <c r="L30" s="13"/>
      <c r="M30" s="14"/>
      <c r="N30" s="14"/>
      <c r="O30" s="15"/>
      <c r="P30" s="5"/>
    </row>
    <row r="31" spans="1:21" ht="3.75" customHeight="1">
      <c r="A31" s="226"/>
      <c r="B31" s="4"/>
      <c r="C31" s="6"/>
      <c r="D31" s="4"/>
      <c r="E31" s="4"/>
      <c r="F31" s="4"/>
      <c r="G31" s="227"/>
      <c r="H31" s="9"/>
      <c r="I31" s="8"/>
      <c r="J31" s="13"/>
      <c r="K31" s="18"/>
      <c r="L31" s="13"/>
      <c r="M31" s="33"/>
      <c r="N31" s="33"/>
      <c r="O31" s="15"/>
      <c r="P31" s="5"/>
    </row>
    <row r="32" spans="1:21" ht="22.5" customHeight="1">
      <c r="A32" s="1354" t="s">
        <v>71</v>
      </c>
      <c r="B32" s="1355"/>
      <c r="C32" s="1355"/>
      <c r="D32" s="1355"/>
      <c r="E32" s="1355"/>
      <c r="F32" s="1355"/>
      <c r="G32" s="1356"/>
      <c r="H32" s="9"/>
    </row>
    <row r="33" spans="1:16" ht="3.75" customHeight="1">
      <c r="A33" s="226"/>
      <c r="B33" s="4"/>
      <c r="C33" s="6"/>
      <c r="D33" s="4"/>
      <c r="E33" s="4"/>
      <c r="F33" s="4"/>
      <c r="G33" s="227"/>
      <c r="H33" s="9"/>
      <c r="I33" s="8"/>
      <c r="J33" s="13"/>
      <c r="K33" s="8"/>
      <c r="L33" s="8"/>
      <c r="M33" s="8"/>
      <c r="N33" s="8"/>
      <c r="O33" s="15"/>
      <c r="P33" s="5"/>
    </row>
    <row r="34" spans="1:16">
      <c r="A34" s="232" t="s">
        <v>5</v>
      </c>
      <c r="B34" s="60" t="s">
        <v>29</v>
      </c>
      <c r="C34" s="60" t="s">
        <v>30</v>
      </c>
      <c r="D34" s="60" t="s">
        <v>31</v>
      </c>
      <c r="E34" s="60" t="s">
        <v>32</v>
      </c>
      <c r="F34" s="60" t="s">
        <v>20</v>
      </c>
      <c r="G34" s="228" t="s">
        <v>33</v>
      </c>
      <c r="H34" s="27"/>
      <c r="I34" s="8"/>
      <c r="J34" s="13"/>
      <c r="K34" s="8"/>
      <c r="L34" s="8"/>
      <c r="M34" s="8"/>
      <c r="N34" s="8"/>
      <c r="O34" s="15"/>
      <c r="P34" s="5"/>
    </row>
    <row r="35" spans="1:16">
      <c r="A35" s="233" t="s">
        <v>41</v>
      </c>
      <c r="B35" s="63">
        <f>BOF</f>
        <v>51749</v>
      </c>
      <c r="C35" s="68">
        <f>ffpp</f>
        <v>0.64539999999999997</v>
      </c>
      <c r="D35" s="72">
        <v>1</v>
      </c>
      <c r="E35" s="66">
        <f>OF</f>
        <v>88696</v>
      </c>
      <c r="F35" s="65">
        <v>18</v>
      </c>
      <c r="G35" s="231">
        <f>ROUND(+D35*E35/F35,0)</f>
        <v>4928</v>
      </c>
      <c r="H35" s="9"/>
      <c r="I35" s="16"/>
      <c r="J35" s="13"/>
      <c r="K35" s="8"/>
      <c r="L35" s="8"/>
      <c r="M35" s="8"/>
      <c r="N35" s="8"/>
      <c r="O35" s="15"/>
      <c r="P35" s="5"/>
    </row>
    <row r="36" spans="1:16">
      <c r="A36" s="233" t="s">
        <v>38</v>
      </c>
      <c r="B36" s="63">
        <f>BOB</f>
        <v>41749</v>
      </c>
      <c r="C36" s="68">
        <f>ffpp</f>
        <v>0.64539999999999997</v>
      </c>
      <c r="D36" s="72">
        <v>3</v>
      </c>
      <c r="E36" s="66">
        <f>OB</f>
        <v>72242</v>
      </c>
      <c r="F36" s="65">
        <f>F35</f>
        <v>18</v>
      </c>
      <c r="G36" s="231">
        <f>ROUND(+D36*E36/F36,0)</f>
        <v>12040</v>
      </c>
      <c r="H36" s="9"/>
      <c r="I36" s="8"/>
      <c r="J36" s="8"/>
      <c r="K36" s="13"/>
      <c r="L36" s="13"/>
      <c r="M36" s="13"/>
      <c r="N36" s="13"/>
      <c r="O36" s="13"/>
      <c r="P36" s="5"/>
    </row>
    <row r="37" spans="1:16">
      <c r="A37" s="234"/>
      <c r="B37" s="50"/>
      <c r="C37" s="961"/>
      <c r="D37" s="50"/>
      <c r="E37" s="66"/>
      <c r="F37" s="65"/>
      <c r="G37" s="231"/>
      <c r="H37" s="9"/>
      <c r="I37" s="8"/>
      <c r="J37" s="13"/>
      <c r="K37" s="13"/>
      <c r="L37" s="13"/>
      <c r="M37" s="33"/>
      <c r="N37" s="33"/>
      <c r="O37" s="43"/>
      <c r="P37" s="5"/>
    </row>
    <row r="38" spans="1:16">
      <c r="A38" s="233"/>
      <c r="B38" s="65"/>
      <c r="C38" s="68"/>
      <c r="D38" s="65"/>
      <c r="E38" s="69"/>
      <c r="F38" s="69"/>
      <c r="G38" s="236"/>
      <c r="H38" s="9"/>
      <c r="I38" s="8"/>
      <c r="J38" s="13"/>
      <c r="K38" s="13"/>
      <c r="L38" s="13"/>
      <c r="M38" s="33"/>
      <c r="N38" s="33"/>
      <c r="O38" s="43"/>
      <c r="P38" s="5"/>
    </row>
    <row r="39" spans="1:16">
      <c r="A39" s="249"/>
      <c r="B39" s="71"/>
      <c r="C39" s="71"/>
      <c r="D39" s="71" t="s">
        <v>34</v>
      </c>
      <c r="E39" s="71"/>
      <c r="F39" s="71"/>
      <c r="G39" s="250">
        <f>SUM(G35:G38)</f>
        <v>16968</v>
      </c>
      <c r="H39" s="9"/>
      <c r="I39" s="8"/>
      <c r="J39" s="13"/>
      <c r="K39" s="13"/>
      <c r="L39" s="13"/>
      <c r="M39" s="14"/>
      <c r="N39" s="14"/>
      <c r="O39" s="15"/>
      <c r="P39" s="5"/>
    </row>
    <row r="40" spans="1:16">
      <c r="A40" s="226"/>
      <c r="B40" s="4"/>
      <c r="C40" s="6"/>
      <c r="D40" s="4"/>
      <c r="E40" s="4"/>
      <c r="F40" s="4"/>
      <c r="G40" s="227"/>
      <c r="H40" s="9"/>
      <c r="I40" s="8"/>
      <c r="J40" s="13"/>
      <c r="K40" s="13"/>
      <c r="L40" s="13"/>
      <c r="M40" s="14"/>
      <c r="N40" s="14"/>
      <c r="O40" s="19"/>
      <c r="P40" s="5"/>
    </row>
    <row r="41" spans="1:16">
      <c r="A41" s="226"/>
      <c r="B41" s="4"/>
      <c r="C41" s="6"/>
      <c r="D41" s="4"/>
      <c r="E41" s="4"/>
      <c r="F41" s="4"/>
      <c r="G41" s="227"/>
      <c r="H41" s="9"/>
      <c r="I41" s="8"/>
      <c r="J41" s="13"/>
      <c r="K41" s="13"/>
      <c r="L41" s="13"/>
      <c r="M41" s="17"/>
      <c r="N41" s="17"/>
      <c r="O41" s="37"/>
      <c r="P41" s="5"/>
    </row>
    <row r="42" spans="1:16" ht="14.25">
      <c r="A42" s="226"/>
      <c r="B42" s="4"/>
      <c r="C42" s="6"/>
      <c r="D42" s="1357" t="s">
        <v>35</v>
      </c>
      <c r="E42" s="1358"/>
      <c r="F42" s="1359"/>
      <c r="G42" s="239">
        <f>+G39+G30+G16</f>
        <v>292773</v>
      </c>
      <c r="H42" s="9"/>
      <c r="I42" s="48"/>
      <c r="J42" s="20"/>
      <c r="K42" s="8"/>
      <c r="L42" s="8"/>
      <c r="M42" s="8"/>
      <c r="N42" s="8"/>
      <c r="O42" s="8"/>
      <c r="P42" s="5"/>
    </row>
    <row r="43" spans="1:16" ht="14.25">
      <c r="A43" s="240"/>
      <c r="B43" s="57"/>
      <c r="C43" s="58"/>
      <c r="D43" s="99"/>
      <c r="E43" s="99"/>
      <c r="F43" s="99"/>
      <c r="G43" s="251"/>
      <c r="H43" s="9"/>
      <c r="I43" s="48"/>
      <c r="J43" s="20"/>
      <c r="K43" s="8"/>
      <c r="L43" s="8"/>
      <c r="M43" s="8"/>
      <c r="N43" s="8"/>
      <c r="O43" s="8"/>
      <c r="P43" s="5"/>
    </row>
    <row r="44" spans="1:16" ht="14.25">
      <c r="A44" s="374"/>
      <c r="B44" s="375"/>
      <c r="C44" s="375"/>
      <c r="D44" s="99"/>
      <c r="E44" s="99"/>
      <c r="F44" s="99"/>
      <c r="G44" s="251"/>
      <c r="H44" s="9"/>
      <c r="I44" s="48"/>
      <c r="J44" s="20"/>
      <c r="K44" s="8"/>
      <c r="L44" s="8"/>
      <c r="M44" s="8"/>
      <c r="N44" s="8"/>
      <c r="O44" s="8"/>
      <c r="P44" s="5"/>
    </row>
    <row r="45" spans="1:16" ht="14.25">
      <c r="A45" s="373"/>
      <c r="B45" s="376"/>
      <c r="C45" s="376"/>
      <c r="D45" s="99"/>
      <c r="E45" s="99"/>
      <c r="F45" s="99"/>
      <c r="G45" s="251"/>
      <c r="H45" s="9"/>
      <c r="I45" s="48"/>
      <c r="J45" s="20"/>
      <c r="K45" s="8"/>
      <c r="L45" s="8"/>
      <c r="M45" s="8"/>
      <c r="N45" s="8"/>
      <c r="O45" s="8"/>
      <c r="P45" s="5"/>
    </row>
    <row r="46" spans="1:16" ht="14.25">
      <c r="A46" s="373"/>
      <c r="B46" s="376"/>
      <c r="C46" s="376"/>
      <c r="D46" s="44"/>
      <c r="E46" s="45"/>
      <c r="F46" s="45"/>
      <c r="G46" s="251"/>
      <c r="H46" s="9"/>
      <c r="I46" s="8"/>
      <c r="J46" s="13"/>
      <c r="K46" s="8"/>
      <c r="L46" s="8"/>
      <c r="M46" s="8"/>
      <c r="N46" s="8"/>
      <c r="O46" s="8"/>
      <c r="P46" s="5"/>
    </row>
    <row r="47" spans="1:16" ht="15" thickBot="1">
      <c r="A47" s="242"/>
      <c r="B47" s="243"/>
      <c r="C47" s="244"/>
      <c r="D47" s="245"/>
      <c r="E47" s="246"/>
      <c r="F47" s="246"/>
      <c r="G47" s="247"/>
      <c r="H47" s="9"/>
      <c r="I47" s="8"/>
      <c r="J47" s="13"/>
      <c r="K47" s="8"/>
      <c r="L47" s="8"/>
      <c r="M47" s="8"/>
      <c r="N47" s="8"/>
      <c r="O47" s="8"/>
      <c r="P47" s="5"/>
    </row>
    <row r="48" spans="1:16">
      <c r="I48" s="5"/>
      <c r="J48" s="5"/>
      <c r="K48" s="5"/>
      <c r="L48" s="5"/>
      <c r="M48" s="5"/>
      <c r="N48" s="5"/>
      <c r="O48" s="5"/>
      <c r="P48" s="5"/>
    </row>
    <row r="49" spans="9:16">
      <c r="I49" s="5"/>
      <c r="J49" s="5"/>
      <c r="K49" s="5"/>
      <c r="L49" s="5"/>
      <c r="M49" s="5"/>
      <c r="N49" s="5"/>
      <c r="O49" s="5"/>
      <c r="P49" s="5"/>
    </row>
  </sheetData>
  <mergeCells count="26">
    <mergeCell ref="A32:G32"/>
    <mergeCell ref="D42:F42"/>
    <mergeCell ref="A25:C25"/>
    <mergeCell ref="A26:C26"/>
    <mergeCell ref="A27:C27"/>
    <mergeCell ref="A28:C28"/>
    <mergeCell ref="A29:C29"/>
    <mergeCell ref="A30:C30"/>
    <mergeCell ref="A24:C24"/>
    <mergeCell ref="A11:C11"/>
    <mergeCell ref="A12:C12"/>
    <mergeCell ref="A13:C13"/>
    <mergeCell ref="A14:C14"/>
    <mergeCell ref="A15:C15"/>
    <mergeCell ref="A16:C16"/>
    <mergeCell ref="A18:G18"/>
    <mergeCell ref="A20:C20"/>
    <mergeCell ref="A21:C21"/>
    <mergeCell ref="A22:C22"/>
    <mergeCell ref="A23:C23"/>
    <mergeCell ref="A10:C10"/>
    <mergeCell ref="A1:G1"/>
    <mergeCell ref="A2:G2"/>
    <mergeCell ref="A3:G4"/>
    <mergeCell ref="B6:E6"/>
    <mergeCell ref="A8:G8"/>
  </mergeCells>
  <printOptions horizontalCentered="1" verticalCentered="1"/>
  <pageMargins left="0.74803149606299213" right="0.74803149606299213" top="0" bottom="0.98425196850393704" header="0" footer="0"/>
  <pageSetup scale="90" orientation="portrait" r:id="rId1"/>
  <headerFooter alignWithMargins="0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4"/>
  <dimension ref="A1:U49"/>
  <sheetViews>
    <sheetView view="pageBreakPreview" topLeftCell="A5" zoomScaleNormal="100" zoomScaleSheetLayoutView="100" workbookViewId="0">
      <selection activeCell="F22" sqref="F22"/>
    </sheetView>
  </sheetViews>
  <sheetFormatPr baseColWidth="10" defaultColWidth="10.7109375" defaultRowHeight="12.75"/>
  <cols>
    <col min="1" max="1" width="15.85546875" style="3" customWidth="1"/>
    <col min="2" max="2" width="14.85546875" style="3" customWidth="1"/>
    <col min="3" max="3" width="13.28515625" style="3" customWidth="1"/>
    <col min="4" max="4" width="11.42578125" style="3"/>
    <col min="5" max="5" width="13.42578125" style="3" customWidth="1"/>
    <col min="6" max="6" width="12.7109375" style="3" customWidth="1"/>
    <col min="7" max="7" width="14" style="3" customWidth="1"/>
    <col min="8" max="8" width="7.42578125" style="3" customWidth="1"/>
    <col min="9" max="256" width="11.42578125" style="3"/>
    <col min="257" max="257" width="15.85546875" style="3" customWidth="1"/>
    <col min="258" max="258" width="14.85546875" style="3" customWidth="1"/>
    <col min="259" max="259" width="13.28515625" style="3" customWidth="1"/>
    <col min="260" max="260" width="11.42578125" style="3"/>
    <col min="261" max="261" width="13.42578125" style="3" customWidth="1"/>
    <col min="262" max="262" width="12.7109375" style="3" customWidth="1"/>
    <col min="263" max="263" width="14" style="3" customWidth="1"/>
    <col min="264" max="264" width="7.42578125" style="3" customWidth="1"/>
    <col min="265" max="512" width="11.42578125" style="3"/>
    <col min="513" max="513" width="15.85546875" style="3" customWidth="1"/>
    <col min="514" max="514" width="14.85546875" style="3" customWidth="1"/>
    <col min="515" max="515" width="13.28515625" style="3" customWidth="1"/>
    <col min="516" max="516" width="11.42578125" style="3"/>
    <col min="517" max="517" width="13.42578125" style="3" customWidth="1"/>
    <col min="518" max="518" width="12.7109375" style="3" customWidth="1"/>
    <col min="519" max="519" width="14" style="3" customWidth="1"/>
    <col min="520" max="520" width="7.42578125" style="3" customWidth="1"/>
    <col min="521" max="768" width="11.42578125" style="3"/>
    <col min="769" max="769" width="15.85546875" style="3" customWidth="1"/>
    <col min="770" max="770" width="14.85546875" style="3" customWidth="1"/>
    <col min="771" max="771" width="13.28515625" style="3" customWidth="1"/>
    <col min="772" max="772" width="11.42578125" style="3"/>
    <col min="773" max="773" width="13.42578125" style="3" customWidth="1"/>
    <col min="774" max="774" width="12.7109375" style="3" customWidth="1"/>
    <col min="775" max="775" width="14" style="3" customWidth="1"/>
    <col min="776" max="776" width="7.42578125" style="3" customWidth="1"/>
    <col min="777" max="1024" width="11.42578125" style="3"/>
    <col min="1025" max="1025" width="15.85546875" style="3" customWidth="1"/>
    <col min="1026" max="1026" width="14.85546875" style="3" customWidth="1"/>
    <col min="1027" max="1027" width="13.28515625" style="3" customWidth="1"/>
    <col min="1028" max="1028" width="11.42578125" style="3"/>
    <col min="1029" max="1029" width="13.42578125" style="3" customWidth="1"/>
    <col min="1030" max="1030" width="12.7109375" style="3" customWidth="1"/>
    <col min="1031" max="1031" width="14" style="3" customWidth="1"/>
    <col min="1032" max="1032" width="7.42578125" style="3" customWidth="1"/>
    <col min="1033" max="1280" width="11.42578125" style="3"/>
    <col min="1281" max="1281" width="15.85546875" style="3" customWidth="1"/>
    <col min="1282" max="1282" width="14.85546875" style="3" customWidth="1"/>
    <col min="1283" max="1283" width="13.28515625" style="3" customWidth="1"/>
    <col min="1284" max="1284" width="11.42578125" style="3"/>
    <col min="1285" max="1285" width="13.42578125" style="3" customWidth="1"/>
    <col min="1286" max="1286" width="12.7109375" style="3" customWidth="1"/>
    <col min="1287" max="1287" width="14" style="3" customWidth="1"/>
    <col min="1288" max="1288" width="7.42578125" style="3" customWidth="1"/>
    <col min="1289" max="1536" width="11.42578125" style="3"/>
    <col min="1537" max="1537" width="15.85546875" style="3" customWidth="1"/>
    <col min="1538" max="1538" width="14.85546875" style="3" customWidth="1"/>
    <col min="1539" max="1539" width="13.28515625" style="3" customWidth="1"/>
    <col min="1540" max="1540" width="11.42578125" style="3"/>
    <col min="1541" max="1541" width="13.42578125" style="3" customWidth="1"/>
    <col min="1542" max="1542" width="12.7109375" style="3" customWidth="1"/>
    <col min="1543" max="1543" width="14" style="3" customWidth="1"/>
    <col min="1544" max="1544" width="7.42578125" style="3" customWidth="1"/>
    <col min="1545" max="1792" width="11.42578125" style="3"/>
    <col min="1793" max="1793" width="15.85546875" style="3" customWidth="1"/>
    <col min="1794" max="1794" width="14.85546875" style="3" customWidth="1"/>
    <col min="1795" max="1795" width="13.28515625" style="3" customWidth="1"/>
    <col min="1796" max="1796" width="11.42578125" style="3"/>
    <col min="1797" max="1797" width="13.42578125" style="3" customWidth="1"/>
    <col min="1798" max="1798" width="12.7109375" style="3" customWidth="1"/>
    <col min="1799" max="1799" width="14" style="3" customWidth="1"/>
    <col min="1800" max="1800" width="7.42578125" style="3" customWidth="1"/>
    <col min="1801" max="2048" width="11.42578125" style="3"/>
    <col min="2049" max="2049" width="15.85546875" style="3" customWidth="1"/>
    <col min="2050" max="2050" width="14.85546875" style="3" customWidth="1"/>
    <col min="2051" max="2051" width="13.28515625" style="3" customWidth="1"/>
    <col min="2052" max="2052" width="11.42578125" style="3"/>
    <col min="2053" max="2053" width="13.42578125" style="3" customWidth="1"/>
    <col min="2054" max="2054" width="12.7109375" style="3" customWidth="1"/>
    <col min="2055" max="2055" width="14" style="3" customWidth="1"/>
    <col min="2056" max="2056" width="7.42578125" style="3" customWidth="1"/>
    <col min="2057" max="2304" width="11.42578125" style="3"/>
    <col min="2305" max="2305" width="15.85546875" style="3" customWidth="1"/>
    <col min="2306" max="2306" width="14.85546875" style="3" customWidth="1"/>
    <col min="2307" max="2307" width="13.28515625" style="3" customWidth="1"/>
    <col min="2308" max="2308" width="11.42578125" style="3"/>
    <col min="2309" max="2309" width="13.42578125" style="3" customWidth="1"/>
    <col min="2310" max="2310" width="12.7109375" style="3" customWidth="1"/>
    <col min="2311" max="2311" width="14" style="3" customWidth="1"/>
    <col min="2312" max="2312" width="7.42578125" style="3" customWidth="1"/>
    <col min="2313" max="2560" width="11.42578125" style="3"/>
    <col min="2561" max="2561" width="15.85546875" style="3" customWidth="1"/>
    <col min="2562" max="2562" width="14.85546875" style="3" customWidth="1"/>
    <col min="2563" max="2563" width="13.28515625" style="3" customWidth="1"/>
    <col min="2564" max="2564" width="11.42578125" style="3"/>
    <col min="2565" max="2565" width="13.42578125" style="3" customWidth="1"/>
    <col min="2566" max="2566" width="12.7109375" style="3" customWidth="1"/>
    <col min="2567" max="2567" width="14" style="3" customWidth="1"/>
    <col min="2568" max="2568" width="7.42578125" style="3" customWidth="1"/>
    <col min="2569" max="2816" width="11.42578125" style="3"/>
    <col min="2817" max="2817" width="15.85546875" style="3" customWidth="1"/>
    <col min="2818" max="2818" width="14.85546875" style="3" customWidth="1"/>
    <col min="2819" max="2819" width="13.28515625" style="3" customWidth="1"/>
    <col min="2820" max="2820" width="11.42578125" style="3"/>
    <col min="2821" max="2821" width="13.42578125" style="3" customWidth="1"/>
    <col min="2822" max="2822" width="12.7109375" style="3" customWidth="1"/>
    <col min="2823" max="2823" width="14" style="3" customWidth="1"/>
    <col min="2824" max="2824" width="7.42578125" style="3" customWidth="1"/>
    <col min="2825" max="3072" width="11.42578125" style="3"/>
    <col min="3073" max="3073" width="15.85546875" style="3" customWidth="1"/>
    <col min="3074" max="3074" width="14.85546875" style="3" customWidth="1"/>
    <col min="3075" max="3075" width="13.28515625" style="3" customWidth="1"/>
    <col min="3076" max="3076" width="11.42578125" style="3"/>
    <col min="3077" max="3077" width="13.42578125" style="3" customWidth="1"/>
    <col min="3078" max="3078" width="12.7109375" style="3" customWidth="1"/>
    <col min="3079" max="3079" width="14" style="3" customWidth="1"/>
    <col min="3080" max="3080" width="7.42578125" style="3" customWidth="1"/>
    <col min="3081" max="3328" width="11.42578125" style="3"/>
    <col min="3329" max="3329" width="15.85546875" style="3" customWidth="1"/>
    <col min="3330" max="3330" width="14.85546875" style="3" customWidth="1"/>
    <col min="3331" max="3331" width="13.28515625" style="3" customWidth="1"/>
    <col min="3332" max="3332" width="11.42578125" style="3"/>
    <col min="3333" max="3333" width="13.42578125" style="3" customWidth="1"/>
    <col min="3334" max="3334" width="12.7109375" style="3" customWidth="1"/>
    <col min="3335" max="3335" width="14" style="3" customWidth="1"/>
    <col min="3336" max="3336" width="7.42578125" style="3" customWidth="1"/>
    <col min="3337" max="3584" width="11.42578125" style="3"/>
    <col min="3585" max="3585" width="15.85546875" style="3" customWidth="1"/>
    <col min="3586" max="3586" width="14.85546875" style="3" customWidth="1"/>
    <col min="3587" max="3587" width="13.28515625" style="3" customWidth="1"/>
    <col min="3588" max="3588" width="11.42578125" style="3"/>
    <col min="3589" max="3589" width="13.42578125" style="3" customWidth="1"/>
    <col min="3590" max="3590" width="12.7109375" style="3" customWidth="1"/>
    <col min="3591" max="3591" width="14" style="3" customWidth="1"/>
    <col min="3592" max="3592" width="7.42578125" style="3" customWidth="1"/>
    <col min="3593" max="3840" width="11.42578125" style="3"/>
    <col min="3841" max="3841" width="15.85546875" style="3" customWidth="1"/>
    <col min="3842" max="3842" width="14.85546875" style="3" customWidth="1"/>
    <col min="3843" max="3843" width="13.28515625" style="3" customWidth="1"/>
    <col min="3844" max="3844" width="11.42578125" style="3"/>
    <col min="3845" max="3845" width="13.42578125" style="3" customWidth="1"/>
    <col min="3846" max="3846" width="12.7109375" style="3" customWidth="1"/>
    <col min="3847" max="3847" width="14" style="3" customWidth="1"/>
    <col min="3848" max="3848" width="7.42578125" style="3" customWidth="1"/>
    <col min="3849" max="4096" width="11.42578125" style="3"/>
    <col min="4097" max="4097" width="15.85546875" style="3" customWidth="1"/>
    <col min="4098" max="4098" width="14.85546875" style="3" customWidth="1"/>
    <col min="4099" max="4099" width="13.28515625" style="3" customWidth="1"/>
    <col min="4100" max="4100" width="11.42578125" style="3"/>
    <col min="4101" max="4101" width="13.42578125" style="3" customWidth="1"/>
    <col min="4102" max="4102" width="12.7109375" style="3" customWidth="1"/>
    <col min="4103" max="4103" width="14" style="3" customWidth="1"/>
    <col min="4104" max="4104" width="7.42578125" style="3" customWidth="1"/>
    <col min="4105" max="4352" width="11.42578125" style="3"/>
    <col min="4353" max="4353" width="15.85546875" style="3" customWidth="1"/>
    <col min="4354" max="4354" width="14.85546875" style="3" customWidth="1"/>
    <col min="4355" max="4355" width="13.28515625" style="3" customWidth="1"/>
    <col min="4356" max="4356" width="11.42578125" style="3"/>
    <col min="4357" max="4357" width="13.42578125" style="3" customWidth="1"/>
    <col min="4358" max="4358" width="12.7109375" style="3" customWidth="1"/>
    <col min="4359" max="4359" width="14" style="3" customWidth="1"/>
    <col min="4360" max="4360" width="7.42578125" style="3" customWidth="1"/>
    <col min="4361" max="4608" width="11.42578125" style="3"/>
    <col min="4609" max="4609" width="15.85546875" style="3" customWidth="1"/>
    <col min="4610" max="4610" width="14.85546875" style="3" customWidth="1"/>
    <col min="4611" max="4611" width="13.28515625" style="3" customWidth="1"/>
    <col min="4612" max="4612" width="11.42578125" style="3"/>
    <col min="4613" max="4613" width="13.42578125" style="3" customWidth="1"/>
    <col min="4614" max="4614" width="12.7109375" style="3" customWidth="1"/>
    <col min="4615" max="4615" width="14" style="3" customWidth="1"/>
    <col min="4616" max="4616" width="7.42578125" style="3" customWidth="1"/>
    <col min="4617" max="4864" width="11.42578125" style="3"/>
    <col min="4865" max="4865" width="15.85546875" style="3" customWidth="1"/>
    <col min="4866" max="4866" width="14.85546875" style="3" customWidth="1"/>
    <col min="4867" max="4867" width="13.28515625" style="3" customWidth="1"/>
    <col min="4868" max="4868" width="11.42578125" style="3"/>
    <col min="4869" max="4869" width="13.42578125" style="3" customWidth="1"/>
    <col min="4870" max="4870" width="12.7109375" style="3" customWidth="1"/>
    <col min="4871" max="4871" width="14" style="3" customWidth="1"/>
    <col min="4872" max="4872" width="7.42578125" style="3" customWidth="1"/>
    <col min="4873" max="5120" width="11.42578125" style="3"/>
    <col min="5121" max="5121" width="15.85546875" style="3" customWidth="1"/>
    <col min="5122" max="5122" width="14.85546875" style="3" customWidth="1"/>
    <col min="5123" max="5123" width="13.28515625" style="3" customWidth="1"/>
    <col min="5124" max="5124" width="11.42578125" style="3"/>
    <col min="5125" max="5125" width="13.42578125" style="3" customWidth="1"/>
    <col min="5126" max="5126" width="12.7109375" style="3" customWidth="1"/>
    <col min="5127" max="5127" width="14" style="3" customWidth="1"/>
    <col min="5128" max="5128" width="7.42578125" style="3" customWidth="1"/>
    <col min="5129" max="5376" width="11.42578125" style="3"/>
    <col min="5377" max="5377" width="15.85546875" style="3" customWidth="1"/>
    <col min="5378" max="5378" width="14.85546875" style="3" customWidth="1"/>
    <col min="5379" max="5379" width="13.28515625" style="3" customWidth="1"/>
    <col min="5380" max="5380" width="11.42578125" style="3"/>
    <col min="5381" max="5381" width="13.42578125" style="3" customWidth="1"/>
    <col min="5382" max="5382" width="12.7109375" style="3" customWidth="1"/>
    <col min="5383" max="5383" width="14" style="3" customWidth="1"/>
    <col min="5384" max="5384" width="7.42578125" style="3" customWidth="1"/>
    <col min="5385" max="5632" width="11.42578125" style="3"/>
    <col min="5633" max="5633" width="15.85546875" style="3" customWidth="1"/>
    <col min="5634" max="5634" width="14.85546875" style="3" customWidth="1"/>
    <col min="5635" max="5635" width="13.28515625" style="3" customWidth="1"/>
    <col min="5636" max="5636" width="11.42578125" style="3"/>
    <col min="5637" max="5637" width="13.42578125" style="3" customWidth="1"/>
    <col min="5638" max="5638" width="12.7109375" style="3" customWidth="1"/>
    <col min="5639" max="5639" width="14" style="3" customWidth="1"/>
    <col min="5640" max="5640" width="7.42578125" style="3" customWidth="1"/>
    <col min="5641" max="5888" width="11.42578125" style="3"/>
    <col min="5889" max="5889" width="15.85546875" style="3" customWidth="1"/>
    <col min="5890" max="5890" width="14.85546875" style="3" customWidth="1"/>
    <col min="5891" max="5891" width="13.28515625" style="3" customWidth="1"/>
    <col min="5892" max="5892" width="11.42578125" style="3"/>
    <col min="5893" max="5893" width="13.42578125" style="3" customWidth="1"/>
    <col min="5894" max="5894" width="12.7109375" style="3" customWidth="1"/>
    <col min="5895" max="5895" width="14" style="3" customWidth="1"/>
    <col min="5896" max="5896" width="7.42578125" style="3" customWidth="1"/>
    <col min="5897" max="6144" width="11.42578125" style="3"/>
    <col min="6145" max="6145" width="15.85546875" style="3" customWidth="1"/>
    <col min="6146" max="6146" width="14.85546875" style="3" customWidth="1"/>
    <col min="6147" max="6147" width="13.28515625" style="3" customWidth="1"/>
    <col min="6148" max="6148" width="11.42578125" style="3"/>
    <col min="6149" max="6149" width="13.42578125" style="3" customWidth="1"/>
    <col min="6150" max="6150" width="12.7109375" style="3" customWidth="1"/>
    <col min="6151" max="6151" width="14" style="3" customWidth="1"/>
    <col min="6152" max="6152" width="7.42578125" style="3" customWidth="1"/>
    <col min="6153" max="6400" width="11.42578125" style="3"/>
    <col min="6401" max="6401" width="15.85546875" style="3" customWidth="1"/>
    <col min="6402" max="6402" width="14.85546875" style="3" customWidth="1"/>
    <col min="6403" max="6403" width="13.28515625" style="3" customWidth="1"/>
    <col min="6404" max="6404" width="11.42578125" style="3"/>
    <col min="6405" max="6405" width="13.42578125" style="3" customWidth="1"/>
    <col min="6406" max="6406" width="12.7109375" style="3" customWidth="1"/>
    <col min="6407" max="6407" width="14" style="3" customWidth="1"/>
    <col min="6408" max="6408" width="7.42578125" style="3" customWidth="1"/>
    <col min="6409" max="6656" width="11.42578125" style="3"/>
    <col min="6657" max="6657" width="15.85546875" style="3" customWidth="1"/>
    <col min="6658" max="6658" width="14.85546875" style="3" customWidth="1"/>
    <col min="6659" max="6659" width="13.28515625" style="3" customWidth="1"/>
    <col min="6660" max="6660" width="11.42578125" style="3"/>
    <col min="6661" max="6661" width="13.42578125" style="3" customWidth="1"/>
    <col min="6662" max="6662" width="12.7109375" style="3" customWidth="1"/>
    <col min="6663" max="6663" width="14" style="3" customWidth="1"/>
    <col min="6664" max="6664" width="7.42578125" style="3" customWidth="1"/>
    <col min="6665" max="6912" width="11.42578125" style="3"/>
    <col min="6913" max="6913" width="15.85546875" style="3" customWidth="1"/>
    <col min="6914" max="6914" width="14.85546875" style="3" customWidth="1"/>
    <col min="6915" max="6915" width="13.28515625" style="3" customWidth="1"/>
    <col min="6916" max="6916" width="11.42578125" style="3"/>
    <col min="6917" max="6917" width="13.42578125" style="3" customWidth="1"/>
    <col min="6918" max="6918" width="12.7109375" style="3" customWidth="1"/>
    <col min="6919" max="6919" width="14" style="3" customWidth="1"/>
    <col min="6920" max="6920" width="7.42578125" style="3" customWidth="1"/>
    <col min="6921" max="7168" width="11.42578125" style="3"/>
    <col min="7169" max="7169" width="15.85546875" style="3" customWidth="1"/>
    <col min="7170" max="7170" width="14.85546875" style="3" customWidth="1"/>
    <col min="7171" max="7171" width="13.28515625" style="3" customWidth="1"/>
    <col min="7172" max="7172" width="11.42578125" style="3"/>
    <col min="7173" max="7173" width="13.42578125" style="3" customWidth="1"/>
    <col min="7174" max="7174" width="12.7109375" style="3" customWidth="1"/>
    <col min="7175" max="7175" width="14" style="3" customWidth="1"/>
    <col min="7176" max="7176" width="7.42578125" style="3" customWidth="1"/>
    <col min="7177" max="7424" width="11.42578125" style="3"/>
    <col min="7425" max="7425" width="15.85546875" style="3" customWidth="1"/>
    <col min="7426" max="7426" width="14.85546875" style="3" customWidth="1"/>
    <col min="7427" max="7427" width="13.28515625" style="3" customWidth="1"/>
    <col min="7428" max="7428" width="11.42578125" style="3"/>
    <col min="7429" max="7429" width="13.42578125" style="3" customWidth="1"/>
    <col min="7430" max="7430" width="12.7109375" style="3" customWidth="1"/>
    <col min="7431" max="7431" width="14" style="3" customWidth="1"/>
    <col min="7432" max="7432" width="7.42578125" style="3" customWidth="1"/>
    <col min="7433" max="7680" width="11.42578125" style="3"/>
    <col min="7681" max="7681" width="15.85546875" style="3" customWidth="1"/>
    <col min="7682" max="7682" width="14.85546875" style="3" customWidth="1"/>
    <col min="7683" max="7683" width="13.28515625" style="3" customWidth="1"/>
    <col min="7684" max="7684" width="11.42578125" style="3"/>
    <col min="7685" max="7685" width="13.42578125" style="3" customWidth="1"/>
    <col min="7686" max="7686" width="12.7109375" style="3" customWidth="1"/>
    <col min="7687" max="7687" width="14" style="3" customWidth="1"/>
    <col min="7688" max="7688" width="7.42578125" style="3" customWidth="1"/>
    <col min="7689" max="7936" width="11.42578125" style="3"/>
    <col min="7937" max="7937" width="15.85546875" style="3" customWidth="1"/>
    <col min="7938" max="7938" width="14.85546875" style="3" customWidth="1"/>
    <col min="7939" max="7939" width="13.28515625" style="3" customWidth="1"/>
    <col min="7940" max="7940" width="11.42578125" style="3"/>
    <col min="7941" max="7941" width="13.42578125" style="3" customWidth="1"/>
    <col min="7942" max="7942" width="12.7109375" style="3" customWidth="1"/>
    <col min="7943" max="7943" width="14" style="3" customWidth="1"/>
    <col min="7944" max="7944" width="7.42578125" style="3" customWidth="1"/>
    <col min="7945" max="8192" width="11.42578125" style="3"/>
    <col min="8193" max="8193" width="15.85546875" style="3" customWidth="1"/>
    <col min="8194" max="8194" width="14.85546875" style="3" customWidth="1"/>
    <col min="8195" max="8195" width="13.28515625" style="3" customWidth="1"/>
    <col min="8196" max="8196" width="11.42578125" style="3"/>
    <col min="8197" max="8197" width="13.42578125" style="3" customWidth="1"/>
    <col min="8198" max="8198" width="12.7109375" style="3" customWidth="1"/>
    <col min="8199" max="8199" width="14" style="3" customWidth="1"/>
    <col min="8200" max="8200" width="7.42578125" style="3" customWidth="1"/>
    <col min="8201" max="8448" width="11.42578125" style="3"/>
    <col min="8449" max="8449" width="15.85546875" style="3" customWidth="1"/>
    <col min="8450" max="8450" width="14.85546875" style="3" customWidth="1"/>
    <col min="8451" max="8451" width="13.28515625" style="3" customWidth="1"/>
    <col min="8452" max="8452" width="11.42578125" style="3"/>
    <col min="8453" max="8453" width="13.42578125" style="3" customWidth="1"/>
    <col min="8454" max="8454" width="12.7109375" style="3" customWidth="1"/>
    <col min="8455" max="8455" width="14" style="3" customWidth="1"/>
    <col min="8456" max="8456" width="7.42578125" style="3" customWidth="1"/>
    <col min="8457" max="8704" width="11.42578125" style="3"/>
    <col min="8705" max="8705" width="15.85546875" style="3" customWidth="1"/>
    <col min="8706" max="8706" width="14.85546875" style="3" customWidth="1"/>
    <col min="8707" max="8707" width="13.28515625" style="3" customWidth="1"/>
    <col min="8708" max="8708" width="11.42578125" style="3"/>
    <col min="8709" max="8709" width="13.42578125" style="3" customWidth="1"/>
    <col min="8710" max="8710" width="12.7109375" style="3" customWidth="1"/>
    <col min="8711" max="8711" width="14" style="3" customWidth="1"/>
    <col min="8712" max="8712" width="7.42578125" style="3" customWidth="1"/>
    <col min="8713" max="8960" width="11.42578125" style="3"/>
    <col min="8961" max="8961" width="15.85546875" style="3" customWidth="1"/>
    <col min="8962" max="8962" width="14.85546875" style="3" customWidth="1"/>
    <col min="8963" max="8963" width="13.28515625" style="3" customWidth="1"/>
    <col min="8964" max="8964" width="11.42578125" style="3"/>
    <col min="8965" max="8965" width="13.42578125" style="3" customWidth="1"/>
    <col min="8966" max="8966" width="12.7109375" style="3" customWidth="1"/>
    <col min="8967" max="8967" width="14" style="3" customWidth="1"/>
    <col min="8968" max="8968" width="7.42578125" style="3" customWidth="1"/>
    <col min="8969" max="9216" width="11.42578125" style="3"/>
    <col min="9217" max="9217" width="15.85546875" style="3" customWidth="1"/>
    <col min="9218" max="9218" width="14.85546875" style="3" customWidth="1"/>
    <col min="9219" max="9219" width="13.28515625" style="3" customWidth="1"/>
    <col min="9220" max="9220" width="11.42578125" style="3"/>
    <col min="9221" max="9221" width="13.42578125" style="3" customWidth="1"/>
    <col min="9222" max="9222" width="12.7109375" style="3" customWidth="1"/>
    <col min="9223" max="9223" width="14" style="3" customWidth="1"/>
    <col min="9224" max="9224" width="7.42578125" style="3" customWidth="1"/>
    <col min="9225" max="9472" width="11.42578125" style="3"/>
    <col min="9473" max="9473" width="15.85546875" style="3" customWidth="1"/>
    <col min="9474" max="9474" width="14.85546875" style="3" customWidth="1"/>
    <col min="9475" max="9475" width="13.28515625" style="3" customWidth="1"/>
    <col min="9476" max="9476" width="11.42578125" style="3"/>
    <col min="9477" max="9477" width="13.42578125" style="3" customWidth="1"/>
    <col min="9478" max="9478" width="12.7109375" style="3" customWidth="1"/>
    <col min="9479" max="9479" width="14" style="3" customWidth="1"/>
    <col min="9480" max="9480" width="7.42578125" style="3" customWidth="1"/>
    <col min="9481" max="9728" width="11.42578125" style="3"/>
    <col min="9729" max="9729" width="15.85546875" style="3" customWidth="1"/>
    <col min="9730" max="9730" width="14.85546875" style="3" customWidth="1"/>
    <col min="9731" max="9731" width="13.28515625" style="3" customWidth="1"/>
    <col min="9732" max="9732" width="11.42578125" style="3"/>
    <col min="9733" max="9733" width="13.42578125" style="3" customWidth="1"/>
    <col min="9734" max="9734" width="12.7109375" style="3" customWidth="1"/>
    <col min="9735" max="9735" width="14" style="3" customWidth="1"/>
    <col min="9736" max="9736" width="7.42578125" style="3" customWidth="1"/>
    <col min="9737" max="9984" width="11.42578125" style="3"/>
    <col min="9985" max="9985" width="15.85546875" style="3" customWidth="1"/>
    <col min="9986" max="9986" width="14.85546875" style="3" customWidth="1"/>
    <col min="9987" max="9987" width="13.28515625" style="3" customWidth="1"/>
    <col min="9988" max="9988" width="11.42578125" style="3"/>
    <col min="9989" max="9989" width="13.42578125" style="3" customWidth="1"/>
    <col min="9990" max="9990" width="12.7109375" style="3" customWidth="1"/>
    <col min="9991" max="9991" width="14" style="3" customWidth="1"/>
    <col min="9992" max="9992" width="7.42578125" style="3" customWidth="1"/>
    <col min="9993" max="10240" width="11.42578125" style="3"/>
    <col min="10241" max="10241" width="15.85546875" style="3" customWidth="1"/>
    <col min="10242" max="10242" width="14.85546875" style="3" customWidth="1"/>
    <col min="10243" max="10243" width="13.28515625" style="3" customWidth="1"/>
    <col min="10244" max="10244" width="11.42578125" style="3"/>
    <col min="10245" max="10245" width="13.42578125" style="3" customWidth="1"/>
    <col min="10246" max="10246" width="12.7109375" style="3" customWidth="1"/>
    <col min="10247" max="10247" width="14" style="3" customWidth="1"/>
    <col min="10248" max="10248" width="7.42578125" style="3" customWidth="1"/>
    <col min="10249" max="10496" width="11.42578125" style="3"/>
    <col min="10497" max="10497" width="15.85546875" style="3" customWidth="1"/>
    <col min="10498" max="10498" width="14.85546875" style="3" customWidth="1"/>
    <col min="10499" max="10499" width="13.28515625" style="3" customWidth="1"/>
    <col min="10500" max="10500" width="11.42578125" style="3"/>
    <col min="10501" max="10501" width="13.42578125" style="3" customWidth="1"/>
    <col min="10502" max="10502" width="12.7109375" style="3" customWidth="1"/>
    <col min="10503" max="10503" width="14" style="3" customWidth="1"/>
    <col min="10504" max="10504" width="7.42578125" style="3" customWidth="1"/>
    <col min="10505" max="10752" width="11.42578125" style="3"/>
    <col min="10753" max="10753" width="15.85546875" style="3" customWidth="1"/>
    <col min="10754" max="10754" width="14.85546875" style="3" customWidth="1"/>
    <col min="10755" max="10755" width="13.28515625" style="3" customWidth="1"/>
    <col min="10756" max="10756" width="11.42578125" style="3"/>
    <col min="10757" max="10757" width="13.42578125" style="3" customWidth="1"/>
    <col min="10758" max="10758" width="12.7109375" style="3" customWidth="1"/>
    <col min="10759" max="10759" width="14" style="3" customWidth="1"/>
    <col min="10760" max="10760" width="7.42578125" style="3" customWidth="1"/>
    <col min="10761" max="11008" width="11.42578125" style="3"/>
    <col min="11009" max="11009" width="15.85546875" style="3" customWidth="1"/>
    <col min="11010" max="11010" width="14.85546875" style="3" customWidth="1"/>
    <col min="11011" max="11011" width="13.28515625" style="3" customWidth="1"/>
    <col min="11012" max="11012" width="11.42578125" style="3"/>
    <col min="11013" max="11013" width="13.42578125" style="3" customWidth="1"/>
    <col min="11014" max="11014" width="12.7109375" style="3" customWidth="1"/>
    <col min="11015" max="11015" width="14" style="3" customWidth="1"/>
    <col min="11016" max="11016" width="7.42578125" style="3" customWidth="1"/>
    <col min="11017" max="11264" width="11.42578125" style="3"/>
    <col min="11265" max="11265" width="15.85546875" style="3" customWidth="1"/>
    <col min="11266" max="11266" width="14.85546875" style="3" customWidth="1"/>
    <col min="11267" max="11267" width="13.28515625" style="3" customWidth="1"/>
    <col min="11268" max="11268" width="11.42578125" style="3"/>
    <col min="11269" max="11269" width="13.42578125" style="3" customWidth="1"/>
    <col min="11270" max="11270" width="12.7109375" style="3" customWidth="1"/>
    <col min="11271" max="11271" width="14" style="3" customWidth="1"/>
    <col min="11272" max="11272" width="7.42578125" style="3" customWidth="1"/>
    <col min="11273" max="11520" width="11.42578125" style="3"/>
    <col min="11521" max="11521" width="15.85546875" style="3" customWidth="1"/>
    <col min="11522" max="11522" width="14.85546875" style="3" customWidth="1"/>
    <col min="11523" max="11523" width="13.28515625" style="3" customWidth="1"/>
    <col min="11524" max="11524" width="11.42578125" style="3"/>
    <col min="11525" max="11525" width="13.42578125" style="3" customWidth="1"/>
    <col min="11526" max="11526" width="12.7109375" style="3" customWidth="1"/>
    <col min="11527" max="11527" width="14" style="3" customWidth="1"/>
    <col min="11528" max="11528" width="7.42578125" style="3" customWidth="1"/>
    <col min="11529" max="11776" width="11.42578125" style="3"/>
    <col min="11777" max="11777" width="15.85546875" style="3" customWidth="1"/>
    <col min="11778" max="11778" width="14.85546875" style="3" customWidth="1"/>
    <col min="11779" max="11779" width="13.28515625" style="3" customWidth="1"/>
    <col min="11780" max="11780" width="11.42578125" style="3"/>
    <col min="11781" max="11781" width="13.42578125" style="3" customWidth="1"/>
    <col min="11782" max="11782" width="12.7109375" style="3" customWidth="1"/>
    <col min="11783" max="11783" width="14" style="3" customWidth="1"/>
    <col min="11784" max="11784" width="7.42578125" style="3" customWidth="1"/>
    <col min="11785" max="12032" width="11.42578125" style="3"/>
    <col min="12033" max="12033" width="15.85546875" style="3" customWidth="1"/>
    <col min="12034" max="12034" width="14.85546875" style="3" customWidth="1"/>
    <col min="12035" max="12035" width="13.28515625" style="3" customWidth="1"/>
    <col min="12036" max="12036" width="11.42578125" style="3"/>
    <col min="12037" max="12037" width="13.42578125" style="3" customWidth="1"/>
    <col min="12038" max="12038" width="12.7109375" style="3" customWidth="1"/>
    <col min="12039" max="12039" width="14" style="3" customWidth="1"/>
    <col min="12040" max="12040" width="7.42578125" style="3" customWidth="1"/>
    <col min="12041" max="12288" width="11.42578125" style="3"/>
    <col min="12289" max="12289" width="15.85546875" style="3" customWidth="1"/>
    <col min="12290" max="12290" width="14.85546875" style="3" customWidth="1"/>
    <col min="12291" max="12291" width="13.28515625" style="3" customWidth="1"/>
    <col min="12292" max="12292" width="11.42578125" style="3"/>
    <col min="12293" max="12293" width="13.42578125" style="3" customWidth="1"/>
    <col min="12294" max="12294" width="12.7109375" style="3" customWidth="1"/>
    <col min="12295" max="12295" width="14" style="3" customWidth="1"/>
    <col min="12296" max="12296" width="7.42578125" style="3" customWidth="1"/>
    <col min="12297" max="12544" width="11.42578125" style="3"/>
    <col min="12545" max="12545" width="15.85546875" style="3" customWidth="1"/>
    <col min="12546" max="12546" width="14.85546875" style="3" customWidth="1"/>
    <col min="12547" max="12547" width="13.28515625" style="3" customWidth="1"/>
    <col min="12548" max="12548" width="11.42578125" style="3"/>
    <col min="12549" max="12549" width="13.42578125" style="3" customWidth="1"/>
    <col min="12550" max="12550" width="12.7109375" style="3" customWidth="1"/>
    <col min="12551" max="12551" width="14" style="3" customWidth="1"/>
    <col min="12552" max="12552" width="7.42578125" style="3" customWidth="1"/>
    <col min="12553" max="12800" width="11.42578125" style="3"/>
    <col min="12801" max="12801" width="15.85546875" style="3" customWidth="1"/>
    <col min="12802" max="12802" width="14.85546875" style="3" customWidth="1"/>
    <col min="12803" max="12803" width="13.28515625" style="3" customWidth="1"/>
    <col min="12804" max="12804" width="11.42578125" style="3"/>
    <col min="12805" max="12805" width="13.42578125" style="3" customWidth="1"/>
    <col min="12806" max="12806" width="12.7109375" style="3" customWidth="1"/>
    <col min="12807" max="12807" width="14" style="3" customWidth="1"/>
    <col min="12808" max="12808" width="7.42578125" style="3" customWidth="1"/>
    <col min="12809" max="13056" width="11.42578125" style="3"/>
    <col min="13057" max="13057" width="15.85546875" style="3" customWidth="1"/>
    <col min="13058" max="13058" width="14.85546875" style="3" customWidth="1"/>
    <col min="13059" max="13059" width="13.28515625" style="3" customWidth="1"/>
    <col min="13060" max="13060" width="11.42578125" style="3"/>
    <col min="13061" max="13061" width="13.42578125" style="3" customWidth="1"/>
    <col min="13062" max="13062" width="12.7109375" style="3" customWidth="1"/>
    <col min="13063" max="13063" width="14" style="3" customWidth="1"/>
    <col min="13064" max="13064" width="7.42578125" style="3" customWidth="1"/>
    <col min="13065" max="13312" width="11.42578125" style="3"/>
    <col min="13313" max="13313" width="15.85546875" style="3" customWidth="1"/>
    <col min="13314" max="13314" width="14.85546875" style="3" customWidth="1"/>
    <col min="13315" max="13315" width="13.28515625" style="3" customWidth="1"/>
    <col min="13316" max="13316" width="11.42578125" style="3"/>
    <col min="13317" max="13317" width="13.42578125" style="3" customWidth="1"/>
    <col min="13318" max="13318" width="12.7109375" style="3" customWidth="1"/>
    <col min="13319" max="13319" width="14" style="3" customWidth="1"/>
    <col min="13320" max="13320" width="7.42578125" style="3" customWidth="1"/>
    <col min="13321" max="13568" width="11.42578125" style="3"/>
    <col min="13569" max="13569" width="15.85546875" style="3" customWidth="1"/>
    <col min="13570" max="13570" width="14.85546875" style="3" customWidth="1"/>
    <col min="13571" max="13571" width="13.28515625" style="3" customWidth="1"/>
    <col min="13572" max="13572" width="11.42578125" style="3"/>
    <col min="13573" max="13573" width="13.42578125" style="3" customWidth="1"/>
    <col min="13574" max="13574" width="12.7109375" style="3" customWidth="1"/>
    <col min="13575" max="13575" width="14" style="3" customWidth="1"/>
    <col min="13576" max="13576" width="7.42578125" style="3" customWidth="1"/>
    <col min="13577" max="13824" width="11.42578125" style="3"/>
    <col min="13825" max="13825" width="15.85546875" style="3" customWidth="1"/>
    <col min="13826" max="13826" width="14.85546875" style="3" customWidth="1"/>
    <col min="13827" max="13827" width="13.28515625" style="3" customWidth="1"/>
    <col min="13828" max="13828" width="11.42578125" style="3"/>
    <col min="13829" max="13829" width="13.42578125" style="3" customWidth="1"/>
    <col min="13830" max="13830" width="12.7109375" style="3" customWidth="1"/>
    <col min="13831" max="13831" width="14" style="3" customWidth="1"/>
    <col min="13832" max="13832" width="7.42578125" style="3" customWidth="1"/>
    <col min="13833" max="14080" width="11.42578125" style="3"/>
    <col min="14081" max="14081" width="15.85546875" style="3" customWidth="1"/>
    <col min="14082" max="14082" width="14.85546875" style="3" customWidth="1"/>
    <col min="14083" max="14083" width="13.28515625" style="3" customWidth="1"/>
    <col min="14084" max="14084" width="11.42578125" style="3"/>
    <col min="14085" max="14085" width="13.42578125" style="3" customWidth="1"/>
    <col min="14086" max="14086" width="12.7109375" style="3" customWidth="1"/>
    <col min="14087" max="14087" width="14" style="3" customWidth="1"/>
    <col min="14088" max="14088" width="7.42578125" style="3" customWidth="1"/>
    <col min="14089" max="14336" width="11.42578125" style="3"/>
    <col min="14337" max="14337" width="15.85546875" style="3" customWidth="1"/>
    <col min="14338" max="14338" width="14.85546875" style="3" customWidth="1"/>
    <col min="14339" max="14339" width="13.28515625" style="3" customWidth="1"/>
    <col min="14340" max="14340" width="11.42578125" style="3"/>
    <col min="14341" max="14341" width="13.42578125" style="3" customWidth="1"/>
    <col min="14342" max="14342" width="12.7109375" style="3" customWidth="1"/>
    <col min="14343" max="14343" width="14" style="3" customWidth="1"/>
    <col min="14344" max="14344" width="7.42578125" style="3" customWidth="1"/>
    <col min="14345" max="14592" width="11.42578125" style="3"/>
    <col min="14593" max="14593" width="15.85546875" style="3" customWidth="1"/>
    <col min="14594" max="14594" width="14.85546875" style="3" customWidth="1"/>
    <col min="14595" max="14595" width="13.28515625" style="3" customWidth="1"/>
    <col min="14596" max="14596" width="11.42578125" style="3"/>
    <col min="14597" max="14597" width="13.42578125" style="3" customWidth="1"/>
    <col min="14598" max="14598" width="12.7109375" style="3" customWidth="1"/>
    <col min="14599" max="14599" width="14" style="3" customWidth="1"/>
    <col min="14600" max="14600" width="7.42578125" style="3" customWidth="1"/>
    <col min="14601" max="14848" width="11.42578125" style="3"/>
    <col min="14849" max="14849" width="15.85546875" style="3" customWidth="1"/>
    <col min="14850" max="14850" width="14.85546875" style="3" customWidth="1"/>
    <col min="14851" max="14851" width="13.28515625" style="3" customWidth="1"/>
    <col min="14852" max="14852" width="11.42578125" style="3"/>
    <col min="14853" max="14853" width="13.42578125" style="3" customWidth="1"/>
    <col min="14854" max="14854" width="12.7109375" style="3" customWidth="1"/>
    <col min="14855" max="14855" width="14" style="3" customWidth="1"/>
    <col min="14856" max="14856" width="7.42578125" style="3" customWidth="1"/>
    <col min="14857" max="15104" width="11.42578125" style="3"/>
    <col min="15105" max="15105" width="15.85546875" style="3" customWidth="1"/>
    <col min="15106" max="15106" width="14.85546875" style="3" customWidth="1"/>
    <col min="15107" max="15107" width="13.28515625" style="3" customWidth="1"/>
    <col min="15108" max="15108" width="11.42578125" style="3"/>
    <col min="15109" max="15109" width="13.42578125" style="3" customWidth="1"/>
    <col min="15110" max="15110" width="12.7109375" style="3" customWidth="1"/>
    <col min="15111" max="15111" width="14" style="3" customWidth="1"/>
    <col min="15112" max="15112" width="7.42578125" style="3" customWidth="1"/>
    <col min="15113" max="15360" width="11.42578125" style="3"/>
    <col min="15361" max="15361" width="15.85546875" style="3" customWidth="1"/>
    <col min="15362" max="15362" width="14.85546875" style="3" customWidth="1"/>
    <col min="15363" max="15363" width="13.28515625" style="3" customWidth="1"/>
    <col min="15364" max="15364" width="11.42578125" style="3"/>
    <col min="15365" max="15365" width="13.42578125" style="3" customWidth="1"/>
    <col min="15366" max="15366" width="12.7109375" style="3" customWidth="1"/>
    <col min="15367" max="15367" width="14" style="3" customWidth="1"/>
    <col min="15368" max="15368" width="7.42578125" style="3" customWidth="1"/>
    <col min="15369" max="15616" width="11.42578125" style="3"/>
    <col min="15617" max="15617" width="15.85546875" style="3" customWidth="1"/>
    <col min="15618" max="15618" width="14.85546875" style="3" customWidth="1"/>
    <col min="15619" max="15619" width="13.28515625" style="3" customWidth="1"/>
    <col min="15620" max="15620" width="11.42578125" style="3"/>
    <col min="15621" max="15621" width="13.42578125" style="3" customWidth="1"/>
    <col min="15622" max="15622" width="12.7109375" style="3" customWidth="1"/>
    <col min="15623" max="15623" width="14" style="3" customWidth="1"/>
    <col min="15624" max="15624" width="7.42578125" style="3" customWidth="1"/>
    <col min="15625" max="15872" width="11.42578125" style="3"/>
    <col min="15873" max="15873" width="15.85546875" style="3" customWidth="1"/>
    <col min="15874" max="15874" width="14.85546875" style="3" customWidth="1"/>
    <col min="15875" max="15875" width="13.28515625" style="3" customWidth="1"/>
    <col min="15876" max="15876" width="11.42578125" style="3"/>
    <col min="15877" max="15877" width="13.42578125" style="3" customWidth="1"/>
    <col min="15878" max="15878" width="12.7109375" style="3" customWidth="1"/>
    <col min="15879" max="15879" width="14" style="3" customWidth="1"/>
    <col min="15880" max="15880" width="7.42578125" style="3" customWidth="1"/>
    <col min="15881" max="16128" width="11.42578125" style="3"/>
    <col min="16129" max="16129" width="15.85546875" style="3" customWidth="1"/>
    <col min="16130" max="16130" width="14.85546875" style="3" customWidth="1"/>
    <col min="16131" max="16131" width="13.28515625" style="3" customWidth="1"/>
    <col min="16132" max="16132" width="11.42578125" style="3"/>
    <col min="16133" max="16133" width="13.42578125" style="3" customWidth="1"/>
    <col min="16134" max="16134" width="12.7109375" style="3" customWidth="1"/>
    <col min="16135" max="16135" width="14" style="3" customWidth="1"/>
    <col min="16136" max="16136" width="7.42578125" style="3" customWidth="1"/>
    <col min="16137" max="16384" width="11.42578125" style="3"/>
  </cols>
  <sheetData>
    <row r="1" spans="1:21" ht="48" customHeight="1">
      <c r="A1" s="1346" t="str">
        <f>PPTO!D3</f>
        <v>PRESUPUESTO
MUNICIPIO EL BAGRE (ANTIOQUIA).</v>
      </c>
      <c r="B1" s="1347"/>
      <c r="C1" s="1347"/>
      <c r="D1" s="1347"/>
      <c r="E1" s="1347"/>
      <c r="F1" s="1347"/>
      <c r="G1" s="1348"/>
      <c r="H1" s="1"/>
      <c r="I1" s="2"/>
    </row>
    <row r="2" spans="1:21" ht="18" customHeight="1">
      <c r="A2" s="1362" t="s">
        <v>16</v>
      </c>
      <c r="B2" s="1363"/>
      <c r="C2" s="1363"/>
      <c r="D2" s="1363"/>
      <c r="E2" s="1363"/>
      <c r="F2" s="1363"/>
      <c r="G2" s="1364"/>
      <c r="H2" s="1"/>
      <c r="I2" s="2"/>
    </row>
    <row r="3" spans="1:21" ht="27" customHeight="1">
      <c r="A3" s="1367" t="str">
        <f>+PPTO!$D$5</f>
        <v>PROYECTO DE MEJORAMIENTO VIAL, ESPACIO PUBLICO Y OBRAS COMPLEMENTARIAS DE LA AVENIDA LA JUVENTUD Y TRAMOS ADYACENTES Y PRIORITARIOS DEL SECTOR URBANO EN EL MUNICIPIO EL BAGRE ANTIOQUIA.</v>
      </c>
      <c r="B3" s="1368"/>
      <c r="C3" s="1368"/>
      <c r="D3" s="1368"/>
      <c r="E3" s="1368"/>
      <c r="F3" s="1368"/>
      <c r="G3" s="1369"/>
      <c r="H3" s="1"/>
      <c r="I3" s="2"/>
    </row>
    <row r="4" spans="1:21" ht="30" customHeight="1">
      <c r="A4" s="1370"/>
      <c r="B4" s="1368"/>
      <c r="C4" s="1368"/>
      <c r="D4" s="1368"/>
      <c r="E4" s="1368"/>
      <c r="F4" s="1368"/>
      <c r="G4" s="1369"/>
      <c r="H4" s="1"/>
      <c r="I4" s="2"/>
    </row>
    <row r="5" spans="1:21" ht="6.75" customHeight="1">
      <c r="A5" s="222"/>
      <c r="B5" s="6"/>
      <c r="C5" s="24"/>
      <c r="D5" s="25"/>
      <c r="E5" s="6"/>
      <c r="F5" s="6"/>
      <c r="G5" s="223"/>
      <c r="H5" s="9"/>
    </row>
    <row r="6" spans="1:21" ht="52.5" customHeight="1">
      <c r="A6" s="371" t="s">
        <v>226</v>
      </c>
      <c r="B6" s="1349" t="e">
        <f>VLOOKUP(A6,PPTO!D9:I136,2,FALSE)</f>
        <v>#N/A</v>
      </c>
      <c r="C6" s="1350"/>
      <c r="D6" s="1350"/>
      <c r="E6" s="1351"/>
      <c r="F6" s="192" t="s">
        <v>118</v>
      </c>
      <c r="G6" s="248" t="e">
        <f>VLOOKUP(A6,PPTO!D9:I136,3,FALSE)</f>
        <v>#N/A</v>
      </c>
      <c r="H6" s="9"/>
    </row>
    <row r="7" spans="1:21" ht="3.75" customHeight="1">
      <c r="A7" s="226"/>
      <c r="B7" s="4"/>
      <c r="C7" s="6"/>
      <c r="D7" s="4"/>
      <c r="E7" s="4"/>
      <c r="F7" s="4"/>
      <c r="G7" s="227"/>
      <c r="H7" s="9"/>
    </row>
    <row r="8" spans="1:21" ht="22.5" customHeight="1">
      <c r="A8" s="1354" t="s">
        <v>69</v>
      </c>
      <c r="B8" s="1355"/>
      <c r="C8" s="1355"/>
      <c r="D8" s="1355"/>
      <c r="E8" s="1355"/>
      <c r="F8" s="1355"/>
      <c r="G8" s="1356"/>
      <c r="H8" s="9"/>
    </row>
    <row r="9" spans="1:21" ht="4.5" customHeight="1">
      <c r="A9" s="226"/>
      <c r="B9" s="4"/>
      <c r="C9" s="6"/>
      <c r="D9" s="4"/>
      <c r="E9" s="4"/>
      <c r="F9" s="4"/>
      <c r="G9" s="227"/>
      <c r="H9" s="9"/>
      <c r="I9" s="5"/>
      <c r="J9" s="5"/>
      <c r="K9" s="5"/>
      <c r="L9" s="26"/>
      <c r="M9" s="5"/>
      <c r="N9" s="5"/>
      <c r="O9" s="5"/>
      <c r="P9" s="5"/>
    </row>
    <row r="10" spans="1:21">
      <c r="A10" s="1373" t="s">
        <v>17</v>
      </c>
      <c r="B10" s="1374"/>
      <c r="C10" s="1374"/>
      <c r="D10" s="346" t="s">
        <v>18</v>
      </c>
      <c r="E10" s="346" t="s">
        <v>19</v>
      </c>
      <c r="F10" s="346" t="s">
        <v>20</v>
      </c>
      <c r="G10" s="228" t="s">
        <v>21</v>
      </c>
      <c r="H10" s="27"/>
      <c r="I10" s="28"/>
      <c r="J10" s="29"/>
      <c r="K10" s="30"/>
      <c r="L10" s="30"/>
      <c r="M10" s="30"/>
      <c r="N10" s="30"/>
      <c r="O10" s="30"/>
      <c r="P10" s="5"/>
    </row>
    <row r="11" spans="1:21">
      <c r="A11" s="1352" t="s">
        <v>47</v>
      </c>
      <c r="B11" s="1353"/>
      <c r="C11" s="1353"/>
      <c r="D11" s="346"/>
      <c r="E11" s="83"/>
      <c r="F11" s="97"/>
      <c r="G11" s="229">
        <f>+G39*10%</f>
        <v>1909</v>
      </c>
      <c r="H11" s="9"/>
      <c r="I11" s="30"/>
      <c r="J11" s="31"/>
      <c r="K11" s="30"/>
      <c r="L11" s="30"/>
      <c r="M11" s="30"/>
      <c r="N11" s="30"/>
      <c r="O11" s="30"/>
      <c r="P11" s="5"/>
    </row>
    <row r="12" spans="1:21">
      <c r="A12" s="1371"/>
      <c r="B12" s="1372"/>
      <c r="C12" s="1372"/>
      <c r="D12" s="83"/>
      <c r="E12" s="83"/>
      <c r="F12" s="93"/>
      <c r="G12" s="229"/>
      <c r="H12" s="9"/>
      <c r="I12" s="16"/>
      <c r="J12" s="13"/>
      <c r="K12" s="8"/>
      <c r="L12" s="8"/>
      <c r="M12" s="8"/>
      <c r="N12" s="8"/>
      <c r="O12" s="8"/>
      <c r="P12" s="5"/>
    </row>
    <row r="13" spans="1:21">
      <c r="A13" s="1371"/>
      <c r="B13" s="1372"/>
      <c r="C13" s="1372"/>
      <c r="D13" s="83"/>
      <c r="E13" s="83"/>
      <c r="F13" s="93"/>
      <c r="G13" s="229"/>
      <c r="H13" s="9"/>
      <c r="I13" s="13"/>
      <c r="J13" s="13"/>
      <c r="K13" s="13"/>
      <c r="L13" s="13"/>
      <c r="M13" s="13"/>
      <c r="N13" s="13"/>
      <c r="O13" s="13"/>
      <c r="P13" s="5"/>
    </row>
    <row r="14" spans="1:21">
      <c r="A14" s="1371"/>
      <c r="B14" s="1372"/>
      <c r="C14" s="1372"/>
      <c r="D14" s="83"/>
      <c r="E14" s="83"/>
      <c r="F14" s="93"/>
      <c r="G14" s="229"/>
      <c r="H14" s="9"/>
      <c r="I14" s="8"/>
      <c r="J14" s="14"/>
      <c r="K14" s="32"/>
      <c r="L14" s="14"/>
      <c r="M14" s="15"/>
      <c r="N14" s="15"/>
      <c r="O14" s="19"/>
      <c r="P14" s="5"/>
    </row>
    <row r="15" spans="1:21">
      <c r="A15" s="1371"/>
      <c r="B15" s="1372"/>
      <c r="C15" s="1372"/>
      <c r="D15" s="83"/>
      <c r="E15" s="83"/>
      <c r="F15" s="98"/>
      <c r="G15" s="229"/>
      <c r="H15" s="9"/>
      <c r="I15" s="8"/>
      <c r="J15" s="33"/>
      <c r="K15" s="32"/>
      <c r="L15" s="14"/>
      <c r="M15" s="15"/>
      <c r="N15" s="15"/>
      <c r="O15" s="19"/>
      <c r="P15" s="5"/>
      <c r="Q15" s="5"/>
      <c r="R15" s="5"/>
      <c r="S15" s="5"/>
      <c r="T15" s="5"/>
      <c r="U15" s="5"/>
    </row>
    <row r="16" spans="1:21">
      <c r="A16" s="1371"/>
      <c r="B16" s="1372"/>
      <c r="C16" s="1372"/>
      <c r="D16" s="85" t="s">
        <v>37</v>
      </c>
      <c r="E16" s="50"/>
      <c r="F16" s="49"/>
      <c r="G16" s="230">
        <f>SUM(G11:G15)</f>
        <v>1909</v>
      </c>
      <c r="H16" s="9"/>
      <c r="I16" s="34"/>
      <c r="J16" s="34"/>
      <c r="K16" s="35"/>
      <c r="L16" s="36"/>
      <c r="M16" s="7"/>
      <c r="N16" s="7"/>
      <c r="O16" s="19"/>
      <c r="P16" s="5"/>
      <c r="Q16" s="5"/>
      <c r="R16" s="5"/>
      <c r="S16" s="5"/>
      <c r="T16" s="5"/>
      <c r="U16" s="5"/>
    </row>
    <row r="17" spans="1:21" ht="4.5" customHeight="1">
      <c r="A17" s="226"/>
      <c r="B17" s="4"/>
      <c r="C17" s="6"/>
      <c r="D17" s="4"/>
      <c r="E17" s="4"/>
      <c r="F17" s="4"/>
      <c r="G17" s="227"/>
      <c r="H17" s="9"/>
      <c r="I17" s="34"/>
      <c r="J17" s="34"/>
      <c r="K17" s="35"/>
      <c r="L17" s="36"/>
      <c r="M17" s="7"/>
      <c r="N17" s="7"/>
      <c r="O17" s="19"/>
      <c r="P17" s="5"/>
      <c r="Q17" s="5"/>
      <c r="R17" s="5"/>
      <c r="S17" s="5"/>
      <c r="T17" s="5"/>
      <c r="U17" s="5"/>
    </row>
    <row r="18" spans="1:21" ht="22.5" customHeight="1">
      <c r="A18" s="1354" t="s">
        <v>70</v>
      </c>
      <c r="B18" s="1355"/>
      <c r="C18" s="1355"/>
      <c r="D18" s="1355"/>
      <c r="E18" s="1355"/>
      <c r="F18" s="1355"/>
      <c r="G18" s="1356"/>
      <c r="H18" s="9"/>
    </row>
    <row r="19" spans="1:21" ht="4.5" customHeight="1">
      <c r="A19" s="226"/>
      <c r="B19" s="4"/>
      <c r="C19" s="6"/>
      <c r="D19" s="4"/>
      <c r="E19" s="4"/>
      <c r="F19" s="38"/>
      <c r="G19" s="227"/>
      <c r="H19" s="9"/>
      <c r="I19" s="34"/>
      <c r="J19" s="34"/>
      <c r="K19" s="35"/>
      <c r="L19" s="39"/>
      <c r="M19" s="7"/>
      <c r="N19" s="7"/>
      <c r="O19" s="8"/>
      <c r="P19" s="5"/>
      <c r="Q19" s="5"/>
      <c r="R19" s="5"/>
      <c r="S19" s="5"/>
      <c r="T19" s="5"/>
      <c r="U19" s="5"/>
    </row>
    <row r="20" spans="1:21">
      <c r="A20" s="1373" t="s">
        <v>17</v>
      </c>
      <c r="B20" s="1374"/>
      <c r="C20" s="1374"/>
      <c r="D20" s="346" t="s">
        <v>3</v>
      </c>
      <c r="E20" s="346" t="s">
        <v>4</v>
      </c>
      <c r="F20" s="346" t="s">
        <v>25</v>
      </c>
      <c r="G20" s="228" t="s">
        <v>21</v>
      </c>
      <c r="H20" s="27"/>
      <c r="I20" s="34"/>
      <c r="J20" s="34"/>
      <c r="K20" s="35"/>
      <c r="L20" s="39"/>
      <c r="M20" s="7"/>
      <c r="N20" s="7"/>
      <c r="O20" s="8"/>
      <c r="P20" s="5"/>
      <c r="Q20" s="5"/>
      <c r="R20" s="5"/>
      <c r="S20" s="5"/>
      <c r="T20" s="5"/>
      <c r="U20" s="5"/>
    </row>
    <row r="21" spans="1:21" ht="31.5" customHeight="1">
      <c r="A21" s="1441" t="s">
        <v>227</v>
      </c>
      <c r="B21" s="1442"/>
      <c r="C21" s="1443"/>
      <c r="D21" s="118" t="s">
        <v>51</v>
      </c>
      <c r="E21" s="119">
        <v>1</v>
      </c>
      <c r="F21" s="87">
        <f>2394412/6*IPC</f>
        <v>411759</v>
      </c>
      <c r="G21" s="231">
        <f>ROUND(F21*E21,0)</f>
        <v>411759</v>
      </c>
      <c r="H21" s="9"/>
      <c r="I21" s="34"/>
      <c r="J21" s="34"/>
      <c r="K21" s="35"/>
      <c r="L21" s="36"/>
      <c r="M21" s="7"/>
      <c r="N21" s="7"/>
      <c r="O21" s="19"/>
      <c r="P21" s="5"/>
      <c r="Q21" s="5"/>
      <c r="R21" s="5"/>
      <c r="S21" s="5"/>
      <c r="T21" s="5"/>
      <c r="U21" s="5"/>
    </row>
    <row r="22" spans="1:21" ht="27.75" customHeight="1">
      <c r="A22" s="1444"/>
      <c r="B22" s="1403"/>
      <c r="C22" s="1404"/>
      <c r="D22" s="116"/>
      <c r="E22" s="117"/>
      <c r="F22" s="91"/>
      <c r="G22" s="231"/>
      <c r="H22" s="9"/>
      <c r="I22" s="10"/>
      <c r="J22" s="10"/>
      <c r="K22" s="12"/>
      <c r="L22" s="39"/>
      <c r="M22" s="7"/>
      <c r="N22" s="7"/>
      <c r="O22" s="15"/>
      <c r="P22" s="5"/>
      <c r="Q22" s="5"/>
      <c r="R22" s="5"/>
      <c r="S22" s="5"/>
      <c r="T22" s="5"/>
      <c r="U22" s="5"/>
    </row>
    <row r="23" spans="1:21">
      <c r="A23" s="1386"/>
      <c r="B23" s="1353"/>
      <c r="C23" s="1353"/>
      <c r="D23" s="79"/>
      <c r="E23" s="82"/>
      <c r="F23" s="83"/>
      <c r="G23" s="67"/>
      <c r="H23" s="9"/>
      <c r="I23" s="10"/>
      <c r="J23" s="10"/>
      <c r="K23" s="12"/>
      <c r="L23" s="39"/>
      <c r="M23" s="7"/>
      <c r="N23" s="7"/>
      <c r="O23" s="15"/>
      <c r="P23" s="5"/>
      <c r="Q23" s="5"/>
      <c r="R23" s="5"/>
      <c r="S23" s="5"/>
      <c r="T23" s="5"/>
      <c r="U23" s="5"/>
    </row>
    <row r="24" spans="1:21">
      <c r="A24" s="1352"/>
      <c r="B24" s="1353"/>
      <c r="C24" s="1353"/>
      <c r="D24" s="81"/>
      <c r="E24" s="88"/>
      <c r="F24" s="78"/>
      <c r="G24" s="231"/>
      <c r="H24" s="9"/>
      <c r="I24" s="10"/>
      <c r="J24" s="40"/>
      <c r="K24" s="12"/>
      <c r="L24" s="13"/>
      <c r="M24" s="14"/>
      <c r="N24" s="14"/>
      <c r="O24" s="15"/>
      <c r="P24" s="5"/>
      <c r="Q24" s="5"/>
      <c r="R24" s="5"/>
      <c r="S24" s="5"/>
      <c r="T24" s="5"/>
      <c r="U24" s="5"/>
    </row>
    <row r="25" spans="1:21">
      <c r="A25" s="1352"/>
      <c r="B25" s="1353"/>
      <c r="C25" s="1353"/>
      <c r="D25" s="81"/>
      <c r="E25" s="82"/>
      <c r="F25" s="78"/>
      <c r="G25" s="231"/>
      <c r="H25" s="9"/>
      <c r="I25" s="10"/>
      <c r="J25" s="11"/>
      <c r="K25" s="12"/>
      <c r="L25" s="13"/>
      <c r="M25" s="14"/>
      <c r="N25" s="14"/>
      <c r="O25" s="15"/>
      <c r="P25" s="5"/>
      <c r="Q25" s="5"/>
      <c r="R25" s="5"/>
      <c r="S25" s="5"/>
      <c r="T25" s="5"/>
      <c r="U25" s="5"/>
    </row>
    <row r="26" spans="1:21">
      <c r="A26" s="1352"/>
      <c r="B26" s="1353"/>
      <c r="C26" s="1353"/>
      <c r="D26" s="79"/>
      <c r="E26" s="82"/>
      <c r="F26" s="78"/>
      <c r="G26" s="231"/>
      <c r="H26" s="9"/>
      <c r="I26" s="10"/>
      <c r="J26" s="11"/>
      <c r="K26" s="12"/>
      <c r="L26" s="13"/>
      <c r="M26" s="14"/>
      <c r="N26" s="14"/>
      <c r="O26" s="15"/>
      <c r="P26" s="5"/>
      <c r="Q26" s="5"/>
      <c r="R26" s="5"/>
      <c r="S26" s="5"/>
      <c r="T26" s="5"/>
      <c r="U26" s="5"/>
    </row>
    <row r="27" spans="1:21">
      <c r="A27" s="1352"/>
      <c r="B27" s="1353"/>
      <c r="C27" s="1353"/>
      <c r="D27" s="79"/>
      <c r="E27" s="82"/>
      <c r="F27" s="78"/>
      <c r="G27" s="231"/>
      <c r="H27" s="9"/>
      <c r="I27" s="10"/>
      <c r="J27" s="11"/>
      <c r="K27" s="12"/>
      <c r="L27" s="13"/>
      <c r="M27" s="14"/>
      <c r="N27" s="14"/>
      <c r="O27" s="15"/>
      <c r="P27" s="5"/>
      <c r="Q27" s="5"/>
      <c r="R27" s="5"/>
      <c r="S27" s="5"/>
      <c r="T27" s="5"/>
      <c r="U27" s="5"/>
    </row>
    <row r="28" spans="1:21">
      <c r="A28" s="1352"/>
      <c r="B28" s="1353"/>
      <c r="C28" s="1353"/>
      <c r="D28" s="79"/>
      <c r="E28" s="82"/>
      <c r="F28" s="83"/>
      <c r="G28" s="231"/>
      <c r="H28" s="9"/>
      <c r="I28" s="41"/>
      <c r="J28" s="41"/>
      <c r="K28" s="12"/>
      <c r="L28" s="13"/>
      <c r="M28" s="14"/>
      <c r="N28" s="14"/>
      <c r="O28" s="15"/>
      <c r="P28" s="5"/>
      <c r="Q28" s="5"/>
      <c r="R28" s="5"/>
      <c r="S28" s="5"/>
      <c r="T28" s="5"/>
      <c r="U28" s="5"/>
    </row>
    <row r="29" spans="1:21">
      <c r="A29" s="1352"/>
      <c r="B29" s="1353"/>
      <c r="C29" s="1353"/>
      <c r="D29" s="84"/>
      <c r="E29" s="84"/>
      <c r="F29" s="83"/>
      <c r="G29" s="231"/>
      <c r="H29" s="9"/>
      <c r="I29" s="42"/>
      <c r="J29" s="42"/>
      <c r="K29" s="42"/>
      <c r="L29" s="13"/>
      <c r="M29" s="14"/>
      <c r="N29" s="14"/>
      <c r="O29" s="15"/>
      <c r="P29" s="5"/>
      <c r="Q29" s="5"/>
      <c r="R29" s="5"/>
      <c r="S29" s="5"/>
      <c r="T29" s="5"/>
      <c r="U29" s="5"/>
    </row>
    <row r="30" spans="1:21">
      <c r="A30" s="1352"/>
      <c r="B30" s="1353"/>
      <c r="C30" s="1353"/>
      <c r="D30" s="85" t="s">
        <v>28</v>
      </c>
      <c r="E30" s="50"/>
      <c r="F30" s="49"/>
      <c r="G30" s="230">
        <f>SUM(G21:G29)</f>
        <v>411759</v>
      </c>
      <c r="H30" s="9"/>
      <c r="I30" s="8"/>
      <c r="J30" s="13"/>
      <c r="K30" s="8"/>
      <c r="L30" s="13"/>
      <c r="M30" s="14"/>
      <c r="N30" s="14"/>
      <c r="O30" s="15"/>
      <c r="P30" s="5"/>
    </row>
    <row r="31" spans="1:21" ht="3.75" customHeight="1">
      <c r="A31" s="226"/>
      <c r="B31" s="4"/>
      <c r="C31" s="6"/>
      <c r="D31" s="4"/>
      <c r="E31" s="4"/>
      <c r="F31" s="4"/>
      <c r="G31" s="227"/>
      <c r="H31" s="9"/>
      <c r="I31" s="8"/>
      <c r="J31" s="13"/>
      <c r="K31" s="18"/>
      <c r="L31" s="13"/>
      <c r="M31" s="33"/>
      <c r="N31" s="33"/>
      <c r="O31" s="15"/>
      <c r="P31" s="5"/>
    </row>
    <row r="32" spans="1:21" ht="22.5" customHeight="1">
      <c r="A32" s="1354" t="s">
        <v>71</v>
      </c>
      <c r="B32" s="1355"/>
      <c r="C32" s="1355"/>
      <c r="D32" s="1355"/>
      <c r="E32" s="1355"/>
      <c r="F32" s="1355"/>
      <c r="G32" s="1356"/>
      <c r="H32" s="9"/>
    </row>
    <row r="33" spans="1:16" ht="3.75" customHeight="1">
      <c r="A33" s="226"/>
      <c r="B33" s="4"/>
      <c r="C33" s="6"/>
      <c r="D33" s="4"/>
      <c r="E33" s="4"/>
      <c r="F33" s="4"/>
      <c r="G33" s="227"/>
      <c r="H33" s="9"/>
      <c r="I33" s="8"/>
      <c r="J33" s="13"/>
      <c r="K33" s="8"/>
      <c r="L33" s="8"/>
      <c r="M33" s="8"/>
      <c r="N33" s="8"/>
      <c r="O33" s="15"/>
      <c r="P33" s="5"/>
    </row>
    <row r="34" spans="1:16">
      <c r="A34" s="232" t="s">
        <v>5</v>
      </c>
      <c r="B34" s="60" t="s">
        <v>29</v>
      </c>
      <c r="C34" s="60" t="s">
        <v>30</v>
      </c>
      <c r="D34" s="60" t="s">
        <v>31</v>
      </c>
      <c r="E34" s="60" t="s">
        <v>32</v>
      </c>
      <c r="F34" s="60" t="s">
        <v>20</v>
      </c>
      <c r="G34" s="228" t="s">
        <v>33</v>
      </c>
      <c r="H34" s="27"/>
      <c r="I34" s="8"/>
      <c r="J34" s="13"/>
      <c r="K34" s="8"/>
      <c r="L34" s="8"/>
      <c r="M34" s="8"/>
      <c r="N34" s="8"/>
      <c r="O34" s="15"/>
      <c r="P34" s="5"/>
    </row>
    <row r="35" spans="1:16">
      <c r="A35" s="233" t="s">
        <v>41</v>
      </c>
      <c r="B35" s="63">
        <f>BOF</f>
        <v>51749</v>
      </c>
      <c r="C35" s="68">
        <f>ffpp</f>
        <v>0.64539999999999997</v>
      </c>
      <c r="D35" s="72">
        <v>1</v>
      </c>
      <c r="E35" s="66">
        <f>OF</f>
        <v>88696</v>
      </c>
      <c r="F35" s="65">
        <v>16</v>
      </c>
      <c r="G35" s="231">
        <f>ROUND(+D35*E35/F35,0)</f>
        <v>5544</v>
      </c>
      <c r="H35" s="9"/>
      <c r="I35" s="16"/>
      <c r="J35" s="13"/>
      <c r="K35" s="8"/>
      <c r="L35" s="8"/>
      <c r="M35" s="8"/>
      <c r="N35" s="8"/>
      <c r="O35" s="15"/>
      <c r="P35" s="5"/>
    </row>
    <row r="36" spans="1:16">
      <c r="A36" s="233" t="s">
        <v>38</v>
      </c>
      <c r="B36" s="63">
        <f>BOB</f>
        <v>41749</v>
      </c>
      <c r="C36" s="68">
        <f>ffpp</f>
        <v>0.64539999999999997</v>
      </c>
      <c r="D36" s="72">
        <v>3</v>
      </c>
      <c r="E36" s="66">
        <f>OB</f>
        <v>72242</v>
      </c>
      <c r="F36" s="65">
        <f>F35</f>
        <v>16</v>
      </c>
      <c r="G36" s="231">
        <f>ROUND(+D36*E36/F36,0)</f>
        <v>13545</v>
      </c>
      <c r="H36" s="9"/>
      <c r="I36" s="8"/>
      <c r="J36" s="8"/>
      <c r="K36" s="13"/>
      <c r="L36" s="13"/>
      <c r="M36" s="13"/>
      <c r="N36" s="13"/>
      <c r="O36" s="13"/>
      <c r="P36" s="5"/>
    </row>
    <row r="37" spans="1:16">
      <c r="A37" s="234"/>
      <c r="B37" s="50"/>
      <c r="C37" s="961"/>
      <c r="D37" s="50"/>
      <c r="E37" s="66"/>
      <c r="F37" s="65"/>
      <c r="G37" s="231"/>
      <c r="H37" s="9"/>
      <c r="I37" s="8"/>
      <c r="J37" s="13"/>
      <c r="K37" s="13"/>
      <c r="L37" s="13"/>
      <c r="M37" s="33"/>
      <c r="N37" s="33"/>
      <c r="O37" s="43"/>
      <c r="P37" s="5"/>
    </row>
    <row r="38" spans="1:16">
      <c r="A38" s="233"/>
      <c r="B38" s="65"/>
      <c r="C38" s="68"/>
      <c r="D38" s="65"/>
      <c r="E38" s="69"/>
      <c r="F38" s="69"/>
      <c r="G38" s="236"/>
      <c r="H38" s="9"/>
      <c r="I38" s="8"/>
      <c r="J38" s="13"/>
      <c r="K38" s="13"/>
      <c r="L38" s="13"/>
      <c r="M38" s="33"/>
      <c r="N38" s="33"/>
      <c r="O38" s="43"/>
      <c r="P38" s="5"/>
    </row>
    <row r="39" spans="1:16">
      <c r="A39" s="249"/>
      <c r="B39" s="71"/>
      <c r="C39" s="71"/>
      <c r="D39" s="71" t="s">
        <v>34</v>
      </c>
      <c r="E39" s="71"/>
      <c r="F39" s="71"/>
      <c r="G39" s="250">
        <f>SUM(G35:G38)</f>
        <v>19089</v>
      </c>
      <c r="H39" s="9"/>
      <c r="I39" s="8"/>
      <c r="J39" s="13"/>
      <c r="K39" s="13"/>
      <c r="L39" s="13"/>
      <c r="M39" s="14"/>
      <c r="N39" s="14"/>
      <c r="O39" s="15"/>
      <c r="P39" s="5"/>
    </row>
    <row r="40" spans="1:16">
      <c r="A40" s="226"/>
      <c r="B40" s="4"/>
      <c r="C40" s="6"/>
      <c r="D40" s="4"/>
      <c r="E40" s="4"/>
      <c r="F40" s="4"/>
      <c r="G40" s="227"/>
      <c r="H40" s="9"/>
      <c r="I40" s="8"/>
      <c r="J40" s="13"/>
      <c r="K40" s="13"/>
      <c r="L40" s="13"/>
      <c r="M40" s="14"/>
      <c r="N40" s="14"/>
      <c r="O40" s="19"/>
      <c r="P40" s="5"/>
    </row>
    <row r="41" spans="1:16">
      <c r="A41" s="226"/>
      <c r="B41" s="4"/>
      <c r="C41" s="6"/>
      <c r="D41" s="4"/>
      <c r="E41" s="4"/>
      <c r="F41" s="4"/>
      <c r="G41" s="227"/>
      <c r="H41" s="9"/>
      <c r="I41" s="8"/>
      <c r="J41" s="13"/>
      <c r="K41" s="13"/>
      <c r="L41" s="13"/>
      <c r="M41" s="17"/>
      <c r="N41" s="17"/>
      <c r="O41" s="37"/>
      <c r="P41" s="5"/>
    </row>
    <row r="42" spans="1:16" ht="14.25">
      <c r="A42" s="226"/>
      <c r="B42" s="4"/>
      <c r="C42" s="6"/>
      <c r="D42" s="1357" t="s">
        <v>35</v>
      </c>
      <c r="E42" s="1358"/>
      <c r="F42" s="1359"/>
      <c r="G42" s="239">
        <f>+G39+G30+G16</f>
        <v>432757</v>
      </c>
      <c r="H42" s="9"/>
      <c r="I42" s="48"/>
      <c r="J42" s="20"/>
      <c r="K42" s="8"/>
      <c r="L42" s="8"/>
      <c r="M42" s="8"/>
      <c r="N42" s="8"/>
      <c r="O42" s="8"/>
      <c r="P42" s="5"/>
    </row>
    <row r="43" spans="1:16" ht="14.25">
      <c r="A43" s="240"/>
      <c r="B43" s="57"/>
      <c r="C43" s="58"/>
      <c r="D43" s="99"/>
      <c r="E43" s="99"/>
      <c r="F43" s="99"/>
      <c r="G43" s="251"/>
      <c r="H43" s="9"/>
      <c r="I43" s="48"/>
      <c r="J43" s="20"/>
      <c r="K43" s="8"/>
      <c r="L43" s="8"/>
      <c r="M43" s="8"/>
      <c r="N43" s="8"/>
      <c r="O43" s="8"/>
      <c r="P43" s="5"/>
    </row>
    <row r="44" spans="1:16" ht="14.25">
      <c r="A44" s="374"/>
      <c r="B44" s="375"/>
      <c r="C44" s="375"/>
      <c r="D44" s="99"/>
      <c r="E44" s="99"/>
      <c r="F44" s="99"/>
      <c r="G44" s="251"/>
      <c r="H44" s="9"/>
      <c r="I44" s="48"/>
      <c r="J44" s="20"/>
      <c r="K44" s="8"/>
      <c r="L44" s="8"/>
      <c r="M44" s="8"/>
      <c r="N44" s="8"/>
      <c r="O44" s="8"/>
      <c r="P44" s="5"/>
    </row>
    <row r="45" spans="1:16" ht="14.25">
      <c r="A45" s="373"/>
      <c r="B45" s="376"/>
      <c r="C45" s="376"/>
      <c r="D45" s="99"/>
      <c r="E45" s="99"/>
      <c r="F45" s="99"/>
      <c r="G45" s="251"/>
      <c r="H45" s="9"/>
      <c r="I45" s="48"/>
      <c r="J45" s="20"/>
      <c r="K45" s="8"/>
      <c r="L45" s="8"/>
      <c r="M45" s="8"/>
      <c r="N45" s="8"/>
      <c r="O45" s="8"/>
      <c r="P45" s="5"/>
    </row>
    <row r="46" spans="1:16" ht="14.25">
      <c r="A46" s="373"/>
      <c r="B46" s="376"/>
      <c r="C46" s="376"/>
      <c r="D46" s="44"/>
      <c r="E46" s="45"/>
      <c r="F46" s="45"/>
      <c r="G46" s="251"/>
      <c r="H46" s="9"/>
      <c r="I46" s="8"/>
      <c r="J46" s="13"/>
      <c r="K46" s="8"/>
      <c r="L46" s="8"/>
      <c r="M46" s="8"/>
      <c r="N46" s="8"/>
      <c r="O46" s="8"/>
      <c r="P46" s="5"/>
    </row>
    <row r="47" spans="1:16" ht="15" thickBot="1">
      <c r="A47" s="242"/>
      <c r="B47" s="243"/>
      <c r="C47" s="244"/>
      <c r="D47" s="245"/>
      <c r="E47" s="246"/>
      <c r="F47" s="246"/>
      <c r="G47" s="247"/>
      <c r="H47" s="9"/>
      <c r="I47" s="8"/>
      <c r="J47" s="13"/>
      <c r="K47" s="8"/>
      <c r="L47" s="8"/>
      <c r="M47" s="8"/>
      <c r="N47" s="8"/>
      <c r="O47" s="8"/>
      <c r="P47" s="5"/>
    </row>
    <row r="48" spans="1:16">
      <c r="I48" s="5"/>
      <c r="J48" s="5"/>
      <c r="K48" s="5"/>
      <c r="L48" s="5"/>
      <c r="M48" s="5"/>
      <c r="N48" s="5"/>
      <c r="O48" s="5"/>
      <c r="P48" s="5"/>
    </row>
    <row r="49" spans="9:16">
      <c r="I49" s="5"/>
      <c r="J49" s="5"/>
      <c r="K49" s="5"/>
      <c r="L49" s="5"/>
      <c r="M49" s="5"/>
      <c r="N49" s="5"/>
      <c r="O49" s="5"/>
      <c r="P49" s="5"/>
    </row>
  </sheetData>
  <mergeCells count="26">
    <mergeCell ref="A32:G32"/>
    <mergeCell ref="D42:F42"/>
    <mergeCell ref="A25:C25"/>
    <mergeCell ref="A26:C26"/>
    <mergeCell ref="A27:C27"/>
    <mergeCell ref="A28:C28"/>
    <mergeCell ref="A29:C29"/>
    <mergeCell ref="A30:C30"/>
    <mergeCell ref="A24:C24"/>
    <mergeCell ref="A11:C11"/>
    <mergeCell ref="A12:C12"/>
    <mergeCell ref="A13:C13"/>
    <mergeCell ref="A14:C14"/>
    <mergeCell ref="A15:C15"/>
    <mergeCell ref="A16:C16"/>
    <mergeCell ref="A18:G18"/>
    <mergeCell ref="A20:C20"/>
    <mergeCell ref="A21:C21"/>
    <mergeCell ref="A22:C22"/>
    <mergeCell ref="A23:C23"/>
    <mergeCell ref="A10:C10"/>
    <mergeCell ref="A1:G1"/>
    <mergeCell ref="A2:G2"/>
    <mergeCell ref="A3:G4"/>
    <mergeCell ref="B6:E6"/>
    <mergeCell ref="A8:G8"/>
  </mergeCells>
  <printOptions horizontalCentered="1" verticalCentered="1"/>
  <pageMargins left="0.74803149606299213" right="0.74803149606299213" top="0" bottom="0.98425196850393704" header="0" footer="0"/>
  <pageSetup scale="90" orientation="portrait" r:id="rId1"/>
  <headerFooter alignWithMargins="0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5"/>
  <dimension ref="A1:U49"/>
  <sheetViews>
    <sheetView view="pageBreakPreview" topLeftCell="A17" zoomScaleNormal="100" zoomScaleSheetLayoutView="100" workbookViewId="0">
      <selection activeCell="F22" sqref="F22"/>
    </sheetView>
  </sheetViews>
  <sheetFormatPr baseColWidth="10" defaultColWidth="10.7109375" defaultRowHeight="12.75"/>
  <cols>
    <col min="1" max="1" width="15.85546875" style="3" customWidth="1"/>
    <col min="2" max="2" width="14.85546875" style="3" customWidth="1"/>
    <col min="3" max="3" width="13.28515625" style="3" customWidth="1"/>
    <col min="4" max="4" width="11.42578125" style="3"/>
    <col min="5" max="5" width="13.42578125" style="3" customWidth="1"/>
    <col min="6" max="6" width="12.7109375" style="3" customWidth="1"/>
    <col min="7" max="7" width="14" style="3" customWidth="1"/>
    <col min="8" max="8" width="7.42578125" style="3" customWidth="1"/>
    <col min="9" max="256" width="11.42578125" style="3"/>
    <col min="257" max="257" width="15.85546875" style="3" customWidth="1"/>
    <col min="258" max="258" width="14.85546875" style="3" customWidth="1"/>
    <col min="259" max="259" width="13.28515625" style="3" customWidth="1"/>
    <col min="260" max="260" width="11.42578125" style="3"/>
    <col min="261" max="261" width="13.42578125" style="3" customWidth="1"/>
    <col min="262" max="262" width="12.7109375" style="3" customWidth="1"/>
    <col min="263" max="263" width="14" style="3" customWidth="1"/>
    <col min="264" max="264" width="7.42578125" style="3" customWidth="1"/>
    <col min="265" max="512" width="11.42578125" style="3"/>
    <col min="513" max="513" width="15.85546875" style="3" customWidth="1"/>
    <col min="514" max="514" width="14.85546875" style="3" customWidth="1"/>
    <col min="515" max="515" width="13.28515625" style="3" customWidth="1"/>
    <col min="516" max="516" width="11.42578125" style="3"/>
    <col min="517" max="517" width="13.42578125" style="3" customWidth="1"/>
    <col min="518" max="518" width="12.7109375" style="3" customWidth="1"/>
    <col min="519" max="519" width="14" style="3" customWidth="1"/>
    <col min="520" max="520" width="7.42578125" style="3" customWidth="1"/>
    <col min="521" max="768" width="11.42578125" style="3"/>
    <col min="769" max="769" width="15.85546875" style="3" customWidth="1"/>
    <col min="770" max="770" width="14.85546875" style="3" customWidth="1"/>
    <col min="771" max="771" width="13.28515625" style="3" customWidth="1"/>
    <col min="772" max="772" width="11.42578125" style="3"/>
    <col min="773" max="773" width="13.42578125" style="3" customWidth="1"/>
    <col min="774" max="774" width="12.7109375" style="3" customWidth="1"/>
    <col min="775" max="775" width="14" style="3" customWidth="1"/>
    <col min="776" max="776" width="7.42578125" style="3" customWidth="1"/>
    <col min="777" max="1024" width="11.42578125" style="3"/>
    <col min="1025" max="1025" width="15.85546875" style="3" customWidth="1"/>
    <col min="1026" max="1026" width="14.85546875" style="3" customWidth="1"/>
    <col min="1027" max="1027" width="13.28515625" style="3" customWidth="1"/>
    <col min="1028" max="1028" width="11.42578125" style="3"/>
    <col min="1029" max="1029" width="13.42578125" style="3" customWidth="1"/>
    <col min="1030" max="1030" width="12.7109375" style="3" customWidth="1"/>
    <col min="1031" max="1031" width="14" style="3" customWidth="1"/>
    <col min="1032" max="1032" width="7.42578125" style="3" customWidth="1"/>
    <col min="1033" max="1280" width="11.42578125" style="3"/>
    <col min="1281" max="1281" width="15.85546875" style="3" customWidth="1"/>
    <col min="1282" max="1282" width="14.85546875" style="3" customWidth="1"/>
    <col min="1283" max="1283" width="13.28515625" style="3" customWidth="1"/>
    <col min="1284" max="1284" width="11.42578125" style="3"/>
    <col min="1285" max="1285" width="13.42578125" style="3" customWidth="1"/>
    <col min="1286" max="1286" width="12.7109375" style="3" customWidth="1"/>
    <col min="1287" max="1287" width="14" style="3" customWidth="1"/>
    <col min="1288" max="1288" width="7.42578125" style="3" customWidth="1"/>
    <col min="1289" max="1536" width="11.42578125" style="3"/>
    <col min="1537" max="1537" width="15.85546875" style="3" customWidth="1"/>
    <col min="1538" max="1538" width="14.85546875" style="3" customWidth="1"/>
    <col min="1539" max="1539" width="13.28515625" style="3" customWidth="1"/>
    <col min="1540" max="1540" width="11.42578125" style="3"/>
    <col min="1541" max="1541" width="13.42578125" style="3" customWidth="1"/>
    <col min="1542" max="1542" width="12.7109375" style="3" customWidth="1"/>
    <col min="1543" max="1543" width="14" style="3" customWidth="1"/>
    <col min="1544" max="1544" width="7.42578125" style="3" customWidth="1"/>
    <col min="1545" max="1792" width="11.42578125" style="3"/>
    <col min="1793" max="1793" width="15.85546875" style="3" customWidth="1"/>
    <col min="1794" max="1794" width="14.85546875" style="3" customWidth="1"/>
    <col min="1795" max="1795" width="13.28515625" style="3" customWidth="1"/>
    <col min="1796" max="1796" width="11.42578125" style="3"/>
    <col min="1797" max="1797" width="13.42578125" style="3" customWidth="1"/>
    <col min="1798" max="1798" width="12.7109375" style="3" customWidth="1"/>
    <col min="1799" max="1799" width="14" style="3" customWidth="1"/>
    <col min="1800" max="1800" width="7.42578125" style="3" customWidth="1"/>
    <col min="1801" max="2048" width="11.42578125" style="3"/>
    <col min="2049" max="2049" width="15.85546875" style="3" customWidth="1"/>
    <col min="2050" max="2050" width="14.85546875" style="3" customWidth="1"/>
    <col min="2051" max="2051" width="13.28515625" style="3" customWidth="1"/>
    <col min="2052" max="2052" width="11.42578125" style="3"/>
    <col min="2053" max="2053" width="13.42578125" style="3" customWidth="1"/>
    <col min="2054" max="2054" width="12.7109375" style="3" customWidth="1"/>
    <col min="2055" max="2055" width="14" style="3" customWidth="1"/>
    <col min="2056" max="2056" width="7.42578125" style="3" customWidth="1"/>
    <col min="2057" max="2304" width="11.42578125" style="3"/>
    <col min="2305" max="2305" width="15.85546875" style="3" customWidth="1"/>
    <col min="2306" max="2306" width="14.85546875" style="3" customWidth="1"/>
    <col min="2307" max="2307" width="13.28515625" style="3" customWidth="1"/>
    <col min="2308" max="2308" width="11.42578125" style="3"/>
    <col min="2309" max="2309" width="13.42578125" style="3" customWidth="1"/>
    <col min="2310" max="2310" width="12.7109375" style="3" customWidth="1"/>
    <col min="2311" max="2311" width="14" style="3" customWidth="1"/>
    <col min="2312" max="2312" width="7.42578125" style="3" customWidth="1"/>
    <col min="2313" max="2560" width="11.42578125" style="3"/>
    <col min="2561" max="2561" width="15.85546875" style="3" customWidth="1"/>
    <col min="2562" max="2562" width="14.85546875" style="3" customWidth="1"/>
    <col min="2563" max="2563" width="13.28515625" style="3" customWidth="1"/>
    <col min="2564" max="2564" width="11.42578125" style="3"/>
    <col min="2565" max="2565" width="13.42578125" style="3" customWidth="1"/>
    <col min="2566" max="2566" width="12.7109375" style="3" customWidth="1"/>
    <col min="2567" max="2567" width="14" style="3" customWidth="1"/>
    <col min="2568" max="2568" width="7.42578125" style="3" customWidth="1"/>
    <col min="2569" max="2816" width="11.42578125" style="3"/>
    <col min="2817" max="2817" width="15.85546875" style="3" customWidth="1"/>
    <col min="2818" max="2818" width="14.85546875" style="3" customWidth="1"/>
    <col min="2819" max="2819" width="13.28515625" style="3" customWidth="1"/>
    <col min="2820" max="2820" width="11.42578125" style="3"/>
    <col min="2821" max="2821" width="13.42578125" style="3" customWidth="1"/>
    <col min="2822" max="2822" width="12.7109375" style="3" customWidth="1"/>
    <col min="2823" max="2823" width="14" style="3" customWidth="1"/>
    <col min="2824" max="2824" width="7.42578125" style="3" customWidth="1"/>
    <col min="2825" max="3072" width="11.42578125" style="3"/>
    <col min="3073" max="3073" width="15.85546875" style="3" customWidth="1"/>
    <col min="3074" max="3074" width="14.85546875" style="3" customWidth="1"/>
    <col min="3075" max="3075" width="13.28515625" style="3" customWidth="1"/>
    <col min="3076" max="3076" width="11.42578125" style="3"/>
    <col min="3077" max="3077" width="13.42578125" style="3" customWidth="1"/>
    <col min="3078" max="3078" width="12.7109375" style="3" customWidth="1"/>
    <col min="3079" max="3079" width="14" style="3" customWidth="1"/>
    <col min="3080" max="3080" width="7.42578125" style="3" customWidth="1"/>
    <col min="3081" max="3328" width="11.42578125" style="3"/>
    <col min="3329" max="3329" width="15.85546875" style="3" customWidth="1"/>
    <col min="3330" max="3330" width="14.85546875" style="3" customWidth="1"/>
    <col min="3331" max="3331" width="13.28515625" style="3" customWidth="1"/>
    <col min="3332" max="3332" width="11.42578125" style="3"/>
    <col min="3333" max="3333" width="13.42578125" style="3" customWidth="1"/>
    <col min="3334" max="3334" width="12.7109375" style="3" customWidth="1"/>
    <col min="3335" max="3335" width="14" style="3" customWidth="1"/>
    <col min="3336" max="3336" width="7.42578125" style="3" customWidth="1"/>
    <col min="3337" max="3584" width="11.42578125" style="3"/>
    <col min="3585" max="3585" width="15.85546875" style="3" customWidth="1"/>
    <col min="3586" max="3586" width="14.85546875" style="3" customWidth="1"/>
    <col min="3587" max="3587" width="13.28515625" style="3" customWidth="1"/>
    <col min="3588" max="3588" width="11.42578125" style="3"/>
    <col min="3589" max="3589" width="13.42578125" style="3" customWidth="1"/>
    <col min="3590" max="3590" width="12.7109375" style="3" customWidth="1"/>
    <col min="3591" max="3591" width="14" style="3" customWidth="1"/>
    <col min="3592" max="3592" width="7.42578125" style="3" customWidth="1"/>
    <col min="3593" max="3840" width="11.42578125" style="3"/>
    <col min="3841" max="3841" width="15.85546875" style="3" customWidth="1"/>
    <col min="3842" max="3842" width="14.85546875" style="3" customWidth="1"/>
    <col min="3843" max="3843" width="13.28515625" style="3" customWidth="1"/>
    <col min="3844" max="3844" width="11.42578125" style="3"/>
    <col min="3845" max="3845" width="13.42578125" style="3" customWidth="1"/>
    <col min="3846" max="3846" width="12.7109375" style="3" customWidth="1"/>
    <col min="3847" max="3847" width="14" style="3" customWidth="1"/>
    <col min="3848" max="3848" width="7.42578125" style="3" customWidth="1"/>
    <col min="3849" max="4096" width="11.42578125" style="3"/>
    <col min="4097" max="4097" width="15.85546875" style="3" customWidth="1"/>
    <col min="4098" max="4098" width="14.85546875" style="3" customWidth="1"/>
    <col min="4099" max="4099" width="13.28515625" style="3" customWidth="1"/>
    <col min="4100" max="4100" width="11.42578125" style="3"/>
    <col min="4101" max="4101" width="13.42578125" style="3" customWidth="1"/>
    <col min="4102" max="4102" width="12.7109375" style="3" customWidth="1"/>
    <col min="4103" max="4103" width="14" style="3" customWidth="1"/>
    <col min="4104" max="4104" width="7.42578125" style="3" customWidth="1"/>
    <col min="4105" max="4352" width="11.42578125" style="3"/>
    <col min="4353" max="4353" width="15.85546875" style="3" customWidth="1"/>
    <col min="4354" max="4354" width="14.85546875" style="3" customWidth="1"/>
    <col min="4355" max="4355" width="13.28515625" style="3" customWidth="1"/>
    <col min="4356" max="4356" width="11.42578125" style="3"/>
    <col min="4357" max="4357" width="13.42578125" style="3" customWidth="1"/>
    <col min="4358" max="4358" width="12.7109375" style="3" customWidth="1"/>
    <col min="4359" max="4359" width="14" style="3" customWidth="1"/>
    <col min="4360" max="4360" width="7.42578125" style="3" customWidth="1"/>
    <col min="4361" max="4608" width="11.42578125" style="3"/>
    <col min="4609" max="4609" width="15.85546875" style="3" customWidth="1"/>
    <col min="4610" max="4610" width="14.85546875" style="3" customWidth="1"/>
    <col min="4611" max="4611" width="13.28515625" style="3" customWidth="1"/>
    <col min="4612" max="4612" width="11.42578125" style="3"/>
    <col min="4613" max="4613" width="13.42578125" style="3" customWidth="1"/>
    <col min="4614" max="4614" width="12.7109375" style="3" customWidth="1"/>
    <col min="4615" max="4615" width="14" style="3" customWidth="1"/>
    <col min="4616" max="4616" width="7.42578125" style="3" customWidth="1"/>
    <col min="4617" max="4864" width="11.42578125" style="3"/>
    <col min="4865" max="4865" width="15.85546875" style="3" customWidth="1"/>
    <col min="4866" max="4866" width="14.85546875" style="3" customWidth="1"/>
    <col min="4867" max="4867" width="13.28515625" style="3" customWidth="1"/>
    <col min="4868" max="4868" width="11.42578125" style="3"/>
    <col min="4869" max="4869" width="13.42578125" style="3" customWidth="1"/>
    <col min="4870" max="4870" width="12.7109375" style="3" customWidth="1"/>
    <col min="4871" max="4871" width="14" style="3" customWidth="1"/>
    <col min="4872" max="4872" width="7.42578125" style="3" customWidth="1"/>
    <col min="4873" max="5120" width="11.42578125" style="3"/>
    <col min="5121" max="5121" width="15.85546875" style="3" customWidth="1"/>
    <col min="5122" max="5122" width="14.85546875" style="3" customWidth="1"/>
    <col min="5123" max="5123" width="13.28515625" style="3" customWidth="1"/>
    <col min="5124" max="5124" width="11.42578125" style="3"/>
    <col min="5125" max="5125" width="13.42578125" style="3" customWidth="1"/>
    <col min="5126" max="5126" width="12.7109375" style="3" customWidth="1"/>
    <col min="5127" max="5127" width="14" style="3" customWidth="1"/>
    <col min="5128" max="5128" width="7.42578125" style="3" customWidth="1"/>
    <col min="5129" max="5376" width="11.42578125" style="3"/>
    <col min="5377" max="5377" width="15.85546875" style="3" customWidth="1"/>
    <col min="5378" max="5378" width="14.85546875" style="3" customWidth="1"/>
    <col min="5379" max="5379" width="13.28515625" style="3" customWidth="1"/>
    <col min="5380" max="5380" width="11.42578125" style="3"/>
    <col min="5381" max="5381" width="13.42578125" style="3" customWidth="1"/>
    <col min="5382" max="5382" width="12.7109375" style="3" customWidth="1"/>
    <col min="5383" max="5383" width="14" style="3" customWidth="1"/>
    <col min="5384" max="5384" width="7.42578125" style="3" customWidth="1"/>
    <col min="5385" max="5632" width="11.42578125" style="3"/>
    <col min="5633" max="5633" width="15.85546875" style="3" customWidth="1"/>
    <col min="5634" max="5634" width="14.85546875" style="3" customWidth="1"/>
    <col min="5635" max="5635" width="13.28515625" style="3" customWidth="1"/>
    <col min="5636" max="5636" width="11.42578125" style="3"/>
    <col min="5637" max="5637" width="13.42578125" style="3" customWidth="1"/>
    <col min="5638" max="5638" width="12.7109375" style="3" customWidth="1"/>
    <col min="5639" max="5639" width="14" style="3" customWidth="1"/>
    <col min="5640" max="5640" width="7.42578125" style="3" customWidth="1"/>
    <col min="5641" max="5888" width="11.42578125" style="3"/>
    <col min="5889" max="5889" width="15.85546875" style="3" customWidth="1"/>
    <col min="5890" max="5890" width="14.85546875" style="3" customWidth="1"/>
    <col min="5891" max="5891" width="13.28515625" style="3" customWidth="1"/>
    <col min="5892" max="5892" width="11.42578125" style="3"/>
    <col min="5893" max="5893" width="13.42578125" style="3" customWidth="1"/>
    <col min="5894" max="5894" width="12.7109375" style="3" customWidth="1"/>
    <col min="5895" max="5895" width="14" style="3" customWidth="1"/>
    <col min="5896" max="5896" width="7.42578125" style="3" customWidth="1"/>
    <col min="5897" max="6144" width="11.42578125" style="3"/>
    <col min="6145" max="6145" width="15.85546875" style="3" customWidth="1"/>
    <col min="6146" max="6146" width="14.85546875" style="3" customWidth="1"/>
    <col min="6147" max="6147" width="13.28515625" style="3" customWidth="1"/>
    <col min="6148" max="6148" width="11.42578125" style="3"/>
    <col min="6149" max="6149" width="13.42578125" style="3" customWidth="1"/>
    <col min="6150" max="6150" width="12.7109375" style="3" customWidth="1"/>
    <col min="6151" max="6151" width="14" style="3" customWidth="1"/>
    <col min="6152" max="6152" width="7.42578125" style="3" customWidth="1"/>
    <col min="6153" max="6400" width="11.42578125" style="3"/>
    <col min="6401" max="6401" width="15.85546875" style="3" customWidth="1"/>
    <col min="6402" max="6402" width="14.85546875" style="3" customWidth="1"/>
    <col min="6403" max="6403" width="13.28515625" style="3" customWidth="1"/>
    <col min="6404" max="6404" width="11.42578125" style="3"/>
    <col min="6405" max="6405" width="13.42578125" style="3" customWidth="1"/>
    <col min="6406" max="6406" width="12.7109375" style="3" customWidth="1"/>
    <col min="6407" max="6407" width="14" style="3" customWidth="1"/>
    <col min="6408" max="6408" width="7.42578125" style="3" customWidth="1"/>
    <col min="6409" max="6656" width="11.42578125" style="3"/>
    <col min="6657" max="6657" width="15.85546875" style="3" customWidth="1"/>
    <col min="6658" max="6658" width="14.85546875" style="3" customWidth="1"/>
    <col min="6659" max="6659" width="13.28515625" style="3" customWidth="1"/>
    <col min="6660" max="6660" width="11.42578125" style="3"/>
    <col min="6661" max="6661" width="13.42578125" style="3" customWidth="1"/>
    <col min="6662" max="6662" width="12.7109375" style="3" customWidth="1"/>
    <col min="6663" max="6663" width="14" style="3" customWidth="1"/>
    <col min="6664" max="6664" width="7.42578125" style="3" customWidth="1"/>
    <col min="6665" max="6912" width="11.42578125" style="3"/>
    <col min="6913" max="6913" width="15.85546875" style="3" customWidth="1"/>
    <col min="6914" max="6914" width="14.85546875" style="3" customWidth="1"/>
    <col min="6915" max="6915" width="13.28515625" style="3" customWidth="1"/>
    <col min="6916" max="6916" width="11.42578125" style="3"/>
    <col min="6917" max="6917" width="13.42578125" style="3" customWidth="1"/>
    <col min="6918" max="6918" width="12.7109375" style="3" customWidth="1"/>
    <col min="6919" max="6919" width="14" style="3" customWidth="1"/>
    <col min="6920" max="6920" width="7.42578125" style="3" customWidth="1"/>
    <col min="6921" max="7168" width="11.42578125" style="3"/>
    <col min="7169" max="7169" width="15.85546875" style="3" customWidth="1"/>
    <col min="7170" max="7170" width="14.85546875" style="3" customWidth="1"/>
    <col min="7171" max="7171" width="13.28515625" style="3" customWidth="1"/>
    <col min="7172" max="7172" width="11.42578125" style="3"/>
    <col min="7173" max="7173" width="13.42578125" style="3" customWidth="1"/>
    <col min="7174" max="7174" width="12.7109375" style="3" customWidth="1"/>
    <col min="7175" max="7175" width="14" style="3" customWidth="1"/>
    <col min="7176" max="7176" width="7.42578125" style="3" customWidth="1"/>
    <col min="7177" max="7424" width="11.42578125" style="3"/>
    <col min="7425" max="7425" width="15.85546875" style="3" customWidth="1"/>
    <col min="7426" max="7426" width="14.85546875" style="3" customWidth="1"/>
    <col min="7427" max="7427" width="13.28515625" style="3" customWidth="1"/>
    <col min="7428" max="7428" width="11.42578125" style="3"/>
    <col min="7429" max="7429" width="13.42578125" style="3" customWidth="1"/>
    <col min="7430" max="7430" width="12.7109375" style="3" customWidth="1"/>
    <col min="7431" max="7431" width="14" style="3" customWidth="1"/>
    <col min="7432" max="7432" width="7.42578125" style="3" customWidth="1"/>
    <col min="7433" max="7680" width="11.42578125" style="3"/>
    <col min="7681" max="7681" width="15.85546875" style="3" customWidth="1"/>
    <col min="7682" max="7682" width="14.85546875" style="3" customWidth="1"/>
    <col min="7683" max="7683" width="13.28515625" style="3" customWidth="1"/>
    <col min="7684" max="7684" width="11.42578125" style="3"/>
    <col min="7685" max="7685" width="13.42578125" style="3" customWidth="1"/>
    <col min="7686" max="7686" width="12.7109375" style="3" customWidth="1"/>
    <col min="7687" max="7687" width="14" style="3" customWidth="1"/>
    <col min="7688" max="7688" width="7.42578125" style="3" customWidth="1"/>
    <col min="7689" max="7936" width="11.42578125" style="3"/>
    <col min="7937" max="7937" width="15.85546875" style="3" customWidth="1"/>
    <col min="7938" max="7938" width="14.85546875" style="3" customWidth="1"/>
    <col min="7939" max="7939" width="13.28515625" style="3" customWidth="1"/>
    <col min="7940" max="7940" width="11.42578125" style="3"/>
    <col min="7941" max="7941" width="13.42578125" style="3" customWidth="1"/>
    <col min="7942" max="7942" width="12.7109375" style="3" customWidth="1"/>
    <col min="7943" max="7943" width="14" style="3" customWidth="1"/>
    <col min="7944" max="7944" width="7.42578125" style="3" customWidth="1"/>
    <col min="7945" max="8192" width="11.42578125" style="3"/>
    <col min="8193" max="8193" width="15.85546875" style="3" customWidth="1"/>
    <col min="8194" max="8194" width="14.85546875" style="3" customWidth="1"/>
    <col min="8195" max="8195" width="13.28515625" style="3" customWidth="1"/>
    <col min="8196" max="8196" width="11.42578125" style="3"/>
    <col min="8197" max="8197" width="13.42578125" style="3" customWidth="1"/>
    <col min="8198" max="8198" width="12.7109375" style="3" customWidth="1"/>
    <col min="8199" max="8199" width="14" style="3" customWidth="1"/>
    <col min="8200" max="8200" width="7.42578125" style="3" customWidth="1"/>
    <col min="8201" max="8448" width="11.42578125" style="3"/>
    <col min="8449" max="8449" width="15.85546875" style="3" customWidth="1"/>
    <col min="8450" max="8450" width="14.85546875" style="3" customWidth="1"/>
    <col min="8451" max="8451" width="13.28515625" style="3" customWidth="1"/>
    <col min="8452" max="8452" width="11.42578125" style="3"/>
    <col min="8453" max="8453" width="13.42578125" style="3" customWidth="1"/>
    <col min="8454" max="8454" width="12.7109375" style="3" customWidth="1"/>
    <col min="8455" max="8455" width="14" style="3" customWidth="1"/>
    <col min="8456" max="8456" width="7.42578125" style="3" customWidth="1"/>
    <col min="8457" max="8704" width="11.42578125" style="3"/>
    <col min="8705" max="8705" width="15.85546875" style="3" customWidth="1"/>
    <col min="8706" max="8706" width="14.85546875" style="3" customWidth="1"/>
    <col min="8707" max="8707" width="13.28515625" style="3" customWidth="1"/>
    <col min="8708" max="8708" width="11.42578125" style="3"/>
    <col min="8709" max="8709" width="13.42578125" style="3" customWidth="1"/>
    <col min="8710" max="8710" width="12.7109375" style="3" customWidth="1"/>
    <col min="8711" max="8711" width="14" style="3" customWidth="1"/>
    <col min="8712" max="8712" width="7.42578125" style="3" customWidth="1"/>
    <col min="8713" max="8960" width="11.42578125" style="3"/>
    <col min="8961" max="8961" width="15.85546875" style="3" customWidth="1"/>
    <col min="8962" max="8962" width="14.85546875" style="3" customWidth="1"/>
    <col min="8963" max="8963" width="13.28515625" style="3" customWidth="1"/>
    <col min="8964" max="8964" width="11.42578125" style="3"/>
    <col min="8965" max="8965" width="13.42578125" style="3" customWidth="1"/>
    <col min="8966" max="8966" width="12.7109375" style="3" customWidth="1"/>
    <col min="8967" max="8967" width="14" style="3" customWidth="1"/>
    <col min="8968" max="8968" width="7.42578125" style="3" customWidth="1"/>
    <col min="8969" max="9216" width="11.42578125" style="3"/>
    <col min="9217" max="9217" width="15.85546875" style="3" customWidth="1"/>
    <col min="9218" max="9218" width="14.85546875" style="3" customWidth="1"/>
    <col min="9219" max="9219" width="13.28515625" style="3" customWidth="1"/>
    <col min="9220" max="9220" width="11.42578125" style="3"/>
    <col min="9221" max="9221" width="13.42578125" style="3" customWidth="1"/>
    <col min="9222" max="9222" width="12.7109375" style="3" customWidth="1"/>
    <col min="9223" max="9223" width="14" style="3" customWidth="1"/>
    <col min="9224" max="9224" width="7.42578125" style="3" customWidth="1"/>
    <col min="9225" max="9472" width="11.42578125" style="3"/>
    <col min="9473" max="9473" width="15.85546875" style="3" customWidth="1"/>
    <col min="9474" max="9474" width="14.85546875" style="3" customWidth="1"/>
    <col min="9475" max="9475" width="13.28515625" style="3" customWidth="1"/>
    <col min="9476" max="9476" width="11.42578125" style="3"/>
    <col min="9477" max="9477" width="13.42578125" style="3" customWidth="1"/>
    <col min="9478" max="9478" width="12.7109375" style="3" customWidth="1"/>
    <col min="9479" max="9479" width="14" style="3" customWidth="1"/>
    <col min="9480" max="9480" width="7.42578125" style="3" customWidth="1"/>
    <col min="9481" max="9728" width="11.42578125" style="3"/>
    <col min="9729" max="9729" width="15.85546875" style="3" customWidth="1"/>
    <col min="9730" max="9730" width="14.85546875" style="3" customWidth="1"/>
    <col min="9731" max="9731" width="13.28515625" style="3" customWidth="1"/>
    <col min="9732" max="9732" width="11.42578125" style="3"/>
    <col min="9733" max="9733" width="13.42578125" style="3" customWidth="1"/>
    <col min="9734" max="9734" width="12.7109375" style="3" customWidth="1"/>
    <col min="9735" max="9735" width="14" style="3" customWidth="1"/>
    <col min="9736" max="9736" width="7.42578125" style="3" customWidth="1"/>
    <col min="9737" max="9984" width="11.42578125" style="3"/>
    <col min="9985" max="9985" width="15.85546875" style="3" customWidth="1"/>
    <col min="9986" max="9986" width="14.85546875" style="3" customWidth="1"/>
    <col min="9987" max="9987" width="13.28515625" style="3" customWidth="1"/>
    <col min="9988" max="9988" width="11.42578125" style="3"/>
    <col min="9989" max="9989" width="13.42578125" style="3" customWidth="1"/>
    <col min="9990" max="9990" width="12.7109375" style="3" customWidth="1"/>
    <col min="9991" max="9991" width="14" style="3" customWidth="1"/>
    <col min="9992" max="9992" width="7.42578125" style="3" customWidth="1"/>
    <col min="9993" max="10240" width="11.42578125" style="3"/>
    <col min="10241" max="10241" width="15.85546875" style="3" customWidth="1"/>
    <col min="10242" max="10242" width="14.85546875" style="3" customWidth="1"/>
    <col min="10243" max="10243" width="13.28515625" style="3" customWidth="1"/>
    <col min="10244" max="10244" width="11.42578125" style="3"/>
    <col min="10245" max="10245" width="13.42578125" style="3" customWidth="1"/>
    <col min="10246" max="10246" width="12.7109375" style="3" customWidth="1"/>
    <col min="10247" max="10247" width="14" style="3" customWidth="1"/>
    <col min="10248" max="10248" width="7.42578125" style="3" customWidth="1"/>
    <col min="10249" max="10496" width="11.42578125" style="3"/>
    <col min="10497" max="10497" width="15.85546875" style="3" customWidth="1"/>
    <col min="10498" max="10498" width="14.85546875" style="3" customWidth="1"/>
    <col min="10499" max="10499" width="13.28515625" style="3" customWidth="1"/>
    <col min="10500" max="10500" width="11.42578125" style="3"/>
    <col min="10501" max="10501" width="13.42578125" style="3" customWidth="1"/>
    <col min="10502" max="10502" width="12.7109375" style="3" customWidth="1"/>
    <col min="10503" max="10503" width="14" style="3" customWidth="1"/>
    <col min="10504" max="10504" width="7.42578125" style="3" customWidth="1"/>
    <col min="10505" max="10752" width="11.42578125" style="3"/>
    <col min="10753" max="10753" width="15.85546875" style="3" customWidth="1"/>
    <col min="10754" max="10754" width="14.85546875" style="3" customWidth="1"/>
    <col min="10755" max="10755" width="13.28515625" style="3" customWidth="1"/>
    <col min="10756" max="10756" width="11.42578125" style="3"/>
    <col min="10757" max="10757" width="13.42578125" style="3" customWidth="1"/>
    <col min="10758" max="10758" width="12.7109375" style="3" customWidth="1"/>
    <col min="10759" max="10759" width="14" style="3" customWidth="1"/>
    <col min="10760" max="10760" width="7.42578125" style="3" customWidth="1"/>
    <col min="10761" max="11008" width="11.42578125" style="3"/>
    <col min="11009" max="11009" width="15.85546875" style="3" customWidth="1"/>
    <col min="11010" max="11010" width="14.85546875" style="3" customWidth="1"/>
    <col min="11011" max="11011" width="13.28515625" style="3" customWidth="1"/>
    <col min="11012" max="11012" width="11.42578125" style="3"/>
    <col min="11013" max="11013" width="13.42578125" style="3" customWidth="1"/>
    <col min="11014" max="11014" width="12.7109375" style="3" customWidth="1"/>
    <col min="11015" max="11015" width="14" style="3" customWidth="1"/>
    <col min="11016" max="11016" width="7.42578125" style="3" customWidth="1"/>
    <col min="11017" max="11264" width="11.42578125" style="3"/>
    <col min="11265" max="11265" width="15.85546875" style="3" customWidth="1"/>
    <col min="11266" max="11266" width="14.85546875" style="3" customWidth="1"/>
    <col min="11267" max="11267" width="13.28515625" style="3" customWidth="1"/>
    <col min="11268" max="11268" width="11.42578125" style="3"/>
    <col min="11269" max="11269" width="13.42578125" style="3" customWidth="1"/>
    <col min="11270" max="11270" width="12.7109375" style="3" customWidth="1"/>
    <col min="11271" max="11271" width="14" style="3" customWidth="1"/>
    <col min="11272" max="11272" width="7.42578125" style="3" customWidth="1"/>
    <col min="11273" max="11520" width="11.42578125" style="3"/>
    <col min="11521" max="11521" width="15.85546875" style="3" customWidth="1"/>
    <col min="11522" max="11522" width="14.85546875" style="3" customWidth="1"/>
    <col min="11523" max="11523" width="13.28515625" style="3" customWidth="1"/>
    <col min="11524" max="11524" width="11.42578125" style="3"/>
    <col min="11525" max="11525" width="13.42578125" style="3" customWidth="1"/>
    <col min="11526" max="11526" width="12.7109375" style="3" customWidth="1"/>
    <col min="11527" max="11527" width="14" style="3" customWidth="1"/>
    <col min="11528" max="11528" width="7.42578125" style="3" customWidth="1"/>
    <col min="11529" max="11776" width="11.42578125" style="3"/>
    <col min="11777" max="11777" width="15.85546875" style="3" customWidth="1"/>
    <col min="11778" max="11778" width="14.85546875" style="3" customWidth="1"/>
    <col min="11779" max="11779" width="13.28515625" style="3" customWidth="1"/>
    <col min="11780" max="11780" width="11.42578125" style="3"/>
    <col min="11781" max="11781" width="13.42578125" style="3" customWidth="1"/>
    <col min="11782" max="11782" width="12.7109375" style="3" customWidth="1"/>
    <col min="11783" max="11783" width="14" style="3" customWidth="1"/>
    <col min="11784" max="11784" width="7.42578125" style="3" customWidth="1"/>
    <col min="11785" max="12032" width="11.42578125" style="3"/>
    <col min="12033" max="12033" width="15.85546875" style="3" customWidth="1"/>
    <col min="12034" max="12034" width="14.85546875" style="3" customWidth="1"/>
    <col min="12035" max="12035" width="13.28515625" style="3" customWidth="1"/>
    <col min="12036" max="12036" width="11.42578125" style="3"/>
    <col min="12037" max="12037" width="13.42578125" style="3" customWidth="1"/>
    <col min="12038" max="12038" width="12.7109375" style="3" customWidth="1"/>
    <col min="12039" max="12039" width="14" style="3" customWidth="1"/>
    <col min="12040" max="12040" width="7.42578125" style="3" customWidth="1"/>
    <col min="12041" max="12288" width="11.42578125" style="3"/>
    <col min="12289" max="12289" width="15.85546875" style="3" customWidth="1"/>
    <col min="12290" max="12290" width="14.85546875" style="3" customWidth="1"/>
    <col min="12291" max="12291" width="13.28515625" style="3" customWidth="1"/>
    <col min="12292" max="12292" width="11.42578125" style="3"/>
    <col min="12293" max="12293" width="13.42578125" style="3" customWidth="1"/>
    <col min="12294" max="12294" width="12.7109375" style="3" customWidth="1"/>
    <col min="12295" max="12295" width="14" style="3" customWidth="1"/>
    <col min="12296" max="12296" width="7.42578125" style="3" customWidth="1"/>
    <col min="12297" max="12544" width="11.42578125" style="3"/>
    <col min="12545" max="12545" width="15.85546875" style="3" customWidth="1"/>
    <col min="12546" max="12546" width="14.85546875" style="3" customWidth="1"/>
    <col min="12547" max="12547" width="13.28515625" style="3" customWidth="1"/>
    <col min="12548" max="12548" width="11.42578125" style="3"/>
    <col min="12549" max="12549" width="13.42578125" style="3" customWidth="1"/>
    <col min="12550" max="12550" width="12.7109375" style="3" customWidth="1"/>
    <col min="12551" max="12551" width="14" style="3" customWidth="1"/>
    <col min="12552" max="12552" width="7.42578125" style="3" customWidth="1"/>
    <col min="12553" max="12800" width="11.42578125" style="3"/>
    <col min="12801" max="12801" width="15.85546875" style="3" customWidth="1"/>
    <col min="12802" max="12802" width="14.85546875" style="3" customWidth="1"/>
    <col min="12803" max="12803" width="13.28515625" style="3" customWidth="1"/>
    <col min="12804" max="12804" width="11.42578125" style="3"/>
    <col min="12805" max="12805" width="13.42578125" style="3" customWidth="1"/>
    <col min="12806" max="12806" width="12.7109375" style="3" customWidth="1"/>
    <col min="12807" max="12807" width="14" style="3" customWidth="1"/>
    <col min="12808" max="12808" width="7.42578125" style="3" customWidth="1"/>
    <col min="12809" max="13056" width="11.42578125" style="3"/>
    <col min="13057" max="13057" width="15.85546875" style="3" customWidth="1"/>
    <col min="13058" max="13058" width="14.85546875" style="3" customWidth="1"/>
    <col min="13059" max="13059" width="13.28515625" style="3" customWidth="1"/>
    <col min="13060" max="13060" width="11.42578125" style="3"/>
    <col min="13061" max="13061" width="13.42578125" style="3" customWidth="1"/>
    <col min="13062" max="13062" width="12.7109375" style="3" customWidth="1"/>
    <col min="13063" max="13063" width="14" style="3" customWidth="1"/>
    <col min="13064" max="13064" width="7.42578125" style="3" customWidth="1"/>
    <col min="13065" max="13312" width="11.42578125" style="3"/>
    <col min="13313" max="13313" width="15.85546875" style="3" customWidth="1"/>
    <col min="13314" max="13314" width="14.85546875" style="3" customWidth="1"/>
    <col min="13315" max="13315" width="13.28515625" style="3" customWidth="1"/>
    <col min="13316" max="13316" width="11.42578125" style="3"/>
    <col min="13317" max="13317" width="13.42578125" style="3" customWidth="1"/>
    <col min="13318" max="13318" width="12.7109375" style="3" customWidth="1"/>
    <col min="13319" max="13319" width="14" style="3" customWidth="1"/>
    <col min="13320" max="13320" width="7.42578125" style="3" customWidth="1"/>
    <col min="13321" max="13568" width="11.42578125" style="3"/>
    <col min="13569" max="13569" width="15.85546875" style="3" customWidth="1"/>
    <col min="13570" max="13570" width="14.85546875" style="3" customWidth="1"/>
    <col min="13571" max="13571" width="13.28515625" style="3" customWidth="1"/>
    <col min="13572" max="13572" width="11.42578125" style="3"/>
    <col min="13573" max="13573" width="13.42578125" style="3" customWidth="1"/>
    <col min="13574" max="13574" width="12.7109375" style="3" customWidth="1"/>
    <col min="13575" max="13575" width="14" style="3" customWidth="1"/>
    <col min="13576" max="13576" width="7.42578125" style="3" customWidth="1"/>
    <col min="13577" max="13824" width="11.42578125" style="3"/>
    <col min="13825" max="13825" width="15.85546875" style="3" customWidth="1"/>
    <col min="13826" max="13826" width="14.85546875" style="3" customWidth="1"/>
    <col min="13827" max="13827" width="13.28515625" style="3" customWidth="1"/>
    <col min="13828" max="13828" width="11.42578125" style="3"/>
    <col min="13829" max="13829" width="13.42578125" style="3" customWidth="1"/>
    <col min="13830" max="13830" width="12.7109375" style="3" customWidth="1"/>
    <col min="13831" max="13831" width="14" style="3" customWidth="1"/>
    <col min="13832" max="13832" width="7.42578125" style="3" customWidth="1"/>
    <col min="13833" max="14080" width="11.42578125" style="3"/>
    <col min="14081" max="14081" width="15.85546875" style="3" customWidth="1"/>
    <col min="14082" max="14082" width="14.85546875" style="3" customWidth="1"/>
    <col min="14083" max="14083" width="13.28515625" style="3" customWidth="1"/>
    <col min="14084" max="14084" width="11.42578125" style="3"/>
    <col min="14085" max="14085" width="13.42578125" style="3" customWidth="1"/>
    <col min="14086" max="14086" width="12.7109375" style="3" customWidth="1"/>
    <col min="14087" max="14087" width="14" style="3" customWidth="1"/>
    <col min="14088" max="14088" width="7.42578125" style="3" customWidth="1"/>
    <col min="14089" max="14336" width="11.42578125" style="3"/>
    <col min="14337" max="14337" width="15.85546875" style="3" customWidth="1"/>
    <col min="14338" max="14338" width="14.85546875" style="3" customWidth="1"/>
    <col min="14339" max="14339" width="13.28515625" style="3" customWidth="1"/>
    <col min="14340" max="14340" width="11.42578125" style="3"/>
    <col min="14341" max="14341" width="13.42578125" style="3" customWidth="1"/>
    <col min="14342" max="14342" width="12.7109375" style="3" customWidth="1"/>
    <col min="14343" max="14343" width="14" style="3" customWidth="1"/>
    <col min="14344" max="14344" width="7.42578125" style="3" customWidth="1"/>
    <col min="14345" max="14592" width="11.42578125" style="3"/>
    <col min="14593" max="14593" width="15.85546875" style="3" customWidth="1"/>
    <col min="14594" max="14594" width="14.85546875" style="3" customWidth="1"/>
    <col min="14595" max="14595" width="13.28515625" style="3" customWidth="1"/>
    <col min="14596" max="14596" width="11.42578125" style="3"/>
    <col min="14597" max="14597" width="13.42578125" style="3" customWidth="1"/>
    <col min="14598" max="14598" width="12.7109375" style="3" customWidth="1"/>
    <col min="14599" max="14599" width="14" style="3" customWidth="1"/>
    <col min="14600" max="14600" width="7.42578125" style="3" customWidth="1"/>
    <col min="14601" max="14848" width="11.42578125" style="3"/>
    <col min="14849" max="14849" width="15.85546875" style="3" customWidth="1"/>
    <col min="14850" max="14850" width="14.85546875" style="3" customWidth="1"/>
    <col min="14851" max="14851" width="13.28515625" style="3" customWidth="1"/>
    <col min="14852" max="14852" width="11.42578125" style="3"/>
    <col min="14853" max="14853" width="13.42578125" style="3" customWidth="1"/>
    <col min="14854" max="14854" width="12.7109375" style="3" customWidth="1"/>
    <col min="14855" max="14855" width="14" style="3" customWidth="1"/>
    <col min="14856" max="14856" width="7.42578125" style="3" customWidth="1"/>
    <col min="14857" max="15104" width="11.42578125" style="3"/>
    <col min="15105" max="15105" width="15.85546875" style="3" customWidth="1"/>
    <col min="15106" max="15106" width="14.85546875" style="3" customWidth="1"/>
    <col min="15107" max="15107" width="13.28515625" style="3" customWidth="1"/>
    <col min="15108" max="15108" width="11.42578125" style="3"/>
    <col min="15109" max="15109" width="13.42578125" style="3" customWidth="1"/>
    <col min="15110" max="15110" width="12.7109375" style="3" customWidth="1"/>
    <col min="15111" max="15111" width="14" style="3" customWidth="1"/>
    <col min="15112" max="15112" width="7.42578125" style="3" customWidth="1"/>
    <col min="15113" max="15360" width="11.42578125" style="3"/>
    <col min="15361" max="15361" width="15.85546875" style="3" customWidth="1"/>
    <col min="15362" max="15362" width="14.85546875" style="3" customWidth="1"/>
    <col min="15363" max="15363" width="13.28515625" style="3" customWidth="1"/>
    <col min="15364" max="15364" width="11.42578125" style="3"/>
    <col min="15365" max="15365" width="13.42578125" style="3" customWidth="1"/>
    <col min="15366" max="15366" width="12.7109375" style="3" customWidth="1"/>
    <col min="15367" max="15367" width="14" style="3" customWidth="1"/>
    <col min="15368" max="15368" width="7.42578125" style="3" customWidth="1"/>
    <col min="15369" max="15616" width="11.42578125" style="3"/>
    <col min="15617" max="15617" width="15.85546875" style="3" customWidth="1"/>
    <col min="15618" max="15618" width="14.85546875" style="3" customWidth="1"/>
    <col min="15619" max="15619" width="13.28515625" style="3" customWidth="1"/>
    <col min="15620" max="15620" width="11.42578125" style="3"/>
    <col min="15621" max="15621" width="13.42578125" style="3" customWidth="1"/>
    <col min="15622" max="15622" width="12.7109375" style="3" customWidth="1"/>
    <col min="15623" max="15623" width="14" style="3" customWidth="1"/>
    <col min="15624" max="15624" width="7.42578125" style="3" customWidth="1"/>
    <col min="15625" max="15872" width="11.42578125" style="3"/>
    <col min="15873" max="15873" width="15.85546875" style="3" customWidth="1"/>
    <col min="15874" max="15874" width="14.85546875" style="3" customWidth="1"/>
    <col min="15875" max="15875" width="13.28515625" style="3" customWidth="1"/>
    <col min="15876" max="15876" width="11.42578125" style="3"/>
    <col min="15877" max="15877" width="13.42578125" style="3" customWidth="1"/>
    <col min="15878" max="15878" width="12.7109375" style="3" customWidth="1"/>
    <col min="15879" max="15879" width="14" style="3" customWidth="1"/>
    <col min="15880" max="15880" width="7.42578125" style="3" customWidth="1"/>
    <col min="15881" max="16128" width="11.42578125" style="3"/>
    <col min="16129" max="16129" width="15.85546875" style="3" customWidth="1"/>
    <col min="16130" max="16130" width="14.85546875" style="3" customWidth="1"/>
    <col min="16131" max="16131" width="13.28515625" style="3" customWidth="1"/>
    <col min="16132" max="16132" width="11.42578125" style="3"/>
    <col min="16133" max="16133" width="13.42578125" style="3" customWidth="1"/>
    <col min="16134" max="16134" width="12.7109375" style="3" customWidth="1"/>
    <col min="16135" max="16135" width="14" style="3" customWidth="1"/>
    <col min="16136" max="16136" width="7.42578125" style="3" customWidth="1"/>
    <col min="16137" max="16384" width="11.42578125" style="3"/>
  </cols>
  <sheetData>
    <row r="1" spans="1:21" ht="48" customHeight="1">
      <c r="A1" s="1346" t="str">
        <f>PPTO!D3</f>
        <v>PRESUPUESTO
MUNICIPIO EL BAGRE (ANTIOQUIA).</v>
      </c>
      <c r="B1" s="1347"/>
      <c r="C1" s="1347"/>
      <c r="D1" s="1347"/>
      <c r="E1" s="1347"/>
      <c r="F1" s="1347"/>
      <c r="G1" s="1348"/>
      <c r="H1" s="1"/>
      <c r="I1" s="2"/>
    </row>
    <row r="2" spans="1:21" ht="18" customHeight="1">
      <c r="A2" s="1362" t="s">
        <v>16</v>
      </c>
      <c r="B2" s="1363"/>
      <c r="C2" s="1363"/>
      <c r="D2" s="1363"/>
      <c r="E2" s="1363"/>
      <c r="F2" s="1363"/>
      <c r="G2" s="1364"/>
      <c r="H2" s="1"/>
      <c r="I2" s="2"/>
    </row>
    <row r="3" spans="1:21" ht="27" customHeight="1">
      <c r="A3" s="1367" t="str">
        <f>+PPTO!$D$5</f>
        <v>PROYECTO DE MEJORAMIENTO VIAL, ESPACIO PUBLICO Y OBRAS COMPLEMENTARIAS DE LA AVENIDA LA JUVENTUD Y TRAMOS ADYACENTES Y PRIORITARIOS DEL SECTOR URBANO EN EL MUNICIPIO EL BAGRE ANTIOQUIA.</v>
      </c>
      <c r="B3" s="1368"/>
      <c r="C3" s="1368"/>
      <c r="D3" s="1368"/>
      <c r="E3" s="1368"/>
      <c r="F3" s="1368"/>
      <c r="G3" s="1369"/>
      <c r="H3" s="1"/>
      <c r="I3" s="2"/>
    </row>
    <row r="4" spans="1:21" ht="30" customHeight="1">
      <c r="A4" s="1370"/>
      <c r="B4" s="1368"/>
      <c r="C4" s="1368"/>
      <c r="D4" s="1368"/>
      <c r="E4" s="1368"/>
      <c r="F4" s="1368"/>
      <c r="G4" s="1369"/>
      <c r="H4" s="1"/>
      <c r="I4" s="2"/>
    </row>
    <row r="5" spans="1:21" ht="6.75" customHeight="1">
      <c r="A5" s="222"/>
      <c r="B5" s="6"/>
      <c r="C5" s="24"/>
      <c r="D5" s="25"/>
      <c r="E5" s="6"/>
      <c r="F5" s="6"/>
      <c r="G5" s="223"/>
      <c r="H5" s="9"/>
    </row>
    <row r="6" spans="1:21" ht="52.5" customHeight="1">
      <c r="A6" s="368">
        <v>6.11</v>
      </c>
      <c r="B6" s="1349" t="str">
        <f>VLOOKUP(A6,PPTO!D9:I136,2,FALSE)</f>
        <v>Suministro e instalacion tuberia en PVC Novafort 27"</v>
      </c>
      <c r="C6" s="1350"/>
      <c r="D6" s="1350"/>
      <c r="E6" s="1351"/>
      <c r="F6" s="192" t="s">
        <v>118</v>
      </c>
      <c r="G6" s="248" t="str">
        <f>VLOOKUP(A6,PPTO!D9:I136,3,FALSE)</f>
        <v>m</v>
      </c>
      <c r="H6" s="9"/>
    </row>
    <row r="7" spans="1:21" ht="3.75" customHeight="1">
      <c r="A7" s="226"/>
      <c r="B7" s="4"/>
      <c r="C7" s="6"/>
      <c r="D7" s="4"/>
      <c r="E7" s="4"/>
      <c r="F7" s="4"/>
      <c r="G7" s="227"/>
      <c r="H7" s="9"/>
    </row>
    <row r="8" spans="1:21" ht="22.5" customHeight="1">
      <c r="A8" s="1354" t="s">
        <v>69</v>
      </c>
      <c r="B8" s="1355"/>
      <c r="C8" s="1355"/>
      <c r="D8" s="1355"/>
      <c r="E8" s="1355"/>
      <c r="F8" s="1355"/>
      <c r="G8" s="1356"/>
      <c r="H8" s="9"/>
    </row>
    <row r="9" spans="1:21" ht="4.5" customHeight="1">
      <c r="A9" s="226"/>
      <c r="B9" s="4"/>
      <c r="C9" s="6"/>
      <c r="D9" s="4"/>
      <c r="E9" s="4"/>
      <c r="F9" s="4"/>
      <c r="G9" s="227"/>
      <c r="H9" s="9"/>
      <c r="I9" s="5"/>
      <c r="J9" s="5"/>
      <c r="K9" s="5"/>
      <c r="L9" s="26"/>
      <c r="M9" s="5"/>
      <c r="N9" s="5"/>
      <c r="O9" s="5"/>
      <c r="P9" s="5"/>
    </row>
    <row r="10" spans="1:21">
      <c r="A10" s="1373" t="s">
        <v>17</v>
      </c>
      <c r="B10" s="1374"/>
      <c r="C10" s="1374"/>
      <c r="D10" s="346" t="s">
        <v>18</v>
      </c>
      <c r="E10" s="346" t="s">
        <v>19</v>
      </c>
      <c r="F10" s="346" t="s">
        <v>20</v>
      </c>
      <c r="G10" s="228" t="s">
        <v>21</v>
      </c>
      <c r="H10" s="27"/>
      <c r="I10" s="28"/>
      <c r="J10" s="29"/>
      <c r="K10" s="30"/>
      <c r="L10" s="30"/>
      <c r="M10" s="30"/>
      <c r="N10" s="30"/>
      <c r="O10" s="30"/>
      <c r="P10" s="5"/>
    </row>
    <row r="11" spans="1:21">
      <c r="A11" s="1352" t="s">
        <v>47</v>
      </c>
      <c r="B11" s="1353"/>
      <c r="C11" s="1353"/>
      <c r="D11" s="346"/>
      <c r="E11" s="83"/>
      <c r="F11" s="97"/>
      <c r="G11" s="229">
        <f>+G39*10%</f>
        <v>2545</v>
      </c>
      <c r="H11" s="9"/>
      <c r="I11" s="30"/>
      <c r="J11" s="31"/>
      <c r="K11" s="30"/>
      <c r="L11" s="30"/>
      <c r="M11" s="30"/>
      <c r="N11" s="30"/>
      <c r="O11" s="30"/>
      <c r="P11" s="5"/>
    </row>
    <row r="12" spans="1:21">
      <c r="A12" s="1371"/>
      <c r="B12" s="1372"/>
      <c r="C12" s="1372"/>
      <c r="D12" s="83"/>
      <c r="E12" s="83"/>
      <c r="F12" s="93"/>
      <c r="G12" s="229"/>
      <c r="H12" s="9"/>
      <c r="I12" s="16"/>
      <c r="J12" s="13"/>
      <c r="K12" s="8"/>
      <c r="L12" s="8"/>
      <c r="M12" s="8"/>
      <c r="N12" s="8"/>
      <c r="O12" s="8"/>
      <c r="P12" s="5"/>
    </row>
    <row r="13" spans="1:21">
      <c r="A13" s="1371"/>
      <c r="B13" s="1372"/>
      <c r="C13" s="1372"/>
      <c r="D13" s="83"/>
      <c r="E13" s="83"/>
      <c r="F13" s="93"/>
      <c r="G13" s="229"/>
      <c r="H13" s="9"/>
      <c r="I13" s="13"/>
      <c r="J13" s="13"/>
      <c r="K13" s="13"/>
      <c r="L13" s="13"/>
      <c r="M13" s="13"/>
      <c r="N13" s="13"/>
      <c r="O13" s="13"/>
      <c r="P13" s="5"/>
    </row>
    <row r="14" spans="1:21">
      <c r="A14" s="1371"/>
      <c r="B14" s="1372"/>
      <c r="C14" s="1372"/>
      <c r="D14" s="83"/>
      <c r="E14" s="83"/>
      <c r="F14" s="93"/>
      <c r="G14" s="229"/>
      <c r="H14" s="9"/>
      <c r="I14" s="8"/>
      <c r="J14" s="14"/>
      <c r="K14" s="32"/>
      <c r="L14" s="14"/>
      <c r="M14" s="15"/>
      <c r="N14" s="15"/>
      <c r="O14" s="19"/>
      <c r="P14" s="5"/>
    </row>
    <row r="15" spans="1:21">
      <c r="A15" s="1371"/>
      <c r="B15" s="1372"/>
      <c r="C15" s="1372"/>
      <c r="D15" s="83"/>
      <c r="E15" s="83"/>
      <c r="F15" s="98"/>
      <c r="G15" s="229"/>
      <c r="H15" s="9"/>
      <c r="I15" s="8"/>
      <c r="J15" s="33"/>
      <c r="K15" s="32"/>
      <c r="L15" s="14"/>
      <c r="M15" s="15"/>
      <c r="N15" s="15"/>
      <c r="O15" s="19"/>
      <c r="P15" s="5"/>
      <c r="Q15" s="5"/>
      <c r="R15" s="5"/>
      <c r="S15" s="5"/>
      <c r="T15" s="5"/>
      <c r="U15" s="5"/>
    </row>
    <row r="16" spans="1:21">
      <c r="A16" s="1371"/>
      <c r="B16" s="1372"/>
      <c r="C16" s="1372"/>
      <c r="D16" s="85" t="s">
        <v>37</v>
      </c>
      <c r="E16" s="50"/>
      <c r="F16" s="49"/>
      <c r="G16" s="230">
        <f>SUM(G11:G15)</f>
        <v>2545</v>
      </c>
      <c r="H16" s="9"/>
      <c r="I16" s="34"/>
      <c r="J16" s="34"/>
      <c r="K16" s="35"/>
      <c r="L16" s="36"/>
      <c r="M16" s="7"/>
      <c r="N16" s="7"/>
      <c r="O16" s="19"/>
      <c r="P16" s="5"/>
      <c r="Q16" s="5"/>
      <c r="R16" s="5"/>
      <c r="S16" s="5"/>
      <c r="T16" s="5"/>
      <c r="U16" s="5"/>
    </row>
    <row r="17" spans="1:21" ht="4.5" customHeight="1">
      <c r="A17" s="226"/>
      <c r="B17" s="4"/>
      <c r="C17" s="6"/>
      <c r="D17" s="4"/>
      <c r="E17" s="4"/>
      <c r="F17" s="4"/>
      <c r="G17" s="227"/>
      <c r="H17" s="9"/>
      <c r="I17" s="34"/>
      <c r="J17" s="34"/>
      <c r="K17" s="35"/>
      <c r="L17" s="36"/>
      <c r="M17" s="7"/>
      <c r="N17" s="7"/>
      <c r="O17" s="19"/>
      <c r="P17" s="5"/>
      <c r="Q17" s="5"/>
      <c r="R17" s="5"/>
      <c r="S17" s="5"/>
      <c r="T17" s="5"/>
      <c r="U17" s="5"/>
    </row>
    <row r="18" spans="1:21" ht="22.5" customHeight="1">
      <c r="A18" s="1354" t="s">
        <v>70</v>
      </c>
      <c r="B18" s="1355"/>
      <c r="C18" s="1355"/>
      <c r="D18" s="1355"/>
      <c r="E18" s="1355"/>
      <c r="F18" s="1355"/>
      <c r="G18" s="1356"/>
      <c r="H18" s="9"/>
    </row>
    <row r="19" spans="1:21" ht="4.5" customHeight="1">
      <c r="A19" s="226"/>
      <c r="B19" s="4"/>
      <c r="C19" s="6"/>
      <c r="D19" s="4"/>
      <c r="E19" s="4"/>
      <c r="F19" s="38"/>
      <c r="G19" s="227"/>
      <c r="H19" s="9"/>
      <c r="I19" s="34"/>
      <c r="J19" s="34"/>
      <c r="K19" s="35"/>
      <c r="L19" s="39"/>
      <c r="M19" s="7"/>
      <c r="N19" s="7"/>
      <c r="O19" s="8"/>
      <c r="P19" s="5"/>
      <c r="Q19" s="5"/>
      <c r="R19" s="5"/>
      <c r="S19" s="5"/>
      <c r="T19" s="5"/>
      <c r="U19" s="5"/>
    </row>
    <row r="20" spans="1:21">
      <c r="A20" s="1373" t="s">
        <v>17</v>
      </c>
      <c r="B20" s="1374"/>
      <c r="C20" s="1374"/>
      <c r="D20" s="346" t="s">
        <v>3</v>
      </c>
      <c r="E20" s="346" t="s">
        <v>4</v>
      </c>
      <c r="F20" s="346" t="s">
        <v>25</v>
      </c>
      <c r="G20" s="228" t="s">
        <v>21</v>
      </c>
      <c r="H20" s="27"/>
      <c r="I20" s="34"/>
      <c r="J20" s="34"/>
      <c r="K20" s="35"/>
      <c r="L20" s="39"/>
      <c r="M20" s="7"/>
      <c r="N20" s="7"/>
      <c r="O20" s="8"/>
      <c r="P20" s="5"/>
      <c r="Q20" s="5"/>
      <c r="R20" s="5"/>
      <c r="S20" s="5"/>
      <c r="T20" s="5"/>
      <c r="U20" s="5"/>
    </row>
    <row r="21" spans="1:21" ht="31.5" customHeight="1">
      <c r="A21" s="1441" t="s">
        <v>228</v>
      </c>
      <c r="B21" s="1442"/>
      <c r="C21" s="1443"/>
      <c r="D21" s="118" t="s">
        <v>51</v>
      </c>
      <c r="E21" s="119">
        <v>1</v>
      </c>
      <c r="F21" s="87">
        <f>2719194/6+IPC</f>
        <v>453200</v>
      </c>
      <c r="G21" s="231">
        <f>ROUND(F21*E21,0)</f>
        <v>453200</v>
      </c>
      <c r="H21" s="9"/>
      <c r="I21" s="34"/>
      <c r="J21" s="34"/>
      <c r="K21" s="35"/>
      <c r="L21" s="36"/>
      <c r="M21" s="7"/>
      <c r="N21" s="7"/>
      <c r="O21" s="19"/>
      <c r="P21" s="5"/>
      <c r="Q21" s="5"/>
      <c r="R21" s="5"/>
      <c r="S21" s="5"/>
      <c r="T21" s="5"/>
      <c r="U21" s="5"/>
    </row>
    <row r="22" spans="1:21" ht="27.75" customHeight="1">
      <c r="A22" s="1444"/>
      <c r="B22" s="1403"/>
      <c r="C22" s="1404"/>
      <c r="D22" s="116"/>
      <c r="E22" s="117"/>
      <c r="F22" s="91"/>
      <c r="G22" s="231"/>
      <c r="H22" s="9"/>
      <c r="I22" s="10"/>
      <c r="J22" s="10"/>
      <c r="K22" s="12"/>
      <c r="L22" s="39"/>
      <c r="M22" s="7"/>
      <c r="N22" s="7"/>
      <c r="O22" s="15"/>
      <c r="P22" s="5"/>
      <c r="Q22" s="5"/>
      <c r="R22" s="5"/>
      <c r="S22" s="5"/>
      <c r="T22" s="5"/>
      <c r="U22" s="5"/>
    </row>
    <row r="23" spans="1:21">
      <c r="A23" s="1386"/>
      <c r="B23" s="1353"/>
      <c r="C23" s="1353"/>
      <c r="D23" s="79"/>
      <c r="E23" s="82"/>
      <c r="F23" s="83"/>
      <c r="G23" s="67"/>
      <c r="H23" s="9"/>
      <c r="I23" s="10"/>
      <c r="J23" s="10"/>
      <c r="K23" s="12"/>
      <c r="L23" s="39"/>
      <c r="M23" s="7"/>
      <c r="N23" s="7"/>
      <c r="O23" s="15"/>
      <c r="P23" s="5"/>
      <c r="Q23" s="5"/>
      <c r="R23" s="5"/>
      <c r="S23" s="5"/>
      <c r="T23" s="5"/>
      <c r="U23" s="5"/>
    </row>
    <row r="24" spans="1:21">
      <c r="A24" s="1352"/>
      <c r="B24" s="1353"/>
      <c r="C24" s="1353"/>
      <c r="D24" s="81"/>
      <c r="E24" s="88"/>
      <c r="F24" s="78"/>
      <c r="G24" s="231"/>
      <c r="H24" s="9"/>
      <c r="I24" s="10"/>
      <c r="J24" s="40"/>
      <c r="K24" s="12"/>
      <c r="L24" s="13"/>
      <c r="M24" s="14"/>
      <c r="N24" s="14"/>
      <c r="O24" s="15"/>
      <c r="P24" s="5"/>
      <c r="Q24" s="5"/>
      <c r="R24" s="5"/>
      <c r="S24" s="5"/>
      <c r="T24" s="5"/>
      <c r="U24" s="5"/>
    </row>
    <row r="25" spans="1:21">
      <c r="A25" s="1352"/>
      <c r="B25" s="1353"/>
      <c r="C25" s="1353"/>
      <c r="D25" s="81"/>
      <c r="E25" s="82"/>
      <c r="F25" s="78"/>
      <c r="G25" s="231"/>
      <c r="H25" s="9"/>
      <c r="I25" s="10"/>
      <c r="J25" s="11"/>
      <c r="K25" s="12"/>
      <c r="L25" s="13"/>
      <c r="M25" s="14"/>
      <c r="N25" s="14"/>
      <c r="O25" s="15"/>
      <c r="P25" s="5"/>
      <c r="Q25" s="5"/>
      <c r="R25" s="5"/>
      <c r="S25" s="5"/>
      <c r="T25" s="5"/>
      <c r="U25" s="5"/>
    </row>
    <row r="26" spans="1:21">
      <c r="A26" s="1352"/>
      <c r="B26" s="1353"/>
      <c r="C26" s="1353"/>
      <c r="D26" s="79"/>
      <c r="E26" s="82"/>
      <c r="F26" s="78"/>
      <c r="G26" s="231"/>
      <c r="H26" s="9"/>
      <c r="I26" s="10"/>
      <c r="J26" s="11"/>
      <c r="K26" s="12"/>
      <c r="L26" s="13"/>
      <c r="M26" s="14"/>
      <c r="N26" s="14"/>
      <c r="O26" s="15"/>
      <c r="P26" s="5"/>
      <c r="Q26" s="5"/>
      <c r="R26" s="5"/>
      <c r="S26" s="5"/>
      <c r="T26" s="5"/>
      <c r="U26" s="5"/>
    </row>
    <row r="27" spans="1:21">
      <c r="A27" s="1352"/>
      <c r="B27" s="1353"/>
      <c r="C27" s="1353"/>
      <c r="D27" s="79"/>
      <c r="E27" s="82"/>
      <c r="F27" s="78"/>
      <c r="G27" s="231"/>
      <c r="H27" s="9"/>
      <c r="I27" s="10"/>
      <c r="J27" s="11"/>
      <c r="K27" s="12"/>
      <c r="L27" s="13"/>
      <c r="M27" s="14"/>
      <c r="N27" s="14"/>
      <c r="O27" s="15"/>
      <c r="P27" s="5"/>
      <c r="Q27" s="5"/>
      <c r="R27" s="5"/>
      <c r="S27" s="5"/>
      <c r="T27" s="5"/>
      <c r="U27" s="5"/>
    </row>
    <row r="28" spans="1:21">
      <c r="A28" s="1352"/>
      <c r="B28" s="1353"/>
      <c r="C28" s="1353"/>
      <c r="D28" s="79"/>
      <c r="E28" s="82"/>
      <c r="F28" s="83"/>
      <c r="G28" s="231"/>
      <c r="H28" s="9"/>
      <c r="I28" s="41"/>
      <c r="J28" s="41"/>
      <c r="K28" s="12"/>
      <c r="L28" s="13"/>
      <c r="M28" s="14"/>
      <c r="N28" s="14"/>
      <c r="O28" s="15"/>
      <c r="P28" s="5"/>
      <c r="Q28" s="5"/>
      <c r="R28" s="5"/>
      <c r="S28" s="5"/>
      <c r="T28" s="5"/>
      <c r="U28" s="5"/>
    </row>
    <row r="29" spans="1:21">
      <c r="A29" s="1352"/>
      <c r="B29" s="1353"/>
      <c r="C29" s="1353"/>
      <c r="D29" s="84"/>
      <c r="E29" s="84"/>
      <c r="F29" s="83"/>
      <c r="G29" s="231"/>
      <c r="H29" s="9"/>
      <c r="I29" s="42"/>
      <c r="J29" s="42"/>
      <c r="K29" s="42"/>
      <c r="L29" s="13"/>
      <c r="M29" s="14"/>
      <c r="N29" s="14"/>
      <c r="O29" s="15"/>
      <c r="P29" s="5"/>
      <c r="Q29" s="5"/>
      <c r="R29" s="5"/>
      <c r="S29" s="5"/>
      <c r="T29" s="5"/>
      <c r="U29" s="5"/>
    </row>
    <row r="30" spans="1:21">
      <c r="A30" s="1352"/>
      <c r="B30" s="1353"/>
      <c r="C30" s="1353"/>
      <c r="D30" s="85" t="s">
        <v>28</v>
      </c>
      <c r="E30" s="50"/>
      <c r="F30" s="49"/>
      <c r="G30" s="230">
        <f>SUM(G21:G29)</f>
        <v>453200</v>
      </c>
      <c r="H30" s="9"/>
      <c r="I30" s="8"/>
      <c r="J30" s="13"/>
      <c r="K30" s="8"/>
      <c r="L30" s="13"/>
      <c r="M30" s="14"/>
      <c r="N30" s="14"/>
      <c r="O30" s="15"/>
      <c r="P30" s="5"/>
    </row>
    <row r="31" spans="1:21" ht="3.75" customHeight="1">
      <c r="A31" s="226"/>
      <c r="B31" s="4"/>
      <c r="C31" s="6"/>
      <c r="D31" s="4"/>
      <c r="E31" s="4"/>
      <c r="F31" s="4"/>
      <c r="G31" s="227"/>
      <c r="H31" s="9"/>
      <c r="I31" s="8"/>
      <c r="J31" s="13"/>
      <c r="K31" s="18"/>
      <c r="L31" s="13"/>
      <c r="M31" s="33"/>
      <c r="N31" s="33"/>
      <c r="O31" s="15"/>
      <c r="P31" s="5"/>
    </row>
    <row r="32" spans="1:21" ht="22.5" customHeight="1">
      <c r="A32" s="1354" t="s">
        <v>71</v>
      </c>
      <c r="B32" s="1355"/>
      <c r="C32" s="1355"/>
      <c r="D32" s="1355"/>
      <c r="E32" s="1355"/>
      <c r="F32" s="1355"/>
      <c r="G32" s="1356"/>
      <c r="H32" s="9"/>
    </row>
    <row r="33" spans="1:16" ht="3.75" customHeight="1">
      <c r="A33" s="226"/>
      <c r="B33" s="4"/>
      <c r="C33" s="6"/>
      <c r="D33" s="4"/>
      <c r="E33" s="4"/>
      <c r="F33" s="4"/>
      <c r="G33" s="227"/>
      <c r="H33" s="9"/>
      <c r="I33" s="8"/>
      <c r="J33" s="13"/>
      <c r="K33" s="8"/>
      <c r="L33" s="8"/>
      <c r="M33" s="8"/>
      <c r="N33" s="8"/>
      <c r="O33" s="15"/>
      <c r="P33" s="5"/>
    </row>
    <row r="34" spans="1:16">
      <c r="A34" s="232" t="s">
        <v>5</v>
      </c>
      <c r="B34" s="60" t="s">
        <v>29</v>
      </c>
      <c r="C34" s="60" t="s">
        <v>30</v>
      </c>
      <c r="D34" s="60" t="s">
        <v>31</v>
      </c>
      <c r="E34" s="60" t="s">
        <v>32</v>
      </c>
      <c r="F34" s="60" t="s">
        <v>20</v>
      </c>
      <c r="G34" s="228" t="s">
        <v>33</v>
      </c>
      <c r="H34" s="27"/>
      <c r="I34" s="8"/>
      <c r="J34" s="13"/>
      <c r="K34" s="8"/>
      <c r="L34" s="8"/>
      <c r="M34" s="8"/>
      <c r="N34" s="8"/>
      <c r="O34" s="15"/>
      <c r="P34" s="5"/>
    </row>
    <row r="35" spans="1:16">
      <c r="A35" s="233" t="s">
        <v>41</v>
      </c>
      <c r="B35" s="63">
        <f>BOF</f>
        <v>51749</v>
      </c>
      <c r="C35" s="68">
        <f>ffpp</f>
        <v>0.64539999999999997</v>
      </c>
      <c r="D35" s="72">
        <v>1</v>
      </c>
      <c r="E35" s="66">
        <f>OF</f>
        <v>88696</v>
      </c>
      <c r="F35" s="65">
        <v>12</v>
      </c>
      <c r="G35" s="231">
        <f>ROUND(+D35*E35/F35,0)</f>
        <v>7391</v>
      </c>
      <c r="H35" s="9"/>
      <c r="I35" s="16"/>
      <c r="J35" s="13"/>
      <c r="K35" s="8"/>
      <c r="L35" s="8"/>
      <c r="M35" s="8"/>
      <c r="N35" s="8"/>
      <c r="O35" s="15"/>
      <c r="P35" s="5"/>
    </row>
    <row r="36" spans="1:16">
      <c r="A36" s="233" t="s">
        <v>38</v>
      </c>
      <c r="B36" s="63">
        <f>BOB</f>
        <v>41749</v>
      </c>
      <c r="C36" s="68">
        <f>ffpp</f>
        <v>0.64539999999999997</v>
      </c>
      <c r="D36" s="72">
        <v>3</v>
      </c>
      <c r="E36" s="66">
        <f>OB</f>
        <v>72242</v>
      </c>
      <c r="F36" s="65">
        <f>F35</f>
        <v>12</v>
      </c>
      <c r="G36" s="231">
        <f>ROUND(+D36*E36/F36,0)</f>
        <v>18061</v>
      </c>
      <c r="H36" s="9"/>
      <c r="I36" s="8"/>
      <c r="J36" s="8"/>
      <c r="K36" s="13"/>
      <c r="L36" s="13"/>
      <c r="M36" s="13"/>
      <c r="N36" s="13"/>
      <c r="O36" s="13"/>
      <c r="P36" s="5"/>
    </row>
    <row r="37" spans="1:16">
      <c r="A37" s="234"/>
      <c r="B37" s="50"/>
      <c r="C37" s="961"/>
      <c r="D37" s="50"/>
      <c r="E37" s="66"/>
      <c r="F37" s="65"/>
      <c r="G37" s="231"/>
      <c r="H37" s="9"/>
      <c r="I37" s="8"/>
      <c r="J37" s="13"/>
      <c r="K37" s="13"/>
      <c r="L37" s="13"/>
      <c r="M37" s="33"/>
      <c r="N37" s="33"/>
      <c r="O37" s="43"/>
      <c r="P37" s="5"/>
    </row>
    <row r="38" spans="1:16">
      <c r="A38" s="233"/>
      <c r="B38" s="65"/>
      <c r="C38" s="68"/>
      <c r="D38" s="65"/>
      <c r="E38" s="69"/>
      <c r="F38" s="69"/>
      <c r="G38" s="236"/>
      <c r="H38" s="9"/>
      <c r="I38" s="8"/>
      <c r="J38" s="13"/>
      <c r="K38" s="13"/>
      <c r="L38" s="13"/>
      <c r="M38" s="33"/>
      <c r="N38" s="33"/>
      <c r="O38" s="43"/>
      <c r="P38" s="5"/>
    </row>
    <row r="39" spans="1:16">
      <c r="A39" s="249"/>
      <c r="B39" s="71"/>
      <c r="C39" s="71"/>
      <c r="D39" s="71" t="s">
        <v>34</v>
      </c>
      <c r="E39" s="71"/>
      <c r="F39" s="71"/>
      <c r="G39" s="250">
        <f>SUM(G35:G38)</f>
        <v>25452</v>
      </c>
      <c r="H39" s="9"/>
      <c r="I39" s="8"/>
      <c r="J39" s="13"/>
      <c r="K39" s="13"/>
      <c r="L39" s="13"/>
      <c r="M39" s="14"/>
      <c r="N39" s="14"/>
      <c r="O39" s="15"/>
      <c r="P39" s="5"/>
    </row>
    <row r="40" spans="1:16">
      <c r="A40" s="226"/>
      <c r="B40" s="4"/>
      <c r="C40" s="6"/>
      <c r="D40" s="4"/>
      <c r="E40" s="4"/>
      <c r="F40" s="4"/>
      <c r="G40" s="227"/>
      <c r="H40" s="9"/>
      <c r="I40" s="8"/>
      <c r="J40" s="13"/>
      <c r="K40" s="13"/>
      <c r="L40" s="13"/>
      <c r="M40" s="14"/>
      <c r="N40" s="14"/>
      <c r="O40" s="19"/>
      <c r="P40" s="5"/>
    </row>
    <row r="41" spans="1:16">
      <c r="A41" s="226"/>
      <c r="B41" s="4"/>
      <c r="C41" s="6"/>
      <c r="D41" s="4"/>
      <c r="E41" s="4"/>
      <c r="F41" s="4"/>
      <c r="G41" s="227"/>
      <c r="H41" s="9"/>
      <c r="I41" s="8"/>
      <c r="J41" s="13"/>
      <c r="K41" s="13"/>
      <c r="L41" s="13"/>
      <c r="M41" s="17"/>
      <c r="N41" s="17"/>
      <c r="O41" s="37"/>
      <c r="P41" s="5"/>
    </row>
    <row r="42" spans="1:16" ht="14.25">
      <c r="A42" s="226"/>
      <c r="B42" s="4"/>
      <c r="C42" s="6"/>
      <c r="D42" s="1357" t="s">
        <v>35</v>
      </c>
      <c r="E42" s="1358"/>
      <c r="F42" s="1359"/>
      <c r="G42" s="239">
        <f>+G39+G30+G16</f>
        <v>481197</v>
      </c>
      <c r="H42" s="9"/>
      <c r="I42" s="48"/>
      <c r="J42" s="20"/>
      <c r="K42" s="8"/>
      <c r="L42" s="8"/>
      <c r="M42" s="8"/>
      <c r="N42" s="8"/>
      <c r="O42" s="8"/>
      <c r="P42" s="5"/>
    </row>
    <row r="43" spans="1:16" ht="14.25">
      <c r="A43" s="240"/>
      <c r="B43" s="57"/>
      <c r="C43" s="58"/>
      <c r="D43" s="99"/>
      <c r="E43" s="99"/>
      <c r="F43" s="99"/>
      <c r="G43" s="251"/>
      <c r="H43" s="9"/>
      <c r="I43" s="48"/>
      <c r="J43" s="20"/>
      <c r="K43" s="8"/>
      <c r="L43" s="8"/>
      <c r="M43" s="8"/>
      <c r="N43" s="8"/>
      <c r="O43" s="8"/>
      <c r="P43" s="5"/>
    </row>
    <row r="44" spans="1:16" ht="14.25">
      <c r="A44" s="374"/>
      <c r="B44" s="375"/>
      <c r="C44" s="375"/>
      <c r="D44" s="99"/>
      <c r="E44" s="99"/>
      <c r="F44" s="99"/>
      <c r="G44" s="251"/>
      <c r="H44" s="9"/>
      <c r="I44" s="48"/>
      <c r="J44" s="20"/>
      <c r="K44" s="8"/>
      <c r="L44" s="8"/>
      <c r="M44" s="8"/>
      <c r="N44" s="8"/>
      <c r="O44" s="8"/>
      <c r="P44" s="5"/>
    </row>
    <row r="45" spans="1:16" ht="14.25">
      <c r="A45" s="373"/>
      <c r="B45" s="376"/>
      <c r="C45" s="376"/>
      <c r="D45" s="99"/>
      <c r="E45" s="99"/>
      <c r="F45" s="99"/>
      <c r="G45" s="251"/>
      <c r="H45" s="9"/>
      <c r="I45" s="48"/>
      <c r="J45" s="20"/>
      <c r="K45" s="8"/>
      <c r="L45" s="8"/>
      <c r="M45" s="8"/>
      <c r="N45" s="8"/>
      <c r="O45" s="8"/>
      <c r="P45" s="5"/>
    </row>
    <row r="46" spans="1:16" ht="14.25">
      <c r="A46" s="373"/>
      <c r="B46" s="376"/>
      <c r="C46" s="376"/>
      <c r="D46" s="44"/>
      <c r="E46" s="45"/>
      <c r="F46" s="45"/>
      <c r="G46" s="251"/>
      <c r="H46" s="9"/>
      <c r="I46" s="8"/>
      <c r="J46" s="13"/>
      <c r="K46" s="8"/>
      <c r="L46" s="8"/>
      <c r="M46" s="8"/>
      <c r="N46" s="8"/>
      <c r="O46" s="8"/>
      <c r="P46" s="5"/>
    </row>
    <row r="47" spans="1:16" ht="15" thickBot="1">
      <c r="A47" s="242"/>
      <c r="B47" s="243"/>
      <c r="C47" s="244"/>
      <c r="D47" s="245"/>
      <c r="E47" s="246"/>
      <c r="F47" s="246"/>
      <c r="G47" s="247"/>
      <c r="H47" s="9"/>
      <c r="I47" s="8"/>
      <c r="J47" s="13"/>
      <c r="K47" s="8"/>
      <c r="L47" s="8"/>
      <c r="M47" s="8"/>
      <c r="N47" s="8"/>
      <c r="O47" s="8"/>
      <c r="P47" s="5"/>
    </row>
    <row r="48" spans="1:16">
      <c r="I48" s="5"/>
      <c r="J48" s="5"/>
      <c r="K48" s="5"/>
      <c r="L48" s="5"/>
      <c r="M48" s="5"/>
      <c r="N48" s="5"/>
      <c r="O48" s="5"/>
      <c r="P48" s="5"/>
    </row>
    <row r="49" spans="9:16">
      <c r="I49" s="5"/>
      <c r="J49" s="5"/>
      <c r="K49" s="5"/>
      <c r="L49" s="5"/>
      <c r="M49" s="5"/>
      <c r="N49" s="5"/>
      <c r="O49" s="5"/>
      <c r="P49" s="5"/>
    </row>
  </sheetData>
  <mergeCells count="26">
    <mergeCell ref="A32:G32"/>
    <mergeCell ref="D42:F42"/>
    <mergeCell ref="A25:C25"/>
    <mergeCell ref="A26:C26"/>
    <mergeCell ref="A27:C27"/>
    <mergeCell ref="A28:C28"/>
    <mergeCell ref="A29:C29"/>
    <mergeCell ref="A30:C30"/>
    <mergeCell ref="A24:C24"/>
    <mergeCell ref="A11:C11"/>
    <mergeCell ref="A12:C12"/>
    <mergeCell ref="A13:C13"/>
    <mergeCell ref="A14:C14"/>
    <mergeCell ref="A15:C15"/>
    <mergeCell ref="A16:C16"/>
    <mergeCell ref="A18:G18"/>
    <mergeCell ref="A20:C20"/>
    <mergeCell ref="A21:C21"/>
    <mergeCell ref="A22:C22"/>
    <mergeCell ref="A23:C23"/>
    <mergeCell ref="A10:C10"/>
    <mergeCell ref="A1:G1"/>
    <mergeCell ref="A2:G2"/>
    <mergeCell ref="A3:G4"/>
    <mergeCell ref="B6:E6"/>
    <mergeCell ref="A8:G8"/>
  </mergeCells>
  <printOptions horizontalCentered="1" verticalCentered="1"/>
  <pageMargins left="0.74803149606299213" right="0.74803149606299213" top="0" bottom="0.98425196850393704" header="0" footer="0"/>
  <pageSetup scale="90" orientation="portrait" r:id="rId1"/>
  <headerFooter alignWithMargins="0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6"/>
  <dimension ref="A1:U49"/>
  <sheetViews>
    <sheetView view="pageBreakPreview" topLeftCell="A11" zoomScaleNormal="100" zoomScaleSheetLayoutView="100" workbookViewId="0">
      <selection activeCell="F22" sqref="F22"/>
    </sheetView>
  </sheetViews>
  <sheetFormatPr baseColWidth="10" defaultColWidth="10.7109375" defaultRowHeight="12.75"/>
  <cols>
    <col min="1" max="1" width="15.85546875" style="3" customWidth="1"/>
    <col min="2" max="2" width="14.85546875" style="3" customWidth="1"/>
    <col min="3" max="3" width="13.28515625" style="3" customWidth="1"/>
    <col min="4" max="4" width="11.42578125" style="3"/>
    <col min="5" max="5" width="13.42578125" style="3" customWidth="1"/>
    <col min="6" max="6" width="12.7109375" style="3" customWidth="1"/>
    <col min="7" max="7" width="14" style="3" customWidth="1"/>
    <col min="8" max="8" width="7.42578125" style="3" customWidth="1"/>
    <col min="9" max="256" width="11.42578125" style="3"/>
    <col min="257" max="257" width="15.85546875" style="3" customWidth="1"/>
    <col min="258" max="258" width="14.85546875" style="3" customWidth="1"/>
    <col min="259" max="259" width="13.28515625" style="3" customWidth="1"/>
    <col min="260" max="260" width="11.42578125" style="3"/>
    <col min="261" max="261" width="13.42578125" style="3" customWidth="1"/>
    <col min="262" max="262" width="12.7109375" style="3" customWidth="1"/>
    <col min="263" max="263" width="14" style="3" customWidth="1"/>
    <col min="264" max="264" width="7.42578125" style="3" customWidth="1"/>
    <col min="265" max="512" width="11.42578125" style="3"/>
    <col min="513" max="513" width="15.85546875" style="3" customWidth="1"/>
    <col min="514" max="514" width="14.85546875" style="3" customWidth="1"/>
    <col min="515" max="515" width="13.28515625" style="3" customWidth="1"/>
    <col min="516" max="516" width="11.42578125" style="3"/>
    <col min="517" max="517" width="13.42578125" style="3" customWidth="1"/>
    <col min="518" max="518" width="12.7109375" style="3" customWidth="1"/>
    <col min="519" max="519" width="14" style="3" customWidth="1"/>
    <col min="520" max="520" width="7.42578125" style="3" customWidth="1"/>
    <col min="521" max="768" width="11.42578125" style="3"/>
    <col min="769" max="769" width="15.85546875" style="3" customWidth="1"/>
    <col min="770" max="770" width="14.85546875" style="3" customWidth="1"/>
    <col min="771" max="771" width="13.28515625" style="3" customWidth="1"/>
    <col min="772" max="772" width="11.42578125" style="3"/>
    <col min="773" max="773" width="13.42578125" style="3" customWidth="1"/>
    <col min="774" max="774" width="12.7109375" style="3" customWidth="1"/>
    <col min="775" max="775" width="14" style="3" customWidth="1"/>
    <col min="776" max="776" width="7.42578125" style="3" customWidth="1"/>
    <col min="777" max="1024" width="11.42578125" style="3"/>
    <col min="1025" max="1025" width="15.85546875" style="3" customWidth="1"/>
    <col min="1026" max="1026" width="14.85546875" style="3" customWidth="1"/>
    <col min="1027" max="1027" width="13.28515625" style="3" customWidth="1"/>
    <col min="1028" max="1028" width="11.42578125" style="3"/>
    <col min="1029" max="1029" width="13.42578125" style="3" customWidth="1"/>
    <col min="1030" max="1030" width="12.7109375" style="3" customWidth="1"/>
    <col min="1031" max="1031" width="14" style="3" customWidth="1"/>
    <col min="1032" max="1032" width="7.42578125" style="3" customWidth="1"/>
    <col min="1033" max="1280" width="11.42578125" style="3"/>
    <col min="1281" max="1281" width="15.85546875" style="3" customWidth="1"/>
    <col min="1282" max="1282" width="14.85546875" style="3" customWidth="1"/>
    <col min="1283" max="1283" width="13.28515625" style="3" customWidth="1"/>
    <col min="1284" max="1284" width="11.42578125" style="3"/>
    <col min="1285" max="1285" width="13.42578125" style="3" customWidth="1"/>
    <col min="1286" max="1286" width="12.7109375" style="3" customWidth="1"/>
    <col min="1287" max="1287" width="14" style="3" customWidth="1"/>
    <col min="1288" max="1288" width="7.42578125" style="3" customWidth="1"/>
    <col min="1289" max="1536" width="11.42578125" style="3"/>
    <col min="1537" max="1537" width="15.85546875" style="3" customWidth="1"/>
    <col min="1538" max="1538" width="14.85546875" style="3" customWidth="1"/>
    <col min="1539" max="1539" width="13.28515625" style="3" customWidth="1"/>
    <col min="1540" max="1540" width="11.42578125" style="3"/>
    <col min="1541" max="1541" width="13.42578125" style="3" customWidth="1"/>
    <col min="1542" max="1542" width="12.7109375" style="3" customWidth="1"/>
    <col min="1543" max="1543" width="14" style="3" customWidth="1"/>
    <col min="1544" max="1544" width="7.42578125" style="3" customWidth="1"/>
    <col min="1545" max="1792" width="11.42578125" style="3"/>
    <col min="1793" max="1793" width="15.85546875" style="3" customWidth="1"/>
    <col min="1794" max="1794" width="14.85546875" style="3" customWidth="1"/>
    <col min="1795" max="1795" width="13.28515625" style="3" customWidth="1"/>
    <col min="1796" max="1796" width="11.42578125" style="3"/>
    <col min="1797" max="1797" width="13.42578125" style="3" customWidth="1"/>
    <col min="1798" max="1798" width="12.7109375" style="3" customWidth="1"/>
    <col min="1799" max="1799" width="14" style="3" customWidth="1"/>
    <col min="1800" max="1800" width="7.42578125" style="3" customWidth="1"/>
    <col min="1801" max="2048" width="11.42578125" style="3"/>
    <col min="2049" max="2049" width="15.85546875" style="3" customWidth="1"/>
    <col min="2050" max="2050" width="14.85546875" style="3" customWidth="1"/>
    <col min="2051" max="2051" width="13.28515625" style="3" customWidth="1"/>
    <col min="2052" max="2052" width="11.42578125" style="3"/>
    <col min="2053" max="2053" width="13.42578125" style="3" customWidth="1"/>
    <col min="2054" max="2054" width="12.7109375" style="3" customWidth="1"/>
    <col min="2055" max="2055" width="14" style="3" customWidth="1"/>
    <col min="2056" max="2056" width="7.42578125" style="3" customWidth="1"/>
    <col min="2057" max="2304" width="11.42578125" style="3"/>
    <col min="2305" max="2305" width="15.85546875" style="3" customWidth="1"/>
    <col min="2306" max="2306" width="14.85546875" style="3" customWidth="1"/>
    <col min="2307" max="2307" width="13.28515625" style="3" customWidth="1"/>
    <col min="2308" max="2308" width="11.42578125" style="3"/>
    <col min="2309" max="2309" width="13.42578125" style="3" customWidth="1"/>
    <col min="2310" max="2310" width="12.7109375" style="3" customWidth="1"/>
    <col min="2311" max="2311" width="14" style="3" customWidth="1"/>
    <col min="2312" max="2312" width="7.42578125" style="3" customWidth="1"/>
    <col min="2313" max="2560" width="11.42578125" style="3"/>
    <col min="2561" max="2561" width="15.85546875" style="3" customWidth="1"/>
    <col min="2562" max="2562" width="14.85546875" style="3" customWidth="1"/>
    <col min="2563" max="2563" width="13.28515625" style="3" customWidth="1"/>
    <col min="2564" max="2564" width="11.42578125" style="3"/>
    <col min="2565" max="2565" width="13.42578125" style="3" customWidth="1"/>
    <col min="2566" max="2566" width="12.7109375" style="3" customWidth="1"/>
    <col min="2567" max="2567" width="14" style="3" customWidth="1"/>
    <col min="2568" max="2568" width="7.42578125" style="3" customWidth="1"/>
    <col min="2569" max="2816" width="11.42578125" style="3"/>
    <col min="2817" max="2817" width="15.85546875" style="3" customWidth="1"/>
    <col min="2818" max="2818" width="14.85546875" style="3" customWidth="1"/>
    <col min="2819" max="2819" width="13.28515625" style="3" customWidth="1"/>
    <col min="2820" max="2820" width="11.42578125" style="3"/>
    <col min="2821" max="2821" width="13.42578125" style="3" customWidth="1"/>
    <col min="2822" max="2822" width="12.7109375" style="3" customWidth="1"/>
    <col min="2823" max="2823" width="14" style="3" customWidth="1"/>
    <col min="2824" max="2824" width="7.42578125" style="3" customWidth="1"/>
    <col min="2825" max="3072" width="11.42578125" style="3"/>
    <col min="3073" max="3073" width="15.85546875" style="3" customWidth="1"/>
    <col min="3074" max="3074" width="14.85546875" style="3" customWidth="1"/>
    <col min="3075" max="3075" width="13.28515625" style="3" customWidth="1"/>
    <col min="3076" max="3076" width="11.42578125" style="3"/>
    <col min="3077" max="3077" width="13.42578125" style="3" customWidth="1"/>
    <col min="3078" max="3078" width="12.7109375" style="3" customWidth="1"/>
    <col min="3079" max="3079" width="14" style="3" customWidth="1"/>
    <col min="3080" max="3080" width="7.42578125" style="3" customWidth="1"/>
    <col min="3081" max="3328" width="11.42578125" style="3"/>
    <col min="3329" max="3329" width="15.85546875" style="3" customWidth="1"/>
    <col min="3330" max="3330" width="14.85546875" style="3" customWidth="1"/>
    <col min="3331" max="3331" width="13.28515625" style="3" customWidth="1"/>
    <col min="3332" max="3332" width="11.42578125" style="3"/>
    <col min="3333" max="3333" width="13.42578125" style="3" customWidth="1"/>
    <col min="3334" max="3334" width="12.7109375" style="3" customWidth="1"/>
    <col min="3335" max="3335" width="14" style="3" customWidth="1"/>
    <col min="3336" max="3336" width="7.42578125" style="3" customWidth="1"/>
    <col min="3337" max="3584" width="11.42578125" style="3"/>
    <col min="3585" max="3585" width="15.85546875" style="3" customWidth="1"/>
    <col min="3586" max="3586" width="14.85546875" style="3" customWidth="1"/>
    <col min="3587" max="3587" width="13.28515625" style="3" customWidth="1"/>
    <col min="3588" max="3588" width="11.42578125" style="3"/>
    <col min="3589" max="3589" width="13.42578125" style="3" customWidth="1"/>
    <col min="3590" max="3590" width="12.7109375" style="3" customWidth="1"/>
    <col min="3591" max="3591" width="14" style="3" customWidth="1"/>
    <col min="3592" max="3592" width="7.42578125" style="3" customWidth="1"/>
    <col min="3593" max="3840" width="11.42578125" style="3"/>
    <col min="3841" max="3841" width="15.85546875" style="3" customWidth="1"/>
    <col min="3842" max="3842" width="14.85546875" style="3" customWidth="1"/>
    <col min="3843" max="3843" width="13.28515625" style="3" customWidth="1"/>
    <col min="3844" max="3844" width="11.42578125" style="3"/>
    <col min="3845" max="3845" width="13.42578125" style="3" customWidth="1"/>
    <col min="3846" max="3846" width="12.7109375" style="3" customWidth="1"/>
    <col min="3847" max="3847" width="14" style="3" customWidth="1"/>
    <col min="3848" max="3848" width="7.42578125" style="3" customWidth="1"/>
    <col min="3849" max="4096" width="11.42578125" style="3"/>
    <col min="4097" max="4097" width="15.85546875" style="3" customWidth="1"/>
    <col min="4098" max="4098" width="14.85546875" style="3" customWidth="1"/>
    <col min="4099" max="4099" width="13.28515625" style="3" customWidth="1"/>
    <col min="4100" max="4100" width="11.42578125" style="3"/>
    <col min="4101" max="4101" width="13.42578125" style="3" customWidth="1"/>
    <col min="4102" max="4102" width="12.7109375" style="3" customWidth="1"/>
    <col min="4103" max="4103" width="14" style="3" customWidth="1"/>
    <col min="4104" max="4104" width="7.42578125" style="3" customWidth="1"/>
    <col min="4105" max="4352" width="11.42578125" style="3"/>
    <col min="4353" max="4353" width="15.85546875" style="3" customWidth="1"/>
    <col min="4354" max="4354" width="14.85546875" style="3" customWidth="1"/>
    <col min="4355" max="4355" width="13.28515625" style="3" customWidth="1"/>
    <col min="4356" max="4356" width="11.42578125" style="3"/>
    <col min="4357" max="4357" width="13.42578125" style="3" customWidth="1"/>
    <col min="4358" max="4358" width="12.7109375" style="3" customWidth="1"/>
    <col min="4359" max="4359" width="14" style="3" customWidth="1"/>
    <col min="4360" max="4360" width="7.42578125" style="3" customWidth="1"/>
    <col min="4361" max="4608" width="11.42578125" style="3"/>
    <col min="4609" max="4609" width="15.85546875" style="3" customWidth="1"/>
    <col min="4610" max="4610" width="14.85546875" style="3" customWidth="1"/>
    <col min="4611" max="4611" width="13.28515625" style="3" customWidth="1"/>
    <col min="4612" max="4612" width="11.42578125" style="3"/>
    <col min="4613" max="4613" width="13.42578125" style="3" customWidth="1"/>
    <col min="4614" max="4614" width="12.7109375" style="3" customWidth="1"/>
    <col min="4615" max="4615" width="14" style="3" customWidth="1"/>
    <col min="4616" max="4616" width="7.42578125" style="3" customWidth="1"/>
    <col min="4617" max="4864" width="11.42578125" style="3"/>
    <col min="4865" max="4865" width="15.85546875" style="3" customWidth="1"/>
    <col min="4866" max="4866" width="14.85546875" style="3" customWidth="1"/>
    <col min="4867" max="4867" width="13.28515625" style="3" customWidth="1"/>
    <col min="4868" max="4868" width="11.42578125" style="3"/>
    <col min="4869" max="4869" width="13.42578125" style="3" customWidth="1"/>
    <col min="4870" max="4870" width="12.7109375" style="3" customWidth="1"/>
    <col min="4871" max="4871" width="14" style="3" customWidth="1"/>
    <col min="4872" max="4872" width="7.42578125" style="3" customWidth="1"/>
    <col min="4873" max="5120" width="11.42578125" style="3"/>
    <col min="5121" max="5121" width="15.85546875" style="3" customWidth="1"/>
    <col min="5122" max="5122" width="14.85546875" style="3" customWidth="1"/>
    <col min="5123" max="5123" width="13.28515625" style="3" customWidth="1"/>
    <col min="5124" max="5124" width="11.42578125" style="3"/>
    <col min="5125" max="5125" width="13.42578125" style="3" customWidth="1"/>
    <col min="5126" max="5126" width="12.7109375" style="3" customWidth="1"/>
    <col min="5127" max="5127" width="14" style="3" customWidth="1"/>
    <col min="5128" max="5128" width="7.42578125" style="3" customWidth="1"/>
    <col min="5129" max="5376" width="11.42578125" style="3"/>
    <col min="5377" max="5377" width="15.85546875" style="3" customWidth="1"/>
    <col min="5378" max="5378" width="14.85546875" style="3" customWidth="1"/>
    <col min="5379" max="5379" width="13.28515625" style="3" customWidth="1"/>
    <col min="5380" max="5380" width="11.42578125" style="3"/>
    <col min="5381" max="5381" width="13.42578125" style="3" customWidth="1"/>
    <col min="5382" max="5382" width="12.7109375" style="3" customWidth="1"/>
    <col min="5383" max="5383" width="14" style="3" customWidth="1"/>
    <col min="5384" max="5384" width="7.42578125" style="3" customWidth="1"/>
    <col min="5385" max="5632" width="11.42578125" style="3"/>
    <col min="5633" max="5633" width="15.85546875" style="3" customWidth="1"/>
    <col min="5634" max="5634" width="14.85546875" style="3" customWidth="1"/>
    <col min="5635" max="5635" width="13.28515625" style="3" customWidth="1"/>
    <col min="5636" max="5636" width="11.42578125" style="3"/>
    <col min="5637" max="5637" width="13.42578125" style="3" customWidth="1"/>
    <col min="5638" max="5638" width="12.7109375" style="3" customWidth="1"/>
    <col min="5639" max="5639" width="14" style="3" customWidth="1"/>
    <col min="5640" max="5640" width="7.42578125" style="3" customWidth="1"/>
    <col min="5641" max="5888" width="11.42578125" style="3"/>
    <col min="5889" max="5889" width="15.85546875" style="3" customWidth="1"/>
    <col min="5890" max="5890" width="14.85546875" style="3" customWidth="1"/>
    <col min="5891" max="5891" width="13.28515625" style="3" customWidth="1"/>
    <col min="5892" max="5892" width="11.42578125" style="3"/>
    <col min="5893" max="5893" width="13.42578125" style="3" customWidth="1"/>
    <col min="5894" max="5894" width="12.7109375" style="3" customWidth="1"/>
    <col min="5895" max="5895" width="14" style="3" customWidth="1"/>
    <col min="5896" max="5896" width="7.42578125" style="3" customWidth="1"/>
    <col min="5897" max="6144" width="11.42578125" style="3"/>
    <col min="6145" max="6145" width="15.85546875" style="3" customWidth="1"/>
    <col min="6146" max="6146" width="14.85546875" style="3" customWidth="1"/>
    <col min="6147" max="6147" width="13.28515625" style="3" customWidth="1"/>
    <col min="6148" max="6148" width="11.42578125" style="3"/>
    <col min="6149" max="6149" width="13.42578125" style="3" customWidth="1"/>
    <col min="6150" max="6150" width="12.7109375" style="3" customWidth="1"/>
    <col min="6151" max="6151" width="14" style="3" customWidth="1"/>
    <col min="6152" max="6152" width="7.42578125" style="3" customWidth="1"/>
    <col min="6153" max="6400" width="11.42578125" style="3"/>
    <col min="6401" max="6401" width="15.85546875" style="3" customWidth="1"/>
    <col min="6402" max="6402" width="14.85546875" style="3" customWidth="1"/>
    <col min="6403" max="6403" width="13.28515625" style="3" customWidth="1"/>
    <col min="6404" max="6404" width="11.42578125" style="3"/>
    <col min="6405" max="6405" width="13.42578125" style="3" customWidth="1"/>
    <col min="6406" max="6406" width="12.7109375" style="3" customWidth="1"/>
    <col min="6407" max="6407" width="14" style="3" customWidth="1"/>
    <col min="6408" max="6408" width="7.42578125" style="3" customWidth="1"/>
    <col min="6409" max="6656" width="11.42578125" style="3"/>
    <col min="6657" max="6657" width="15.85546875" style="3" customWidth="1"/>
    <col min="6658" max="6658" width="14.85546875" style="3" customWidth="1"/>
    <col min="6659" max="6659" width="13.28515625" style="3" customWidth="1"/>
    <col min="6660" max="6660" width="11.42578125" style="3"/>
    <col min="6661" max="6661" width="13.42578125" style="3" customWidth="1"/>
    <col min="6662" max="6662" width="12.7109375" style="3" customWidth="1"/>
    <col min="6663" max="6663" width="14" style="3" customWidth="1"/>
    <col min="6664" max="6664" width="7.42578125" style="3" customWidth="1"/>
    <col min="6665" max="6912" width="11.42578125" style="3"/>
    <col min="6913" max="6913" width="15.85546875" style="3" customWidth="1"/>
    <col min="6914" max="6914" width="14.85546875" style="3" customWidth="1"/>
    <col min="6915" max="6915" width="13.28515625" style="3" customWidth="1"/>
    <col min="6916" max="6916" width="11.42578125" style="3"/>
    <col min="6917" max="6917" width="13.42578125" style="3" customWidth="1"/>
    <col min="6918" max="6918" width="12.7109375" style="3" customWidth="1"/>
    <col min="6919" max="6919" width="14" style="3" customWidth="1"/>
    <col min="6920" max="6920" width="7.42578125" style="3" customWidth="1"/>
    <col min="6921" max="7168" width="11.42578125" style="3"/>
    <col min="7169" max="7169" width="15.85546875" style="3" customWidth="1"/>
    <col min="7170" max="7170" width="14.85546875" style="3" customWidth="1"/>
    <col min="7171" max="7171" width="13.28515625" style="3" customWidth="1"/>
    <col min="7172" max="7172" width="11.42578125" style="3"/>
    <col min="7173" max="7173" width="13.42578125" style="3" customWidth="1"/>
    <col min="7174" max="7174" width="12.7109375" style="3" customWidth="1"/>
    <col min="7175" max="7175" width="14" style="3" customWidth="1"/>
    <col min="7176" max="7176" width="7.42578125" style="3" customWidth="1"/>
    <col min="7177" max="7424" width="11.42578125" style="3"/>
    <col min="7425" max="7425" width="15.85546875" style="3" customWidth="1"/>
    <col min="7426" max="7426" width="14.85546875" style="3" customWidth="1"/>
    <col min="7427" max="7427" width="13.28515625" style="3" customWidth="1"/>
    <col min="7428" max="7428" width="11.42578125" style="3"/>
    <col min="7429" max="7429" width="13.42578125" style="3" customWidth="1"/>
    <col min="7430" max="7430" width="12.7109375" style="3" customWidth="1"/>
    <col min="7431" max="7431" width="14" style="3" customWidth="1"/>
    <col min="7432" max="7432" width="7.42578125" style="3" customWidth="1"/>
    <col min="7433" max="7680" width="11.42578125" style="3"/>
    <col min="7681" max="7681" width="15.85546875" style="3" customWidth="1"/>
    <col min="7682" max="7682" width="14.85546875" style="3" customWidth="1"/>
    <col min="7683" max="7683" width="13.28515625" style="3" customWidth="1"/>
    <col min="7684" max="7684" width="11.42578125" style="3"/>
    <col min="7685" max="7685" width="13.42578125" style="3" customWidth="1"/>
    <col min="7686" max="7686" width="12.7109375" style="3" customWidth="1"/>
    <col min="7687" max="7687" width="14" style="3" customWidth="1"/>
    <col min="7688" max="7688" width="7.42578125" style="3" customWidth="1"/>
    <col min="7689" max="7936" width="11.42578125" style="3"/>
    <col min="7937" max="7937" width="15.85546875" style="3" customWidth="1"/>
    <col min="7938" max="7938" width="14.85546875" style="3" customWidth="1"/>
    <col min="7939" max="7939" width="13.28515625" style="3" customWidth="1"/>
    <col min="7940" max="7940" width="11.42578125" style="3"/>
    <col min="7941" max="7941" width="13.42578125" style="3" customWidth="1"/>
    <col min="7942" max="7942" width="12.7109375" style="3" customWidth="1"/>
    <col min="7943" max="7943" width="14" style="3" customWidth="1"/>
    <col min="7944" max="7944" width="7.42578125" style="3" customWidth="1"/>
    <col min="7945" max="8192" width="11.42578125" style="3"/>
    <col min="8193" max="8193" width="15.85546875" style="3" customWidth="1"/>
    <col min="8194" max="8194" width="14.85546875" style="3" customWidth="1"/>
    <col min="8195" max="8195" width="13.28515625" style="3" customWidth="1"/>
    <col min="8196" max="8196" width="11.42578125" style="3"/>
    <col min="8197" max="8197" width="13.42578125" style="3" customWidth="1"/>
    <col min="8198" max="8198" width="12.7109375" style="3" customWidth="1"/>
    <col min="8199" max="8199" width="14" style="3" customWidth="1"/>
    <col min="8200" max="8200" width="7.42578125" style="3" customWidth="1"/>
    <col min="8201" max="8448" width="11.42578125" style="3"/>
    <col min="8449" max="8449" width="15.85546875" style="3" customWidth="1"/>
    <col min="8450" max="8450" width="14.85546875" style="3" customWidth="1"/>
    <col min="8451" max="8451" width="13.28515625" style="3" customWidth="1"/>
    <col min="8452" max="8452" width="11.42578125" style="3"/>
    <col min="8453" max="8453" width="13.42578125" style="3" customWidth="1"/>
    <col min="8454" max="8454" width="12.7109375" style="3" customWidth="1"/>
    <col min="8455" max="8455" width="14" style="3" customWidth="1"/>
    <col min="8456" max="8456" width="7.42578125" style="3" customWidth="1"/>
    <col min="8457" max="8704" width="11.42578125" style="3"/>
    <col min="8705" max="8705" width="15.85546875" style="3" customWidth="1"/>
    <col min="8706" max="8706" width="14.85546875" style="3" customWidth="1"/>
    <col min="8707" max="8707" width="13.28515625" style="3" customWidth="1"/>
    <col min="8708" max="8708" width="11.42578125" style="3"/>
    <col min="8709" max="8709" width="13.42578125" style="3" customWidth="1"/>
    <col min="8710" max="8710" width="12.7109375" style="3" customWidth="1"/>
    <col min="8711" max="8711" width="14" style="3" customWidth="1"/>
    <col min="8712" max="8712" width="7.42578125" style="3" customWidth="1"/>
    <col min="8713" max="8960" width="11.42578125" style="3"/>
    <col min="8961" max="8961" width="15.85546875" style="3" customWidth="1"/>
    <col min="8962" max="8962" width="14.85546875" style="3" customWidth="1"/>
    <col min="8963" max="8963" width="13.28515625" style="3" customWidth="1"/>
    <col min="8964" max="8964" width="11.42578125" style="3"/>
    <col min="8965" max="8965" width="13.42578125" style="3" customWidth="1"/>
    <col min="8966" max="8966" width="12.7109375" style="3" customWidth="1"/>
    <col min="8967" max="8967" width="14" style="3" customWidth="1"/>
    <col min="8968" max="8968" width="7.42578125" style="3" customWidth="1"/>
    <col min="8969" max="9216" width="11.42578125" style="3"/>
    <col min="9217" max="9217" width="15.85546875" style="3" customWidth="1"/>
    <col min="9218" max="9218" width="14.85546875" style="3" customWidth="1"/>
    <col min="9219" max="9219" width="13.28515625" style="3" customWidth="1"/>
    <col min="9220" max="9220" width="11.42578125" style="3"/>
    <col min="9221" max="9221" width="13.42578125" style="3" customWidth="1"/>
    <col min="9222" max="9222" width="12.7109375" style="3" customWidth="1"/>
    <col min="9223" max="9223" width="14" style="3" customWidth="1"/>
    <col min="9224" max="9224" width="7.42578125" style="3" customWidth="1"/>
    <col min="9225" max="9472" width="11.42578125" style="3"/>
    <col min="9473" max="9473" width="15.85546875" style="3" customWidth="1"/>
    <col min="9474" max="9474" width="14.85546875" style="3" customWidth="1"/>
    <col min="9475" max="9475" width="13.28515625" style="3" customWidth="1"/>
    <col min="9476" max="9476" width="11.42578125" style="3"/>
    <col min="9477" max="9477" width="13.42578125" style="3" customWidth="1"/>
    <col min="9478" max="9478" width="12.7109375" style="3" customWidth="1"/>
    <col min="9479" max="9479" width="14" style="3" customWidth="1"/>
    <col min="9480" max="9480" width="7.42578125" style="3" customWidth="1"/>
    <col min="9481" max="9728" width="11.42578125" style="3"/>
    <col min="9729" max="9729" width="15.85546875" style="3" customWidth="1"/>
    <col min="9730" max="9730" width="14.85546875" style="3" customWidth="1"/>
    <col min="9731" max="9731" width="13.28515625" style="3" customWidth="1"/>
    <col min="9732" max="9732" width="11.42578125" style="3"/>
    <col min="9733" max="9733" width="13.42578125" style="3" customWidth="1"/>
    <col min="9734" max="9734" width="12.7109375" style="3" customWidth="1"/>
    <col min="9735" max="9735" width="14" style="3" customWidth="1"/>
    <col min="9736" max="9736" width="7.42578125" style="3" customWidth="1"/>
    <col min="9737" max="9984" width="11.42578125" style="3"/>
    <col min="9985" max="9985" width="15.85546875" style="3" customWidth="1"/>
    <col min="9986" max="9986" width="14.85546875" style="3" customWidth="1"/>
    <col min="9987" max="9987" width="13.28515625" style="3" customWidth="1"/>
    <col min="9988" max="9988" width="11.42578125" style="3"/>
    <col min="9989" max="9989" width="13.42578125" style="3" customWidth="1"/>
    <col min="9990" max="9990" width="12.7109375" style="3" customWidth="1"/>
    <col min="9991" max="9991" width="14" style="3" customWidth="1"/>
    <col min="9992" max="9992" width="7.42578125" style="3" customWidth="1"/>
    <col min="9993" max="10240" width="11.42578125" style="3"/>
    <col min="10241" max="10241" width="15.85546875" style="3" customWidth="1"/>
    <col min="10242" max="10242" width="14.85546875" style="3" customWidth="1"/>
    <col min="10243" max="10243" width="13.28515625" style="3" customWidth="1"/>
    <col min="10244" max="10244" width="11.42578125" style="3"/>
    <col min="10245" max="10245" width="13.42578125" style="3" customWidth="1"/>
    <col min="10246" max="10246" width="12.7109375" style="3" customWidth="1"/>
    <col min="10247" max="10247" width="14" style="3" customWidth="1"/>
    <col min="10248" max="10248" width="7.42578125" style="3" customWidth="1"/>
    <col min="10249" max="10496" width="11.42578125" style="3"/>
    <col min="10497" max="10497" width="15.85546875" style="3" customWidth="1"/>
    <col min="10498" max="10498" width="14.85546875" style="3" customWidth="1"/>
    <col min="10499" max="10499" width="13.28515625" style="3" customWidth="1"/>
    <col min="10500" max="10500" width="11.42578125" style="3"/>
    <col min="10501" max="10501" width="13.42578125" style="3" customWidth="1"/>
    <col min="10502" max="10502" width="12.7109375" style="3" customWidth="1"/>
    <col min="10503" max="10503" width="14" style="3" customWidth="1"/>
    <col min="10504" max="10504" width="7.42578125" style="3" customWidth="1"/>
    <col min="10505" max="10752" width="11.42578125" style="3"/>
    <col min="10753" max="10753" width="15.85546875" style="3" customWidth="1"/>
    <col min="10754" max="10754" width="14.85546875" style="3" customWidth="1"/>
    <col min="10755" max="10755" width="13.28515625" style="3" customWidth="1"/>
    <col min="10756" max="10756" width="11.42578125" style="3"/>
    <col min="10757" max="10757" width="13.42578125" style="3" customWidth="1"/>
    <col min="10758" max="10758" width="12.7109375" style="3" customWidth="1"/>
    <col min="10759" max="10759" width="14" style="3" customWidth="1"/>
    <col min="10760" max="10760" width="7.42578125" style="3" customWidth="1"/>
    <col min="10761" max="11008" width="11.42578125" style="3"/>
    <col min="11009" max="11009" width="15.85546875" style="3" customWidth="1"/>
    <col min="11010" max="11010" width="14.85546875" style="3" customWidth="1"/>
    <col min="11011" max="11011" width="13.28515625" style="3" customWidth="1"/>
    <col min="11012" max="11012" width="11.42578125" style="3"/>
    <col min="11013" max="11013" width="13.42578125" style="3" customWidth="1"/>
    <col min="11014" max="11014" width="12.7109375" style="3" customWidth="1"/>
    <col min="11015" max="11015" width="14" style="3" customWidth="1"/>
    <col min="11016" max="11016" width="7.42578125" style="3" customWidth="1"/>
    <col min="11017" max="11264" width="11.42578125" style="3"/>
    <col min="11265" max="11265" width="15.85546875" style="3" customWidth="1"/>
    <col min="11266" max="11266" width="14.85546875" style="3" customWidth="1"/>
    <col min="11267" max="11267" width="13.28515625" style="3" customWidth="1"/>
    <col min="11268" max="11268" width="11.42578125" style="3"/>
    <col min="11269" max="11269" width="13.42578125" style="3" customWidth="1"/>
    <col min="11270" max="11270" width="12.7109375" style="3" customWidth="1"/>
    <col min="11271" max="11271" width="14" style="3" customWidth="1"/>
    <col min="11272" max="11272" width="7.42578125" style="3" customWidth="1"/>
    <col min="11273" max="11520" width="11.42578125" style="3"/>
    <col min="11521" max="11521" width="15.85546875" style="3" customWidth="1"/>
    <col min="11522" max="11522" width="14.85546875" style="3" customWidth="1"/>
    <col min="11523" max="11523" width="13.28515625" style="3" customWidth="1"/>
    <col min="11524" max="11524" width="11.42578125" style="3"/>
    <col min="11525" max="11525" width="13.42578125" style="3" customWidth="1"/>
    <col min="11526" max="11526" width="12.7109375" style="3" customWidth="1"/>
    <col min="11527" max="11527" width="14" style="3" customWidth="1"/>
    <col min="11528" max="11528" width="7.42578125" style="3" customWidth="1"/>
    <col min="11529" max="11776" width="11.42578125" style="3"/>
    <col min="11777" max="11777" width="15.85546875" style="3" customWidth="1"/>
    <col min="11778" max="11778" width="14.85546875" style="3" customWidth="1"/>
    <col min="11779" max="11779" width="13.28515625" style="3" customWidth="1"/>
    <col min="11780" max="11780" width="11.42578125" style="3"/>
    <col min="11781" max="11781" width="13.42578125" style="3" customWidth="1"/>
    <col min="11782" max="11782" width="12.7109375" style="3" customWidth="1"/>
    <col min="11783" max="11783" width="14" style="3" customWidth="1"/>
    <col min="11784" max="11784" width="7.42578125" style="3" customWidth="1"/>
    <col min="11785" max="12032" width="11.42578125" style="3"/>
    <col min="12033" max="12033" width="15.85546875" style="3" customWidth="1"/>
    <col min="12034" max="12034" width="14.85546875" style="3" customWidth="1"/>
    <col min="12035" max="12035" width="13.28515625" style="3" customWidth="1"/>
    <col min="12036" max="12036" width="11.42578125" style="3"/>
    <col min="12037" max="12037" width="13.42578125" style="3" customWidth="1"/>
    <col min="12038" max="12038" width="12.7109375" style="3" customWidth="1"/>
    <col min="12039" max="12039" width="14" style="3" customWidth="1"/>
    <col min="12040" max="12040" width="7.42578125" style="3" customWidth="1"/>
    <col min="12041" max="12288" width="11.42578125" style="3"/>
    <col min="12289" max="12289" width="15.85546875" style="3" customWidth="1"/>
    <col min="12290" max="12290" width="14.85546875" style="3" customWidth="1"/>
    <col min="12291" max="12291" width="13.28515625" style="3" customWidth="1"/>
    <col min="12292" max="12292" width="11.42578125" style="3"/>
    <col min="12293" max="12293" width="13.42578125" style="3" customWidth="1"/>
    <col min="12294" max="12294" width="12.7109375" style="3" customWidth="1"/>
    <col min="12295" max="12295" width="14" style="3" customWidth="1"/>
    <col min="12296" max="12296" width="7.42578125" style="3" customWidth="1"/>
    <col min="12297" max="12544" width="11.42578125" style="3"/>
    <col min="12545" max="12545" width="15.85546875" style="3" customWidth="1"/>
    <col min="12546" max="12546" width="14.85546875" style="3" customWidth="1"/>
    <col min="12547" max="12547" width="13.28515625" style="3" customWidth="1"/>
    <col min="12548" max="12548" width="11.42578125" style="3"/>
    <col min="12549" max="12549" width="13.42578125" style="3" customWidth="1"/>
    <col min="12550" max="12550" width="12.7109375" style="3" customWidth="1"/>
    <col min="12551" max="12551" width="14" style="3" customWidth="1"/>
    <col min="12552" max="12552" width="7.42578125" style="3" customWidth="1"/>
    <col min="12553" max="12800" width="11.42578125" style="3"/>
    <col min="12801" max="12801" width="15.85546875" style="3" customWidth="1"/>
    <col min="12802" max="12802" width="14.85546875" style="3" customWidth="1"/>
    <col min="12803" max="12803" width="13.28515625" style="3" customWidth="1"/>
    <col min="12804" max="12804" width="11.42578125" style="3"/>
    <col min="12805" max="12805" width="13.42578125" style="3" customWidth="1"/>
    <col min="12806" max="12806" width="12.7109375" style="3" customWidth="1"/>
    <col min="12807" max="12807" width="14" style="3" customWidth="1"/>
    <col min="12808" max="12808" width="7.42578125" style="3" customWidth="1"/>
    <col min="12809" max="13056" width="11.42578125" style="3"/>
    <col min="13057" max="13057" width="15.85546875" style="3" customWidth="1"/>
    <col min="13058" max="13058" width="14.85546875" style="3" customWidth="1"/>
    <col min="13059" max="13059" width="13.28515625" style="3" customWidth="1"/>
    <col min="13060" max="13060" width="11.42578125" style="3"/>
    <col min="13061" max="13061" width="13.42578125" style="3" customWidth="1"/>
    <col min="13062" max="13062" width="12.7109375" style="3" customWidth="1"/>
    <col min="13063" max="13063" width="14" style="3" customWidth="1"/>
    <col min="13064" max="13064" width="7.42578125" style="3" customWidth="1"/>
    <col min="13065" max="13312" width="11.42578125" style="3"/>
    <col min="13313" max="13313" width="15.85546875" style="3" customWidth="1"/>
    <col min="13314" max="13314" width="14.85546875" style="3" customWidth="1"/>
    <col min="13315" max="13315" width="13.28515625" style="3" customWidth="1"/>
    <col min="13316" max="13316" width="11.42578125" style="3"/>
    <col min="13317" max="13317" width="13.42578125" style="3" customWidth="1"/>
    <col min="13318" max="13318" width="12.7109375" style="3" customWidth="1"/>
    <col min="13319" max="13319" width="14" style="3" customWidth="1"/>
    <col min="13320" max="13320" width="7.42578125" style="3" customWidth="1"/>
    <col min="13321" max="13568" width="11.42578125" style="3"/>
    <col min="13569" max="13569" width="15.85546875" style="3" customWidth="1"/>
    <col min="13570" max="13570" width="14.85546875" style="3" customWidth="1"/>
    <col min="13571" max="13571" width="13.28515625" style="3" customWidth="1"/>
    <col min="13572" max="13572" width="11.42578125" style="3"/>
    <col min="13573" max="13573" width="13.42578125" style="3" customWidth="1"/>
    <col min="13574" max="13574" width="12.7109375" style="3" customWidth="1"/>
    <col min="13575" max="13575" width="14" style="3" customWidth="1"/>
    <col min="13576" max="13576" width="7.42578125" style="3" customWidth="1"/>
    <col min="13577" max="13824" width="11.42578125" style="3"/>
    <col min="13825" max="13825" width="15.85546875" style="3" customWidth="1"/>
    <col min="13826" max="13826" width="14.85546875" style="3" customWidth="1"/>
    <col min="13827" max="13827" width="13.28515625" style="3" customWidth="1"/>
    <col min="13828" max="13828" width="11.42578125" style="3"/>
    <col min="13829" max="13829" width="13.42578125" style="3" customWidth="1"/>
    <col min="13830" max="13830" width="12.7109375" style="3" customWidth="1"/>
    <col min="13831" max="13831" width="14" style="3" customWidth="1"/>
    <col min="13832" max="13832" width="7.42578125" style="3" customWidth="1"/>
    <col min="13833" max="14080" width="11.42578125" style="3"/>
    <col min="14081" max="14081" width="15.85546875" style="3" customWidth="1"/>
    <col min="14082" max="14082" width="14.85546875" style="3" customWidth="1"/>
    <col min="14083" max="14083" width="13.28515625" style="3" customWidth="1"/>
    <col min="14084" max="14084" width="11.42578125" style="3"/>
    <col min="14085" max="14085" width="13.42578125" style="3" customWidth="1"/>
    <col min="14086" max="14086" width="12.7109375" style="3" customWidth="1"/>
    <col min="14087" max="14087" width="14" style="3" customWidth="1"/>
    <col min="14088" max="14088" width="7.42578125" style="3" customWidth="1"/>
    <col min="14089" max="14336" width="11.42578125" style="3"/>
    <col min="14337" max="14337" width="15.85546875" style="3" customWidth="1"/>
    <col min="14338" max="14338" width="14.85546875" style="3" customWidth="1"/>
    <col min="14339" max="14339" width="13.28515625" style="3" customWidth="1"/>
    <col min="14340" max="14340" width="11.42578125" style="3"/>
    <col min="14341" max="14341" width="13.42578125" style="3" customWidth="1"/>
    <col min="14342" max="14342" width="12.7109375" style="3" customWidth="1"/>
    <col min="14343" max="14343" width="14" style="3" customWidth="1"/>
    <col min="14344" max="14344" width="7.42578125" style="3" customWidth="1"/>
    <col min="14345" max="14592" width="11.42578125" style="3"/>
    <col min="14593" max="14593" width="15.85546875" style="3" customWidth="1"/>
    <col min="14594" max="14594" width="14.85546875" style="3" customWidth="1"/>
    <col min="14595" max="14595" width="13.28515625" style="3" customWidth="1"/>
    <col min="14596" max="14596" width="11.42578125" style="3"/>
    <col min="14597" max="14597" width="13.42578125" style="3" customWidth="1"/>
    <col min="14598" max="14598" width="12.7109375" style="3" customWidth="1"/>
    <col min="14599" max="14599" width="14" style="3" customWidth="1"/>
    <col min="14600" max="14600" width="7.42578125" style="3" customWidth="1"/>
    <col min="14601" max="14848" width="11.42578125" style="3"/>
    <col min="14849" max="14849" width="15.85546875" style="3" customWidth="1"/>
    <col min="14850" max="14850" width="14.85546875" style="3" customWidth="1"/>
    <col min="14851" max="14851" width="13.28515625" style="3" customWidth="1"/>
    <col min="14852" max="14852" width="11.42578125" style="3"/>
    <col min="14853" max="14853" width="13.42578125" style="3" customWidth="1"/>
    <col min="14854" max="14854" width="12.7109375" style="3" customWidth="1"/>
    <col min="14855" max="14855" width="14" style="3" customWidth="1"/>
    <col min="14856" max="14856" width="7.42578125" style="3" customWidth="1"/>
    <col min="14857" max="15104" width="11.42578125" style="3"/>
    <col min="15105" max="15105" width="15.85546875" style="3" customWidth="1"/>
    <col min="15106" max="15106" width="14.85546875" style="3" customWidth="1"/>
    <col min="15107" max="15107" width="13.28515625" style="3" customWidth="1"/>
    <col min="15108" max="15108" width="11.42578125" style="3"/>
    <col min="15109" max="15109" width="13.42578125" style="3" customWidth="1"/>
    <col min="15110" max="15110" width="12.7109375" style="3" customWidth="1"/>
    <col min="15111" max="15111" width="14" style="3" customWidth="1"/>
    <col min="15112" max="15112" width="7.42578125" style="3" customWidth="1"/>
    <col min="15113" max="15360" width="11.42578125" style="3"/>
    <col min="15361" max="15361" width="15.85546875" style="3" customWidth="1"/>
    <col min="15362" max="15362" width="14.85546875" style="3" customWidth="1"/>
    <col min="15363" max="15363" width="13.28515625" style="3" customWidth="1"/>
    <col min="15364" max="15364" width="11.42578125" style="3"/>
    <col min="15365" max="15365" width="13.42578125" style="3" customWidth="1"/>
    <col min="15366" max="15366" width="12.7109375" style="3" customWidth="1"/>
    <col min="15367" max="15367" width="14" style="3" customWidth="1"/>
    <col min="15368" max="15368" width="7.42578125" style="3" customWidth="1"/>
    <col min="15369" max="15616" width="11.42578125" style="3"/>
    <col min="15617" max="15617" width="15.85546875" style="3" customWidth="1"/>
    <col min="15618" max="15618" width="14.85546875" style="3" customWidth="1"/>
    <col min="15619" max="15619" width="13.28515625" style="3" customWidth="1"/>
    <col min="15620" max="15620" width="11.42578125" style="3"/>
    <col min="15621" max="15621" width="13.42578125" style="3" customWidth="1"/>
    <col min="15622" max="15622" width="12.7109375" style="3" customWidth="1"/>
    <col min="15623" max="15623" width="14" style="3" customWidth="1"/>
    <col min="15624" max="15624" width="7.42578125" style="3" customWidth="1"/>
    <col min="15625" max="15872" width="11.42578125" style="3"/>
    <col min="15873" max="15873" width="15.85546875" style="3" customWidth="1"/>
    <col min="15874" max="15874" width="14.85546875" style="3" customWidth="1"/>
    <col min="15875" max="15875" width="13.28515625" style="3" customWidth="1"/>
    <col min="15876" max="15876" width="11.42578125" style="3"/>
    <col min="15877" max="15877" width="13.42578125" style="3" customWidth="1"/>
    <col min="15878" max="15878" width="12.7109375" style="3" customWidth="1"/>
    <col min="15879" max="15879" width="14" style="3" customWidth="1"/>
    <col min="15880" max="15880" width="7.42578125" style="3" customWidth="1"/>
    <col min="15881" max="16128" width="11.42578125" style="3"/>
    <col min="16129" max="16129" width="15.85546875" style="3" customWidth="1"/>
    <col min="16130" max="16130" width="14.85546875" style="3" customWidth="1"/>
    <col min="16131" max="16131" width="13.28515625" style="3" customWidth="1"/>
    <col min="16132" max="16132" width="11.42578125" style="3"/>
    <col min="16133" max="16133" width="13.42578125" style="3" customWidth="1"/>
    <col min="16134" max="16134" width="12.7109375" style="3" customWidth="1"/>
    <col min="16135" max="16135" width="14" style="3" customWidth="1"/>
    <col min="16136" max="16136" width="7.42578125" style="3" customWidth="1"/>
    <col min="16137" max="16384" width="11.42578125" style="3"/>
  </cols>
  <sheetData>
    <row r="1" spans="1:21" ht="48" customHeight="1">
      <c r="A1" s="1346" t="str">
        <f>PPTO!D3</f>
        <v>PRESUPUESTO
MUNICIPIO EL BAGRE (ANTIOQUIA).</v>
      </c>
      <c r="B1" s="1347"/>
      <c r="C1" s="1347"/>
      <c r="D1" s="1347"/>
      <c r="E1" s="1347"/>
      <c r="F1" s="1347"/>
      <c r="G1" s="1348"/>
      <c r="H1" s="1"/>
      <c r="I1" s="2"/>
    </row>
    <row r="2" spans="1:21" ht="18" customHeight="1">
      <c r="A2" s="1362" t="s">
        <v>16</v>
      </c>
      <c r="B2" s="1363"/>
      <c r="C2" s="1363"/>
      <c r="D2" s="1363"/>
      <c r="E2" s="1363"/>
      <c r="F2" s="1363"/>
      <c r="G2" s="1364"/>
      <c r="H2" s="1"/>
      <c r="I2" s="2"/>
    </row>
    <row r="3" spans="1:21" ht="27" customHeight="1">
      <c r="A3" s="1367" t="str">
        <f>+PPTO!$D$5</f>
        <v>PROYECTO DE MEJORAMIENTO VIAL, ESPACIO PUBLICO Y OBRAS COMPLEMENTARIAS DE LA AVENIDA LA JUVENTUD Y TRAMOS ADYACENTES Y PRIORITARIOS DEL SECTOR URBANO EN EL MUNICIPIO EL BAGRE ANTIOQUIA.</v>
      </c>
      <c r="B3" s="1368"/>
      <c r="C3" s="1368"/>
      <c r="D3" s="1368"/>
      <c r="E3" s="1368"/>
      <c r="F3" s="1368"/>
      <c r="G3" s="1369"/>
      <c r="H3" s="1"/>
      <c r="I3" s="2"/>
    </row>
    <row r="4" spans="1:21" ht="30" customHeight="1">
      <c r="A4" s="1370"/>
      <c r="B4" s="1368"/>
      <c r="C4" s="1368"/>
      <c r="D4" s="1368"/>
      <c r="E4" s="1368"/>
      <c r="F4" s="1368"/>
      <c r="G4" s="1369"/>
      <c r="H4" s="1"/>
      <c r="I4" s="2"/>
    </row>
    <row r="5" spans="1:21" ht="6.75" customHeight="1">
      <c r="A5" s="222"/>
      <c r="B5" s="6"/>
      <c r="C5" s="24"/>
      <c r="D5" s="25"/>
      <c r="E5" s="6"/>
      <c r="F5" s="6"/>
      <c r="G5" s="223"/>
      <c r="H5" s="9"/>
    </row>
    <row r="6" spans="1:21" ht="52.5" customHeight="1">
      <c r="A6" s="368">
        <v>6.12</v>
      </c>
      <c r="B6" s="1349" t="str">
        <f>VLOOKUP(A6,PPTO!D9:I136,2,FALSE)</f>
        <v>Suministro e instalacion tuberia en PVC Novafort 30"</v>
      </c>
      <c r="C6" s="1350"/>
      <c r="D6" s="1350"/>
      <c r="E6" s="1351"/>
      <c r="F6" s="192" t="s">
        <v>118</v>
      </c>
      <c r="G6" s="248" t="str">
        <f>VLOOKUP(A6,PPTO!D9:I136,3,FALSE)</f>
        <v>m</v>
      </c>
      <c r="H6" s="9"/>
    </row>
    <row r="7" spans="1:21" ht="3.75" customHeight="1">
      <c r="A7" s="226"/>
      <c r="B7" s="4"/>
      <c r="C7" s="6"/>
      <c r="D7" s="4"/>
      <c r="E7" s="4"/>
      <c r="F7" s="4"/>
      <c r="G7" s="227"/>
      <c r="H7" s="9"/>
    </row>
    <row r="8" spans="1:21" ht="22.5" customHeight="1">
      <c r="A8" s="1354" t="s">
        <v>69</v>
      </c>
      <c r="B8" s="1355"/>
      <c r="C8" s="1355"/>
      <c r="D8" s="1355"/>
      <c r="E8" s="1355"/>
      <c r="F8" s="1355"/>
      <c r="G8" s="1356"/>
      <c r="H8" s="9"/>
    </row>
    <row r="9" spans="1:21" ht="4.5" customHeight="1">
      <c r="A9" s="226"/>
      <c r="B9" s="4"/>
      <c r="C9" s="6"/>
      <c r="D9" s="4"/>
      <c r="E9" s="4"/>
      <c r="F9" s="4"/>
      <c r="G9" s="227"/>
      <c r="H9" s="9"/>
      <c r="I9" s="5"/>
      <c r="J9" s="5"/>
      <c r="K9" s="5"/>
      <c r="L9" s="26"/>
      <c r="M9" s="5"/>
      <c r="N9" s="5"/>
      <c r="O9" s="5"/>
      <c r="P9" s="5"/>
    </row>
    <row r="10" spans="1:21">
      <c r="A10" s="1373" t="s">
        <v>17</v>
      </c>
      <c r="B10" s="1374"/>
      <c r="C10" s="1374"/>
      <c r="D10" s="346" t="s">
        <v>18</v>
      </c>
      <c r="E10" s="346" t="s">
        <v>19</v>
      </c>
      <c r="F10" s="346" t="s">
        <v>20</v>
      </c>
      <c r="G10" s="228" t="s">
        <v>21</v>
      </c>
      <c r="H10" s="27"/>
      <c r="I10" s="28"/>
      <c r="J10" s="29"/>
      <c r="K10" s="30"/>
      <c r="L10" s="30"/>
      <c r="M10" s="30"/>
      <c r="N10" s="30"/>
      <c r="O10" s="30"/>
      <c r="P10" s="5"/>
    </row>
    <row r="11" spans="1:21">
      <c r="A11" s="1352" t="s">
        <v>47</v>
      </c>
      <c r="B11" s="1353"/>
      <c r="C11" s="1353"/>
      <c r="D11" s="346"/>
      <c r="E11" s="83"/>
      <c r="F11" s="97"/>
      <c r="G11" s="229">
        <f>+G39*10%</f>
        <v>3818</v>
      </c>
      <c r="H11" s="9"/>
      <c r="I11" s="30"/>
      <c r="J11" s="31"/>
      <c r="K11" s="30"/>
      <c r="L11" s="30"/>
      <c r="M11" s="30"/>
      <c r="N11" s="30"/>
      <c r="O11" s="30"/>
      <c r="P11" s="5"/>
    </row>
    <row r="12" spans="1:21">
      <c r="A12" s="1371"/>
      <c r="B12" s="1372"/>
      <c r="C12" s="1372"/>
      <c r="D12" s="83"/>
      <c r="E12" s="83"/>
      <c r="F12" s="93"/>
      <c r="G12" s="229"/>
      <c r="H12" s="9"/>
      <c r="I12" s="16"/>
      <c r="J12" s="13"/>
      <c r="K12" s="8"/>
      <c r="L12" s="8"/>
      <c r="M12" s="8"/>
      <c r="N12" s="8"/>
      <c r="O12" s="8"/>
      <c r="P12" s="5"/>
    </row>
    <row r="13" spans="1:21">
      <c r="A13" s="1371"/>
      <c r="B13" s="1372"/>
      <c r="C13" s="1372"/>
      <c r="D13" s="83"/>
      <c r="E13" s="83"/>
      <c r="F13" s="93"/>
      <c r="G13" s="229"/>
      <c r="H13" s="9"/>
      <c r="I13" s="13"/>
      <c r="J13" s="13"/>
      <c r="K13" s="13"/>
      <c r="L13" s="13"/>
      <c r="M13" s="13"/>
      <c r="N13" s="13"/>
      <c r="O13" s="13"/>
      <c r="P13" s="5"/>
    </row>
    <row r="14" spans="1:21">
      <c r="A14" s="1371"/>
      <c r="B14" s="1372"/>
      <c r="C14" s="1372"/>
      <c r="D14" s="83"/>
      <c r="E14" s="83"/>
      <c r="F14" s="93"/>
      <c r="G14" s="229"/>
      <c r="H14" s="9"/>
      <c r="I14" s="8"/>
      <c r="J14" s="14"/>
      <c r="K14" s="32"/>
      <c r="L14" s="14"/>
      <c r="M14" s="15"/>
      <c r="N14" s="15"/>
      <c r="O14" s="19"/>
      <c r="P14" s="5"/>
    </row>
    <row r="15" spans="1:21">
      <c r="A15" s="1371"/>
      <c r="B15" s="1372"/>
      <c r="C15" s="1372"/>
      <c r="D15" s="83"/>
      <c r="E15" s="83"/>
      <c r="F15" s="98"/>
      <c r="G15" s="229"/>
      <c r="H15" s="9"/>
      <c r="I15" s="8"/>
      <c r="J15" s="33"/>
      <c r="K15" s="32"/>
      <c r="L15" s="14"/>
      <c r="M15" s="15"/>
      <c r="N15" s="15"/>
      <c r="O15" s="19"/>
      <c r="P15" s="5"/>
      <c r="Q15" s="5"/>
      <c r="R15" s="5"/>
      <c r="S15" s="5"/>
      <c r="T15" s="5"/>
      <c r="U15" s="5"/>
    </row>
    <row r="16" spans="1:21">
      <c r="A16" s="1371"/>
      <c r="B16" s="1372"/>
      <c r="C16" s="1372"/>
      <c r="D16" s="85" t="s">
        <v>37</v>
      </c>
      <c r="E16" s="50"/>
      <c r="F16" s="49"/>
      <c r="G16" s="230">
        <f>SUM(G11:G15)</f>
        <v>3818</v>
      </c>
      <c r="H16" s="9"/>
      <c r="I16" s="34"/>
      <c r="J16" s="34"/>
      <c r="K16" s="35"/>
      <c r="L16" s="36"/>
      <c r="M16" s="7"/>
      <c r="N16" s="7"/>
      <c r="O16" s="19"/>
      <c r="P16" s="5"/>
      <c r="Q16" s="5"/>
      <c r="R16" s="5"/>
      <c r="S16" s="5"/>
      <c r="T16" s="5"/>
      <c r="U16" s="5"/>
    </row>
    <row r="17" spans="1:21" ht="4.5" customHeight="1">
      <c r="A17" s="226"/>
      <c r="B17" s="4"/>
      <c r="C17" s="6"/>
      <c r="D17" s="4"/>
      <c r="E17" s="4"/>
      <c r="F17" s="4"/>
      <c r="G17" s="227"/>
      <c r="H17" s="9"/>
      <c r="I17" s="34"/>
      <c r="J17" s="34"/>
      <c r="K17" s="35"/>
      <c r="L17" s="36"/>
      <c r="M17" s="7"/>
      <c r="N17" s="7"/>
      <c r="O17" s="19"/>
      <c r="P17" s="5"/>
      <c r="Q17" s="5"/>
      <c r="R17" s="5"/>
      <c r="S17" s="5"/>
      <c r="T17" s="5"/>
      <c r="U17" s="5"/>
    </row>
    <row r="18" spans="1:21" ht="22.5" customHeight="1">
      <c r="A18" s="1354" t="s">
        <v>70</v>
      </c>
      <c r="B18" s="1355"/>
      <c r="C18" s="1355"/>
      <c r="D18" s="1355"/>
      <c r="E18" s="1355"/>
      <c r="F18" s="1355"/>
      <c r="G18" s="1356"/>
      <c r="H18" s="9"/>
    </row>
    <row r="19" spans="1:21" ht="4.5" customHeight="1">
      <c r="A19" s="226"/>
      <c r="B19" s="4"/>
      <c r="C19" s="6"/>
      <c r="D19" s="4"/>
      <c r="E19" s="4"/>
      <c r="F19" s="38"/>
      <c r="G19" s="227"/>
      <c r="H19" s="9"/>
      <c r="I19" s="34"/>
      <c r="J19" s="34"/>
      <c r="K19" s="35"/>
      <c r="L19" s="39"/>
      <c r="M19" s="7"/>
      <c r="N19" s="7"/>
      <c r="O19" s="8"/>
      <c r="P19" s="5"/>
      <c r="Q19" s="5"/>
      <c r="R19" s="5"/>
      <c r="S19" s="5"/>
      <c r="T19" s="5"/>
      <c r="U19" s="5"/>
    </row>
    <row r="20" spans="1:21">
      <c r="A20" s="1373" t="s">
        <v>17</v>
      </c>
      <c r="B20" s="1374"/>
      <c r="C20" s="1374"/>
      <c r="D20" s="346" t="s">
        <v>3</v>
      </c>
      <c r="E20" s="346" t="s">
        <v>4</v>
      </c>
      <c r="F20" s="346" t="s">
        <v>25</v>
      </c>
      <c r="G20" s="228" t="s">
        <v>21</v>
      </c>
      <c r="H20" s="27"/>
      <c r="I20" s="34"/>
      <c r="J20" s="34"/>
      <c r="K20" s="35"/>
      <c r="L20" s="39"/>
      <c r="M20" s="7"/>
      <c r="N20" s="7"/>
      <c r="O20" s="8"/>
      <c r="P20" s="5"/>
      <c r="Q20" s="5"/>
      <c r="R20" s="5"/>
      <c r="S20" s="5"/>
      <c r="T20" s="5"/>
      <c r="U20" s="5"/>
    </row>
    <row r="21" spans="1:21" ht="31.5" customHeight="1">
      <c r="A21" s="1441" t="s">
        <v>229</v>
      </c>
      <c r="B21" s="1442"/>
      <c r="C21" s="1443"/>
      <c r="D21" s="118" t="s">
        <v>51</v>
      </c>
      <c r="E21" s="119">
        <v>1</v>
      </c>
      <c r="F21" s="87">
        <f>3583040/6*IPC</f>
        <v>616163</v>
      </c>
      <c r="G21" s="231">
        <f>ROUND(F21*E21,0)</f>
        <v>616163</v>
      </c>
      <c r="H21" s="9"/>
      <c r="I21" s="34"/>
      <c r="J21" s="34"/>
      <c r="K21" s="35"/>
      <c r="L21" s="36"/>
      <c r="M21" s="7"/>
      <c r="N21" s="7"/>
      <c r="O21" s="19"/>
      <c r="P21" s="5"/>
      <c r="Q21" s="5"/>
      <c r="R21" s="5"/>
      <c r="S21" s="5"/>
      <c r="T21" s="5"/>
      <c r="U21" s="5"/>
    </row>
    <row r="22" spans="1:21" ht="27.75" customHeight="1">
      <c r="A22" s="1444"/>
      <c r="B22" s="1403"/>
      <c r="C22" s="1404"/>
      <c r="D22" s="116"/>
      <c r="E22" s="117"/>
      <c r="F22" s="91"/>
      <c r="G22" s="231"/>
      <c r="H22" s="9"/>
      <c r="I22" s="10"/>
      <c r="J22" s="10"/>
      <c r="K22" s="12"/>
      <c r="L22" s="39"/>
      <c r="M22" s="7"/>
      <c r="N22" s="7"/>
      <c r="O22" s="15"/>
      <c r="P22" s="5"/>
      <c r="Q22" s="5"/>
      <c r="R22" s="5"/>
      <c r="S22" s="5"/>
      <c r="T22" s="5"/>
      <c r="U22" s="5"/>
    </row>
    <row r="23" spans="1:21">
      <c r="A23" s="1386"/>
      <c r="B23" s="1353"/>
      <c r="C23" s="1353"/>
      <c r="D23" s="79"/>
      <c r="E23" s="82"/>
      <c r="F23" s="83"/>
      <c r="G23" s="67"/>
      <c r="H23" s="9"/>
      <c r="I23" s="10"/>
      <c r="J23" s="10"/>
      <c r="K23" s="12"/>
      <c r="L23" s="39"/>
      <c r="M23" s="7"/>
      <c r="N23" s="7"/>
      <c r="O23" s="15"/>
      <c r="P23" s="5"/>
      <c r="Q23" s="5"/>
      <c r="R23" s="5"/>
      <c r="S23" s="5"/>
      <c r="T23" s="5"/>
      <c r="U23" s="5"/>
    </row>
    <row r="24" spans="1:21">
      <c r="A24" s="1352"/>
      <c r="B24" s="1353"/>
      <c r="C24" s="1353"/>
      <c r="D24" s="81"/>
      <c r="E24" s="88"/>
      <c r="F24" s="78"/>
      <c r="G24" s="231"/>
      <c r="H24" s="9"/>
      <c r="I24" s="10"/>
      <c r="J24" s="40"/>
      <c r="K24" s="12"/>
      <c r="L24" s="13"/>
      <c r="M24" s="14"/>
      <c r="N24" s="14"/>
      <c r="O24" s="15"/>
      <c r="P24" s="5"/>
      <c r="Q24" s="5"/>
      <c r="R24" s="5"/>
      <c r="S24" s="5"/>
      <c r="T24" s="5"/>
      <c r="U24" s="5"/>
    </row>
    <row r="25" spans="1:21">
      <c r="A25" s="1352"/>
      <c r="B25" s="1353"/>
      <c r="C25" s="1353"/>
      <c r="D25" s="81"/>
      <c r="E25" s="82"/>
      <c r="F25" s="78"/>
      <c r="G25" s="231"/>
      <c r="H25" s="9"/>
      <c r="I25" s="10"/>
      <c r="J25" s="11"/>
      <c r="K25" s="12"/>
      <c r="L25" s="13"/>
      <c r="M25" s="14"/>
      <c r="N25" s="14"/>
      <c r="O25" s="15"/>
      <c r="P25" s="5"/>
      <c r="Q25" s="5"/>
      <c r="R25" s="5"/>
      <c r="S25" s="5"/>
      <c r="T25" s="5"/>
      <c r="U25" s="5"/>
    </row>
    <row r="26" spans="1:21">
      <c r="A26" s="1352"/>
      <c r="B26" s="1353"/>
      <c r="C26" s="1353"/>
      <c r="D26" s="79"/>
      <c r="E26" s="82"/>
      <c r="F26" s="78"/>
      <c r="G26" s="231"/>
      <c r="H26" s="9"/>
      <c r="I26" s="10"/>
      <c r="J26" s="11"/>
      <c r="K26" s="12"/>
      <c r="L26" s="13"/>
      <c r="M26" s="14"/>
      <c r="N26" s="14"/>
      <c r="O26" s="15"/>
      <c r="P26" s="5"/>
      <c r="Q26" s="5"/>
      <c r="R26" s="5"/>
      <c r="S26" s="5"/>
      <c r="T26" s="5"/>
      <c r="U26" s="5"/>
    </row>
    <row r="27" spans="1:21">
      <c r="A27" s="1352"/>
      <c r="B27" s="1353"/>
      <c r="C27" s="1353"/>
      <c r="D27" s="79"/>
      <c r="E27" s="82"/>
      <c r="F27" s="78"/>
      <c r="G27" s="231"/>
      <c r="H27" s="9"/>
      <c r="I27" s="10"/>
      <c r="J27" s="11"/>
      <c r="K27" s="12"/>
      <c r="L27" s="13"/>
      <c r="M27" s="14"/>
      <c r="N27" s="14"/>
      <c r="O27" s="15"/>
      <c r="P27" s="5"/>
      <c r="Q27" s="5"/>
      <c r="R27" s="5"/>
      <c r="S27" s="5"/>
      <c r="T27" s="5"/>
      <c r="U27" s="5"/>
    </row>
    <row r="28" spans="1:21">
      <c r="A28" s="1352"/>
      <c r="B28" s="1353"/>
      <c r="C28" s="1353"/>
      <c r="D28" s="79"/>
      <c r="E28" s="82"/>
      <c r="F28" s="83"/>
      <c r="G28" s="231"/>
      <c r="H28" s="9"/>
      <c r="I28" s="41"/>
      <c r="J28" s="41"/>
      <c r="K28" s="12"/>
      <c r="L28" s="13"/>
      <c r="M28" s="14"/>
      <c r="N28" s="14"/>
      <c r="O28" s="15"/>
      <c r="P28" s="5"/>
      <c r="Q28" s="5"/>
      <c r="R28" s="5"/>
      <c r="S28" s="5"/>
      <c r="T28" s="5"/>
      <c r="U28" s="5"/>
    </row>
    <row r="29" spans="1:21">
      <c r="A29" s="1352"/>
      <c r="B29" s="1353"/>
      <c r="C29" s="1353"/>
      <c r="D29" s="84"/>
      <c r="E29" s="84"/>
      <c r="F29" s="83"/>
      <c r="G29" s="231"/>
      <c r="H29" s="9"/>
      <c r="I29" s="42"/>
      <c r="J29" s="42"/>
      <c r="K29" s="42"/>
      <c r="L29" s="13"/>
      <c r="M29" s="14"/>
      <c r="N29" s="14"/>
      <c r="O29" s="15"/>
      <c r="P29" s="5"/>
      <c r="Q29" s="5"/>
      <c r="R29" s="5"/>
      <c r="S29" s="5"/>
      <c r="T29" s="5"/>
      <c r="U29" s="5"/>
    </row>
    <row r="30" spans="1:21">
      <c r="A30" s="1352"/>
      <c r="B30" s="1353"/>
      <c r="C30" s="1353"/>
      <c r="D30" s="85" t="s">
        <v>28</v>
      </c>
      <c r="E30" s="50"/>
      <c r="F30" s="49"/>
      <c r="G30" s="230">
        <f>SUM(G21:G29)</f>
        <v>616163</v>
      </c>
      <c r="H30" s="9"/>
      <c r="I30" s="8"/>
      <c r="J30" s="13"/>
      <c r="K30" s="8"/>
      <c r="L30" s="13"/>
      <c r="M30" s="14"/>
      <c r="N30" s="14"/>
      <c r="O30" s="15"/>
      <c r="P30" s="5"/>
    </row>
    <row r="31" spans="1:21" ht="3.75" customHeight="1">
      <c r="A31" s="226"/>
      <c r="B31" s="4"/>
      <c r="C31" s="6"/>
      <c r="D31" s="4"/>
      <c r="E31" s="4"/>
      <c r="F31" s="4"/>
      <c r="G31" s="227"/>
      <c r="H31" s="9"/>
      <c r="I31" s="8"/>
      <c r="J31" s="13"/>
      <c r="K31" s="18"/>
      <c r="L31" s="13"/>
      <c r="M31" s="33"/>
      <c r="N31" s="33"/>
      <c r="O31" s="15"/>
      <c r="P31" s="5"/>
    </row>
    <row r="32" spans="1:21" ht="22.5" customHeight="1">
      <c r="A32" s="1354" t="s">
        <v>71</v>
      </c>
      <c r="B32" s="1355"/>
      <c r="C32" s="1355"/>
      <c r="D32" s="1355"/>
      <c r="E32" s="1355"/>
      <c r="F32" s="1355"/>
      <c r="G32" s="1356"/>
      <c r="H32" s="9"/>
    </row>
    <row r="33" spans="1:16" ht="3.75" customHeight="1">
      <c r="A33" s="226"/>
      <c r="B33" s="4"/>
      <c r="C33" s="6"/>
      <c r="D33" s="4"/>
      <c r="E33" s="4"/>
      <c r="F33" s="4"/>
      <c r="G33" s="227"/>
      <c r="H33" s="9"/>
      <c r="I33" s="8"/>
      <c r="J33" s="13"/>
      <c r="K33" s="8"/>
      <c r="L33" s="8"/>
      <c r="M33" s="8"/>
      <c r="N33" s="8"/>
      <c r="O33" s="15"/>
      <c r="P33" s="5"/>
    </row>
    <row r="34" spans="1:16">
      <c r="A34" s="232" t="s">
        <v>5</v>
      </c>
      <c r="B34" s="60" t="s">
        <v>29</v>
      </c>
      <c r="C34" s="60" t="s">
        <v>30</v>
      </c>
      <c r="D34" s="60" t="s">
        <v>31</v>
      </c>
      <c r="E34" s="60" t="s">
        <v>32</v>
      </c>
      <c r="F34" s="60" t="s">
        <v>20</v>
      </c>
      <c r="G34" s="228" t="s">
        <v>33</v>
      </c>
      <c r="H34" s="27"/>
      <c r="I34" s="8"/>
      <c r="J34" s="13"/>
      <c r="K34" s="8"/>
      <c r="L34" s="8"/>
      <c r="M34" s="8"/>
      <c r="N34" s="8"/>
      <c r="O34" s="15"/>
      <c r="P34" s="5"/>
    </row>
    <row r="35" spans="1:16">
      <c r="A35" s="233" t="s">
        <v>41</v>
      </c>
      <c r="B35" s="63">
        <f>BOF</f>
        <v>51749</v>
      </c>
      <c r="C35" s="68">
        <f>ffpp</f>
        <v>0.64539999999999997</v>
      </c>
      <c r="D35" s="72">
        <v>1</v>
      </c>
      <c r="E35" s="66">
        <f>OF</f>
        <v>88696</v>
      </c>
      <c r="F35" s="65">
        <v>8</v>
      </c>
      <c r="G35" s="231">
        <f>ROUND(+D35*E35/F35,0)</f>
        <v>11087</v>
      </c>
      <c r="H35" s="9"/>
      <c r="I35" s="16"/>
      <c r="J35" s="13"/>
      <c r="K35" s="8"/>
      <c r="L35" s="8"/>
      <c r="M35" s="8"/>
      <c r="N35" s="8"/>
      <c r="O35" s="15"/>
      <c r="P35" s="5"/>
    </row>
    <row r="36" spans="1:16">
      <c r="A36" s="233" t="s">
        <v>38</v>
      </c>
      <c r="B36" s="63">
        <f>BOB</f>
        <v>41749</v>
      </c>
      <c r="C36" s="68">
        <f>ffpp</f>
        <v>0.64539999999999997</v>
      </c>
      <c r="D36" s="72">
        <v>3</v>
      </c>
      <c r="E36" s="66">
        <f>OB</f>
        <v>72242</v>
      </c>
      <c r="F36" s="65">
        <f>F35</f>
        <v>8</v>
      </c>
      <c r="G36" s="231">
        <f>ROUND(+D36*E36/F36,0)</f>
        <v>27091</v>
      </c>
      <c r="H36" s="9"/>
      <c r="I36" s="8"/>
      <c r="J36" s="8"/>
      <c r="K36" s="13"/>
      <c r="L36" s="13"/>
      <c r="M36" s="13"/>
      <c r="N36" s="13"/>
      <c r="O36" s="13"/>
      <c r="P36" s="5"/>
    </row>
    <row r="37" spans="1:16">
      <c r="A37" s="234"/>
      <c r="B37" s="50"/>
      <c r="C37" s="961"/>
      <c r="D37" s="50"/>
      <c r="E37" s="66"/>
      <c r="F37" s="65"/>
      <c r="G37" s="231"/>
      <c r="H37" s="9"/>
      <c r="I37" s="8"/>
      <c r="J37" s="13"/>
      <c r="K37" s="13"/>
      <c r="L37" s="13"/>
      <c r="M37" s="33"/>
      <c r="N37" s="33"/>
      <c r="O37" s="43"/>
      <c r="P37" s="5"/>
    </row>
    <row r="38" spans="1:16">
      <c r="A38" s="233"/>
      <c r="B38" s="65"/>
      <c r="C38" s="68"/>
      <c r="D38" s="65"/>
      <c r="E38" s="69"/>
      <c r="F38" s="69"/>
      <c r="G38" s="236"/>
      <c r="H38" s="9"/>
      <c r="I38" s="8"/>
      <c r="J38" s="13"/>
      <c r="K38" s="13"/>
      <c r="L38" s="13"/>
      <c r="M38" s="33"/>
      <c r="N38" s="33"/>
      <c r="O38" s="43"/>
      <c r="P38" s="5"/>
    </row>
    <row r="39" spans="1:16">
      <c r="A39" s="249"/>
      <c r="B39" s="71"/>
      <c r="C39" s="71"/>
      <c r="D39" s="71" t="s">
        <v>34</v>
      </c>
      <c r="E39" s="71"/>
      <c r="F39" s="71"/>
      <c r="G39" s="250">
        <f>SUM(G35:G38)</f>
        <v>38178</v>
      </c>
      <c r="H39" s="9"/>
      <c r="I39" s="8"/>
      <c r="J39" s="13"/>
      <c r="K39" s="13"/>
      <c r="L39" s="13"/>
      <c r="M39" s="14"/>
      <c r="N39" s="14"/>
      <c r="O39" s="15"/>
      <c r="P39" s="5"/>
    </row>
    <row r="40" spans="1:16">
      <c r="A40" s="226"/>
      <c r="B40" s="4"/>
      <c r="C40" s="6"/>
      <c r="D40" s="4"/>
      <c r="E40" s="4"/>
      <c r="F40" s="4"/>
      <c r="G40" s="227"/>
      <c r="H40" s="9"/>
      <c r="I40" s="8"/>
      <c r="J40" s="13"/>
      <c r="K40" s="13"/>
      <c r="L40" s="13"/>
      <c r="M40" s="14"/>
      <c r="N40" s="14"/>
      <c r="O40" s="19"/>
      <c r="P40" s="5"/>
    </row>
    <row r="41" spans="1:16">
      <c r="A41" s="226"/>
      <c r="B41" s="4"/>
      <c r="C41" s="6"/>
      <c r="D41" s="4"/>
      <c r="E41" s="4"/>
      <c r="F41" s="4"/>
      <c r="G41" s="227"/>
      <c r="H41" s="9"/>
      <c r="I41" s="8"/>
      <c r="J41" s="13"/>
      <c r="K41" s="13"/>
      <c r="L41" s="13"/>
      <c r="M41" s="17"/>
      <c r="N41" s="17"/>
      <c r="O41" s="37"/>
      <c r="P41" s="5"/>
    </row>
    <row r="42" spans="1:16" ht="14.25">
      <c r="A42" s="226"/>
      <c r="B42" s="4"/>
      <c r="C42" s="6"/>
      <c r="D42" s="1357" t="s">
        <v>35</v>
      </c>
      <c r="E42" s="1358"/>
      <c r="F42" s="1359"/>
      <c r="G42" s="239">
        <f>+G39+G30+G16</f>
        <v>658159</v>
      </c>
      <c r="H42" s="9"/>
      <c r="I42" s="48"/>
      <c r="J42" s="20"/>
      <c r="K42" s="8"/>
      <c r="L42" s="8"/>
      <c r="M42" s="8"/>
      <c r="N42" s="8"/>
      <c r="O42" s="8"/>
      <c r="P42" s="5"/>
    </row>
    <row r="43" spans="1:16" ht="14.25">
      <c r="A43" s="240"/>
      <c r="B43" s="57"/>
      <c r="C43" s="58"/>
      <c r="D43" s="99"/>
      <c r="E43" s="99"/>
      <c r="F43" s="99"/>
      <c r="G43" s="251"/>
      <c r="H43" s="9"/>
      <c r="I43" s="48"/>
      <c r="J43" s="20"/>
      <c r="K43" s="8"/>
      <c r="L43" s="8"/>
      <c r="M43" s="8"/>
      <c r="N43" s="8"/>
      <c r="O43" s="8"/>
      <c r="P43" s="5"/>
    </row>
    <row r="44" spans="1:16" ht="14.25">
      <c r="A44" s="374"/>
      <c r="B44" s="375"/>
      <c r="C44" s="375"/>
      <c r="D44" s="99"/>
      <c r="E44" s="99"/>
      <c r="F44" s="99"/>
      <c r="G44" s="251"/>
      <c r="H44" s="9"/>
      <c r="I44" s="48"/>
      <c r="J44" s="20"/>
      <c r="K44" s="8"/>
      <c r="L44" s="8"/>
      <c r="M44" s="8"/>
      <c r="N44" s="8"/>
      <c r="O44" s="8"/>
      <c r="P44" s="5"/>
    </row>
    <row r="45" spans="1:16" ht="14.25">
      <c r="A45" s="373"/>
      <c r="B45" s="376"/>
      <c r="C45" s="376"/>
      <c r="D45" s="99"/>
      <c r="E45" s="99"/>
      <c r="F45" s="99"/>
      <c r="G45" s="251"/>
      <c r="H45" s="9"/>
      <c r="I45" s="48"/>
      <c r="J45" s="20"/>
      <c r="K45" s="8"/>
      <c r="L45" s="8"/>
      <c r="M45" s="8"/>
      <c r="N45" s="8"/>
      <c r="O45" s="8"/>
      <c r="P45" s="5"/>
    </row>
    <row r="46" spans="1:16" ht="14.25">
      <c r="A46" s="373"/>
      <c r="B46" s="376"/>
      <c r="C46" s="376"/>
      <c r="D46" s="44"/>
      <c r="E46" s="45"/>
      <c r="F46" s="45"/>
      <c r="G46" s="251"/>
      <c r="H46" s="9"/>
      <c r="I46" s="8"/>
      <c r="J46" s="13"/>
      <c r="K46" s="8"/>
      <c r="L46" s="8"/>
      <c r="M46" s="8"/>
      <c r="N46" s="8"/>
      <c r="O46" s="8"/>
      <c r="P46" s="5"/>
    </row>
    <row r="47" spans="1:16" ht="15" thickBot="1">
      <c r="A47" s="242"/>
      <c r="B47" s="243"/>
      <c r="C47" s="244"/>
      <c r="D47" s="245"/>
      <c r="E47" s="246"/>
      <c r="F47" s="246"/>
      <c r="G47" s="247"/>
      <c r="H47" s="9"/>
      <c r="I47" s="8"/>
      <c r="J47" s="13"/>
      <c r="K47" s="8"/>
      <c r="L47" s="8"/>
      <c r="M47" s="8"/>
      <c r="N47" s="8"/>
      <c r="O47" s="8"/>
      <c r="P47" s="5"/>
    </row>
    <row r="48" spans="1:16">
      <c r="I48" s="5"/>
      <c r="J48" s="5"/>
      <c r="K48" s="5"/>
      <c r="L48" s="5"/>
      <c r="M48" s="5"/>
      <c r="N48" s="5"/>
      <c r="O48" s="5"/>
      <c r="P48" s="5"/>
    </row>
    <row r="49" spans="9:16">
      <c r="I49" s="5"/>
      <c r="J49" s="5"/>
      <c r="K49" s="5"/>
      <c r="L49" s="5"/>
      <c r="M49" s="5"/>
      <c r="N49" s="5"/>
      <c r="O49" s="5"/>
      <c r="P49" s="5"/>
    </row>
  </sheetData>
  <mergeCells count="26">
    <mergeCell ref="A32:G32"/>
    <mergeCell ref="D42:F42"/>
    <mergeCell ref="A25:C25"/>
    <mergeCell ref="A26:C26"/>
    <mergeCell ref="A27:C27"/>
    <mergeCell ref="A28:C28"/>
    <mergeCell ref="A29:C29"/>
    <mergeCell ref="A30:C30"/>
    <mergeCell ref="A24:C24"/>
    <mergeCell ref="A11:C11"/>
    <mergeCell ref="A12:C12"/>
    <mergeCell ref="A13:C13"/>
    <mergeCell ref="A14:C14"/>
    <mergeCell ref="A15:C15"/>
    <mergeCell ref="A16:C16"/>
    <mergeCell ref="A18:G18"/>
    <mergeCell ref="A20:C20"/>
    <mergeCell ref="A21:C21"/>
    <mergeCell ref="A22:C22"/>
    <mergeCell ref="A23:C23"/>
    <mergeCell ref="A10:C10"/>
    <mergeCell ref="A1:G1"/>
    <mergeCell ref="A2:G2"/>
    <mergeCell ref="A3:G4"/>
    <mergeCell ref="B6:E6"/>
    <mergeCell ref="A8:G8"/>
  </mergeCells>
  <printOptions horizontalCentered="1" verticalCentered="1"/>
  <pageMargins left="0.74803149606299213" right="0.74803149606299213" top="0" bottom="0.98425196850393704" header="0" footer="0"/>
  <pageSetup scale="90" orientation="portrait" r:id="rId1"/>
  <headerFooter alignWithMargins="0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7"/>
  <dimension ref="A1:U49"/>
  <sheetViews>
    <sheetView view="pageBreakPreview" topLeftCell="A15" zoomScaleNormal="100" zoomScaleSheetLayoutView="100" workbookViewId="0">
      <selection activeCell="F22" sqref="F22"/>
    </sheetView>
  </sheetViews>
  <sheetFormatPr baseColWidth="10" defaultColWidth="10.7109375" defaultRowHeight="12.75"/>
  <cols>
    <col min="1" max="1" width="15.85546875" style="3" customWidth="1"/>
    <col min="2" max="2" width="14.85546875" style="3" customWidth="1"/>
    <col min="3" max="3" width="13.28515625" style="3" customWidth="1"/>
    <col min="4" max="4" width="11.42578125" style="3"/>
    <col min="5" max="5" width="13.42578125" style="3" customWidth="1"/>
    <col min="6" max="6" width="12.7109375" style="3" customWidth="1"/>
    <col min="7" max="7" width="14" style="3" customWidth="1"/>
    <col min="8" max="8" width="7.42578125" style="3" customWidth="1"/>
    <col min="9" max="256" width="11.42578125" style="3"/>
    <col min="257" max="257" width="15.85546875" style="3" customWidth="1"/>
    <col min="258" max="258" width="14.85546875" style="3" customWidth="1"/>
    <col min="259" max="259" width="13.28515625" style="3" customWidth="1"/>
    <col min="260" max="260" width="11.42578125" style="3"/>
    <col min="261" max="261" width="13.42578125" style="3" customWidth="1"/>
    <col min="262" max="262" width="12.7109375" style="3" customWidth="1"/>
    <col min="263" max="263" width="14" style="3" customWidth="1"/>
    <col min="264" max="264" width="7.42578125" style="3" customWidth="1"/>
    <col min="265" max="512" width="11.42578125" style="3"/>
    <col min="513" max="513" width="15.85546875" style="3" customWidth="1"/>
    <col min="514" max="514" width="14.85546875" style="3" customWidth="1"/>
    <col min="515" max="515" width="13.28515625" style="3" customWidth="1"/>
    <col min="516" max="516" width="11.42578125" style="3"/>
    <col min="517" max="517" width="13.42578125" style="3" customWidth="1"/>
    <col min="518" max="518" width="12.7109375" style="3" customWidth="1"/>
    <col min="519" max="519" width="14" style="3" customWidth="1"/>
    <col min="520" max="520" width="7.42578125" style="3" customWidth="1"/>
    <col min="521" max="768" width="11.42578125" style="3"/>
    <col min="769" max="769" width="15.85546875" style="3" customWidth="1"/>
    <col min="770" max="770" width="14.85546875" style="3" customWidth="1"/>
    <col min="771" max="771" width="13.28515625" style="3" customWidth="1"/>
    <col min="772" max="772" width="11.42578125" style="3"/>
    <col min="773" max="773" width="13.42578125" style="3" customWidth="1"/>
    <col min="774" max="774" width="12.7109375" style="3" customWidth="1"/>
    <col min="775" max="775" width="14" style="3" customWidth="1"/>
    <col min="776" max="776" width="7.42578125" style="3" customWidth="1"/>
    <col min="777" max="1024" width="11.42578125" style="3"/>
    <col min="1025" max="1025" width="15.85546875" style="3" customWidth="1"/>
    <col min="1026" max="1026" width="14.85546875" style="3" customWidth="1"/>
    <col min="1027" max="1027" width="13.28515625" style="3" customWidth="1"/>
    <col min="1028" max="1028" width="11.42578125" style="3"/>
    <col min="1029" max="1029" width="13.42578125" style="3" customWidth="1"/>
    <col min="1030" max="1030" width="12.7109375" style="3" customWidth="1"/>
    <col min="1031" max="1031" width="14" style="3" customWidth="1"/>
    <col min="1032" max="1032" width="7.42578125" style="3" customWidth="1"/>
    <col min="1033" max="1280" width="11.42578125" style="3"/>
    <col min="1281" max="1281" width="15.85546875" style="3" customWidth="1"/>
    <col min="1282" max="1282" width="14.85546875" style="3" customWidth="1"/>
    <col min="1283" max="1283" width="13.28515625" style="3" customWidth="1"/>
    <col min="1284" max="1284" width="11.42578125" style="3"/>
    <col min="1285" max="1285" width="13.42578125" style="3" customWidth="1"/>
    <col min="1286" max="1286" width="12.7109375" style="3" customWidth="1"/>
    <col min="1287" max="1287" width="14" style="3" customWidth="1"/>
    <col min="1288" max="1288" width="7.42578125" style="3" customWidth="1"/>
    <col min="1289" max="1536" width="11.42578125" style="3"/>
    <col min="1537" max="1537" width="15.85546875" style="3" customWidth="1"/>
    <col min="1538" max="1538" width="14.85546875" style="3" customWidth="1"/>
    <col min="1539" max="1539" width="13.28515625" style="3" customWidth="1"/>
    <col min="1540" max="1540" width="11.42578125" style="3"/>
    <col min="1541" max="1541" width="13.42578125" style="3" customWidth="1"/>
    <col min="1542" max="1542" width="12.7109375" style="3" customWidth="1"/>
    <col min="1543" max="1543" width="14" style="3" customWidth="1"/>
    <col min="1544" max="1544" width="7.42578125" style="3" customWidth="1"/>
    <col min="1545" max="1792" width="11.42578125" style="3"/>
    <col min="1793" max="1793" width="15.85546875" style="3" customWidth="1"/>
    <col min="1794" max="1794" width="14.85546875" style="3" customWidth="1"/>
    <col min="1795" max="1795" width="13.28515625" style="3" customWidth="1"/>
    <col min="1796" max="1796" width="11.42578125" style="3"/>
    <col min="1797" max="1797" width="13.42578125" style="3" customWidth="1"/>
    <col min="1798" max="1798" width="12.7109375" style="3" customWidth="1"/>
    <col min="1799" max="1799" width="14" style="3" customWidth="1"/>
    <col min="1800" max="1800" width="7.42578125" style="3" customWidth="1"/>
    <col min="1801" max="2048" width="11.42578125" style="3"/>
    <col min="2049" max="2049" width="15.85546875" style="3" customWidth="1"/>
    <col min="2050" max="2050" width="14.85546875" style="3" customWidth="1"/>
    <col min="2051" max="2051" width="13.28515625" style="3" customWidth="1"/>
    <col min="2052" max="2052" width="11.42578125" style="3"/>
    <col min="2053" max="2053" width="13.42578125" style="3" customWidth="1"/>
    <col min="2054" max="2054" width="12.7109375" style="3" customWidth="1"/>
    <col min="2055" max="2055" width="14" style="3" customWidth="1"/>
    <col min="2056" max="2056" width="7.42578125" style="3" customWidth="1"/>
    <col min="2057" max="2304" width="11.42578125" style="3"/>
    <col min="2305" max="2305" width="15.85546875" style="3" customWidth="1"/>
    <col min="2306" max="2306" width="14.85546875" style="3" customWidth="1"/>
    <col min="2307" max="2307" width="13.28515625" style="3" customWidth="1"/>
    <col min="2308" max="2308" width="11.42578125" style="3"/>
    <col min="2309" max="2309" width="13.42578125" style="3" customWidth="1"/>
    <col min="2310" max="2310" width="12.7109375" style="3" customWidth="1"/>
    <col min="2311" max="2311" width="14" style="3" customWidth="1"/>
    <col min="2312" max="2312" width="7.42578125" style="3" customWidth="1"/>
    <col min="2313" max="2560" width="11.42578125" style="3"/>
    <col min="2561" max="2561" width="15.85546875" style="3" customWidth="1"/>
    <col min="2562" max="2562" width="14.85546875" style="3" customWidth="1"/>
    <col min="2563" max="2563" width="13.28515625" style="3" customWidth="1"/>
    <col min="2564" max="2564" width="11.42578125" style="3"/>
    <col min="2565" max="2565" width="13.42578125" style="3" customWidth="1"/>
    <col min="2566" max="2566" width="12.7109375" style="3" customWidth="1"/>
    <col min="2567" max="2567" width="14" style="3" customWidth="1"/>
    <col min="2568" max="2568" width="7.42578125" style="3" customWidth="1"/>
    <col min="2569" max="2816" width="11.42578125" style="3"/>
    <col min="2817" max="2817" width="15.85546875" style="3" customWidth="1"/>
    <col min="2818" max="2818" width="14.85546875" style="3" customWidth="1"/>
    <col min="2819" max="2819" width="13.28515625" style="3" customWidth="1"/>
    <col min="2820" max="2820" width="11.42578125" style="3"/>
    <col min="2821" max="2821" width="13.42578125" style="3" customWidth="1"/>
    <col min="2822" max="2822" width="12.7109375" style="3" customWidth="1"/>
    <col min="2823" max="2823" width="14" style="3" customWidth="1"/>
    <col min="2824" max="2824" width="7.42578125" style="3" customWidth="1"/>
    <col min="2825" max="3072" width="11.42578125" style="3"/>
    <col min="3073" max="3073" width="15.85546875" style="3" customWidth="1"/>
    <col min="3074" max="3074" width="14.85546875" style="3" customWidth="1"/>
    <col min="3075" max="3075" width="13.28515625" style="3" customWidth="1"/>
    <col min="3076" max="3076" width="11.42578125" style="3"/>
    <col min="3077" max="3077" width="13.42578125" style="3" customWidth="1"/>
    <col min="3078" max="3078" width="12.7109375" style="3" customWidth="1"/>
    <col min="3079" max="3079" width="14" style="3" customWidth="1"/>
    <col min="3080" max="3080" width="7.42578125" style="3" customWidth="1"/>
    <col min="3081" max="3328" width="11.42578125" style="3"/>
    <col min="3329" max="3329" width="15.85546875" style="3" customWidth="1"/>
    <col min="3330" max="3330" width="14.85546875" style="3" customWidth="1"/>
    <col min="3331" max="3331" width="13.28515625" style="3" customWidth="1"/>
    <col min="3332" max="3332" width="11.42578125" style="3"/>
    <col min="3333" max="3333" width="13.42578125" style="3" customWidth="1"/>
    <col min="3334" max="3334" width="12.7109375" style="3" customWidth="1"/>
    <col min="3335" max="3335" width="14" style="3" customWidth="1"/>
    <col min="3336" max="3336" width="7.42578125" style="3" customWidth="1"/>
    <col min="3337" max="3584" width="11.42578125" style="3"/>
    <col min="3585" max="3585" width="15.85546875" style="3" customWidth="1"/>
    <col min="3586" max="3586" width="14.85546875" style="3" customWidth="1"/>
    <col min="3587" max="3587" width="13.28515625" style="3" customWidth="1"/>
    <col min="3588" max="3588" width="11.42578125" style="3"/>
    <col min="3589" max="3589" width="13.42578125" style="3" customWidth="1"/>
    <col min="3590" max="3590" width="12.7109375" style="3" customWidth="1"/>
    <col min="3591" max="3591" width="14" style="3" customWidth="1"/>
    <col min="3592" max="3592" width="7.42578125" style="3" customWidth="1"/>
    <col min="3593" max="3840" width="11.42578125" style="3"/>
    <col min="3841" max="3841" width="15.85546875" style="3" customWidth="1"/>
    <col min="3842" max="3842" width="14.85546875" style="3" customWidth="1"/>
    <col min="3843" max="3843" width="13.28515625" style="3" customWidth="1"/>
    <col min="3844" max="3844" width="11.42578125" style="3"/>
    <col min="3845" max="3845" width="13.42578125" style="3" customWidth="1"/>
    <col min="3846" max="3846" width="12.7109375" style="3" customWidth="1"/>
    <col min="3847" max="3847" width="14" style="3" customWidth="1"/>
    <col min="3848" max="3848" width="7.42578125" style="3" customWidth="1"/>
    <col min="3849" max="4096" width="11.42578125" style="3"/>
    <col min="4097" max="4097" width="15.85546875" style="3" customWidth="1"/>
    <col min="4098" max="4098" width="14.85546875" style="3" customWidth="1"/>
    <col min="4099" max="4099" width="13.28515625" style="3" customWidth="1"/>
    <col min="4100" max="4100" width="11.42578125" style="3"/>
    <col min="4101" max="4101" width="13.42578125" style="3" customWidth="1"/>
    <col min="4102" max="4102" width="12.7109375" style="3" customWidth="1"/>
    <col min="4103" max="4103" width="14" style="3" customWidth="1"/>
    <col min="4104" max="4104" width="7.42578125" style="3" customWidth="1"/>
    <col min="4105" max="4352" width="11.42578125" style="3"/>
    <col min="4353" max="4353" width="15.85546875" style="3" customWidth="1"/>
    <col min="4354" max="4354" width="14.85546875" style="3" customWidth="1"/>
    <col min="4355" max="4355" width="13.28515625" style="3" customWidth="1"/>
    <col min="4356" max="4356" width="11.42578125" style="3"/>
    <col min="4357" max="4357" width="13.42578125" style="3" customWidth="1"/>
    <col min="4358" max="4358" width="12.7109375" style="3" customWidth="1"/>
    <col min="4359" max="4359" width="14" style="3" customWidth="1"/>
    <col min="4360" max="4360" width="7.42578125" style="3" customWidth="1"/>
    <col min="4361" max="4608" width="11.42578125" style="3"/>
    <col min="4609" max="4609" width="15.85546875" style="3" customWidth="1"/>
    <col min="4610" max="4610" width="14.85546875" style="3" customWidth="1"/>
    <col min="4611" max="4611" width="13.28515625" style="3" customWidth="1"/>
    <col min="4612" max="4612" width="11.42578125" style="3"/>
    <col min="4613" max="4613" width="13.42578125" style="3" customWidth="1"/>
    <col min="4614" max="4614" width="12.7109375" style="3" customWidth="1"/>
    <col min="4615" max="4615" width="14" style="3" customWidth="1"/>
    <col min="4616" max="4616" width="7.42578125" style="3" customWidth="1"/>
    <col min="4617" max="4864" width="11.42578125" style="3"/>
    <col min="4865" max="4865" width="15.85546875" style="3" customWidth="1"/>
    <col min="4866" max="4866" width="14.85546875" style="3" customWidth="1"/>
    <col min="4867" max="4867" width="13.28515625" style="3" customWidth="1"/>
    <col min="4868" max="4868" width="11.42578125" style="3"/>
    <col min="4869" max="4869" width="13.42578125" style="3" customWidth="1"/>
    <col min="4870" max="4870" width="12.7109375" style="3" customWidth="1"/>
    <col min="4871" max="4871" width="14" style="3" customWidth="1"/>
    <col min="4872" max="4872" width="7.42578125" style="3" customWidth="1"/>
    <col min="4873" max="5120" width="11.42578125" style="3"/>
    <col min="5121" max="5121" width="15.85546875" style="3" customWidth="1"/>
    <col min="5122" max="5122" width="14.85546875" style="3" customWidth="1"/>
    <col min="5123" max="5123" width="13.28515625" style="3" customWidth="1"/>
    <col min="5124" max="5124" width="11.42578125" style="3"/>
    <col min="5125" max="5125" width="13.42578125" style="3" customWidth="1"/>
    <col min="5126" max="5126" width="12.7109375" style="3" customWidth="1"/>
    <col min="5127" max="5127" width="14" style="3" customWidth="1"/>
    <col min="5128" max="5128" width="7.42578125" style="3" customWidth="1"/>
    <col min="5129" max="5376" width="11.42578125" style="3"/>
    <col min="5377" max="5377" width="15.85546875" style="3" customWidth="1"/>
    <col min="5378" max="5378" width="14.85546875" style="3" customWidth="1"/>
    <col min="5379" max="5379" width="13.28515625" style="3" customWidth="1"/>
    <col min="5380" max="5380" width="11.42578125" style="3"/>
    <col min="5381" max="5381" width="13.42578125" style="3" customWidth="1"/>
    <col min="5382" max="5382" width="12.7109375" style="3" customWidth="1"/>
    <col min="5383" max="5383" width="14" style="3" customWidth="1"/>
    <col min="5384" max="5384" width="7.42578125" style="3" customWidth="1"/>
    <col min="5385" max="5632" width="11.42578125" style="3"/>
    <col min="5633" max="5633" width="15.85546875" style="3" customWidth="1"/>
    <col min="5634" max="5634" width="14.85546875" style="3" customWidth="1"/>
    <col min="5635" max="5635" width="13.28515625" style="3" customWidth="1"/>
    <col min="5636" max="5636" width="11.42578125" style="3"/>
    <col min="5637" max="5637" width="13.42578125" style="3" customWidth="1"/>
    <col min="5638" max="5638" width="12.7109375" style="3" customWidth="1"/>
    <col min="5639" max="5639" width="14" style="3" customWidth="1"/>
    <col min="5640" max="5640" width="7.42578125" style="3" customWidth="1"/>
    <col min="5641" max="5888" width="11.42578125" style="3"/>
    <col min="5889" max="5889" width="15.85546875" style="3" customWidth="1"/>
    <col min="5890" max="5890" width="14.85546875" style="3" customWidth="1"/>
    <col min="5891" max="5891" width="13.28515625" style="3" customWidth="1"/>
    <col min="5892" max="5892" width="11.42578125" style="3"/>
    <col min="5893" max="5893" width="13.42578125" style="3" customWidth="1"/>
    <col min="5894" max="5894" width="12.7109375" style="3" customWidth="1"/>
    <col min="5895" max="5895" width="14" style="3" customWidth="1"/>
    <col min="5896" max="5896" width="7.42578125" style="3" customWidth="1"/>
    <col min="5897" max="6144" width="11.42578125" style="3"/>
    <col min="6145" max="6145" width="15.85546875" style="3" customWidth="1"/>
    <col min="6146" max="6146" width="14.85546875" style="3" customWidth="1"/>
    <col min="6147" max="6147" width="13.28515625" style="3" customWidth="1"/>
    <col min="6148" max="6148" width="11.42578125" style="3"/>
    <col min="6149" max="6149" width="13.42578125" style="3" customWidth="1"/>
    <col min="6150" max="6150" width="12.7109375" style="3" customWidth="1"/>
    <col min="6151" max="6151" width="14" style="3" customWidth="1"/>
    <col min="6152" max="6152" width="7.42578125" style="3" customWidth="1"/>
    <col min="6153" max="6400" width="11.42578125" style="3"/>
    <col min="6401" max="6401" width="15.85546875" style="3" customWidth="1"/>
    <col min="6402" max="6402" width="14.85546875" style="3" customWidth="1"/>
    <col min="6403" max="6403" width="13.28515625" style="3" customWidth="1"/>
    <col min="6404" max="6404" width="11.42578125" style="3"/>
    <col min="6405" max="6405" width="13.42578125" style="3" customWidth="1"/>
    <col min="6406" max="6406" width="12.7109375" style="3" customWidth="1"/>
    <col min="6407" max="6407" width="14" style="3" customWidth="1"/>
    <col min="6408" max="6408" width="7.42578125" style="3" customWidth="1"/>
    <col min="6409" max="6656" width="11.42578125" style="3"/>
    <col min="6657" max="6657" width="15.85546875" style="3" customWidth="1"/>
    <col min="6658" max="6658" width="14.85546875" style="3" customWidth="1"/>
    <col min="6659" max="6659" width="13.28515625" style="3" customWidth="1"/>
    <col min="6660" max="6660" width="11.42578125" style="3"/>
    <col min="6661" max="6661" width="13.42578125" style="3" customWidth="1"/>
    <col min="6662" max="6662" width="12.7109375" style="3" customWidth="1"/>
    <col min="6663" max="6663" width="14" style="3" customWidth="1"/>
    <col min="6664" max="6664" width="7.42578125" style="3" customWidth="1"/>
    <col min="6665" max="6912" width="11.42578125" style="3"/>
    <col min="6913" max="6913" width="15.85546875" style="3" customWidth="1"/>
    <col min="6914" max="6914" width="14.85546875" style="3" customWidth="1"/>
    <col min="6915" max="6915" width="13.28515625" style="3" customWidth="1"/>
    <col min="6916" max="6916" width="11.42578125" style="3"/>
    <col min="6917" max="6917" width="13.42578125" style="3" customWidth="1"/>
    <col min="6918" max="6918" width="12.7109375" style="3" customWidth="1"/>
    <col min="6919" max="6919" width="14" style="3" customWidth="1"/>
    <col min="6920" max="6920" width="7.42578125" style="3" customWidth="1"/>
    <col min="6921" max="7168" width="11.42578125" style="3"/>
    <col min="7169" max="7169" width="15.85546875" style="3" customWidth="1"/>
    <col min="7170" max="7170" width="14.85546875" style="3" customWidth="1"/>
    <col min="7171" max="7171" width="13.28515625" style="3" customWidth="1"/>
    <col min="7172" max="7172" width="11.42578125" style="3"/>
    <col min="7173" max="7173" width="13.42578125" style="3" customWidth="1"/>
    <col min="7174" max="7174" width="12.7109375" style="3" customWidth="1"/>
    <col min="7175" max="7175" width="14" style="3" customWidth="1"/>
    <col min="7176" max="7176" width="7.42578125" style="3" customWidth="1"/>
    <col min="7177" max="7424" width="11.42578125" style="3"/>
    <col min="7425" max="7425" width="15.85546875" style="3" customWidth="1"/>
    <col min="7426" max="7426" width="14.85546875" style="3" customWidth="1"/>
    <col min="7427" max="7427" width="13.28515625" style="3" customWidth="1"/>
    <col min="7428" max="7428" width="11.42578125" style="3"/>
    <col min="7429" max="7429" width="13.42578125" style="3" customWidth="1"/>
    <col min="7430" max="7430" width="12.7109375" style="3" customWidth="1"/>
    <col min="7431" max="7431" width="14" style="3" customWidth="1"/>
    <col min="7432" max="7432" width="7.42578125" style="3" customWidth="1"/>
    <col min="7433" max="7680" width="11.42578125" style="3"/>
    <col min="7681" max="7681" width="15.85546875" style="3" customWidth="1"/>
    <col min="7682" max="7682" width="14.85546875" style="3" customWidth="1"/>
    <col min="7683" max="7683" width="13.28515625" style="3" customWidth="1"/>
    <col min="7684" max="7684" width="11.42578125" style="3"/>
    <col min="7685" max="7685" width="13.42578125" style="3" customWidth="1"/>
    <col min="7686" max="7686" width="12.7109375" style="3" customWidth="1"/>
    <col min="7687" max="7687" width="14" style="3" customWidth="1"/>
    <col min="7688" max="7688" width="7.42578125" style="3" customWidth="1"/>
    <col min="7689" max="7936" width="11.42578125" style="3"/>
    <col min="7937" max="7937" width="15.85546875" style="3" customWidth="1"/>
    <col min="7938" max="7938" width="14.85546875" style="3" customWidth="1"/>
    <col min="7939" max="7939" width="13.28515625" style="3" customWidth="1"/>
    <col min="7940" max="7940" width="11.42578125" style="3"/>
    <col min="7941" max="7941" width="13.42578125" style="3" customWidth="1"/>
    <col min="7942" max="7942" width="12.7109375" style="3" customWidth="1"/>
    <col min="7943" max="7943" width="14" style="3" customWidth="1"/>
    <col min="7944" max="7944" width="7.42578125" style="3" customWidth="1"/>
    <col min="7945" max="8192" width="11.42578125" style="3"/>
    <col min="8193" max="8193" width="15.85546875" style="3" customWidth="1"/>
    <col min="8194" max="8194" width="14.85546875" style="3" customWidth="1"/>
    <col min="8195" max="8195" width="13.28515625" style="3" customWidth="1"/>
    <col min="8196" max="8196" width="11.42578125" style="3"/>
    <col min="8197" max="8197" width="13.42578125" style="3" customWidth="1"/>
    <col min="8198" max="8198" width="12.7109375" style="3" customWidth="1"/>
    <col min="8199" max="8199" width="14" style="3" customWidth="1"/>
    <col min="8200" max="8200" width="7.42578125" style="3" customWidth="1"/>
    <col min="8201" max="8448" width="11.42578125" style="3"/>
    <col min="8449" max="8449" width="15.85546875" style="3" customWidth="1"/>
    <col min="8450" max="8450" width="14.85546875" style="3" customWidth="1"/>
    <col min="8451" max="8451" width="13.28515625" style="3" customWidth="1"/>
    <col min="8452" max="8452" width="11.42578125" style="3"/>
    <col min="8453" max="8453" width="13.42578125" style="3" customWidth="1"/>
    <col min="8454" max="8454" width="12.7109375" style="3" customWidth="1"/>
    <col min="8455" max="8455" width="14" style="3" customWidth="1"/>
    <col min="8456" max="8456" width="7.42578125" style="3" customWidth="1"/>
    <col min="8457" max="8704" width="11.42578125" style="3"/>
    <col min="8705" max="8705" width="15.85546875" style="3" customWidth="1"/>
    <col min="8706" max="8706" width="14.85546875" style="3" customWidth="1"/>
    <col min="8707" max="8707" width="13.28515625" style="3" customWidth="1"/>
    <col min="8708" max="8708" width="11.42578125" style="3"/>
    <col min="8709" max="8709" width="13.42578125" style="3" customWidth="1"/>
    <col min="8710" max="8710" width="12.7109375" style="3" customWidth="1"/>
    <col min="8711" max="8711" width="14" style="3" customWidth="1"/>
    <col min="8712" max="8712" width="7.42578125" style="3" customWidth="1"/>
    <col min="8713" max="8960" width="11.42578125" style="3"/>
    <col min="8961" max="8961" width="15.85546875" style="3" customWidth="1"/>
    <col min="8962" max="8962" width="14.85546875" style="3" customWidth="1"/>
    <col min="8963" max="8963" width="13.28515625" style="3" customWidth="1"/>
    <col min="8964" max="8964" width="11.42578125" style="3"/>
    <col min="8965" max="8965" width="13.42578125" style="3" customWidth="1"/>
    <col min="8966" max="8966" width="12.7109375" style="3" customWidth="1"/>
    <col min="8967" max="8967" width="14" style="3" customWidth="1"/>
    <col min="8968" max="8968" width="7.42578125" style="3" customWidth="1"/>
    <col min="8969" max="9216" width="11.42578125" style="3"/>
    <col min="9217" max="9217" width="15.85546875" style="3" customWidth="1"/>
    <col min="9218" max="9218" width="14.85546875" style="3" customWidth="1"/>
    <col min="9219" max="9219" width="13.28515625" style="3" customWidth="1"/>
    <col min="9220" max="9220" width="11.42578125" style="3"/>
    <col min="9221" max="9221" width="13.42578125" style="3" customWidth="1"/>
    <col min="9222" max="9222" width="12.7109375" style="3" customWidth="1"/>
    <col min="9223" max="9223" width="14" style="3" customWidth="1"/>
    <col min="9224" max="9224" width="7.42578125" style="3" customWidth="1"/>
    <col min="9225" max="9472" width="11.42578125" style="3"/>
    <col min="9473" max="9473" width="15.85546875" style="3" customWidth="1"/>
    <col min="9474" max="9474" width="14.85546875" style="3" customWidth="1"/>
    <col min="9475" max="9475" width="13.28515625" style="3" customWidth="1"/>
    <col min="9476" max="9476" width="11.42578125" style="3"/>
    <col min="9477" max="9477" width="13.42578125" style="3" customWidth="1"/>
    <col min="9478" max="9478" width="12.7109375" style="3" customWidth="1"/>
    <col min="9479" max="9479" width="14" style="3" customWidth="1"/>
    <col min="9480" max="9480" width="7.42578125" style="3" customWidth="1"/>
    <col min="9481" max="9728" width="11.42578125" style="3"/>
    <col min="9729" max="9729" width="15.85546875" style="3" customWidth="1"/>
    <col min="9730" max="9730" width="14.85546875" style="3" customWidth="1"/>
    <col min="9731" max="9731" width="13.28515625" style="3" customWidth="1"/>
    <col min="9732" max="9732" width="11.42578125" style="3"/>
    <col min="9733" max="9733" width="13.42578125" style="3" customWidth="1"/>
    <col min="9734" max="9734" width="12.7109375" style="3" customWidth="1"/>
    <col min="9735" max="9735" width="14" style="3" customWidth="1"/>
    <col min="9736" max="9736" width="7.42578125" style="3" customWidth="1"/>
    <col min="9737" max="9984" width="11.42578125" style="3"/>
    <col min="9985" max="9985" width="15.85546875" style="3" customWidth="1"/>
    <col min="9986" max="9986" width="14.85546875" style="3" customWidth="1"/>
    <col min="9987" max="9987" width="13.28515625" style="3" customWidth="1"/>
    <col min="9988" max="9988" width="11.42578125" style="3"/>
    <col min="9989" max="9989" width="13.42578125" style="3" customWidth="1"/>
    <col min="9990" max="9990" width="12.7109375" style="3" customWidth="1"/>
    <col min="9991" max="9991" width="14" style="3" customWidth="1"/>
    <col min="9992" max="9992" width="7.42578125" style="3" customWidth="1"/>
    <col min="9993" max="10240" width="11.42578125" style="3"/>
    <col min="10241" max="10241" width="15.85546875" style="3" customWidth="1"/>
    <col min="10242" max="10242" width="14.85546875" style="3" customWidth="1"/>
    <col min="10243" max="10243" width="13.28515625" style="3" customWidth="1"/>
    <col min="10244" max="10244" width="11.42578125" style="3"/>
    <col min="10245" max="10245" width="13.42578125" style="3" customWidth="1"/>
    <col min="10246" max="10246" width="12.7109375" style="3" customWidth="1"/>
    <col min="10247" max="10247" width="14" style="3" customWidth="1"/>
    <col min="10248" max="10248" width="7.42578125" style="3" customWidth="1"/>
    <col min="10249" max="10496" width="11.42578125" style="3"/>
    <col min="10497" max="10497" width="15.85546875" style="3" customWidth="1"/>
    <col min="10498" max="10498" width="14.85546875" style="3" customWidth="1"/>
    <col min="10499" max="10499" width="13.28515625" style="3" customWidth="1"/>
    <col min="10500" max="10500" width="11.42578125" style="3"/>
    <col min="10501" max="10501" width="13.42578125" style="3" customWidth="1"/>
    <col min="10502" max="10502" width="12.7109375" style="3" customWidth="1"/>
    <col min="10503" max="10503" width="14" style="3" customWidth="1"/>
    <col min="10504" max="10504" width="7.42578125" style="3" customWidth="1"/>
    <col min="10505" max="10752" width="11.42578125" style="3"/>
    <col min="10753" max="10753" width="15.85546875" style="3" customWidth="1"/>
    <col min="10754" max="10754" width="14.85546875" style="3" customWidth="1"/>
    <col min="10755" max="10755" width="13.28515625" style="3" customWidth="1"/>
    <col min="10756" max="10756" width="11.42578125" style="3"/>
    <col min="10757" max="10757" width="13.42578125" style="3" customWidth="1"/>
    <col min="10758" max="10758" width="12.7109375" style="3" customWidth="1"/>
    <col min="10759" max="10759" width="14" style="3" customWidth="1"/>
    <col min="10760" max="10760" width="7.42578125" style="3" customWidth="1"/>
    <col min="10761" max="11008" width="11.42578125" style="3"/>
    <col min="11009" max="11009" width="15.85546875" style="3" customWidth="1"/>
    <col min="11010" max="11010" width="14.85546875" style="3" customWidth="1"/>
    <col min="11011" max="11011" width="13.28515625" style="3" customWidth="1"/>
    <col min="11012" max="11012" width="11.42578125" style="3"/>
    <col min="11013" max="11013" width="13.42578125" style="3" customWidth="1"/>
    <col min="11014" max="11014" width="12.7109375" style="3" customWidth="1"/>
    <col min="11015" max="11015" width="14" style="3" customWidth="1"/>
    <col min="11016" max="11016" width="7.42578125" style="3" customWidth="1"/>
    <col min="11017" max="11264" width="11.42578125" style="3"/>
    <col min="11265" max="11265" width="15.85546875" style="3" customWidth="1"/>
    <col min="11266" max="11266" width="14.85546875" style="3" customWidth="1"/>
    <col min="11267" max="11267" width="13.28515625" style="3" customWidth="1"/>
    <col min="11268" max="11268" width="11.42578125" style="3"/>
    <col min="11269" max="11269" width="13.42578125" style="3" customWidth="1"/>
    <col min="11270" max="11270" width="12.7109375" style="3" customWidth="1"/>
    <col min="11271" max="11271" width="14" style="3" customWidth="1"/>
    <col min="11272" max="11272" width="7.42578125" style="3" customWidth="1"/>
    <col min="11273" max="11520" width="11.42578125" style="3"/>
    <col min="11521" max="11521" width="15.85546875" style="3" customWidth="1"/>
    <col min="11522" max="11522" width="14.85546875" style="3" customWidth="1"/>
    <col min="11523" max="11523" width="13.28515625" style="3" customWidth="1"/>
    <col min="11524" max="11524" width="11.42578125" style="3"/>
    <col min="11525" max="11525" width="13.42578125" style="3" customWidth="1"/>
    <col min="11526" max="11526" width="12.7109375" style="3" customWidth="1"/>
    <col min="11527" max="11527" width="14" style="3" customWidth="1"/>
    <col min="11528" max="11528" width="7.42578125" style="3" customWidth="1"/>
    <col min="11529" max="11776" width="11.42578125" style="3"/>
    <col min="11777" max="11777" width="15.85546875" style="3" customWidth="1"/>
    <col min="11778" max="11778" width="14.85546875" style="3" customWidth="1"/>
    <col min="11779" max="11779" width="13.28515625" style="3" customWidth="1"/>
    <col min="11780" max="11780" width="11.42578125" style="3"/>
    <col min="11781" max="11781" width="13.42578125" style="3" customWidth="1"/>
    <col min="11782" max="11782" width="12.7109375" style="3" customWidth="1"/>
    <col min="11783" max="11783" width="14" style="3" customWidth="1"/>
    <col min="11784" max="11784" width="7.42578125" style="3" customWidth="1"/>
    <col min="11785" max="12032" width="11.42578125" style="3"/>
    <col min="12033" max="12033" width="15.85546875" style="3" customWidth="1"/>
    <col min="12034" max="12034" width="14.85546875" style="3" customWidth="1"/>
    <col min="12035" max="12035" width="13.28515625" style="3" customWidth="1"/>
    <col min="12036" max="12036" width="11.42578125" style="3"/>
    <col min="12037" max="12037" width="13.42578125" style="3" customWidth="1"/>
    <col min="12038" max="12038" width="12.7109375" style="3" customWidth="1"/>
    <col min="12039" max="12039" width="14" style="3" customWidth="1"/>
    <col min="12040" max="12040" width="7.42578125" style="3" customWidth="1"/>
    <col min="12041" max="12288" width="11.42578125" style="3"/>
    <col min="12289" max="12289" width="15.85546875" style="3" customWidth="1"/>
    <col min="12290" max="12290" width="14.85546875" style="3" customWidth="1"/>
    <col min="12291" max="12291" width="13.28515625" style="3" customWidth="1"/>
    <col min="12292" max="12292" width="11.42578125" style="3"/>
    <col min="12293" max="12293" width="13.42578125" style="3" customWidth="1"/>
    <col min="12294" max="12294" width="12.7109375" style="3" customWidth="1"/>
    <col min="12295" max="12295" width="14" style="3" customWidth="1"/>
    <col min="12296" max="12296" width="7.42578125" style="3" customWidth="1"/>
    <col min="12297" max="12544" width="11.42578125" style="3"/>
    <col min="12545" max="12545" width="15.85546875" style="3" customWidth="1"/>
    <col min="12546" max="12546" width="14.85546875" style="3" customWidth="1"/>
    <col min="12547" max="12547" width="13.28515625" style="3" customWidth="1"/>
    <col min="12548" max="12548" width="11.42578125" style="3"/>
    <col min="12549" max="12549" width="13.42578125" style="3" customWidth="1"/>
    <col min="12550" max="12550" width="12.7109375" style="3" customWidth="1"/>
    <col min="12551" max="12551" width="14" style="3" customWidth="1"/>
    <col min="12552" max="12552" width="7.42578125" style="3" customWidth="1"/>
    <col min="12553" max="12800" width="11.42578125" style="3"/>
    <col min="12801" max="12801" width="15.85546875" style="3" customWidth="1"/>
    <col min="12802" max="12802" width="14.85546875" style="3" customWidth="1"/>
    <col min="12803" max="12803" width="13.28515625" style="3" customWidth="1"/>
    <col min="12804" max="12804" width="11.42578125" style="3"/>
    <col min="12805" max="12805" width="13.42578125" style="3" customWidth="1"/>
    <col min="12806" max="12806" width="12.7109375" style="3" customWidth="1"/>
    <col min="12807" max="12807" width="14" style="3" customWidth="1"/>
    <col min="12808" max="12808" width="7.42578125" style="3" customWidth="1"/>
    <col min="12809" max="13056" width="11.42578125" style="3"/>
    <col min="13057" max="13057" width="15.85546875" style="3" customWidth="1"/>
    <col min="13058" max="13058" width="14.85546875" style="3" customWidth="1"/>
    <col min="13059" max="13059" width="13.28515625" style="3" customWidth="1"/>
    <col min="13060" max="13060" width="11.42578125" style="3"/>
    <col min="13061" max="13061" width="13.42578125" style="3" customWidth="1"/>
    <col min="13062" max="13062" width="12.7109375" style="3" customWidth="1"/>
    <col min="13063" max="13063" width="14" style="3" customWidth="1"/>
    <col min="13064" max="13064" width="7.42578125" style="3" customWidth="1"/>
    <col min="13065" max="13312" width="11.42578125" style="3"/>
    <col min="13313" max="13313" width="15.85546875" style="3" customWidth="1"/>
    <col min="13314" max="13314" width="14.85546875" style="3" customWidth="1"/>
    <col min="13315" max="13315" width="13.28515625" style="3" customWidth="1"/>
    <col min="13316" max="13316" width="11.42578125" style="3"/>
    <col min="13317" max="13317" width="13.42578125" style="3" customWidth="1"/>
    <col min="13318" max="13318" width="12.7109375" style="3" customWidth="1"/>
    <col min="13319" max="13319" width="14" style="3" customWidth="1"/>
    <col min="13320" max="13320" width="7.42578125" style="3" customWidth="1"/>
    <col min="13321" max="13568" width="11.42578125" style="3"/>
    <col min="13569" max="13569" width="15.85546875" style="3" customWidth="1"/>
    <col min="13570" max="13570" width="14.85546875" style="3" customWidth="1"/>
    <col min="13571" max="13571" width="13.28515625" style="3" customWidth="1"/>
    <col min="13572" max="13572" width="11.42578125" style="3"/>
    <col min="13573" max="13573" width="13.42578125" style="3" customWidth="1"/>
    <col min="13574" max="13574" width="12.7109375" style="3" customWidth="1"/>
    <col min="13575" max="13575" width="14" style="3" customWidth="1"/>
    <col min="13576" max="13576" width="7.42578125" style="3" customWidth="1"/>
    <col min="13577" max="13824" width="11.42578125" style="3"/>
    <col min="13825" max="13825" width="15.85546875" style="3" customWidth="1"/>
    <col min="13826" max="13826" width="14.85546875" style="3" customWidth="1"/>
    <col min="13827" max="13827" width="13.28515625" style="3" customWidth="1"/>
    <col min="13828" max="13828" width="11.42578125" style="3"/>
    <col min="13829" max="13829" width="13.42578125" style="3" customWidth="1"/>
    <col min="13830" max="13830" width="12.7109375" style="3" customWidth="1"/>
    <col min="13831" max="13831" width="14" style="3" customWidth="1"/>
    <col min="13832" max="13832" width="7.42578125" style="3" customWidth="1"/>
    <col min="13833" max="14080" width="11.42578125" style="3"/>
    <col min="14081" max="14081" width="15.85546875" style="3" customWidth="1"/>
    <col min="14082" max="14082" width="14.85546875" style="3" customWidth="1"/>
    <col min="14083" max="14083" width="13.28515625" style="3" customWidth="1"/>
    <col min="14084" max="14084" width="11.42578125" style="3"/>
    <col min="14085" max="14085" width="13.42578125" style="3" customWidth="1"/>
    <col min="14086" max="14086" width="12.7109375" style="3" customWidth="1"/>
    <col min="14087" max="14087" width="14" style="3" customWidth="1"/>
    <col min="14088" max="14088" width="7.42578125" style="3" customWidth="1"/>
    <col min="14089" max="14336" width="11.42578125" style="3"/>
    <col min="14337" max="14337" width="15.85546875" style="3" customWidth="1"/>
    <col min="14338" max="14338" width="14.85546875" style="3" customWidth="1"/>
    <col min="14339" max="14339" width="13.28515625" style="3" customWidth="1"/>
    <col min="14340" max="14340" width="11.42578125" style="3"/>
    <col min="14341" max="14341" width="13.42578125" style="3" customWidth="1"/>
    <col min="14342" max="14342" width="12.7109375" style="3" customWidth="1"/>
    <col min="14343" max="14343" width="14" style="3" customWidth="1"/>
    <col min="14344" max="14344" width="7.42578125" style="3" customWidth="1"/>
    <col min="14345" max="14592" width="11.42578125" style="3"/>
    <col min="14593" max="14593" width="15.85546875" style="3" customWidth="1"/>
    <col min="14594" max="14594" width="14.85546875" style="3" customWidth="1"/>
    <col min="14595" max="14595" width="13.28515625" style="3" customWidth="1"/>
    <col min="14596" max="14596" width="11.42578125" style="3"/>
    <col min="14597" max="14597" width="13.42578125" style="3" customWidth="1"/>
    <col min="14598" max="14598" width="12.7109375" style="3" customWidth="1"/>
    <col min="14599" max="14599" width="14" style="3" customWidth="1"/>
    <col min="14600" max="14600" width="7.42578125" style="3" customWidth="1"/>
    <col min="14601" max="14848" width="11.42578125" style="3"/>
    <col min="14849" max="14849" width="15.85546875" style="3" customWidth="1"/>
    <col min="14850" max="14850" width="14.85546875" style="3" customWidth="1"/>
    <col min="14851" max="14851" width="13.28515625" style="3" customWidth="1"/>
    <col min="14852" max="14852" width="11.42578125" style="3"/>
    <col min="14853" max="14853" width="13.42578125" style="3" customWidth="1"/>
    <col min="14854" max="14854" width="12.7109375" style="3" customWidth="1"/>
    <col min="14855" max="14855" width="14" style="3" customWidth="1"/>
    <col min="14856" max="14856" width="7.42578125" style="3" customWidth="1"/>
    <col min="14857" max="15104" width="11.42578125" style="3"/>
    <col min="15105" max="15105" width="15.85546875" style="3" customWidth="1"/>
    <col min="15106" max="15106" width="14.85546875" style="3" customWidth="1"/>
    <col min="15107" max="15107" width="13.28515625" style="3" customWidth="1"/>
    <col min="15108" max="15108" width="11.42578125" style="3"/>
    <col min="15109" max="15109" width="13.42578125" style="3" customWidth="1"/>
    <col min="15110" max="15110" width="12.7109375" style="3" customWidth="1"/>
    <col min="15111" max="15111" width="14" style="3" customWidth="1"/>
    <col min="15112" max="15112" width="7.42578125" style="3" customWidth="1"/>
    <col min="15113" max="15360" width="11.42578125" style="3"/>
    <col min="15361" max="15361" width="15.85546875" style="3" customWidth="1"/>
    <col min="15362" max="15362" width="14.85546875" style="3" customWidth="1"/>
    <col min="15363" max="15363" width="13.28515625" style="3" customWidth="1"/>
    <col min="15364" max="15364" width="11.42578125" style="3"/>
    <col min="15365" max="15365" width="13.42578125" style="3" customWidth="1"/>
    <col min="15366" max="15366" width="12.7109375" style="3" customWidth="1"/>
    <col min="15367" max="15367" width="14" style="3" customWidth="1"/>
    <col min="15368" max="15368" width="7.42578125" style="3" customWidth="1"/>
    <col min="15369" max="15616" width="11.42578125" style="3"/>
    <col min="15617" max="15617" width="15.85546875" style="3" customWidth="1"/>
    <col min="15618" max="15618" width="14.85546875" style="3" customWidth="1"/>
    <col min="15619" max="15619" width="13.28515625" style="3" customWidth="1"/>
    <col min="15620" max="15620" width="11.42578125" style="3"/>
    <col min="15621" max="15621" width="13.42578125" style="3" customWidth="1"/>
    <col min="15622" max="15622" width="12.7109375" style="3" customWidth="1"/>
    <col min="15623" max="15623" width="14" style="3" customWidth="1"/>
    <col min="15624" max="15624" width="7.42578125" style="3" customWidth="1"/>
    <col min="15625" max="15872" width="11.42578125" style="3"/>
    <col min="15873" max="15873" width="15.85546875" style="3" customWidth="1"/>
    <col min="15874" max="15874" width="14.85546875" style="3" customWidth="1"/>
    <col min="15875" max="15875" width="13.28515625" style="3" customWidth="1"/>
    <col min="15876" max="15876" width="11.42578125" style="3"/>
    <col min="15877" max="15877" width="13.42578125" style="3" customWidth="1"/>
    <col min="15878" max="15878" width="12.7109375" style="3" customWidth="1"/>
    <col min="15879" max="15879" width="14" style="3" customWidth="1"/>
    <col min="15880" max="15880" width="7.42578125" style="3" customWidth="1"/>
    <col min="15881" max="16128" width="11.42578125" style="3"/>
    <col min="16129" max="16129" width="15.85546875" style="3" customWidth="1"/>
    <col min="16130" max="16130" width="14.85546875" style="3" customWidth="1"/>
    <col min="16131" max="16131" width="13.28515625" style="3" customWidth="1"/>
    <col min="16132" max="16132" width="11.42578125" style="3"/>
    <col min="16133" max="16133" width="13.42578125" style="3" customWidth="1"/>
    <col min="16134" max="16134" width="12.7109375" style="3" customWidth="1"/>
    <col min="16135" max="16135" width="14" style="3" customWidth="1"/>
    <col min="16136" max="16136" width="7.42578125" style="3" customWidth="1"/>
    <col min="16137" max="16384" width="11.42578125" style="3"/>
  </cols>
  <sheetData>
    <row r="1" spans="1:21" ht="48" customHeight="1">
      <c r="A1" s="1346" t="str">
        <f>PPTO!D3</f>
        <v>PRESUPUESTO
MUNICIPIO EL BAGRE (ANTIOQUIA).</v>
      </c>
      <c r="B1" s="1347"/>
      <c r="C1" s="1347"/>
      <c r="D1" s="1347"/>
      <c r="E1" s="1347"/>
      <c r="F1" s="1347"/>
      <c r="G1" s="1348"/>
      <c r="H1" s="1"/>
      <c r="I1" s="2"/>
    </row>
    <row r="2" spans="1:21" ht="18" customHeight="1">
      <c r="A2" s="1362" t="s">
        <v>16</v>
      </c>
      <c r="B2" s="1363"/>
      <c r="C2" s="1363"/>
      <c r="D2" s="1363"/>
      <c r="E2" s="1363"/>
      <c r="F2" s="1363"/>
      <c r="G2" s="1364"/>
      <c r="H2" s="1"/>
      <c r="I2" s="2"/>
    </row>
    <row r="3" spans="1:21" ht="27" customHeight="1">
      <c r="A3" s="1367" t="str">
        <f>+PPTO!$D$5</f>
        <v>PROYECTO DE MEJORAMIENTO VIAL, ESPACIO PUBLICO Y OBRAS COMPLEMENTARIAS DE LA AVENIDA LA JUVENTUD Y TRAMOS ADYACENTES Y PRIORITARIOS DEL SECTOR URBANO EN EL MUNICIPIO EL BAGRE ANTIOQUIA.</v>
      </c>
      <c r="B3" s="1368"/>
      <c r="C3" s="1368"/>
      <c r="D3" s="1368"/>
      <c r="E3" s="1368"/>
      <c r="F3" s="1368"/>
      <c r="G3" s="1369"/>
      <c r="H3" s="1"/>
      <c r="I3" s="2"/>
    </row>
    <row r="4" spans="1:21" ht="30" customHeight="1">
      <c r="A4" s="1370"/>
      <c r="B4" s="1368"/>
      <c r="C4" s="1368"/>
      <c r="D4" s="1368"/>
      <c r="E4" s="1368"/>
      <c r="F4" s="1368"/>
      <c r="G4" s="1369"/>
      <c r="H4" s="1"/>
      <c r="I4" s="2"/>
    </row>
    <row r="5" spans="1:21" ht="6.75" customHeight="1">
      <c r="A5" s="222"/>
      <c r="B5" s="6"/>
      <c r="C5" s="24"/>
      <c r="D5" s="25"/>
      <c r="E5" s="6"/>
      <c r="F5" s="6"/>
      <c r="G5" s="223"/>
      <c r="H5" s="9"/>
    </row>
    <row r="6" spans="1:21" ht="52.5" customHeight="1">
      <c r="A6" s="368">
        <v>6.13</v>
      </c>
      <c r="B6" s="1349" t="str">
        <f>VLOOKUP(A6,PPTO!D9:I136,2,FALSE)</f>
        <v>Suministro e instalacion tuberia en PVC Novafort 33"</v>
      </c>
      <c r="C6" s="1350"/>
      <c r="D6" s="1350"/>
      <c r="E6" s="1351"/>
      <c r="F6" s="192" t="s">
        <v>118</v>
      </c>
      <c r="G6" s="248" t="str">
        <f>VLOOKUP(A6,PPTO!D9:I136,3,FALSE)</f>
        <v>m</v>
      </c>
      <c r="H6" s="9"/>
    </row>
    <row r="7" spans="1:21" ht="3.75" customHeight="1">
      <c r="A7" s="226"/>
      <c r="B7" s="4"/>
      <c r="C7" s="6"/>
      <c r="D7" s="4"/>
      <c r="E7" s="4"/>
      <c r="F7" s="4"/>
      <c r="G7" s="227"/>
      <c r="H7" s="9"/>
    </row>
    <row r="8" spans="1:21" ht="22.5" customHeight="1">
      <c r="A8" s="1354" t="s">
        <v>69</v>
      </c>
      <c r="B8" s="1355"/>
      <c r="C8" s="1355"/>
      <c r="D8" s="1355"/>
      <c r="E8" s="1355"/>
      <c r="F8" s="1355"/>
      <c r="G8" s="1356"/>
      <c r="H8" s="9"/>
    </row>
    <row r="9" spans="1:21" ht="4.5" customHeight="1">
      <c r="A9" s="226"/>
      <c r="B9" s="4"/>
      <c r="C9" s="6"/>
      <c r="D9" s="4"/>
      <c r="E9" s="4"/>
      <c r="F9" s="4"/>
      <c r="G9" s="227"/>
      <c r="H9" s="9"/>
      <c r="I9" s="5"/>
      <c r="J9" s="5"/>
      <c r="K9" s="5"/>
      <c r="L9" s="26"/>
      <c r="M9" s="5"/>
      <c r="N9" s="5"/>
      <c r="O9" s="5"/>
      <c r="P9" s="5"/>
    </row>
    <row r="10" spans="1:21">
      <c r="A10" s="1373" t="s">
        <v>17</v>
      </c>
      <c r="B10" s="1374"/>
      <c r="C10" s="1374"/>
      <c r="D10" s="346" t="s">
        <v>18</v>
      </c>
      <c r="E10" s="346" t="s">
        <v>19</v>
      </c>
      <c r="F10" s="346" t="s">
        <v>20</v>
      </c>
      <c r="G10" s="228" t="s">
        <v>21</v>
      </c>
      <c r="H10" s="27"/>
      <c r="I10" s="28"/>
      <c r="J10" s="29"/>
      <c r="K10" s="30"/>
      <c r="L10" s="30"/>
      <c r="M10" s="30"/>
      <c r="N10" s="30"/>
      <c r="O10" s="30"/>
      <c r="P10" s="5"/>
    </row>
    <row r="11" spans="1:21">
      <c r="A11" s="1352" t="s">
        <v>47</v>
      </c>
      <c r="B11" s="1353"/>
      <c r="C11" s="1353"/>
      <c r="D11" s="346"/>
      <c r="E11" s="83"/>
      <c r="F11" s="97"/>
      <c r="G11" s="229">
        <f>+G39*10%</f>
        <v>5090</v>
      </c>
      <c r="H11" s="9"/>
      <c r="I11" s="30"/>
      <c r="J11" s="31"/>
      <c r="K11" s="30"/>
      <c r="L11" s="30"/>
      <c r="M11" s="30"/>
      <c r="N11" s="30"/>
      <c r="O11" s="30"/>
      <c r="P11" s="5"/>
    </row>
    <row r="12" spans="1:21">
      <c r="A12" s="1371"/>
      <c r="B12" s="1372"/>
      <c r="C12" s="1372"/>
      <c r="D12" s="83"/>
      <c r="E12" s="83"/>
      <c r="F12" s="93"/>
      <c r="G12" s="229"/>
      <c r="H12" s="9"/>
      <c r="I12" s="16"/>
      <c r="J12" s="13"/>
      <c r="K12" s="8"/>
      <c r="L12" s="8"/>
      <c r="M12" s="8"/>
      <c r="N12" s="8"/>
      <c r="O12" s="8"/>
      <c r="P12" s="5"/>
    </row>
    <row r="13" spans="1:21">
      <c r="A13" s="1371"/>
      <c r="B13" s="1372"/>
      <c r="C13" s="1372"/>
      <c r="D13" s="83"/>
      <c r="E13" s="83"/>
      <c r="F13" s="93"/>
      <c r="G13" s="229"/>
      <c r="H13" s="9"/>
      <c r="I13" s="13"/>
      <c r="J13" s="13"/>
      <c r="K13" s="13"/>
      <c r="L13" s="13"/>
      <c r="M13" s="13"/>
      <c r="N13" s="13"/>
      <c r="O13" s="13"/>
      <c r="P13" s="5"/>
    </row>
    <row r="14" spans="1:21">
      <c r="A14" s="1371"/>
      <c r="B14" s="1372"/>
      <c r="C14" s="1372"/>
      <c r="D14" s="83"/>
      <c r="E14" s="83"/>
      <c r="F14" s="93"/>
      <c r="G14" s="229"/>
      <c r="H14" s="9"/>
      <c r="I14" s="8"/>
      <c r="J14" s="14"/>
      <c r="K14" s="32"/>
      <c r="L14" s="14"/>
      <c r="M14" s="15"/>
      <c r="N14" s="15"/>
      <c r="O14" s="19"/>
      <c r="P14" s="5"/>
    </row>
    <row r="15" spans="1:21">
      <c r="A15" s="1371"/>
      <c r="B15" s="1372"/>
      <c r="C15" s="1372"/>
      <c r="D15" s="83"/>
      <c r="E15" s="83"/>
      <c r="F15" s="98"/>
      <c r="G15" s="229"/>
      <c r="H15" s="9"/>
      <c r="I15" s="8"/>
      <c r="J15" s="33"/>
      <c r="K15" s="32"/>
      <c r="L15" s="14"/>
      <c r="M15" s="15"/>
      <c r="N15" s="15"/>
      <c r="O15" s="19"/>
      <c r="P15" s="5"/>
      <c r="Q15" s="5"/>
      <c r="R15" s="5"/>
      <c r="S15" s="5"/>
      <c r="T15" s="5"/>
      <c r="U15" s="5"/>
    </row>
    <row r="16" spans="1:21">
      <c r="A16" s="1371"/>
      <c r="B16" s="1372"/>
      <c r="C16" s="1372"/>
      <c r="D16" s="85" t="s">
        <v>37</v>
      </c>
      <c r="E16" s="50"/>
      <c r="F16" s="49"/>
      <c r="G16" s="230">
        <f>SUM(G11:G15)</f>
        <v>5090</v>
      </c>
      <c r="H16" s="9"/>
      <c r="I16" s="34"/>
      <c r="J16" s="34"/>
      <c r="K16" s="35"/>
      <c r="L16" s="36"/>
      <c r="M16" s="7"/>
      <c r="N16" s="7"/>
      <c r="O16" s="19"/>
      <c r="P16" s="5"/>
      <c r="Q16" s="5"/>
      <c r="R16" s="5"/>
      <c r="S16" s="5"/>
      <c r="T16" s="5"/>
      <c r="U16" s="5"/>
    </row>
    <row r="17" spans="1:21" ht="4.5" customHeight="1">
      <c r="A17" s="226"/>
      <c r="B17" s="4"/>
      <c r="C17" s="6"/>
      <c r="D17" s="4"/>
      <c r="E17" s="4"/>
      <c r="F17" s="4"/>
      <c r="G17" s="227"/>
      <c r="H17" s="9"/>
      <c r="I17" s="34"/>
      <c r="J17" s="34"/>
      <c r="K17" s="35"/>
      <c r="L17" s="36"/>
      <c r="M17" s="7"/>
      <c r="N17" s="7"/>
      <c r="O17" s="19"/>
      <c r="P17" s="5"/>
      <c r="Q17" s="5"/>
      <c r="R17" s="5"/>
      <c r="S17" s="5"/>
      <c r="T17" s="5"/>
      <c r="U17" s="5"/>
    </row>
    <row r="18" spans="1:21" ht="22.5" customHeight="1">
      <c r="A18" s="1354" t="s">
        <v>70</v>
      </c>
      <c r="B18" s="1355"/>
      <c r="C18" s="1355"/>
      <c r="D18" s="1355"/>
      <c r="E18" s="1355"/>
      <c r="F18" s="1355"/>
      <c r="G18" s="1356"/>
      <c r="H18" s="9"/>
    </row>
    <row r="19" spans="1:21" ht="4.5" customHeight="1">
      <c r="A19" s="226"/>
      <c r="B19" s="4"/>
      <c r="C19" s="6"/>
      <c r="D19" s="4"/>
      <c r="E19" s="4"/>
      <c r="F19" s="38"/>
      <c r="G19" s="227"/>
      <c r="H19" s="9"/>
      <c r="I19" s="34"/>
      <c r="J19" s="34"/>
      <c r="K19" s="35"/>
      <c r="L19" s="39"/>
      <c r="M19" s="7"/>
      <c r="N19" s="7"/>
      <c r="O19" s="8"/>
      <c r="P19" s="5"/>
      <c r="Q19" s="5"/>
      <c r="R19" s="5"/>
      <c r="S19" s="5"/>
      <c r="T19" s="5"/>
      <c r="U19" s="5"/>
    </row>
    <row r="20" spans="1:21">
      <c r="A20" s="1373" t="s">
        <v>17</v>
      </c>
      <c r="B20" s="1374"/>
      <c r="C20" s="1374"/>
      <c r="D20" s="346" t="s">
        <v>3</v>
      </c>
      <c r="E20" s="346" t="s">
        <v>4</v>
      </c>
      <c r="F20" s="346" t="s">
        <v>25</v>
      </c>
      <c r="G20" s="228" t="s">
        <v>21</v>
      </c>
      <c r="H20" s="27"/>
      <c r="I20" s="34"/>
      <c r="J20" s="34"/>
      <c r="K20" s="35"/>
      <c r="L20" s="39"/>
      <c r="M20" s="7"/>
      <c r="N20" s="7"/>
      <c r="O20" s="8"/>
      <c r="P20" s="5"/>
      <c r="Q20" s="5"/>
      <c r="R20" s="5"/>
      <c r="S20" s="5"/>
      <c r="T20" s="5"/>
      <c r="U20" s="5"/>
    </row>
    <row r="21" spans="1:21" ht="31.5" customHeight="1">
      <c r="A21" s="1441" t="s">
        <v>230</v>
      </c>
      <c r="B21" s="1442"/>
      <c r="C21" s="1443"/>
      <c r="D21" s="118" t="s">
        <v>51</v>
      </c>
      <c r="E21" s="119">
        <v>1</v>
      </c>
      <c r="F21" s="87">
        <f>4515273/6*IPC</f>
        <v>776476</v>
      </c>
      <c r="G21" s="231">
        <f>ROUND(F21*E21,0)</f>
        <v>776476</v>
      </c>
      <c r="H21" s="9"/>
      <c r="I21" s="34"/>
      <c r="J21" s="34"/>
      <c r="K21" s="35"/>
      <c r="L21" s="36"/>
      <c r="M21" s="7"/>
      <c r="N21" s="7"/>
      <c r="O21" s="19"/>
      <c r="P21" s="5"/>
      <c r="Q21" s="5"/>
      <c r="R21" s="5"/>
      <c r="S21" s="5"/>
      <c r="T21" s="5"/>
      <c r="U21" s="5"/>
    </row>
    <row r="22" spans="1:21" ht="27.75" customHeight="1">
      <c r="A22" s="1444"/>
      <c r="B22" s="1403"/>
      <c r="C22" s="1404"/>
      <c r="D22" s="116"/>
      <c r="E22" s="117"/>
      <c r="F22" s="91"/>
      <c r="G22" s="231"/>
      <c r="H22" s="9"/>
      <c r="I22" s="10"/>
      <c r="J22" s="10"/>
      <c r="K22" s="12"/>
      <c r="L22" s="39"/>
      <c r="M22" s="7"/>
      <c r="N22" s="7"/>
      <c r="O22" s="15"/>
      <c r="P22" s="5"/>
      <c r="Q22" s="5"/>
      <c r="R22" s="5"/>
      <c r="S22" s="5"/>
      <c r="T22" s="5"/>
      <c r="U22" s="5"/>
    </row>
    <row r="23" spans="1:21">
      <c r="A23" s="1386"/>
      <c r="B23" s="1353"/>
      <c r="C23" s="1353"/>
      <c r="D23" s="79"/>
      <c r="E23" s="82"/>
      <c r="F23" s="83"/>
      <c r="G23" s="67"/>
      <c r="H23" s="9"/>
      <c r="I23" s="10"/>
      <c r="J23" s="10"/>
      <c r="K23" s="12"/>
      <c r="L23" s="39"/>
      <c r="M23" s="7"/>
      <c r="N23" s="7"/>
      <c r="O23" s="15"/>
      <c r="P23" s="5"/>
      <c r="Q23" s="5"/>
      <c r="R23" s="5"/>
      <c r="S23" s="5"/>
      <c r="T23" s="5"/>
      <c r="U23" s="5"/>
    </row>
    <row r="24" spans="1:21">
      <c r="A24" s="1352"/>
      <c r="B24" s="1353"/>
      <c r="C24" s="1353"/>
      <c r="D24" s="81"/>
      <c r="E24" s="88"/>
      <c r="F24" s="78"/>
      <c r="G24" s="231"/>
      <c r="H24" s="9"/>
      <c r="I24" s="10"/>
      <c r="J24" s="40"/>
      <c r="K24" s="12"/>
      <c r="L24" s="13"/>
      <c r="M24" s="14"/>
      <c r="N24" s="14"/>
      <c r="O24" s="15"/>
      <c r="P24" s="5"/>
      <c r="Q24" s="5"/>
      <c r="R24" s="5"/>
      <c r="S24" s="5"/>
      <c r="T24" s="5"/>
      <c r="U24" s="5"/>
    </row>
    <row r="25" spans="1:21">
      <c r="A25" s="1352"/>
      <c r="B25" s="1353"/>
      <c r="C25" s="1353"/>
      <c r="D25" s="81"/>
      <c r="E25" s="82"/>
      <c r="F25" s="78"/>
      <c r="G25" s="231"/>
      <c r="H25" s="9"/>
      <c r="I25" s="10"/>
      <c r="J25" s="11"/>
      <c r="K25" s="12"/>
      <c r="L25" s="13"/>
      <c r="M25" s="14"/>
      <c r="N25" s="14"/>
      <c r="O25" s="15"/>
      <c r="P25" s="5"/>
      <c r="Q25" s="5"/>
      <c r="R25" s="5"/>
      <c r="S25" s="5"/>
      <c r="T25" s="5"/>
      <c r="U25" s="5"/>
    </row>
    <row r="26" spans="1:21">
      <c r="A26" s="1352"/>
      <c r="B26" s="1353"/>
      <c r="C26" s="1353"/>
      <c r="D26" s="79"/>
      <c r="E26" s="82"/>
      <c r="F26" s="78"/>
      <c r="G26" s="231"/>
      <c r="H26" s="9"/>
      <c r="I26" s="10"/>
      <c r="J26" s="11"/>
      <c r="K26" s="12"/>
      <c r="L26" s="13"/>
      <c r="M26" s="14"/>
      <c r="N26" s="14"/>
      <c r="O26" s="15"/>
      <c r="P26" s="5"/>
      <c r="Q26" s="5"/>
      <c r="R26" s="5"/>
      <c r="S26" s="5"/>
      <c r="T26" s="5"/>
      <c r="U26" s="5"/>
    </row>
    <row r="27" spans="1:21">
      <c r="A27" s="1352"/>
      <c r="B27" s="1353"/>
      <c r="C27" s="1353"/>
      <c r="D27" s="79"/>
      <c r="E27" s="82"/>
      <c r="F27" s="78"/>
      <c r="G27" s="231"/>
      <c r="H27" s="9"/>
      <c r="I27" s="10"/>
      <c r="J27" s="11"/>
      <c r="K27" s="12"/>
      <c r="L27" s="13"/>
      <c r="M27" s="14"/>
      <c r="N27" s="14"/>
      <c r="O27" s="15"/>
      <c r="P27" s="5"/>
      <c r="Q27" s="5"/>
      <c r="R27" s="5"/>
      <c r="S27" s="5"/>
      <c r="T27" s="5"/>
      <c r="U27" s="5"/>
    </row>
    <row r="28" spans="1:21">
      <c r="A28" s="1352"/>
      <c r="B28" s="1353"/>
      <c r="C28" s="1353"/>
      <c r="D28" s="79"/>
      <c r="E28" s="82"/>
      <c r="F28" s="83"/>
      <c r="G28" s="231"/>
      <c r="H28" s="9"/>
      <c r="I28" s="41"/>
      <c r="J28" s="41"/>
      <c r="K28" s="12"/>
      <c r="L28" s="13"/>
      <c r="M28" s="14"/>
      <c r="N28" s="14"/>
      <c r="O28" s="15"/>
      <c r="P28" s="5"/>
      <c r="Q28" s="5"/>
      <c r="R28" s="5"/>
      <c r="S28" s="5"/>
      <c r="T28" s="5"/>
      <c r="U28" s="5"/>
    </row>
    <row r="29" spans="1:21">
      <c r="A29" s="1352"/>
      <c r="B29" s="1353"/>
      <c r="C29" s="1353"/>
      <c r="D29" s="84"/>
      <c r="E29" s="84"/>
      <c r="F29" s="83"/>
      <c r="G29" s="231"/>
      <c r="H29" s="9"/>
      <c r="I29" s="42"/>
      <c r="J29" s="42"/>
      <c r="K29" s="42"/>
      <c r="L29" s="13"/>
      <c r="M29" s="14"/>
      <c r="N29" s="14"/>
      <c r="O29" s="15"/>
      <c r="P29" s="5"/>
      <c r="Q29" s="5"/>
      <c r="R29" s="5"/>
      <c r="S29" s="5"/>
      <c r="T29" s="5"/>
      <c r="U29" s="5"/>
    </row>
    <row r="30" spans="1:21">
      <c r="A30" s="1352"/>
      <c r="B30" s="1353"/>
      <c r="C30" s="1353"/>
      <c r="D30" s="85" t="s">
        <v>28</v>
      </c>
      <c r="E30" s="50"/>
      <c r="F30" s="49"/>
      <c r="G30" s="230">
        <f>SUM(G21:G29)</f>
        <v>776476</v>
      </c>
      <c r="H30" s="9"/>
      <c r="I30" s="8"/>
      <c r="J30" s="13"/>
      <c r="K30" s="8"/>
      <c r="L30" s="13"/>
      <c r="M30" s="14"/>
      <c r="N30" s="14"/>
      <c r="O30" s="15"/>
      <c r="P30" s="5"/>
    </row>
    <row r="31" spans="1:21" ht="3.75" customHeight="1">
      <c r="A31" s="226"/>
      <c r="B31" s="4"/>
      <c r="C31" s="6"/>
      <c r="D31" s="4"/>
      <c r="E31" s="4"/>
      <c r="F31" s="4"/>
      <c r="G31" s="227"/>
      <c r="H31" s="9"/>
      <c r="I31" s="8"/>
      <c r="J31" s="13"/>
      <c r="K31" s="18"/>
      <c r="L31" s="13"/>
      <c r="M31" s="33"/>
      <c r="N31" s="33"/>
      <c r="O31" s="15"/>
      <c r="P31" s="5"/>
    </row>
    <row r="32" spans="1:21" ht="22.5" customHeight="1">
      <c r="A32" s="1354" t="s">
        <v>71</v>
      </c>
      <c r="B32" s="1355"/>
      <c r="C32" s="1355"/>
      <c r="D32" s="1355"/>
      <c r="E32" s="1355"/>
      <c r="F32" s="1355"/>
      <c r="G32" s="1356"/>
      <c r="H32" s="9"/>
    </row>
    <row r="33" spans="1:16" ht="3.75" customHeight="1">
      <c r="A33" s="226"/>
      <c r="B33" s="4"/>
      <c r="C33" s="6"/>
      <c r="D33" s="4"/>
      <c r="E33" s="4"/>
      <c r="F33" s="4"/>
      <c r="G33" s="227"/>
      <c r="H33" s="9"/>
      <c r="I33" s="8"/>
      <c r="J33" s="13"/>
      <c r="K33" s="8"/>
      <c r="L33" s="8"/>
      <c r="M33" s="8"/>
      <c r="N33" s="8"/>
      <c r="O33" s="15"/>
      <c r="P33" s="5"/>
    </row>
    <row r="34" spans="1:16">
      <c r="A34" s="232" t="s">
        <v>5</v>
      </c>
      <c r="B34" s="60" t="s">
        <v>29</v>
      </c>
      <c r="C34" s="60" t="s">
        <v>30</v>
      </c>
      <c r="D34" s="60" t="s">
        <v>31</v>
      </c>
      <c r="E34" s="60" t="s">
        <v>32</v>
      </c>
      <c r="F34" s="60" t="s">
        <v>20</v>
      </c>
      <c r="G34" s="228" t="s">
        <v>33</v>
      </c>
      <c r="H34" s="27"/>
      <c r="I34" s="8"/>
      <c r="J34" s="13"/>
      <c r="K34" s="8"/>
      <c r="L34" s="8"/>
      <c r="M34" s="8"/>
      <c r="N34" s="8"/>
      <c r="O34" s="15"/>
      <c r="P34" s="5"/>
    </row>
    <row r="35" spans="1:16">
      <c r="A35" s="233" t="s">
        <v>41</v>
      </c>
      <c r="B35" s="63">
        <f>BOF</f>
        <v>51749</v>
      </c>
      <c r="C35" s="68">
        <f>ffpp</f>
        <v>0.64539999999999997</v>
      </c>
      <c r="D35" s="72">
        <v>1</v>
      </c>
      <c r="E35" s="66">
        <f>OF</f>
        <v>88696</v>
      </c>
      <c r="F35" s="65">
        <v>6</v>
      </c>
      <c r="G35" s="231">
        <f>ROUND(+D35*E35/F35,0)</f>
        <v>14783</v>
      </c>
      <c r="H35" s="9"/>
      <c r="I35" s="16"/>
      <c r="J35" s="13"/>
      <c r="K35" s="8"/>
      <c r="L35" s="8"/>
      <c r="M35" s="8"/>
      <c r="N35" s="8"/>
      <c r="O35" s="15"/>
      <c r="P35" s="5"/>
    </row>
    <row r="36" spans="1:16">
      <c r="A36" s="233" t="s">
        <v>38</v>
      </c>
      <c r="B36" s="63">
        <f>BOB</f>
        <v>41749</v>
      </c>
      <c r="C36" s="68">
        <f>ffpp</f>
        <v>0.64539999999999997</v>
      </c>
      <c r="D36" s="72">
        <v>3</v>
      </c>
      <c r="E36" s="66">
        <f>OB</f>
        <v>72242</v>
      </c>
      <c r="F36" s="65">
        <f>F35</f>
        <v>6</v>
      </c>
      <c r="G36" s="231">
        <f>ROUND(+D36*E36/F36,0)</f>
        <v>36121</v>
      </c>
      <c r="H36" s="9"/>
      <c r="I36" s="8"/>
      <c r="J36" s="8"/>
      <c r="K36" s="13"/>
      <c r="L36" s="13"/>
      <c r="M36" s="13"/>
      <c r="N36" s="13"/>
      <c r="O36" s="13"/>
      <c r="P36" s="5"/>
    </row>
    <row r="37" spans="1:16">
      <c r="A37" s="234"/>
      <c r="B37" s="50"/>
      <c r="C37" s="961"/>
      <c r="D37" s="50"/>
      <c r="E37" s="66"/>
      <c r="F37" s="65"/>
      <c r="G37" s="231"/>
      <c r="H37" s="9"/>
      <c r="I37" s="8"/>
      <c r="J37" s="13"/>
      <c r="K37" s="13"/>
      <c r="L37" s="13"/>
      <c r="M37" s="33"/>
      <c r="N37" s="33"/>
      <c r="O37" s="43"/>
      <c r="P37" s="5"/>
    </row>
    <row r="38" spans="1:16">
      <c r="A38" s="233"/>
      <c r="B38" s="65"/>
      <c r="C38" s="68"/>
      <c r="D38" s="65"/>
      <c r="E38" s="69"/>
      <c r="F38" s="69"/>
      <c r="G38" s="236"/>
      <c r="H38" s="9"/>
      <c r="I38" s="8"/>
      <c r="J38" s="13"/>
      <c r="K38" s="13"/>
      <c r="L38" s="13"/>
      <c r="M38" s="33"/>
      <c r="N38" s="33"/>
      <c r="O38" s="43"/>
      <c r="P38" s="5"/>
    </row>
    <row r="39" spans="1:16">
      <c r="A39" s="249"/>
      <c r="B39" s="71"/>
      <c r="C39" s="71"/>
      <c r="D39" s="71" t="s">
        <v>34</v>
      </c>
      <c r="E39" s="71"/>
      <c r="F39" s="71"/>
      <c r="G39" s="250">
        <f>SUM(G35:G38)</f>
        <v>50904</v>
      </c>
      <c r="H39" s="9"/>
      <c r="I39" s="8"/>
      <c r="J39" s="13"/>
      <c r="K39" s="13"/>
      <c r="L39" s="13"/>
      <c r="M39" s="14"/>
      <c r="N39" s="14"/>
      <c r="O39" s="15"/>
      <c r="P39" s="5"/>
    </row>
    <row r="40" spans="1:16">
      <c r="A40" s="226"/>
      <c r="B40" s="4"/>
      <c r="C40" s="6"/>
      <c r="D40" s="4"/>
      <c r="E40" s="4"/>
      <c r="F40" s="4"/>
      <c r="G40" s="227"/>
      <c r="H40" s="9"/>
      <c r="I40" s="8"/>
      <c r="J40" s="13"/>
      <c r="K40" s="13"/>
      <c r="L40" s="13"/>
      <c r="M40" s="14"/>
      <c r="N40" s="14"/>
      <c r="O40" s="19"/>
      <c r="P40" s="5"/>
    </row>
    <row r="41" spans="1:16">
      <c r="A41" s="226"/>
      <c r="B41" s="4"/>
      <c r="C41" s="6"/>
      <c r="D41" s="4"/>
      <c r="E41" s="4"/>
      <c r="F41" s="4"/>
      <c r="G41" s="227"/>
      <c r="H41" s="9"/>
      <c r="I41" s="8"/>
      <c r="J41" s="13"/>
      <c r="K41" s="13"/>
      <c r="L41" s="13"/>
      <c r="M41" s="17"/>
      <c r="N41" s="17"/>
      <c r="O41" s="37"/>
      <c r="P41" s="5"/>
    </row>
    <row r="42" spans="1:16" ht="14.25">
      <c r="A42" s="226"/>
      <c r="B42" s="4"/>
      <c r="C42" s="6"/>
      <c r="D42" s="1357" t="s">
        <v>35</v>
      </c>
      <c r="E42" s="1358"/>
      <c r="F42" s="1359"/>
      <c r="G42" s="239">
        <f>+G39+G30+G16</f>
        <v>832470</v>
      </c>
      <c r="H42" s="9"/>
      <c r="I42" s="48"/>
      <c r="J42" s="20"/>
      <c r="K42" s="8"/>
      <c r="L42" s="8"/>
      <c r="M42" s="8"/>
      <c r="N42" s="8"/>
      <c r="O42" s="8"/>
      <c r="P42" s="5"/>
    </row>
    <row r="43" spans="1:16" ht="14.25">
      <c r="A43" s="240"/>
      <c r="B43" s="57"/>
      <c r="C43" s="58"/>
      <c r="D43" s="99"/>
      <c r="E43" s="99"/>
      <c r="F43" s="99"/>
      <c r="G43" s="251"/>
      <c r="H43" s="9"/>
      <c r="I43" s="48"/>
      <c r="J43" s="20"/>
      <c r="K43" s="8"/>
      <c r="L43" s="8"/>
      <c r="M43" s="8"/>
      <c r="N43" s="8"/>
      <c r="O43" s="8"/>
      <c r="P43" s="5"/>
    </row>
    <row r="44" spans="1:16" ht="14.25">
      <c r="A44" s="374"/>
      <c r="B44" s="375"/>
      <c r="C44" s="375"/>
      <c r="D44" s="99"/>
      <c r="E44" s="99"/>
      <c r="F44" s="99"/>
      <c r="G44" s="251"/>
      <c r="H44" s="9"/>
      <c r="I44" s="48"/>
      <c r="J44" s="20"/>
      <c r="K44" s="8"/>
      <c r="L44" s="8"/>
      <c r="M44" s="8"/>
      <c r="N44" s="8"/>
      <c r="O44" s="8"/>
      <c r="P44" s="5"/>
    </row>
    <row r="45" spans="1:16" ht="14.25">
      <c r="A45" s="373"/>
      <c r="B45" s="376"/>
      <c r="C45" s="376"/>
      <c r="D45" s="99"/>
      <c r="E45" s="99"/>
      <c r="F45" s="99"/>
      <c r="G45" s="251"/>
      <c r="H45" s="9"/>
      <c r="I45" s="48"/>
      <c r="J45" s="20"/>
      <c r="K45" s="8"/>
      <c r="L45" s="8"/>
      <c r="M45" s="8"/>
      <c r="N45" s="8"/>
      <c r="O45" s="8"/>
      <c r="P45" s="5"/>
    </row>
    <row r="46" spans="1:16" ht="14.25">
      <c r="A46" s="373"/>
      <c r="B46" s="376"/>
      <c r="C46" s="376"/>
      <c r="D46" s="44"/>
      <c r="E46" s="45"/>
      <c r="F46" s="45"/>
      <c r="G46" s="251"/>
      <c r="H46" s="9"/>
      <c r="I46" s="8"/>
      <c r="J46" s="13"/>
      <c r="K46" s="8"/>
      <c r="L46" s="8"/>
      <c r="M46" s="8"/>
      <c r="N46" s="8"/>
      <c r="O46" s="8"/>
      <c r="P46" s="5"/>
    </row>
    <row r="47" spans="1:16" ht="15" thickBot="1">
      <c r="A47" s="242"/>
      <c r="B47" s="243"/>
      <c r="C47" s="244"/>
      <c r="D47" s="245"/>
      <c r="E47" s="246"/>
      <c r="F47" s="246"/>
      <c r="G47" s="247"/>
      <c r="H47" s="9"/>
      <c r="I47" s="8"/>
      <c r="J47" s="13"/>
      <c r="K47" s="8"/>
      <c r="L47" s="8"/>
      <c r="M47" s="8"/>
      <c r="N47" s="8"/>
      <c r="O47" s="8"/>
      <c r="P47" s="5"/>
    </row>
    <row r="48" spans="1:16">
      <c r="I48" s="5"/>
      <c r="J48" s="5"/>
      <c r="K48" s="5"/>
      <c r="L48" s="5"/>
      <c r="M48" s="5"/>
      <c r="N48" s="5"/>
      <c r="O48" s="5"/>
      <c r="P48" s="5"/>
    </row>
    <row r="49" spans="9:16">
      <c r="I49" s="5"/>
      <c r="J49" s="5"/>
      <c r="K49" s="5"/>
      <c r="L49" s="5"/>
      <c r="M49" s="5"/>
      <c r="N49" s="5"/>
      <c r="O49" s="5"/>
      <c r="P49" s="5"/>
    </row>
  </sheetData>
  <mergeCells count="26">
    <mergeCell ref="A32:G32"/>
    <mergeCell ref="D42:F42"/>
    <mergeCell ref="A25:C25"/>
    <mergeCell ref="A26:C26"/>
    <mergeCell ref="A27:C27"/>
    <mergeCell ref="A28:C28"/>
    <mergeCell ref="A29:C29"/>
    <mergeCell ref="A30:C30"/>
    <mergeCell ref="A24:C24"/>
    <mergeCell ref="A11:C11"/>
    <mergeCell ref="A12:C12"/>
    <mergeCell ref="A13:C13"/>
    <mergeCell ref="A14:C14"/>
    <mergeCell ref="A15:C15"/>
    <mergeCell ref="A16:C16"/>
    <mergeCell ref="A18:G18"/>
    <mergeCell ref="A20:C20"/>
    <mergeCell ref="A21:C21"/>
    <mergeCell ref="A22:C22"/>
    <mergeCell ref="A23:C23"/>
    <mergeCell ref="A10:C10"/>
    <mergeCell ref="A1:G1"/>
    <mergeCell ref="A2:G2"/>
    <mergeCell ref="A3:G4"/>
    <mergeCell ref="B6:E6"/>
    <mergeCell ref="A8:G8"/>
  </mergeCells>
  <printOptions horizontalCentered="1" verticalCentered="1"/>
  <pageMargins left="0.74803149606299213" right="0.74803149606299213" top="0" bottom="0.98425196850393704" header="0" footer="0"/>
  <pageSetup scale="90" orientation="portrait" r:id="rId1"/>
  <headerFooter alignWithMargins="0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8"/>
  <dimension ref="A1:U49"/>
  <sheetViews>
    <sheetView view="pageBreakPreview" topLeftCell="A13" zoomScaleNormal="100" zoomScaleSheetLayoutView="100" workbookViewId="0">
      <selection activeCell="F22" sqref="F22"/>
    </sheetView>
  </sheetViews>
  <sheetFormatPr baseColWidth="10" defaultColWidth="10.7109375" defaultRowHeight="12.75"/>
  <cols>
    <col min="1" max="1" width="15.85546875" style="3" customWidth="1"/>
    <col min="2" max="2" width="14.85546875" style="3" customWidth="1"/>
    <col min="3" max="3" width="13.28515625" style="3" customWidth="1"/>
    <col min="4" max="4" width="11.42578125" style="3"/>
    <col min="5" max="5" width="13.42578125" style="3" customWidth="1"/>
    <col min="6" max="6" width="12.7109375" style="3" customWidth="1"/>
    <col min="7" max="7" width="14" style="3" customWidth="1"/>
    <col min="8" max="8" width="7.42578125" style="3" customWidth="1"/>
    <col min="9" max="256" width="11.42578125" style="3"/>
    <col min="257" max="257" width="15.85546875" style="3" customWidth="1"/>
    <col min="258" max="258" width="14.85546875" style="3" customWidth="1"/>
    <col min="259" max="259" width="13.28515625" style="3" customWidth="1"/>
    <col min="260" max="260" width="11.42578125" style="3"/>
    <col min="261" max="261" width="13.42578125" style="3" customWidth="1"/>
    <col min="262" max="262" width="12.7109375" style="3" customWidth="1"/>
    <col min="263" max="263" width="14" style="3" customWidth="1"/>
    <col min="264" max="264" width="7.42578125" style="3" customWidth="1"/>
    <col min="265" max="512" width="11.42578125" style="3"/>
    <col min="513" max="513" width="15.85546875" style="3" customWidth="1"/>
    <col min="514" max="514" width="14.85546875" style="3" customWidth="1"/>
    <col min="515" max="515" width="13.28515625" style="3" customWidth="1"/>
    <col min="516" max="516" width="11.42578125" style="3"/>
    <col min="517" max="517" width="13.42578125" style="3" customWidth="1"/>
    <col min="518" max="518" width="12.7109375" style="3" customWidth="1"/>
    <col min="519" max="519" width="14" style="3" customWidth="1"/>
    <col min="520" max="520" width="7.42578125" style="3" customWidth="1"/>
    <col min="521" max="768" width="11.42578125" style="3"/>
    <col min="769" max="769" width="15.85546875" style="3" customWidth="1"/>
    <col min="770" max="770" width="14.85546875" style="3" customWidth="1"/>
    <col min="771" max="771" width="13.28515625" style="3" customWidth="1"/>
    <col min="772" max="772" width="11.42578125" style="3"/>
    <col min="773" max="773" width="13.42578125" style="3" customWidth="1"/>
    <col min="774" max="774" width="12.7109375" style="3" customWidth="1"/>
    <col min="775" max="775" width="14" style="3" customWidth="1"/>
    <col min="776" max="776" width="7.42578125" style="3" customWidth="1"/>
    <col min="777" max="1024" width="11.42578125" style="3"/>
    <col min="1025" max="1025" width="15.85546875" style="3" customWidth="1"/>
    <col min="1026" max="1026" width="14.85546875" style="3" customWidth="1"/>
    <col min="1027" max="1027" width="13.28515625" style="3" customWidth="1"/>
    <col min="1028" max="1028" width="11.42578125" style="3"/>
    <col min="1029" max="1029" width="13.42578125" style="3" customWidth="1"/>
    <col min="1030" max="1030" width="12.7109375" style="3" customWidth="1"/>
    <col min="1031" max="1031" width="14" style="3" customWidth="1"/>
    <col min="1032" max="1032" width="7.42578125" style="3" customWidth="1"/>
    <col min="1033" max="1280" width="11.42578125" style="3"/>
    <col min="1281" max="1281" width="15.85546875" style="3" customWidth="1"/>
    <col min="1282" max="1282" width="14.85546875" style="3" customWidth="1"/>
    <col min="1283" max="1283" width="13.28515625" style="3" customWidth="1"/>
    <col min="1284" max="1284" width="11.42578125" style="3"/>
    <col min="1285" max="1285" width="13.42578125" style="3" customWidth="1"/>
    <col min="1286" max="1286" width="12.7109375" style="3" customWidth="1"/>
    <col min="1287" max="1287" width="14" style="3" customWidth="1"/>
    <col min="1288" max="1288" width="7.42578125" style="3" customWidth="1"/>
    <col min="1289" max="1536" width="11.42578125" style="3"/>
    <col min="1537" max="1537" width="15.85546875" style="3" customWidth="1"/>
    <col min="1538" max="1538" width="14.85546875" style="3" customWidth="1"/>
    <col min="1539" max="1539" width="13.28515625" style="3" customWidth="1"/>
    <col min="1540" max="1540" width="11.42578125" style="3"/>
    <col min="1541" max="1541" width="13.42578125" style="3" customWidth="1"/>
    <col min="1542" max="1542" width="12.7109375" style="3" customWidth="1"/>
    <col min="1543" max="1543" width="14" style="3" customWidth="1"/>
    <col min="1544" max="1544" width="7.42578125" style="3" customWidth="1"/>
    <col min="1545" max="1792" width="11.42578125" style="3"/>
    <col min="1793" max="1793" width="15.85546875" style="3" customWidth="1"/>
    <col min="1794" max="1794" width="14.85546875" style="3" customWidth="1"/>
    <col min="1795" max="1795" width="13.28515625" style="3" customWidth="1"/>
    <col min="1796" max="1796" width="11.42578125" style="3"/>
    <col min="1797" max="1797" width="13.42578125" style="3" customWidth="1"/>
    <col min="1798" max="1798" width="12.7109375" style="3" customWidth="1"/>
    <col min="1799" max="1799" width="14" style="3" customWidth="1"/>
    <col min="1800" max="1800" width="7.42578125" style="3" customWidth="1"/>
    <col min="1801" max="2048" width="11.42578125" style="3"/>
    <col min="2049" max="2049" width="15.85546875" style="3" customWidth="1"/>
    <col min="2050" max="2050" width="14.85546875" style="3" customWidth="1"/>
    <col min="2051" max="2051" width="13.28515625" style="3" customWidth="1"/>
    <col min="2052" max="2052" width="11.42578125" style="3"/>
    <col min="2053" max="2053" width="13.42578125" style="3" customWidth="1"/>
    <col min="2054" max="2054" width="12.7109375" style="3" customWidth="1"/>
    <col min="2055" max="2055" width="14" style="3" customWidth="1"/>
    <col min="2056" max="2056" width="7.42578125" style="3" customWidth="1"/>
    <col min="2057" max="2304" width="11.42578125" style="3"/>
    <col min="2305" max="2305" width="15.85546875" style="3" customWidth="1"/>
    <col min="2306" max="2306" width="14.85546875" style="3" customWidth="1"/>
    <col min="2307" max="2307" width="13.28515625" style="3" customWidth="1"/>
    <col min="2308" max="2308" width="11.42578125" style="3"/>
    <col min="2309" max="2309" width="13.42578125" style="3" customWidth="1"/>
    <col min="2310" max="2310" width="12.7109375" style="3" customWidth="1"/>
    <col min="2311" max="2311" width="14" style="3" customWidth="1"/>
    <col min="2312" max="2312" width="7.42578125" style="3" customWidth="1"/>
    <col min="2313" max="2560" width="11.42578125" style="3"/>
    <col min="2561" max="2561" width="15.85546875" style="3" customWidth="1"/>
    <col min="2562" max="2562" width="14.85546875" style="3" customWidth="1"/>
    <col min="2563" max="2563" width="13.28515625" style="3" customWidth="1"/>
    <col min="2564" max="2564" width="11.42578125" style="3"/>
    <col min="2565" max="2565" width="13.42578125" style="3" customWidth="1"/>
    <col min="2566" max="2566" width="12.7109375" style="3" customWidth="1"/>
    <col min="2567" max="2567" width="14" style="3" customWidth="1"/>
    <col min="2568" max="2568" width="7.42578125" style="3" customWidth="1"/>
    <col min="2569" max="2816" width="11.42578125" style="3"/>
    <col min="2817" max="2817" width="15.85546875" style="3" customWidth="1"/>
    <col min="2818" max="2818" width="14.85546875" style="3" customWidth="1"/>
    <col min="2819" max="2819" width="13.28515625" style="3" customWidth="1"/>
    <col min="2820" max="2820" width="11.42578125" style="3"/>
    <col min="2821" max="2821" width="13.42578125" style="3" customWidth="1"/>
    <col min="2822" max="2822" width="12.7109375" style="3" customWidth="1"/>
    <col min="2823" max="2823" width="14" style="3" customWidth="1"/>
    <col min="2824" max="2824" width="7.42578125" style="3" customWidth="1"/>
    <col min="2825" max="3072" width="11.42578125" style="3"/>
    <col min="3073" max="3073" width="15.85546875" style="3" customWidth="1"/>
    <col min="3074" max="3074" width="14.85546875" style="3" customWidth="1"/>
    <col min="3075" max="3075" width="13.28515625" style="3" customWidth="1"/>
    <col min="3076" max="3076" width="11.42578125" style="3"/>
    <col min="3077" max="3077" width="13.42578125" style="3" customWidth="1"/>
    <col min="3078" max="3078" width="12.7109375" style="3" customWidth="1"/>
    <col min="3079" max="3079" width="14" style="3" customWidth="1"/>
    <col min="3080" max="3080" width="7.42578125" style="3" customWidth="1"/>
    <col min="3081" max="3328" width="11.42578125" style="3"/>
    <col min="3329" max="3329" width="15.85546875" style="3" customWidth="1"/>
    <col min="3330" max="3330" width="14.85546875" style="3" customWidth="1"/>
    <col min="3331" max="3331" width="13.28515625" style="3" customWidth="1"/>
    <col min="3332" max="3332" width="11.42578125" style="3"/>
    <col min="3333" max="3333" width="13.42578125" style="3" customWidth="1"/>
    <col min="3334" max="3334" width="12.7109375" style="3" customWidth="1"/>
    <col min="3335" max="3335" width="14" style="3" customWidth="1"/>
    <col min="3336" max="3336" width="7.42578125" style="3" customWidth="1"/>
    <col min="3337" max="3584" width="11.42578125" style="3"/>
    <col min="3585" max="3585" width="15.85546875" style="3" customWidth="1"/>
    <col min="3586" max="3586" width="14.85546875" style="3" customWidth="1"/>
    <col min="3587" max="3587" width="13.28515625" style="3" customWidth="1"/>
    <col min="3588" max="3588" width="11.42578125" style="3"/>
    <col min="3589" max="3589" width="13.42578125" style="3" customWidth="1"/>
    <col min="3590" max="3590" width="12.7109375" style="3" customWidth="1"/>
    <col min="3591" max="3591" width="14" style="3" customWidth="1"/>
    <col min="3592" max="3592" width="7.42578125" style="3" customWidth="1"/>
    <col min="3593" max="3840" width="11.42578125" style="3"/>
    <col min="3841" max="3841" width="15.85546875" style="3" customWidth="1"/>
    <col min="3842" max="3842" width="14.85546875" style="3" customWidth="1"/>
    <col min="3843" max="3843" width="13.28515625" style="3" customWidth="1"/>
    <col min="3844" max="3844" width="11.42578125" style="3"/>
    <col min="3845" max="3845" width="13.42578125" style="3" customWidth="1"/>
    <col min="3846" max="3846" width="12.7109375" style="3" customWidth="1"/>
    <col min="3847" max="3847" width="14" style="3" customWidth="1"/>
    <col min="3848" max="3848" width="7.42578125" style="3" customWidth="1"/>
    <col min="3849" max="4096" width="11.42578125" style="3"/>
    <col min="4097" max="4097" width="15.85546875" style="3" customWidth="1"/>
    <col min="4098" max="4098" width="14.85546875" style="3" customWidth="1"/>
    <col min="4099" max="4099" width="13.28515625" style="3" customWidth="1"/>
    <col min="4100" max="4100" width="11.42578125" style="3"/>
    <col min="4101" max="4101" width="13.42578125" style="3" customWidth="1"/>
    <col min="4102" max="4102" width="12.7109375" style="3" customWidth="1"/>
    <col min="4103" max="4103" width="14" style="3" customWidth="1"/>
    <col min="4104" max="4104" width="7.42578125" style="3" customWidth="1"/>
    <col min="4105" max="4352" width="11.42578125" style="3"/>
    <col min="4353" max="4353" width="15.85546875" style="3" customWidth="1"/>
    <col min="4354" max="4354" width="14.85546875" style="3" customWidth="1"/>
    <col min="4355" max="4355" width="13.28515625" style="3" customWidth="1"/>
    <col min="4356" max="4356" width="11.42578125" style="3"/>
    <col min="4357" max="4357" width="13.42578125" style="3" customWidth="1"/>
    <col min="4358" max="4358" width="12.7109375" style="3" customWidth="1"/>
    <col min="4359" max="4359" width="14" style="3" customWidth="1"/>
    <col min="4360" max="4360" width="7.42578125" style="3" customWidth="1"/>
    <col min="4361" max="4608" width="11.42578125" style="3"/>
    <col min="4609" max="4609" width="15.85546875" style="3" customWidth="1"/>
    <col min="4610" max="4610" width="14.85546875" style="3" customWidth="1"/>
    <col min="4611" max="4611" width="13.28515625" style="3" customWidth="1"/>
    <col min="4612" max="4612" width="11.42578125" style="3"/>
    <col min="4613" max="4613" width="13.42578125" style="3" customWidth="1"/>
    <col min="4614" max="4614" width="12.7109375" style="3" customWidth="1"/>
    <col min="4615" max="4615" width="14" style="3" customWidth="1"/>
    <col min="4616" max="4616" width="7.42578125" style="3" customWidth="1"/>
    <col min="4617" max="4864" width="11.42578125" style="3"/>
    <col min="4865" max="4865" width="15.85546875" style="3" customWidth="1"/>
    <col min="4866" max="4866" width="14.85546875" style="3" customWidth="1"/>
    <col min="4867" max="4867" width="13.28515625" style="3" customWidth="1"/>
    <col min="4868" max="4868" width="11.42578125" style="3"/>
    <col min="4869" max="4869" width="13.42578125" style="3" customWidth="1"/>
    <col min="4870" max="4870" width="12.7109375" style="3" customWidth="1"/>
    <col min="4871" max="4871" width="14" style="3" customWidth="1"/>
    <col min="4872" max="4872" width="7.42578125" style="3" customWidth="1"/>
    <col min="4873" max="5120" width="11.42578125" style="3"/>
    <col min="5121" max="5121" width="15.85546875" style="3" customWidth="1"/>
    <col min="5122" max="5122" width="14.85546875" style="3" customWidth="1"/>
    <col min="5123" max="5123" width="13.28515625" style="3" customWidth="1"/>
    <col min="5124" max="5124" width="11.42578125" style="3"/>
    <col min="5125" max="5125" width="13.42578125" style="3" customWidth="1"/>
    <col min="5126" max="5126" width="12.7109375" style="3" customWidth="1"/>
    <col min="5127" max="5127" width="14" style="3" customWidth="1"/>
    <col min="5128" max="5128" width="7.42578125" style="3" customWidth="1"/>
    <col min="5129" max="5376" width="11.42578125" style="3"/>
    <col min="5377" max="5377" width="15.85546875" style="3" customWidth="1"/>
    <col min="5378" max="5378" width="14.85546875" style="3" customWidth="1"/>
    <col min="5379" max="5379" width="13.28515625" style="3" customWidth="1"/>
    <col min="5380" max="5380" width="11.42578125" style="3"/>
    <col min="5381" max="5381" width="13.42578125" style="3" customWidth="1"/>
    <col min="5382" max="5382" width="12.7109375" style="3" customWidth="1"/>
    <col min="5383" max="5383" width="14" style="3" customWidth="1"/>
    <col min="5384" max="5384" width="7.42578125" style="3" customWidth="1"/>
    <col min="5385" max="5632" width="11.42578125" style="3"/>
    <col min="5633" max="5633" width="15.85546875" style="3" customWidth="1"/>
    <col min="5634" max="5634" width="14.85546875" style="3" customWidth="1"/>
    <col min="5635" max="5635" width="13.28515625" style="3" customWidth="1"/>
    <col min="5636" max="5636" width="11.42578125" style="3"/>
    <col min="5637" max="5637" width="13.42578125" style="3" customWidth="1"/>
    <col min="5638" max="5638" width="12.7109375" style="3" customWidth="1"/>
    <col min="5639" max="5639" width="14" style="3" customWidth="1"/>
    <col min="5640" max="5640" width="7.42578125" style="3" customWidth="1"/>
    <col min="5641" max="5888" width="11.42578125" style="3"/>
    <col min="5889" max="5889" width="15.85546875" style="3" customWidth="1"/>
    <col min="5890" max="5890" width="14.85546875" style="3" customWidth="1"/>
    <col min="5891" max="5891" width="13.28515625" style="3" customWidth="1"/>
    <col min="5892" max="5892" width="11.42578125" style="3"/>
    <col min="5893" max="5893" width="13.42578125" style="3" customWidth="1"/>
    <col min="5894" max="5894" width="12.7109375" style="3" customWidth="1"/>
    <col min="5895" max="5895" width="14" style="3" customWidth="1"/>
    <col min="5896" max="5896" width="7.42578125" style="3" customWidth="1"/>
    <col min="5897" max="6144" width="11.42578125" style="3"/>
    <col min="6145" max="6145" width="15.85546875" style="3" customWidth="1"/>
    <col min="6146" max="6146" width="14.85546875" style="3" customWidth="1"/>
    <col min="6147" max="6147" width="13.28515625" style="3" customWidth="1"/>
    <col min="6148" max="6148" width="11.42578125" style="3"/>
    <col min="6149" max="6149" width="13.42578125" style="3" customWidth="1"/>
    <col min="6150" max="6150" width="12.7109375" style="3" customWidth="1"/>
    <col min="6151" max="6151" width="14" style="3" customWidth="1"/>
    <col min="6152" max="6152" width="7.42578125" style="3" customWidth="1"/>
    <col min="6153" max="6400" width="11.42578125" style="3"/>
    <col min="6401" max="6401" width="15.85546875" style="3" customWidth="1"/>
    <col min="6402" max="6402" width="14.85546875" style="3" customWidth="1"/>
    <col min="6403" max="6403" width="13.28515625" style="3" customWidth="1"/>
    <col min="6404" max="6404" width="11.42578125" style="3"/>
    <col min="6405" max="6405" width="13.42578125" style="3" customWidth="1"/>
    <col min="6406" max="6406" width="12.7109375" style="3" customWidth="1"/>
    <col min="6407" max="6407" width="14" style="3" customWidth="1"/>
    <col min="6408" max="6408" width="7.42578125" style="3" customWidth="1"/>
    <col min="6409" max="6656" width="11.42578125" style="3"/>
    <col min="6657" max="6657" width="15.85546875" style="3" customWidth="1"/>
    <col min="6658" max="6658" width="14.85546875" style="3" customWidth="1"/>
    <col min="6659" max="6659" width="13.28515625" style="3" customWidth="1"/>
    <col min="6660" max="6660" width="11.42578125" style="3"/>
    <col min="6661" max="6661" width="13.42578125" style="3" customWidth="1"/>
    <col min="6662" max="6662" width="12.7109375" style="3" customWidth="1"/>
    <col min="6663" max="6663" width="14" style="3" customWidth="1"/>
    <col min="6664" max="6664" width="7.42578125" style="3" customWidth="1"/>
    <col min="6665" max="6912" width="11.42578125" style="3"/>
    <col min="6913" max="6913" width="15.85546875" style="3" customWidth="1"/>
    <col min="6914" max="6914" width="14.85546875" style="3" customWidth="1"/>
    <col min="6915" max="6915" width="13.28515625" style="3" customWidth="1"/>
    <col min="6916" max="6916" width="11.42578125" style="3"/>
    <col min="6917" max="6917" width="13.42578125" style="3" customWidth="1"/>
    <col min="6918" max="6918" width="12.7109375" style="3" customWidth="1"/>
    <col min="6919" max="6919" width="14" style="3" customWidth="1"/>
    <col min="6920" max="6920" width="7.42578125" style="3" customWidth="1"/>
    <col min="6921" max="7168" width="11.42578125" style="3"/>
    <col min="7169" max="7169" width="15.85546875" style="3" customWidth="1"/>
    <col min="7170" max="7170" width="14.85546875" style="3" customWidth="1"/>
    <col min="7171" max="7171" width="13.28515625" style="3" customWidth="1"/>
    <col min="7172" max="7172" width="11.42578125" style="3"/>
    <col min="7173" max="7173" width="13.42578125" style="3" customWidth="1"/>
    <col min="7174" max="7174" width="12.7109375" style="3" customWidth="1"/>
    <col min="7175" max="7175" width="14" style="3" customWidth="1"/>
    <col min="7176" max="7176" width="7.42578125" style="3" customWidth="1"/>
    <col min="7177" max="7424" width="11.42578125" style="3"/>
    <col min="7425" max="7425" width="15.85546875" style="3" customWidth="1"/>
    <col min="7426" max="7426" width="14.85546875" style="3" customWidth="1"/>
    <col min="7427" max="7427" width="13.28515625" style="3" customWidth="1"/>
    <col min="7428" max="7428" width="11.42578125" style="3"/>
    <col min="7429" max="7429" width="13.42578125" style="3" customWidth="1"/>
    <col min="7430" max="7430" width="12.7109375" style="3" customWidth="1"/>
    <col min="7431" max="7431" width="14" style="3" customWidth="1"/>
    <col min="7432" max="7432" width="7.42578125" style="3" customWidth="1"/>
    <col min="7433" max="7680" width="11.42578125" style="3"/>
    <col min="7681" max="7681" width="15.85546875" style="3" customWidth="1"/>
    <col min="7682" max="7682" width="14.85546875" style="3" customWidth="1"/>
    <col min="7683" max="7683" width="13.28515625" style="3" customWidth="1"/>
    <col min="7684" max="7684" width="11.42578125" style="3"/>
    <col min="7685" max="7685" width="13.42578125" style="3" customWidth="1"/>
    <col min="7686" max="7686" width="12.7109375" style="3" customWidth="1"/>
    <col min="7687" max="7687" width="14" style="3" customWidth="1"/>
    <col min="7688" max="7688" width="7.42578125" style="3" customWidth="1"/>
    <col min="7689" max="7936" width="11.42578125" style="3"/>
    <col min="7937" max="7937" width="15.85546875" style="3" customWidth="1"/>
    <col min="7938" max="7938" width="14.85546875" style="3" customWidth="1"/>
    <col min="7939" max="7939" width="13.28515625" style="3" customWidth="1"/>
    <col min="7940" max="7940" width="11.42578125" style="3"/>
    <col min="7941" max="7941" width="13.42578125" style="3" customWidth="1"/>
    <col min="7942" max="7942" width="12.7109375" style="3" customWidth="1"/>
    <col min="7943" max="7943" width="14" style="3" customWidth="1"/>
    <col min="7944" max="7944" width="7.42578125" style="3" customWidth="1"/>
    <col min="7945" max="8192" width="11.42578125" style="3"/>
    <col min="8193" max="8193" width="15.85546875" style="3" customWidth="1"/>
    <col min="8194" max="8194" width="14.85546875" style="3" customWidth="1"/>
    <col min="8195" max="8195" width="13.28515625" style="3" customWidth="1"/>
    <col min="8196" max="8196" width="11.42578125" style="3"/>
    <col min="8197" max="8197" width="13.42578125" style="3" customWidth="1"/>
    <col min="8198" max="8198" width="12.7109375" style="3" customWidth="1"/>
    <col min="8199" max="8199" width="14" style="3" customWidth="1"/>
    <col min="8200" max="8200" width="7.42578125" style="3" customWidth="1"/>
    <col min="8201" max="8448" width="11.42578125" style="3"/>
    <col min="8449" max="8449" width="15.85546875" style="3" customWidth="1"/>
    <col min="8450" max="8450" width="14.85546875" style="3" customWidth="1"/>
    <col min="8451" max="8451" width="13.28515625" style="3" customWidth="1"/>
    <col min="8452" max="8452" width="11.42578125" style="3"/>
    <col min="8453" max="8453" width="13.42578125" style="3" customWidth="1"/>
    <col min="8454" max="8454" width="12.7109375" style="3" customWidth="1"/>
    <col min="8455" max="8455" width="14" style="3" customWidth="1"/>
    <col min="8456" max="8456" width="7.42578125" style="3" customWidth="1"/>
    <col min="8457" max="8704" width="11.42578125" style="3"/>
    <col min="8705" max="8705" width="15.85546875" style="3" customWidth="1"/>
    <col min="8706" max="8706" width="14.85546875" style="3" customWidth="1"/>
    <col min="8707" max="8707" width="13.28515625" style="3" customWidth="1"/>
    <col min="8708" max="8708" width="11.42578125" style="3"/>
    <col min="8709" max="8709" width="13.42578125" style="3" customWidth="1"/>
    <col min="8710" max="8710" width="12.7109375" style="3" customWidth="1"/>
    <col min="8711" max="8711" width="14" style="3" customWidth="1"/>
    <col min="8712" max="8712" width="7.42578125" style="3" customWidth="1"/>
    <col min="8713" max="8960" width="11.42578125" style="3"/>
    <col min="8961" max="8961" width="15.85546875" style="3" customWidth="1"/>
    <col min="8962" max="8962" width="14.85546875" style="3" customWidth="1"/>
    <col min="8963" max="8963" width="13.28515625" style="3" customWidth="1"/>
    <col min="8964" max="8964" width="11.42578125" style="3"/>
    <col min="8965" max="8965" width="13.42578125" style="3" customWidth="1"/>
    <col min="8966" max="8966" width="12.7109375" style="3" customWidth="1"/>
    <col min="8967" max="8967" width="14" style="3" customWidth="1"/>
    <col min="8968" max="8968" width="7.42578125" style="3" customWidth="1"/>
    <col min="8969" max="9216" width="11.42578125" style="3"/>
    <col min="9217" max="9217" width="15.85546875" style="3" customWidth="1"/>
    <col min="9218" max="9218" width="14.85546875" style="3" customWidth="1"/>
    <col min="9219" max="9219" width="13.28515625" style="3" customWidth="1"/>
    <col min="9220" max="9220" width="11.42578125" style="3"/>
    <col min="9221" max="9221" width="13.42578125" style="3" customWidth="1"/>
    <col min="9222" max="9222" width="12.7109375" style="3" customWidth="1"/>
    <col min="9223" max="9223" width="14" style="3" customWidth="1"/>
    <col min="9224" max="9224" width="7.42578125" style="3" customWidth="1"/>
    <col min="9225" max="9472" width="11.42578125" style="3"/>
    <col min="9473" max="9473" width="15.85546875" style="3" customWidth="1"/>
    <col min="9474" max="9474" width="14.85546875" style="3" customWidth="1"/>
    <col min="9475" max="9475" width="13.28515625" style="3" customWidth="1"/>
    <col min="9476" max="9476" width="11.42578125" style="3"/>
    <col min="9477" max="9477" width="13.42578125" style="3" customWidth="1"/>
    <col min="9478" max="9478" width="12.7109375" style="3" customWidth="1"/>
    <col min="9479" max="9479" width="14" style="3" customWidth="1"/>
    <col min="9480" max="9480" width="7.42578125" style="3" customWidth="1"/>
    <col min="9481" max="9728" width="11.42578125" style="3"/>
    <col min="9729" max="9729" width="15.85546875" style="3" customWidth="1"/>
    <col min="9730" max="9730" width="14.85546875" style="3" customWidth="1"/>
    <col min="9731" max="9731" width="13.28515625" style="3" customWidth="1"/>
    <col min="9732" max="9732" width="11.42578125" style="3"/>
    <col min="9733" max="9733" width="13.42578125" style="3" customWidth="1"/>
    <col min="9734" max="9734" width="12.7109375" style="3" customWidth="1"/>
    <col min="9735" max="9735" width="14" style="3" customWidth="1"/>
    <col min="9736" max="9736" width="7.42578125" style="3" customWidth="1"/>
    <col min="9737" max="9984" width="11.42578125" style="3"/>
    <col min="9985" max="9985" width="15.85546875" style="3" customWidth="1"/>
    <col min="9986" max="9986" width="14.85546875" style="3" customWidth="1"/>
    <col min="9987" max="9987" width="13.28515625" style="3" customWidth="1"/>
    <col min="9988" max="9988" width="11.42578125" style="3"/>
    <col min="9989" max="9989" width="13.42578125" style="3" customWidth="1"/>
    <col min="9990" max="9990" width="12.7109375" style="3" customWidth="1"/>
    <col min="9991" max="9991" width="14" style="3" customWidth="1"/>
    <col min="9992" max="9992" width="7.42578125" style="3" customWidth="1"/>
    <col min="9993" max="10240" width="11.42578125" style="3"/>
    <col min="10241" max="10241" width="15.85546875" style="3" customWidth="1"/>
    <col min="10242" max="10242" width="14.85546875" style="3" customWidth="1"/>
    <col min="10243" max="10243" width="13.28515625" style="3" customWidth="1"/>
    <col min="10244" max="10244" width="11.42578125" style="3"/>
    <col min="10245" max="10245" width="13.42578125" style="3" customWidth="1"/>
    <col min="10246" max="10246" width="12.7109375" style="3" customWidth="1"/>
    <col min="10247" max="10247" width="14" style="3" customWidth="1"/>
    <col min="10248" max="10248" width="7.42578125" style="3" customWidth="1"/>
    <col min="10249" max="10496" width="11.42578125" style="3"/>
    <col min="10497" max="10497" width="15.85546875" style="3" customWidth="1"/>
    <col min="10498" max="10498" width="14.85546875" style="3" customWidth="1"/>
    <col min="10499" max="10499" width="13.28515625" style="3" customWidth="1"/>
    <col min="10500" max="10500" width="11.42578125" style="3"/>
    <col min="10501" max="10501" width="13.42578125" style="3" customWidth="1"/>
    <col min="10502" max="10502" width="12.7109375" style="3" customWidth="1"/>
    <col min="10503" max="10503" width="14" style="3" customWidth="1"/>
    <col min="10504" max="10504" width="7.42578125" style="3" customWidth="1"/>
    <col min="10505" max="10752" width="11.42578125" style="3"/>
    <col min="10753" max="10753" width="15.85546875" style="3" customWidth="1"/>
    <col min="10754" max="10754" width="14.85546875" style="3" customWidth="1"/>
    <col min="10755" max="10755" width="13.28515625" style="3" customWidth="1"/>
    <col min="10756" max="10756" width="11.42578125" style="3"/>
    <col min="10757" max="10757" width="13.42578125" style="3" customWidth="1"/>
    <col min="10758" max="10758" width="12.7109375" style="3" customWidth="1"/>
    <col min="10759" max="10759" width="14" style="3" customWidth="1"/>
    <col min="10760" max="10760" width="7.42578125" style="3" customWidth="1"/>
    <col min="10761" max="11008" width="11.42578125" style="3"/>
    <col min="11009" max="11009" width="15.85546875" style="3" customWidth="1"/>
    <col min="11010" max="11010" width="14.85546875" style="3" customWidth="1"/>
    <col min="11011" max="11011" width="13.28515625" style="3" customWidth="1"/>
    <col min="11012" max="11012" width="11.42578125" style="3"/>
    <col min="11013" max="11013" width="13.42578125" style="3" customWidth="1"/>
    <col min="11014" max="11014" width="12.7109375" style="3" customWidth="1"/>
    <col min="11015" max="11015" width="14" style="3" customWidth="1"/>
    <col min="11016" max="11016" width="7.42578125" style="3" customWidth="1"/>
    <col min="11017" max="11264" width="11.42578125" style="3"/>
    <col min="11265" max="11265" width="15.85546875" style="3" customWidth="1"/>
    <col min="11266" max="11266" width="14.85546875" style="3" customWidth="1"/>
    <col min="11267" max="11267" width="13.28515625" style="3" customWidth="1"/>
    <col min="11268" max="11268" width="11.42578125" style="3"/>
    <col min="11269" max="11269" width="13.42578125" style="3" customWidth="1"/>
    <col min="11270" max="11270" width="12.7109375" style="3" customWidth="1"/>
    <col min="11271" max="11271" width="14" style="3" customWidth="1"/>
    <col min="11272" max="11272" width="7.42578125" style="3" customWidth="1"/>
    <col min="11273" max="11520" width="11.42578125" style="3"/>
    <col min="11521" max="11521" width="15.85546875" style="3" customWidth="1"/>
    <col min="11522" max="11522" width="14.85546875" style="3" customWidth="1"/>
    <col min="11523" max="11523" width="13.28515625" style="3" customWidth="1"/>
    <col min="11524" max="11524" width="11.42578125" style="3"/>
    <col min="11525" max="11525" width="13.42578125" style="3" customWidth="1"/>
    <col min="11526" max="11526" width="12.7109375" style="3" customWidth="1"/>
    <col min="11527" max="11527" width="14" style="3" customWidth="1"/>
    <col min="11528" max="11528" width="7.42578125" style="3" customWidth="1"/>
    <col min="11529" max="11776" width="11.42578125" style="3"/>
    <col min="11777" max="11777" width="15.85546875" style="3" customWidth="1"/>
    <col min="11778" max="11778" width="14.85546875" style="3" customWidth="1"/>
    <col min="11779" max="11779" width="13.28515625" style="3" customWidth="1"/>
    <col min="11780" max="11780" width="11.42578125" style="3"/>
    <col min="11781" max="11781" width="13.42578125" style="3" customWidth="1"/>
    <col min="11782" max="11782" width="12.7109375" style="3" customWidth="1"/>
    <col min="11783" max="11783" width="14" style="3" customWidth="1"/>
    <col min="11784" max="11784" width="7.42578125" style="3" customWidth="1"/>
    <col min="11785" max="12032" width="11.42578125" style="3"/>
    <col min="12033" max="12033" width="15.85546875" style="3" customWidth="1"/>
    <col min="12034" max="12034" width="14.85546875" style="3" customWidth="1"/>
    <col min="12035" max="12035" width="13.28515625" style="3" customWidth="1"/>
    <col min="12036" max="12036" width="11.42578125" style="3"/>
    <col min="12037" max="12037" width="13.42578125" style="3" customWidth="1"/>
    <col min="12038" max="12038" width="12.7109375" style="3" customWidth="1"/>
    <col min="12039" max="12039" width="14" style="3" customWidth="1"/>
    <col min="12040" max="12040" width="7.42578125" style="3" customWidth="1"/>
    <col min="12041" max="12288" width="11.42578125" style="3"/>
    <col min="12289" max="12289" width="15.85546875" style="3" customWidth="1"/>
    <col min="12290" max="12290" width="14.85546875" style="3" customWidth="1"/>
    <col min="12291" max="12291" width="13.28515625" style="3" customWidth="1"/>
    <col min="12292" max="12292" width="11.42578125" style="3"/>
    <col min="12293" max="12293" width="13.42578125" style="3" customWidth="1"/>
    <col min="12294" max="12294" width="12.7109375" style="3" customWidth="1"/>
    <col min="12295" max="12295" width="14" style="3" customWidth="1"/>
    <col min="12296" max="12296" width="7.42578125" style="3" customWidth="1"/>
    <col min="12297" max="12544" width="11.42578125" style="3"/>
    <col min="12545" max="12545" width="15.85546875" style="3" customWidth="1"/>
    <col min="12546" max="12546" width="14.85546875" style="3" customWidth="1"/>
    <col min="12547" max="12547" width="13.28515625" style="3" customWidth="1"/>
    <col min="12548" max="12548" width="11.42578125" style="3"/>
    <col min="12549" max="12549" width="13.42578125" style="3" customWidth="1"/>
    <col min="12550" max="12550" width="12.7109375" style="3" customWidth="1"/>
    <col min="12551" max="12551" width="14" style="3" customWidth="1"/>
    <col min="12552" max="12552" width="7.42578125" style="3" customWidth="1"/>
    <col min="12553" max="12800" width="11.42578125" style="3"/>
    <col min="12801" max="12801" width="15.85546875" style="3" customWidth="1"/>
    <col min="12802" max="12802" width="14.85546875" style="3" customWidth="1"/>
    <col min="12803" max="12803" width="13.28515625" style="3" customWidth="1"/>
    <col min="12804" max="12804" width="11.42578125" style="3"/>
    <col min="12805" max="12805" width="13.42578125" style="3" customWidth="1"/>
    <col min="12806" max="12806" width="12.7109375" style="3" customWidth="1"/>
    <col min="12807" max="12807" width="14" style="3" customWidth="1"/>
    <col min="12808" max="12808" width="7.42578125" style="3" customWidth="1"/>
    <col min="12809" max="13056" width="11.42578125" style="3"/>
    <col min="13057" max="13057" width="15.85546875" style="3" customWidth="1"/>
    <col min="13058" max="13058" width="14.85546875" style="3" customWidth="1"/>
    <col min="13059" max="13059" width="13.28515625" style="3" customWidth="1"/>
    <col min="13060" max="13060" width="11.42578125" style="3"/>
    <col min="13061" max="13061" width="13.42578125" style="3" customWidth="1"/>
    <col min="13062" max="13062" width="12.7109375" style="3" customWidth="1"/>
    <col min="13063" max="13063" width="14" style="3" customWidth="1"/>
    <col min="13064" max="13064" width="7.42578125" style="3" customWidth="1"/>
    <col min="13065" max="13312" width="11.42578125" style="3"/>
    <col min="13313" max="13313" width="15.85546875" style="3" customWidth="1"/>
    <col min="13314" max="13314" width="14.85546875" style="3" customWidth="1"/>
    <col min="13315" max="13315" width="13.28515625" style="3" customWidth="1"/>
    <col min="13316" max="13316" width="11.42578125" style="3"/>
    <col min="13317" max="13317" width="13.42578125" style="3" customWidth="1"/>
    <col min="13318" max="13318" width="12.7109375" style="3" customWidth="1"/>
    <col min="13319" max="13319" width="14" style="3" customWidth="1"/>
    <col min="13320" max="13320" width="7.42578125" style="3" customWidth="1"/>
    <col min="13321" max="13568" width="11.42578125" style="3"/>
    <col min="13569" max="13569" width="15.85546875" style="3" customWidth="1"/>
    <col min="13570" max="13570" width="14.85546875" style="3" customWidth="1"/>
    <col min="13571" max="13571" width="13.28515625" style="3" customWidth="1"/>
    <col min="13572" max="13572" width="11.42578125" style="3"/>
    <col min="13573" max="13573" width="13.42578125" style="3" customWidth="1"/>
    <col min="13574" max="13574" width="12.7109375" style="3" customWidth="1"/>
    <col min="13575" max="13575" width="14" style="3" customWidth="1"/>
    <col min="13576" max="13576" width="7.42578125" style="3" customWidth="1"/>
    <col min="13577" max="13824" width="11.42578125" style="3"/>
    <col min="13825" max="13825" width="15.85546875" style="3" customWidth="1"/>
    <col min="13826" max="13826" width="14.85546875" style="3" customWidth="1"/>
    <col min="13827" max="13827" width="13.28515625" style="3" customWidth="1"/>
    <col min="13828" max="13828" width="11.42578125" style="3"/>
    <col min="13829" max="13829" width="13.42578125" style="3" customWidth="1"/>
    <col min="13830" max="13830" width="12.7109375" style="3" customWidth="1"/>
    <col min="13831" max="13831" width="14" style="3" customWidth="1"/>
    <col min="13832" max="13832" width="7.42578125" style="3" customWidth="1"/>
    <col min="13833" max="14080" width="11.42578125" style="3"/>
    <col min="14081" max="14081" width="15.85546875" style="3" customWidth="1"/>
    <col min="14082" max="14082" width="14.85546875" style="3" customWidth="1"/>
    <col min="14083" max="14083" width="13.28515625" style="3" customWidth="1"/>
    <col min="14084" max="14084" width="11.42578125" style="3"/>
    <col min="14085" max="14085" width="13.42578125" style="3" customWidth="1"/>
    <col min="14086" max="14086" width="12.7109375" style="3" customWidth="1"/>
    <col min="14087" max="14087" width="14" style="3" customWidth="1"/>
    <col min="14088" max="14088" width="7.42578125" style="3" customWidth="1"/>
    <col min="14089" max="14336" width="11.42578125" style="3"/>
    <col min="14337" max="14337" width="15.85546875" style="3" customWidth="1"/>
    <col min="14338" max="14338" width="14.85546875" style="3" customWidth="1"/>
    <col min="14339" max="14339" width="13.28515625" style="3" customWidth="1"/>
    <col min="14340" max="14340" width="11.42578125" style="3"/>
    <col min="14341" max="14341" width="13.42578125" style="3" customWidth="1"/>
    <col min="14342" max="14342" width="12.7109375" style="3" customWidth="1"/>
    <col min="14343" max="14343" width="14" style="3" customWidth="1"/>
    <col min="14344" max="14344" width="7.42578125" style="3" customWidth="1"/>
    <col min="14345" max="14592" width="11.42578125" style="3"/>
    <col min="14593" max="14593" width="15.85546875" style="3" customWidth="1"/>
    <col min="14594" max="14594" width="14.85546875" style="3" customWidth="1"/>
    <col min="14595" max="14595" width="13.28515625" style="3" customWidth="1"/>
    <col min="14596" max="14596" width="11.42578125" style="3"/>
    <col min="14597" max="14597" width="13.42578125" style="3" customWidth="1"/>
    <col min="14598" max="14598" width="12.7109375" style="3" customWidth="1"/>
    <col min="14599" max="14599" width="14" style="3" customWidth="1"/>
    <col min="14600" max="14600" width="7.42578125" style="3" customWidth="1"/>
    <col min="14601" max="14848" width="11.42578125" style="3"/>
    <col min="14849" max="14849" width="15.85546875" style="3" customWidth="1"/>
    <col min="14850" max="14850" width="14.85546875" style="3" customWidth="1"/>
    <col min="14851" max="14851" width="13.28515625" style="3" customWidth="1"/>
    <col min="14852" max="14852" width="11.42578125" style="3"/>
    <col min="14853" max="14853" width="13.42578125" style="3" customWidth="1"/>
    <col min="14854" max="14854" width="12.7109375" style="3" customWidth="1"/>
    <col min="14855" max="14855" width="14" style="3" customWidth="1"/>
    <col min="14856" max="14856" width="7.42578125" style="3" customWidth="1"/>
    <col min="14857" max="15104" width="11.42578125" style="3"/>
    <col min="15105" max="15105" width="15.85546875" style="3" customWidth="1"/>
    <col min="15106" max="15106" width="14.85546875" style="3" customWidth="1"/>
    <col min="15107" max="15107" width="13.28515625" style="3" customWidth="1"/>
    <col min="15108" max="15108" width="11.42578125" style="3"/>
    <col min="15109" max="15109" width="13.42578125" style="3" customWidth="1"/>
    <col min="15110" max="15110" width="12.7109375" style="3" customWidth="1"/>
    <col min="15111" max="15111" width="14" style="3" customWidth="1"/>
    <col min="15112" max="15112" width="7.42578125" style="3" customWidth="1"/>
    <col min="15113" max="15360" width="11.42578125" style="3"/>
    <col min="15361" max="15361" width="15.85546875" style="3" customWidth="1"/>
    <col min="15362" max="15362" width="14.85546875" style="3" customWidth="1"/>
    <col min="15363" max="15363" width="13.28515625" style="3" customWidth="1"/>
    <col min="15364" max="15364" width="11.42578125" style="3"/>
    <col min="15365" max="15365" width="13.42578125" style="3" customWidth="1"/>
    <col min="15366" max="15366" width="12.7109375" style="3" customWidth="1"/>
    <col min="15367" max="15367" width="14" style="3" customWidth="1"/>
    <col min="15368" max="15368" width="7.42578125" style="3" customWidth="1"/>
    <col min="15369" max="15616" width="11.42578125" style="3"/>
    <col min="15617" max="15617" width="15.85546875" style="3" customWidth="1"/>
    <col min="15618" max="15618" width="14.85546875" style="3" customWidth="1"/>
    <col min="15619" max="15619" width="13.28515625" style="3" customWidth="1"/>
    <col min="15620" max="15620" width="11.42578125" style="3"/>
    <col min="15621" max="15621" width="13.42578125" style="3" customWidth="1"/>
    <col min="15622" max="15622" width="12.7109375" style="3" customWidth="1"/>
    <col min="15623" max="15623" width="14" style="3" customWidth="1"/>
    <col min="15624" max="15624" width="7.42578125" style="3" customWidth="1"/>
    <col min="15625" max="15872" width="11.42578125" style="3"/>
    <col min="15873" max="15873" width="15.85546875" style="3" customWidth="1"/>
    <col min="15874" max="15874" width="14.85546875" style="3" customWidth="1"/>
    <col min="15875" max="15875" width="13.28515625" style="3" customWidth="1"/>
    <col min="15876" max="15876" width="11.42578125" style="3"/>
    <col min="15877" max="15877" width="13.42578125" style="3" customWidth="1"/>
    <col min="15878" max="15878" width="12.7109375" style="3" customWidth="1"/>
    <col min="15879" max="15879" width="14" style="3" customWidth="1"/>
    <col min="15880" max="15880" width="7.42578125" style="3" customWidth="1"/>
    <col min="15881" max="16128" width="11.42578125" style="3"/>
    <col min="16129" max="16129" width="15.85546875" style="3" customWidth="1"/>
    <col min="16130" max="16130" width="14.85546875" style="3" customWidth="1"/>
    <col min="16131" max="16131" width="13.28515625" style="3" customWidth="1"/>
    <col min="16132" max="16132" width="11.42578125" style="3"/>
    <col min="16133" max="16133" width="13.42578125" style="3" customWidth="1"/>
    <col min="16134" max="16134" width="12.7109375" style="3" customWidth="1"/>
    <col min="16135" max="16135" width="14" style="3" customWidth="1"/>
    <col min="16136" max="16136" width="7.42578125" style="3" customWidth="1"/>
    <col min="16137" max="16384" width="11.42578125" style="3"/>
  </cols>
  <sheetData>
    <row r="1" spans="1:21" ht="48" customHeight="1">
      <c r="A1" s="1346" t="str">
        <f>PPTO!D3</f>
        <v>PRESUPUESTO
MUNICIPIO EL BAGRE (ANTIOQUIA).</v>
      </c>
      <c r="B1" s="1347"/>
      <c r="C1" s="1347"/>
      <c r="D1" s="1347"/>
      <c r="E1" s="1347"/>
      <c r="F1" s="1347"/>
      <c r="G1" s="1348"/>
      <c r="H1" s="1"/>
      <c r="I1" s="2"/>
    </row>
    <row r="2" spans="1:21" ht="18" customHeight="1">
      <c r="A2" s="1362" t="s">
        <v>16</v>
      </c>
      <c r="B2" s="1363"/>
      <c r="C2" s="1363"/>
      <c r="D2" s="1363"/>
      <c r="E2" s="1363"/>
      <c r="F2" s="1363"/>
      <c r="G2" s="1364"/>
      <c r="H2" s="1"/>
      <c r="I2" s="2"/>
    </row>
    <row r="3" spans="1:21" ht="27" customHeight="1">
      <c r="A3" s="1367" t="str">
        <f>+PPTO!$D$5</f>
        <v>PROYECTO DE MEJORAMIENTO VIAL, ESPACIO PUBLICO Y OBRAS COMPLEMENTARIAS DE LA AVENIDA LA JUVENTUD Y TRAMOS ADYACENTES Y PRIORITARIOS DEL SECTOR URBANO EN EL MUNICIPIO EL BAGRE ANTIOQUIA.</v>
      </c>
      <c r="B3" s="1368"/>
      <c r="C3" s="1368"/>
      <c r="D3" s="1368"/>
      <c r="E3" s="1368"/>
      <c r="F3" s="1368"/>
      <c r="G3" s="1369"/>
      <c r="H3" s="1"/>
      <c r="I3" s="2"/>
    </row>
    <row r="4" spans="1:21" ht="30" customHeight="1">
      <c r="A4" s="1370"/>
      <c r="B4" s="1368"/>
      <c r="C4" s="1368"/>
      <c r="D4" s="1368"/>
      <c r="E4" s="1368"/>
      <c r="F4" s="1368"/>
      <c r="G4" s="1369"/>
      <c r="H4" s="1"/>
      <c r="I4" s="2"/>
    </row>
    <row r="5" spans="1:21" ht="6.75" customHeight="1">
      <c r="A5" s="222"/>
      <c r="B5" s="6"/>
      <c r="C5" s="24"/>
      <c r="D5" s="25"/>
      <c r="E5" s="6"/>
      <c r="F5" s="6"/>
      <c r="G5" s="223"/>
      <c r="H5" s="9"/>
    </row>
    <row r="6" spans="1:21" ht="52.5" customHeight="1">
      <c r="A6" s="368">
        <v>6.14</v>
      </c>
      <c r="B6" s="1349" t="str">
        <f>VLOOKUP(A6,PPTO!D9:I136,2,FALSE)</f>
        <v>Suministro e instalacion tuberia en PVC Novafort 36"</v>
      </c>
      <c r="C6" s="1350"/>
      <c r="D6" s="1350"/>
      <c r="E6" s="1351"/>
      <c r="F6" s="192" t="s">
        <v>118</v>
      </c>
      <c r="G6" s="248" t="str">
        <f>VLOOKUP(A6,PPTO!D9:I136,3,FALSE)</f>
        <v>m</v>
      </c>
      <c r="H6" s="9"/>
    </row>
    <row r="7" spans="1:21" ht="3.75" customHeight="1">
      <c r="A7" s="226"/>
      <c r="B7" s="4"/>
      <c r="C7" s="6"/>
      <c r="D7" s="4"/>
      <c r="E7" s="4"/>
      <c r="F7" s="4"/>
      <c r="G7" s="227"/>
      <c r="H7" s="9"/>
    </row>
    <row r="8" spans="1:21" ht="22.5" customHeight="1">
      <c r="A8" s="1354" t="s">
        <v>69</v>
      </c>
      <c r="B8" s="1355"/>
      <c r="C8" s="1355"/>
      <c r="D8" s="1355"/>
      <c r="E8" s="1355"/>
      <c r="F8" s="1355"/>
      <c r="G8" s="1356"/>
      <c r="H8" s="9"/>
    </row>
    <row r="9" spans="1:21" ht="4.5" customHeight="1">
      <c r="A9" s="226"/>
      <c r="B9" s="4"/>
      <c r="C9" s="6"/>
      <c r="D9" s="4"/>
      <c r="E9" s="4"/>
      <c r="F9" s="4"/>
      <c r="G9" s="227"/>
      <c r="H9" s="9"/>
      <c r="I9" s="5"/>
      <c r="J9" s="5"/>
      <c r="K9" s="5"/>
      <c r="L9" s="26"/>
      <c r="M9" s="5"/>
      <c r="N9" s="5"/>
      <c r="O9" s="5"/>
      <c r="P9" s="5"/>
    </row>
    <row r="10" spans="1:21">
      <c r="A10" s="1373" t="s">
        <v>17</v>
      </c>
      <c r="B10" s="1374"/>
      <c r="C10" s="1374"/>
      <c r="D10" s="346" t="s">
        <v>18</v>
      </c>
      <c r="E10" s="346" t="s">
        <v>19</v>
      </c>
      <c r="F10" s="346" t="s">
        <v>20</v>
      </c>
      <c r="G10" s="228" t="s">
        <v>21</v>
      </c>
      <c r="H10" s="27"/>
      <c r="I10" s="28"/>
      <c r="J10" s="29"/>
      <c r="K10" s="30"/>
      <c r="L10" s="30"/>
      <c r="M10" s="30"/>
      <c r="N10" s="30"/>
      <c r="O10" s="30"/>
      <c r="P10" s="5"/>
    </row>
    <row r="11" spans="1:21">
      <c r="A11" s="1352" t="s">
        <v>47</v>
      </c>
      <c r="B11" s="1353"/>
      <c r="C11" s="1353"/>
      <c r="D11" s="346"/>
      <c r="E11" s="83"/>
      <c r="F11" s="97"/>
      <c r="G11" s="229">
        <f>+G39*10%</f>
        <v>7636</v>
      </c>
      <c r="H11" s="9"/>
      <c r="I11" s="30"/>
      <c r="J11" s="31"/>
      <c r="K11" s="30"/>
      <c r="L11" s="30"/>
      <c r="M11" s="30"/>
      <c r="N11" s="30"/>
      <c r="O11" s="30"/>
      <c r="P11" s="5"/>
    </row>
    <row r="12" spans="1:21">
      <c r="A12" s="1371"/>
      <c r="B12" s="1372"/>
      <c r="C12" s="1372"/>
      <c r="D12" s="83"/>
      <c r="E12" s="83"/>
      <c r="F12" s="93"/>
      <c r="G12" s="229"/>
      <c r="H12" s="9"/>
      <c r="I12" s="16"/>
      <c r="J12" s="13"/>
      <c r="K12" s="8"/>
      <c r="L12" s="8"/>
      <c r="M12" s="8"/>
      <c r="N12" s="8"/>
      <c r="O12" s="8"/>
      <c r="P12" s="5"/>
    </row>
    <row r="13" spans="1:21">
      <c r="A13" s="1371"/>
      <c r="B13" s="1372"/>
      <c r="C13" s="1372"/>
      <c r="D13" s="83"/>
      <c r="E13" s="83"/>
      <c r="F13" s="93"/>
      <c r="G13" s="229"/>
      <c r="H13" s="9"/>
      <c r="I13" s="13"/>
      <c r="J13" s="13"/>
      <c r="K13" s="13"/>
      <c r="L13" s="13"/>
      <c r="M13" s="13"/>
      <c r="N13" s="13"/>
      <c r="O13" s="13"/>
      <c r="P13" s="5"/>
    </row>
    <row r="14" spans="1:21">
      <c r="A14" s="1371"/>
      <c r="B14" s="1372"/>
      <c r="C14" s="1372"/>
      <c r="D14" s="83"/>
      <c r="E14" s="83"/>
      <c r="F14" s="93"/>
      <c r="G14" s="229"/>
      <c r="H14" s="9"/>
      <c r="I14" s="8"/>
      <c r="J14" s="14"/>
      <c r="K14" s="32"/>
      <c r="L14" s="14"/>
      <c r="M14" s="15"/>
      <c r="N14" s="15"/>
      <c r="O14" s="19"/>
      <c r="P14" s="5"/>
    </row>
    <row r="15" spans="1:21">
      <c r="A15" s="1371"/>
      <c r="B15" s="1372"/>
      <c r="C15" s="1372"/>
      <c r="D15" s="83"/>
      <c r="E15" s="83"/>
      <c r="F15" s="98"/>
      <c r="G15" s="229"/>
      <c r="H15" s="9"/>
      <c r="I15" s="8"/>
      <c r="J15" s="33"/>
      <c r="K15" s="32"/>
      <c r="L15" s="14"/>
      <c r="M15" s="15"/>
      <c r="N15" s="15"/>
      <c r="O15" s="19"/>
      <c r="P15" s="5"/>
      <c r="Q15" s="5"/>
      <c r="R15" s="5"/>
      <c r="S15" s="5"/>
      <c r="T15" s="5"/>
      <c r="U15" s="5"/>
    </row>
    <row r="16" spans="1:21">
      <c r="A16" s="1371"/>
      <c r="B16" s="1372"/>
      <c r="C16" s="1372"/>
      <c r="D16" s="85" t="s">
        <v>37</v>
      </c>
      <c r="E16" s="50"/>
      <c r="F16" s="49"/>
      <c r="G16" s="230">
        <f>SUM(G11:G15)</f>
        <v>7636</v>
      </c>
      <c r="H16" s="9"/>
      <c r="I16" s="34"/>
      <c r="J16" s="34"/>
      <c r="K16" s="35"/>
      <c r="L16" s="36"/>
      <c r="M16" s="7"/>
      <c r="N16" s="7"/>
      <c r="O16" s="19"/>
      <c r="P16" s="5"/>
      <c r="Q16" s="5"/>
      <c r="R16" s="5"/>
      <c r="S16" s="5"/>
      <c r="T16" s="5"/>
      <c r="U16" s="5"/>
    </row>
    <row r="17" spans="1:21" ht="4.5" customHeight="1">
      <c r="A17" s="226"/>
      <c r="B17" s="4"/>
      <c r="C17" s="6"/>
      <c r="D17" s="4"/>
      <c r="E17" s="4"/>
      <c r="F17" s="4"/>
      <c r="G17" s="227"/>
      <c r="H17" s="9"/>
      <c r="I17" s="34"/>
      <c r="J17" s="34"/>
      <c r="K17" s="35"/>
      <c r="L17" s="36"/>
      <c r="M17" s="7"/>
      <c r="N17" s="7"/>
      <c r="O17" s="19"/>
      <c r="P17" s="5"/>
      <c r="Q17" s="5"/>
      <c r="R17" s="5"/>
      <c r="S17" s="5"/>
      <c r="T17" s="5"/>
      <c r="U17" s="5"/>
    </row>
    <row r="18" spans="1:21" ht="22.5" customHeight="1">
      <c r="A18" s="1354" t="s">
        <v>70</v>
      </c>
      <c r="B18" s="1355"/>
      <c r="C18" s="1355"/>
      <c r="D18" s="1355"/>
      <c r="E18" s="1355"/>
      <c r="F18" s="1355"/>
      <c r="G18" s="1356"/>
      <c r="H18" s="9"/>
    </row>
    <row r="19" spans="1:21" ht="4.5" customHeight="1">
      <c r="A19" s="226"/>
      <c r="B19" s="4"/>
      <c r="C19" s="6"/>
      <c r="D19" s="4"/>
      <c r="E19" s="4"/>
      <c r="F19" s="38"/>
      <c r="G19" s="227"/>
      <c r="H19" s="9"/>
      <c r="I19" s="34"/>
      <c r="J19" s="34"/>
      <c r="K19" s="35"/>
      <c r="L19" s="39"/>
      <c r="M19" s="7"/>
      <c r="N19" s="7"/>
      <c r="O19" s="8"/>
      <c r="P19" s="5"/>
      <c r="Q19" s="5"/>
      <c r="R19" s="5"/>
      <c r="S19" s="5"/>
      <c r="T19" s="5"/>
      <c r="U19" s="5"/>
    </row>
    <row r="20" spans="1:21">
      <c r="A20" s="1373" t="s">
        <v>17</v>
      </c>
      <c r="B20" s="1374"/>
      <c r="C20" s="1374"/>
      <c r="D20" s="346" t="s">
        <v>3</v>
      </c>
      <c r="E20" s="346" t="s">
        <v>4</v>
      </c>
      <c r="F20" s="346" t="s">
        <v>25</v>
      </c>
      <c r="G20" s="228" t="s">
        <v>21</v>
      </c>
      <c r="H20" s="27"/>
      <c r="I20" s="34"/>
      <c r="J20" s="34"/>
      <c r="K20" s="35"/>
      <c r="L20" s="39"/>
      <c r="M20" s="7"/>
      <c r="N20" s="7"/>
      <c r="O20" s="8"/>
      <c r="P20" s="5"/>
      <c r="Q20" s="5"/>
      <c r="R20" s="5"/>
      <c r="S20" s="5"/>
      <c r="T20" s="5"/>
      <c r="U20" s="5"/>
    </row>
    <row r="21" spans="1:21" ht="31.5" customHeight="1">
      <c r="A21" s="1441" t="s">
        <v>231</v>
      </c>
      <c r="B21" s="1442"/>
      <c r="C21" s="1443"/>
      <c r="D21" s="118" t="s">
        <v>51</v>
      </c>
      <c r="E21" s="119">
        <v>1</v>
      </c>
      <c r="F21" s="87">
        <f>6592077/6*IPC</f>
        <v>1133618</v>
      </c>
      <c r="G21" s="231">
        <f>ROUND(F21*E21,0)</f>
        <v>1133618</v>
      </c>
      <c r="H21" s="9"/>
      <c r="I21" s="34"/>
      <c r="J21" s="34"/>
      <c r="K21" s="35"/>
      <c r="L21" s="36"/>
      <c r="M21" s="7"/>
      <c r="N21" s="7"/>
      <c r="O21" s="19"/>
      <c r="P21" s="5"/>
      <c r="Q21" s="5"/>
      <c r="R21" s="5"/>
      <c r="S21" s="5"/>
      <c r="T21" s="5"/>
      <c r="U21" s="5"/>
    </row>
    <row r="22" spans="1:21" ht="27.75" customHeight="1">
      <c r="A22" s="1444"/>
      <c r="B22" s="1403"/>
      <c r="C22" s="1404"/>
      <c r="D22" s="116"/>
      <c r="E22" s="117"/>
      <c r="F22" s="91"/>
      <c r="G22" s="231"/>
      <c r="H22" s="9"/>
      <c r="I22" s="10"/>
      <c r="J22" s="10"/>
      <c r="K22" s="12"/>
      <c r="L22" s="39"/>
      <c r="M22" s="7"/>
      <c r="N22" s="7"/>
      <c r="O22" s="15"/>
      <c r="P22" s="5"/>
      <c r="Q22" s="5"/>
      <c r="R22" s="5"/>
      <c r="S22" s="5"/>
      <c r="T22" s="5"/>
      <c r="U22" s="5"/>
    </row>
    <row r="23" spans="1:21">
      <c r="A23" s="1386"/>
      <c r="B23" s="1353"/>
      <c r="C23" s="1353"/>
      <c r="D23" s="79"/>
      <c r="E23" s="82"/>
      <c r="F23" s="83"/>
      <c r="G23" s="67"/>
      <c r="H23" s="9"/>
      <c r="I23" s="10"/>
      <c r="J23" s="10"/>
      <c r="K23" s="12"/>
      <c r="L23" s="39"/>
      <c r="M23" s="7"/>
      <c r="N23" s="7"/>
      <c r="O23" s="15"/>
      <c r="P23" s="5"/>
      <c r="Q23" s="5"/>
      <c r="R23" s="5"/>
      <c r="S23" s="5"/>
      <c r="T23" s="5"/>
      <c r="U23" s="5"/>
    </row>
    <row r="24" spans="1:21">
      <c r="A24" s="1352"/>
      <c r="B24" s="1353"/>
      <c r="C24" s="1353"/>
      <c r="D24" s="81"/>
      <c r="E24" s="88"/>
      <c r="F24" s="78"/>
      <c r="G24" s="231"/>
      <c r="H24" s="9"/>
      <c r="I24" s="10"/>
      <c r="J24" s="40"/>
      <c r="K24" s="12"/>
      <c r="L24" s="13"/>
      <c r="M24" s="14"/>
      <c r="N24" s="14"/>
      <c r="O24" s="15"/>
      <c r="P24" s="5"/>
      <c r="Q24" s="5"/>
      <c r="R24" s="5"/>
      <c r="S24" s="5"/>
      <c r="T24" s="5"/>
      <c r="U24" s="5"/>
    </row>
    <row r="25" spans="1:21">
      <c r="A25" s="1352"/>
      <c r="B25" s="1353"/>
      <c r="C25" s="1353"/>
      <c r="D25" s="81"/>
      <c r="E25" s="82"/>
      <c r="F25" s="78"/>
      <c r="G25" s="231"/>
      <c r="H25" s="9"/>
      <c r="I25" s="10"/>
      <c r="J25" s="11"/>
      <c r="K25" s="12"/>
      <c r="L25" s="13"/>
      <c r="M25" s="14"/>
      <c r="N25" s="14"/>
      <c r="O25" s="15"/>
      <c r="P25" s="5"/>
      <c r="Q25" s="5"/>
      <c r="R25" s="5"/>
      <c r="S25" s="5"/>
      <c r="T25" s="5"/>
      <c r="U25" s="5"/>
    </row>
    <row r="26" spans="1:21">
      <c r="A26" s="1352"/>
      <c r="B26" s="1353"/>
      <c r="C26" s="1353"/>
      <c r="D26" s="79"/>
      <c r="E26" s="82"/>
      <c r="F26" s="78"/>
      <c r="G26" s="231"/>
      <c r="H26" s="9"/>
      <c r="I26" s="10"/>
      <c r="J26" s="11"/>
      <c r="K26" s="12"/>
      <c r="L26" s="13"/>
      <c r="M26" s="14"/>
      <c r="N26" s="14"/>
      <c r="O26" s="15"/>
      <c r="P26" s="5"/>
      <c r="Q26" s="5"/>
      <c r="R26" s="5"/>
      <c r="S26" s="5"/>
      <c r="T26" s="5"/>
      <c r="U26" s="5"/>
    </row>
    <row r="27" spans="1:21">
      <c r="A27" s="1352"/>
      <c r="B27" s="1353"/>
      <c r="C27" s="1353"/>
      <c r="D27" s="79"/>
      <c r="E27" s="82"/>
      <c r="F27" s="78"/>
      <c r="G27" s="231"/>
      <c r="H27" s="9"/>
      <c r="I27" s="10"/>
      <c r="J27" s="11"/>
      <c r="K27" s="12"/>
      <c r="L27" s="13"/>
      <c r="M27" s="14"/>
      <c r="N27" s="14"/>
      <c r="O27" s="15"/>
      <c r="P27" s="5"/>
      <c r="Q27" s="5"/>
      <c r="R27" s="5"/>
      <c r="S27" s="5"/>
      <c r="T27" s="5"/>
      <c r="U27" s="5"/>
    </row>
    <row r="28" spans="1:21">
      <c r="A28" s="1352"/>
      <c r="B28" s="1353"/>
      <c r="C28" s="1353"/>
      <c r="D28" s="79"/>
      <c r="E28" s="82"/>
      <c r="F28" s="83"/>
      <c r="G28" s="231"/>
      <c r="H28" s="9"/>
      <c r="I28" s="41"/>
      <c r="J28" s="41"/>
      <c r="K28" s="12"/>
      <c r="L28" s="13"/>
      <c r="M28" s="14"/>
      <c r="N28" s="14"/>
      <c r="O28" s="15"/>
      <c r="P28" s="5"/>
      <c r="Q28" s="5"/>
      <c r="R28" s="5"/>
      <c r="S28" s="5"/>
      <c r="T28" s="5"/>
      <c r="U28" s="5"/>
    </row>
    <row r="29" spans="1:21">
      <c r="A29" s="1352"/>
      <c r="B29" s="1353"/>
      <c r="C29" s="1353"/>
      <c r="D29" s="84"/>
      <c r="E29" s="84"/>
      <c r="F29" s="83"/>
      <c r="G29" s="231"/>
      <c r="H29" s="9"/>
      <c r="I29" s="42"/>
      <c r="J29" s="42"/>
      <c r="K29" s="42"/>
      <c r="L29" s="13"/>
      <c r="M29" s="14"/>
      <c r="N29" s="14"/>
      <c r="O29" s="15"/>
      <c r="P29" s="5"/>
      <c r="Q29" s="5"/>
      <c r="R29" s="5"/>
      <c r="S29" s="5"/>
      <c r="T29" s="5"/>
      <c r="U29" s="5"/>
    </row>
    <row r="30" spans="1:21">
      <c r="A30" s="1352"/>
      <c r="B30" s="1353"/>
      <c r="C30" s="1353"/>
      <c r="D30" s="85" t="s">
        <v>28</v>
      </c>
      <c r="E30" s="50"/>
      <c r="F30" s="49"/>
      <c r="G30" s="230">
        <f>SUM(G21:G29)</f>
        <v>1133618</v>
      </c>
      <c r="H30" s="9"/>
      <c r="I30" s="8"/>
      <c r="J30" s="13"/>
      <c r="K30" s="8"/>
      <c r="L30" s="13"/>
      <c r="M30" s="14"/>
      <c r="N30" s="14"/>
      <c r="O30" s="15"/>
      <c r="P30" s="5"/>
    </row>
    <row r="31" spans="1:21" ht="3.75" customHeight="1">
      <c r="A31" s="226"/>
      <c r="B31" s="4"/>
      <c r="C31" s="6"/>
      <c r="D31" s="4"/>
      <c r="E31" s="4"/>
      <c r="F31" s="4"/>
      <c r="G31" s="227"/>
      <c r="H31" s="9"/>
      <c r="I31" s="8"/>
      <c r="J31" s="13"/>
      <c r="K31" s="18"/>
      <c r="L31" s="13"/>
      <c r="M31" s="33"/>
      <c r="N31" s="33"/>
      <c r="O31" s="15"/>
      <c r="P31" s="5"/>
    </row>
    <row r="32" spans="1:21" ht="22.5" customHeight="1">
      <c r="A32" s="1354" t="s">
        <v>71</v>
      </c>
      <c r="B32" s="1355"/>
      <c r="C32" s="1355"/>
      <c r="D32" s="1355"/>
      <c r="E32" s="1355"/>
      <c r="F32" s="1355"/>
      <c r="G32" s="1356"/>
      <c r="H32" s="9"/>
    </row>
    <row r="33" spans="1:16" ht="3.75" customHeight="1">
      <c r="A33" s="226"/>
      <c r="B33" s="4"/>
      <c r="C33" s="6"/>
      <c r="D33" s="4"/>
      <c r="E33" s="4"/>
      <c r="F33" s="4"/>
      <c r="G33" s="227"/>
      <c r="H33" s="9"/>
      <c r="I33" s="8"/>
      <c r="J33" s="13"/>
      <c r="K33" s="8"/>
      <c r="L33" s="8"/>
      <c r="M33" s="8"/>
      <c r="N33" s="8"/>
      <c r="O33" s="15"/>
      <c r="P33" s="5"/>
    </row>
    <row r="34" spans="1:16">
      <c r="A34" s="232" t="s">
        <v>5</v>
      </c>
      <c r="B34" s="60" t="s">
        <v>29</v>
      </c>
      <c r="C34" s="60" t="s">
        <v>30</v>
      </c>
      <c r="D34" s="60" t="s">
        <v>31</v>
      </c>
      <c r="E34" s="60" t="s">
        <v>32</v>
      </c>
      <c r="F34" s="60" t="s">
        <v>20</v>
      </c>
      <c r="G34" s="228" t="s">
        <v>33</v>
      </c>
      <c r="H34" s="27"/>
      <c r="I34" s="8"/>
      <c r="J34" s="13"/>
      <c r="K34" s="8"/>
      <c r="L34" s="8"/>
      <c r="M34" s="8"/>
      <c r="N34" s="8"/>
      <c r="O34" s="15"/>
      <c r="P34" s="5"/>
    </row>
    <row r="35" spans="1:16">
      <c r="A35" s="233" t="s">
        <v>41</v>
      </c>
      <c r="B35" s="63">
        <f>BOF</f>
        <v>51749</v>
      </c>
      <c r="C35" s="68">
        <f>ffpp</f>
        <v>0.64539999999999997</v>
      </c>
      <c r="D35" s="72">
        <v>1</v>
      </c>
      <c r="E35" s="66">
        <f>OF</f>
        <v>88696</v>
      </c>
      <c r="F35" s="65">
        <v>4</v>
      </c>
      <c r="G35" s="231">
        <f>ROUND(+D35*E35/F35,0)</f>
        <v>22174</v>
      </c>
      <c r="H35" s="9"/>
      <c r="I35" s="16"/>
      <c r="J35" s="13"/>
      <c r="K35" s="8"/>
      <c r="L35" s="8"/>
      <c r="M35" s="8"/>
      <c r="N35" s="8"/>
      <c r="O35" s="15"/>
      <c r="P35" s="5"/>
    </row>
    <row r="36" spans="1:16">
      <c r="A36" s="233" t="s">
        <v>38</v>
      </c>
      <c r="B36" s="63">
        <f>BOB</f>
        <v>41749</v>
      </c>
      <c r="C36" s="68">
        <f>ffpp</f>
        <v>0.64539999999999997</v>
      </c>
      <c r="D36" s="72">
        <v>3</v>
      </c>
      <c r="E36" s="66">
        <f>OB</f>
        <v>72242</v>
      </c>
      <c r="F36" s="65">
        <f>F35</f>
        <v>4</v>
      </c>
      <c r="G36" s="231">
        <f>ROUND(+D36*E36/F36,0)</f>
        <v>54182</v>
      </c>
      <c r="H36" s="9"/>
      <c r="I36" s="8"/>
      <c r="J36" s="8"/>
      <c r="K36" s="13"/>
      <c r="L36" s="13"/>
      <c r="M36" s="13"/>
      <c r="N36" s="13"/>
      <c r="O36" s="13"/>
      <c r="P36" s="5"/>
    </row>
    <row r="37" spans="1:16">
      <c r="A37" s="234"/>
      <c r="B37" s="50"/>
      <c r="C37" s="961"/>
      <c r="D37" s="50"/>
      <c r="E37" s="66"/>
      <c r="F37" s="65"/>
      <c r="G37" s="231"/>
      <c r="H37" s="9"/>
      <c r="I37" s="8"/>
      <c r="J37" s="13"/>
      <c r="K37" s="13"/>
      <c r="L37" s="13"/>
      <c r="M37" s="33"/>
      <c r="N37" s="33"/>
      <c r="O37" s="43"/>
      <c r="P37" s="5"/>
    </row>
    <row r="38" spans="1:16">
      <c r="A38" s="233"/>
      <c r="B38" s="65"/>
      <c r="C38" s="68"/>
      <c r="D38" s="65"/>
      <c r="E38" s="69"/>
      <c r="F38" s="69"/>
      <c r="G38" s="236"/>
      <c r="H38" s="9"/>
      <c r="I38" s="8"/>
      <c r="J38" s="13"/>
      <c r="K38" s="13"/>
      <c r="L38" s="13"/>
      <c r="M38" s="33"/>
      <c r="N38" s="33"/>
      <c r="O38" s="43"/>
      <c r="P38" s="5"/>
    </row>
    <row r="39" spans="1:16">
      <c r="A39" s="249"/>
      <c r="B39" s="71"/>
      <c r="C39" s="71"/>
      <c r="D39" s="71" t="s">
        <v>34</v>
      </c>
      <c r="E39" s="71"/>
      <c r="F39" s="71"/>
      <c r="G39" s="250">
        <f>SUM(G35:G38)</f>
        <v>76356</v>
      </c>
      <c r="H39" s="9"/>
      <c r="I39" s="8"/>
      <c r="J39" s="13"/>
      <c r="K39" s="13"/>
      <c r="L39" s="13"/>
      <c r="M39" s="14"/>
      <c r="N39" s="14"/>
      <c r="O39" s="15"/>
      <c r="P39" s="5"/>
    </row>
    <row r="40" spans="1:16">
      <c r="A40" s="226"/>
      <c r="B40" s="4"/>
      <c r="C40" s="6"/>
      <c r="D40" s="4"/>
      <c r="E40" s="4"/>
      <c r="F40" s="4"/>
      <c r="G40" s="227"/>
      <c r="H40" s="9"/>
      <c r="I40" s="8"/>
      <c r="J40" s="13"/>
      <c r="K40" s="13"/>
      <c r="L40" s="13"/>
      <c r="M40" s="14"/>
      <c r="N40" s="14"/>
      <c r="O40" s="19"/>
      <c r="P40" s="5"/>
    </row>
    <row r="41" spans="1:16">
      <c r="A41" s="226"/>
      <c r="B41" s="4"/>
      <c r="C41" s="6"/>
      <c r="D41" s="4"/>
      <c r="E41" s="4"/>
      <c r="F41" s="4"/>
      <c r="G41" s="227"/>
      <c r="H41" s="9"/>
      <c r="I41" s="8"/>
      <c r="J41" s="13"/>
      <c r="K41" s="13"/>
      <c r="L41" s="13"/>
      <c r="M41" s="17"/>
      <c r="N41" s="17"/>
      <c r="O41" s="37"/>
      <c r="P41" s="5"/>
    </row>
    <row r="42" spans="1:16" ht="14.25">
      <c r="A42" s="226"/>
      <c r="B42" s="4"/>
      <c r="C42" s="6"/>
      <c r="D42" s="1357" t="s">
        <v>35</v>
      </c>
      <c r="E42" s="1358"/>
      <c r="F42" s="1359"/>
      <c r="G42" s="239">
        <f>+G39+G30+G16</f>
        <v>1217610</v>
      </c>
      <c r="H42" s="9"/>
      <c r="I42" s="48"/>
      <c r="J42" s="20"/>
      <c r="K42" s="8"/>
      <c r="L42" s="8"/>
      <c r="M42" s="8"/>
      <c r="N42" s="8"/>
      <c r="O42" s="8"/>
      <c r="P42" s="5"/>
    </row>
    <row r="43" spans="1:16" ht="14.25">
      <c r="A43" s="240"/>
      <c r="B43" s="57"/>
      <c r="C43" s="58"/>
      <c r="D43" s="99"/>
      <c r="E43" s="99"/>
      <c r="F43" s="99"/>
      <c r="G43" s="251"/>
      <c r="H43" s="9"/>
      <c r="I43" s="48"/>
      <c r="J43" s="20"/>
      <c r="K43" s="8"/>
      <c r="L43" s="8"/>
      <c r="M43" s="8"/>
      <c r="N43" s="8"/>
      <c r="O43" s="8"/>
      <c r="P43" s="5"/>
    </row>
    <row r="44" spans="1:16" ht="14.25">
      <c r="A44" s="374"/>
      <c r="B44" s="375"/>
      <c r="C44" s="375"/>
      <c r="D44" s="99"/>
      <c r="E44" s="99"/>
      <c r="F44" s="99"/>
      <c r="G44" s="251"/>
      <c r="H44" s="9"/>
      <c r="I44" s="48"/>
      <c r="J44" s="20"/>
      <c r="K44" s="8"/>
      <c r="L44" s="8"/>
      <c r="M44" s="8"/>
      <c r="N44" s="8"/>
      <c r="O44" s="8"/>
      <c r="P44" s="5"/>
    </row>
    <row r="45" spans="1:16" ht="14.25">
      <c r="A45" s="373"/>
      <c r="B45" s="376"/>
      <c r="C45" s="376"/>
      <c r="D45" s="99"/>
      <c r="E45" s="99"/>
      <c r="F45" s="99"/>
      <c r="G45" s="251"/>
      <c r="H45" s="9"/>
      <c r="I45" s="48"/>
      <c r="J45" s="20"/>
      <c r="K45" s="8"/>
      <c r="L45" s="8"/>
      <c r="M45" s="8"/>
      <c r="N45" s="8"/>
      <c r="O45" s="8"/>
      <c r="P45" s="5"/>
    </row>
    <row r="46" spans="1:16" ht="14.25">
      <c r="A46" s="373"/>
      <c r="B46" s="376"/>
      <c r="C46" s="376"/>
      <c r="D46" s="44"/>
      <c r="E46" s="45"/>
      <c r="F46" s="45"/>
      <c r="G46" s="251"/>
      <c r="H46" s="9"/>
      <c r="I46" s="8"/>
      <c r="J46" s="13"/>
      <c r="K46" s="8"/>
      <c r="L46" s="8"/>
      <c r="M46" s="8"/>
      <c r="N46" s="8"/>
      <c r="O46" s="8"/>
      <c r="P46" s="5"/>
    </row>
    <row r="47" spans="1:16" ht="15" thickBot="1">
      <c r="A47" s="242"/>
      <c r="B47" s="243"/>
      <c r="C47" s="244"/>
      <c r="D47" s="245"/>
      <c r="E47" s="246"/>
      <c r="F47" s="246"/>
      <c r="G47" s="247"/>
      <c r="H47" s="9"/>
      <c r="I47" s="8"/>
      <c r="J47" s="13"/>
      <c r="K47" s="8"/>
      <c r="L47" s="8"/>
      <c r="M47" s="8"/>
      <c r="N47" s="8"/>
      <c r="O47" s="8"/>
      <c r="P47" s="5"/>
    </row>
    <row r="48" spans="1:16">
      <c r="I48" s="5"/>
      <c r="J48" s="5"/>
      <c r="K48" s="5"/>
      <c r="L48" s="5"/>
      <c r="M48" s="5"/>
      <c r="N48" s="5"/>
      <c r="O48" s="5"/>
      <c r="P48" s="5"/>
    </row>
    <row r="49" spans="9:16">
      <c r="I49" s="5"/>
      <c r="J49" s="5"/>
      <c r="K49" s="5"/>
      <c r="L49" s="5"/>
      <c r="M49" s="5"/>
      <c r="N49" s="5"/>
      <c r="O49" s="5"/>
      <c r="P49" s="5"/>
    </row>
  </sheetData>
  <mergeCells count="26">
    <mergeCell ref="A32:G32"/>
    <mergeCell ref="D42:F42"/>
    <mergeCell ref="A25:C25"/>
    <mergeCell ref="A26:C26"/>
    <mergeCell ref="A27:C27"/>
    <mergeCell ref="A28:C28"/>
    <mergeCell ref="A29:C29"/>
    <mergeCell ref="A30:C30"/>
    <mergeCell ref="A24:C24"/>
    <mergeCell ref="A11:C11"/>
    <mergeCell ref="A12:C12"/>
    <mergeCell ref="A13:C13"/>
    <mergeCell ref="A14:C14"/>
    <mergeCell ref="A15:C15"/>
    <mergeCell ref="A16:C16"/>
    <mergeCell ref="A18:G18"/>
    <mergeCell ref="A20:C20"/>
    <mergeCell ref="A21:C21"/>
    <mergeCell ref="A22:C22"/>
    <mergeCell ref="A23:C23"/>
    <mergeCell ref="A10:C10"/>
    <mergeCell ref="A1:G1"/>
    <mergeCell ref="A2:G2"/>
    <mergeCell ref="A3:G4"/>
    <mergeCell ref="B6:E6"/>
    <mergeCell ref="A8:G8"/>
  </mergeCells>
  <printOptions horizontalCentered="1" verticalCentered="1"/>
  <pageMargins left="0.74803149606299213" right="0.74803149606299213" top="0" bottom="0.98425196850393704" header="0" footer="0"/>
  <pageSetup scale="90" orientation="portrait" r:id="rId1"/>
  <headerFooter alignWithMargins="0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9"/>
  <dimension ref="A1:U49"/>
  <sheetViews>
    <sheetView view="pageBreakPreview" topLeftCell="A18" zoomScaleNormal="100" zoomScaleSheetLayoutView="100" workbookViewId="0">
      <selection activeCell="F22" sqref="F22"/>
    </sheetView>
  </sheetViews>
  <sheetFormatPr baseColWidth="10" defaultColWidth="10.7109375" defaultRowHeight="12.75"/>
  <cols>
    <col min="1" max="1" width="15.85546875" style="3" customWidth="1"/>
    <col min="2" max="2" width="14.85546875" style="3" customWidth="1"/>
    <col min="3" max="3" width="13.28515625" style="3" customWidth="1"/>
    <col min="4" max="4" width="11.42578125" style="3"/>
    <col min="5" max="5" width="13.42578125" style="3" customWidth="1"/>
    <col min="6" max="6" width="12.7109375" style="3" customWidth="1"/>
    <col min="7" max="7" width="14" style="3" customWidth="1"/>
    <col min="8" max="8" width="7.42578125" style="3" customWidth="1"/>
    <col min="9" max="256" width="11.42578125" style="3"/>
    <col min="257" max="257" width="15.85546875" style="3" customWidth="1"/>
    <col min="258" max="258" width="14.85546875" style="3" customWidth="1"/>
    <col min="259" max="259" width="13.28515625" style="3" customWidth="1"/>
    <col min="260" max="260" width="11.42578125" style="3"/>
    <col min="261" max="261" width="13.42578125" style="3" customWidth="1"/>
    <col min="262" max="262" width="12.7109375" style="3" customWidth="1"/>
    <col min="263" max="263" width="14" style="3" customWidth="1"/>
    <col min="264" max="264" width="7.42578125" style="3" customWidth="1"/>
    <col min="265" max="512" width="11.42578125" style="3"/>
    <col min="513" max="513" width="15.85546875" style="3" customWidth="1"/>
    <col min="514" max="514" width="14.85546875" style="3" customWidth="1"/>
    <col min="515" max="515" width="13.28515625" style="3" customWidth="1"/>
    <col min="516" max="516" width="11.42578125" style="3"/>
    <col min="517" max="517" width="13.42578125" style="3" customWidth="1"/>
    <col min="518" max="518" width="12.7109375" style="3" customWidth="1"/>
    <col min="519" max="519" width="14" style="3" customWidth="1"/>
    <col min="520" max="520" width="7.42578125" style="3" customWidth="1"/>
    <col min="521" max="768" width="11.42578125" style="3"/>
    <col min="769" max="769" width="15.85546875" style="3" customWidth="1"/>
    <col min="770" max="770" width="14.85546875" style="3" customWidth="1"/>
    <col min="771" max="771" width="13.28515625" style="3" customWidth="1"/>
    <col min="772" max="772" width="11.42578125" style="3"/>
    <col min="773" max="773" width="13.42578125" style="3" customWidth="1"/>
    <col min="774" max="774" width="12.7109375" style="3" customWidth="1"/>
    <col min="775" max="775" width="14" style="3" customWidth="1"/>
    <col min="776" max="776" width="7.42578125" style="3" customWidth="1"/>
    <col min="777" max="1024" width="11.42578125" style="3"/>
    <col min="1025" max="1025" width="15.85546875" style="3" customWidth="1"/>
    <col min="1026" max="1026" width="14.85546875" style="3" customWidth="1"/>
    <col min="1027" max="1027" width="13.28515625" style="3" customWidth="1"/>
    <col min="1028" max="1028" width="11.42578125" style="3"/>
    <col min="1029" max="1029" width="13.42578125" style="3" customWidth="1"/>
    <col min="1030" max="1030" width="12.7109375" style="3" customWidth="1"/>
    <col min="1031" max="1031" width="14" style="3" customWidth="1"/>
    <col min="1032" max="1032" width="7.42578125" style="3" customWidth="1"/>
    <col min="1033" max="1280" width="11.42578125" style="3"/>
    <col min="1281" max="1281" width="15.85546875" style="3" customWidth="1"/>
    <col min="1282" max="1282" width="14.85546875" style="3" customWidth="1"/>
    <col min="1283" max="1283" width="13.28515625" style="3" customWidth="1"/>
    <col min="1284" max="1284" width="11.42578125" style="3"/>
    <col min="1285" max="1285" width="13.42578125" style="3" customWidth="1"/>
    <col min="1286" max="1286" width="12.7109375" style="3" customWidth="1"/>
    <col min="1287" max="1287" width="14" style="3" customWidth="1"/>
    <col min="1288" max="1288" width="7.42578125" style="3" customWidth="1"/>
    <col min="1289" max="1536" width="11.42578125" style="3"/>
    <col min="1537" max="1537" width="15.85546875" style="3" customWidth="1"/>
    <col min="1538" max="1538" width="14.85546875" style="3" customWidth="1"/>
    <col min="1539" max="1539" width="13.28515625" style="3" customWidth="1"/>
    <col min="1540" max="1540" width="11.42578125" style="3"/>
    <col min="1541" max="1541" width="13.42578125" style="3" customWidth="1"/>
    <col min="1542" max="1542" width="12.7109375" style="3" customWidth="1"/>
    <col min="1543" max="1543" width="14" style="3" customWidth="1"/>
    <col min="1544" max="1544" width="7.42578125" style="3" customWidth="1"/>
    <col min="1545" max="1792" width="11.42578125" style="3"/>
    <col min="1793" max="1793" width="15.85546875" style="3" customWidth="1"/>
    <col min="1794" max="1794" width="14.85546875" style="3" customWidth="1"/>
    <col min="1795" max="1795" width="13.28515625" style="3" customWidth="1"/>
    <col min="1796" max="1796" width="11.42578125" style="3"/>
    <col min="1797" max="1797" width="13.42578125" style="3" customWidth="1"/>
    <col min="1798" max="1798" width="12.7109375" style="3" customWidth="1"/>
    <col min="1799" max="1799" width="14" style="3" customWidth="1"/>
    <col min="1800" max="1800" width="7.42578125" style="3" customWidth="1"/>
    <col min="1801" max="2048" width="11.42578125" style="3"/>
    <col min="2049" max="2049" width="15.85546875" style="3" customWidth="1"/>
    <col min="2050" max="2050" width="14.85546875" style="3" customWidth="1"/>
    <col min="2051" max="2051" width="13.28515625" style="3" customWidth="1"/>
    <col min="2052" max="2052" width="11.42578125" style="3"/>
    <col min="2053" max="2053" width="13.42578125" style="3" customWidth="1"/>
    <col min="2054" max="2054" width="12.7109375" style="3" customWidth="1"/>
    <col min="2055" max="2055" width="14" style="3" customWidth="1"/>
    <col min="2056" max="2056" width="7.42578125" style="3" customWidth="1"/>
    <col min="2057" max="2304" width="11.42578125" style="3"/>
    <col min="2305" max="2305" width="15.85546875" style="3" customWidth="1"/>
    <col min="2306" max="2306" width="14.85546875" style="3" customWidth="1"/>
    <col min="2307" max="2307" width="13.28515625" style="3" customWidth="1"/>
    <col min="2308" max="2308" width="11.42578125" style="3"/>
    <col min="2309" max="2309" width="13.42578125" style="3" customWidth="1"/>
    <col min="2310" max="2310" width="12.7109375" style="3" customWidth="1"/>
    <col min="2311" max="2311" width="14" style="3" customWidth="1"/>
    <col min="2312" max="2312" width="7.42578125" style="3" customWidth="1"/>
    <col min="2313" max="2560" width="11.42578125" style="3"/>
    <col min="2561" max="2561" width="15.85546875" style="3" customWidth="1"/>
    <col min="2562" max="2562" width="14.85546875" style="3" customWidth="1"/>
    <col min="2563" max="2563" width="13.28515625" style="3" customWidth="1"/>
    <col min="2564" max="2564" width="11.42578125" style="3"/>
    <col min="2565" max="2565" width="13.42578125" style="3" customWidth="1"/>
    <col min="2566" max="2566" width="12.7109375" style="3" customWidth="1"/>
    <col min="2567" max="2567" width="14" style="3" customWidth="1"/>
    <col min="2568" max="2568" width="7.42578125" style="3" customWidth="1"/>
    <col min="2569" max="2816" width="11.42578125" style="3"/>
    <col min="2817" max="2817" width="15.85546875" style="3" customWidth="1"/>
    <col min="2818" max="2818" width="14.85546875" style="3" customWidth="1"/>
    <col min="2819" max="2819" width="13.28515625" style="3" customWidth="1"/>
    <col min="2820" max="2820" width="11.42578125" style="3"/>
    <col min="2821" max="2821" width="13.42578125" style="3" customWidth="1"/>
    <col min="2822" max="2822" width="12.7109375" style="3" customWidth="1"/>
    <col min="2823" max="2823" width="14" style="3" customWidth="1"/>
    <col min="2824" max="2824" width="7.42578125" style="3" customWidth="1"/>
    <col min="2825" max="3072" width="11.42578125" style="3"/>
    <col min="3073" max="3073" width="15.85546875" style="3" customWidth="1"/>
    <col min="3074" max="3074" width="14.85546875" style="3" customWidth="1"/>
    <col min="3075" max="3075" width="13.28515625" style="3" customWidth="1"/>
    <col min="3076" max="3076" width="11.42578125" style="3"/>
    <col min="3077" max="3077" width="13.42578125" style="3" customWidth="1"/>
    <col min="3078" max="3078" width="12.7109375" style="3" customWidth="1"/>
    <col min="3079" max="3079" width="14" style="3" customWidth="1"/>
    <col min="3080" max="3080" width="7.42578125" style="3" customWidth="1"/>
    <col min="3081" max="3328" width="11.42578125" style="3"/>
    <col min="3329" max="3329" width="15.85546875" style="3" customWidth="1"/>
    <col min="3330" max="3330" width="14.85546875" style="3" customWidth="1"/>
    <col min="3331" max="3331" width="13.28515625" style="3" customWidth="1"/>
    <col min="3332" max="3332" width="11.42578125" style="3"/>
    <col min="3333" max="3333" width="13.42578125" style="3" customWidth="1"/>
    <col min="3334" max="3334" width="12.7109375" style="3" customWidth="1"/>
    <col min="3335" max="3335" width="14" style="3" customWidth="1"/>
    <col min="3336" max="3336" width="7.42578125" style="3" customWidth="1"/>
    <col min="3337" max="3584" width="11.42578125" style="3"/>
    <col min="3585" max="3585" width="15.85546875" style="3" customWidth="1"/>
    <col min="3586" max="3586" width="14.85546875" style="3" customWidth="1"/>
    <col min="3587" max="3587" width="13.28515625" style="3" customWidth="1"/>
    <col min="3588" max="3588" width="11.42578125" style="3"/>
    <col min="3589" max="3589" width="13.42578125" style="3" customWidth="1"/>
    <col min="3590" max="3590" width="12.7109375" style="3" customWidth="1"/>
    <col min="3591" max="3591" width="14" style="3" customWidth="1"/>
    <col min="3592" max="3592" width="7.42578125" style="3" customWidth="1"/>
    <col min="3593" max="3840" width="11.42578125" style="3"/>
    <col min="3841" max="3841" width="15.85546875" style="3" customWidth="1"/>
    <col min="3842" max="3842" width="14.85546875" style="3" customWidth="1"/>
    <col min="3843" max="3843" width="13.28515625" style="3" customWidth="1"/>
    <col min="3844" max="3844" width="11.42578125" style="3"/>
    <col min="3845" max="3845" width="13.42578125" style="3" customWidth="1"/>
    <col min="3846" max="3846" width="12.7109375" style="3" customWidth="1"/>
    <col min="3847" max="3847" width="14" style="3" customWidth="1"/>
    <col min="3848" max="3848" width="7.42578125" style="3" customWidth="1"/>
    <col min="3849" max="4096" width="11.42578125" style="3"/>
    <col min="4097" max="4097" width="15.85546875" style="3" customWidth="1"/>
    <col min="4098" max="4098" width="14.85546875" style="3" customWidth="1"/>
    <col min="4099" max="4099" width="13.28515625" style="3" customWidth="1"/>
    <col min="4100" max="4100" width="11.42578125" style="3"/>
    <col min="4101" max="4101" width="13.42578125" style="3" customWidth="1"/>
    <col min="4102" max="4102" width="12.7109375" style="3" customWidth="1"/>
    <col min="4103" max="4103" width="14" style="3" customWidth="1"/>
    <col min="4104" max="4104" width="7.42578125" style="3" customWidth="1"/>
    <col min="4105" max="4352" width="11.42578125" style="3"/>
    <col min="4353" max="4353" width="15.85546875" style="3" customWidth="1"/>
    <col min="4354" max="4354" width="14.85546875" style="3" customWidth="1"/>
    <col min="4355" max="4355" width="13.28515625" style="3" customWidth="1"/>
    <col min="4356" max="4356" width="11.42578125" style="3"/>
    <col min="4357" max="4357" width="13.42578125" style="3" customWidth="1"/>
    <col min="4358" max="4358" width="12.7109375" style="3" customWidth="1"/>
    <col min="4359" max="4359" width="14" style="3" customWidth="1"/>
    <col min="4360" max="4360" width="7.42578125" style="3" customWidth="1"/>
    <col min="4361" max="4608" width="11.42578125" style="3"/>
    <col min="4609" max="4609" width="15.85546875" style="3" customWidth="1"/>
    <col min="4610" max="4610" width="14.85546875" style="3" customWidth="1"/>
    <col min="4611" max="4611" width="13.28515625" style="3" customWidth="1"/>
    <col min="4612" max="4612" width="11.42578125" style="3"/>
    <col min="4613" max="4613" width="13.42578125" style="3" customWidth="1"/>
    <col min="4614" max="4614" width="12.7109375" style="3" customWidth="1"/>
    <col min="4615" max="4615" width="14" style="3" customWidth="1"/>
    <col min="4616" max="4616" width="7.42578125" style="3" customWidth="1"/>
    <col min="4617" max="4864" width="11.42578125" style="3"/>
    <col min="4865" max="4865" width="15.85546875" style="3" customWidth="1"/>
    <col min="4866" max="4866" width="14.85546875" style="3" customWidth="1"/>
    <col min="4867" max="4867" width="13.28515625" style="3" customWidth="1"/>
    <col min="4868" max="4868" width="11.42578125" style="3"/>
    <col min="4869" max="4869" width="13.42578125" style="3" customWidth="1"/>
    <col min="4870" max="4870" width="12.7109375" style="3" customWidth="1"/>
    <col min="4871" max="4871" width="14" style="3" customWidth="1"/>
    <col min="4872" max="4872" width="7.42578125" style="3" customWidth="1"/>
    <col min="4873" max="5120" width="11.42578125" style="3"/>
    <col min="5121" max="5121" width="15.85546875" style="3" customWidth="1"/>
    <col min="5122" max="5122" width="14.85546875" style="3" customWidth="1"/>
    <col min="5123" max="5123" width="13.28515625" style="3" customWidth="1"/>
    <col min="5124" max="5124" width="11.42578125" style="3"/>
    <col min="5125" max="5125" width="13.42578125" style="3" customWidth="1"/>
    <col min="5126" max="5126" width="12.7109375" style="3" customWidth="1"/>
    <col min="5127" max="5127" width="14" style="3" customWidth="1"/>
    <col min="5128" max="5128" width="7.42578125" style="3" customWidth="1"/>
    <col min="5129" max="5376" width="11.42578125" style="3"/>
    <col min="5377" max="5377" width="15.85546875" style="3" customWidth="1"/>
    <col min="5378" max="5378" width="14.85546875" style="3" customWidth="1"/>
    <col min="5379" max="5379" width="13.28515625" style="3" customWidth="1"/>
    <col min="5380" max="5380" width="11.42578125" style="3"/>
    <col min="5381" max="5381" width="13.42578125" style="3" customWidth="1"/>
    <col min="5382" max="5382" width="12.7109375" style="3" customWidth="1"/>
    <col min="5383" max="5383" width="14" style="3" customWidth="1"/>
    <col min="5384" max="5384" width="7.42578125" style="3" customWidth="1"/>
    <col min="5385" max="5632" width="11.42578125" style="3"/>
    <col min="5633" max="5633" width="15.85546875" style="3" customWidth="1"/>
    <col min="5634" max="5634" width="14.85546875" style="3" customWidth="1"/>
    <col min="5635" max="5635" width="13.28515625" style="3" customWidth="1"/>
    <col min="5636" max="5636" width="11.42578125" style="3"/>
    <col min="5637" max="5637" width="13.42578125" style="3" customWidth="1"/>
    <col min="5638" max="5638" width="12.7109375" style="3" customWidth="1"/>
    <col min="5639" max="5639" width="14" style="3" customWidth="1"/>
    <col min="5640" max="5640" width="7.42578125" style="3" customWidth="1"/>
    <col min="5641" max="5888" width="11.42578125" style="3"/>
    <col min="5889" max="5889" width="15.85546875" style="3" customWidth="1"/>
    <col min="5890" max="5890" width="14.85546875" style="3" customWidth="1"/>
    <col min="5891" max="5891" width="13.28515625" style="3" customWidth="1"/>
    <col min="5892" max="5892" width="11.42578125" style="3"/>
    <col min="5893" max="5893" width="13.42578125" style="3" customWidth="1"/>
    <col min="5894" max="5894" width="12.7109375" style="3" customWidth="1"/>
    <col min="5895" max="5895" width="14" style="3" customWidth="1"/>
    <col min="5896" max="5896" width="7.42578125" style="3" customWidth="1"/>
    <col min="5897" max="6144" width="11.42578125" style="3"/>
    <col min="6145" max="6145" width="15.85546875" style="3" customWidth="1"/>
    <col min="6146" max="6146" width="14.85546875" style="3" customWidth="1"/>
    <col min="6147" max="6147" width="13.28515625" style="3" customWidth="1"/>
    <col min="6148" max="6148" width="11.42578125" style="3"/>
    <col min="6149" max="6149" width="13.42578125" style="3" customWidth="1"/>
    <col min="6150" max="6150" width="12.7109375" style="3" customWidth="1"/>
    <col min="6151" max="6151" width="14" style="3" customWidth="1"/>
    <col min="6152" max="6152" width="7.42578125" style="3" customWidth="1"/>
    <col min="6153" max="6400" width="11.42578125" style="3"/>
    <col min="6401" max="6401" width="15.85546875" style="3" customWidth="1"/>
    <col min="6402" max="6402" width="14.85546875" style="3" customWidth="1"/>
    <col min="6403" max="6403" width="13.28515625" style="3" customWidth="1"/>
    <col min="6404" max="6404" width="11.42578125" style="3"/>
    <col min="6405" max="6405" width="13.42578125" style="3" customWidth="1"/>
    <col min="6406" max="6406" width="12.7109375" style="3" customWidth="1"/>
    <col min="6407" max="6407" width="14" style="3" customWidth="1"/>
    <col min="6408" max="6408" width="7.42578125" style="3" customWidth="1"/>
    <col min="6409" max="6656" width="11.42578125" style="3"/>
    <col min="6657" max="6657" width="15.85546875" style="3" customWidth="1"/>
    <col min="6658" max="6658" width="14.85546875" style="3" customWidth="1"/>
    <col min="6659" max="6659" width="13.28515625" style="3" customWidth="1"/>
    <col min="6660" max="6660" width="11.42578125" style="3"/>
    <col min="6661" max="6661" width="13.42578125" style="3" customWidth="1"/>
    <col min="6662" max="6662" width="12.7109375" style="3" customWidth="1"/>
    <col min="6663" max="6663" width="14" style="3" customWidth="1"/>
    <col min="6664" max="6664" width="7.42578125" style="3" customWidth="1"/>
    <col min="6665" max="6912" width="11.42578125" style="3"/>
    <col min="6913" max="6913" width="15.85546875" style="3" customWidth="1"/>
    <col min="6914" max="6914" width="14.85546875" style="3" customWidth="1"/>
    <col min="6915" max="6915" width="13.28515625" style="3" customWidth="1"/>
    <col min="6916" max="6916" width="11.42578125" style="3"/>
    <col min="6917" max="6917" width="13.42578125" style="3" customWidth="1"/>
    <col min="6918" max="6918" width="12.7109375" style="3" customWidth="1"/>
    <col min="6919" max="6919" width="14" style="3" customWidth="1"/>
    <col min="6920" max="6920" width="7.42578125" style="3" customWidth="1"/>
    <col min="6921" max="7168" width="11.42578125" style="3"/>
    <col min="7169" max="7169" width="15.85546875" style="3" customWidth="1"/>
    <col min="7170" max="7170" width="14.85546875" style="3" customWidth="1"/>
    <col min="7171" max="7171" width="13.28515625" style="3" customWidth="1"/>
    <col min="7172" max="7172" width="11.42578125" style="3"/>
    <col min="7173" max="7173" width="13.42578125" style="3" customWidth="1"/>
    <col min="7174" max="7174" width="12.7109375" style="3" customWidth="1"/>
    <col min="7175" max="7175" width="14" style="3" customWidth="1"/>
    <col min="7176" max="7176" width="7.42578125" style="3" customWidth="1"/>
    <col min="7177" max="7424" width="11.42578125" style="3"/>
    <col min="7425" max="7425" width="15.85546875" style="3" customWidth="1"/>
    <col min="7426" max="7426" width="14.85546875" style="3" customWidth="1"/>
    <col min="7427" max="7427" width="13.28515625" style="3" customWidth="1"/>
    <col min="7428" max="7428" width="11.42578125" style="3"/>
    <col min="7429" max="7429" width="13.42578125" style="3" customWidth="1"/>
    <col min="7430" max="7430" width="12.7109375" style="3" customWidth="1"/>
    <col min="7431" max="7431" width="14" style="3" customWidth="1"/>
    <col min="7432" max="7432" width="7.42578125" style="3" customWidth="1"/>
    <col min="7433" max="7680" width="11.42578125" style="3"/>
    <col min="7681" max="7681" width="15.85546875" style="3" customWidth="1"/>
    <col min="7682" max="7682" width="14.85546875" style="3" customWidth="1"/>
    <col min="7683" max="7683" width="13.28515625" style="3" customWidth="1"/>
    <col min="7684" max="7684" width="11.42578125" style="3"/>
    <col min="7685" max="7685" width="13.42578125" style="3" customWidth="1"/>
    <col min="7686" max="7686" width="12.7109375" style="3" customWidth="1"/>
    <col min="7687" max="7687" width="14" style="3" customWidth="1"/>
    <col min="7688" max="7688" width="7.42578125" style="3" customWidth="1"/>
    <col min="7689" max="7936" width="11.42578125" style="3"/>
    <col min="7937" max="7937" width="15.85546875" style="3" customWidth="1"/>
    <col min="7938" max="7938" width="14.85546875" style="3" customWidth="1"/>
    <col min="7939" max="7939" width="13.28515625" style="3" customWidth="1"/>
    <col min="7940" max="7940" width="11.42578125" style="3"/>
    <col min="7941" max="7941" width="13.42578125" style="3" customWidth="1"/>
    <col min="7942" max="7942" width="12.7109375" style="3" customWidth="1"/>
    <col min="7943" max="7943" width="14" style="3" customWidth="1"/>
    <col min="7944" max="7944" width="7.42578125" style="3" customWidth="1"/>
    <col min="7945" max="8192" width="11.42578125" style="3"/>
    <col min="8193" max="8193" width="15.85546875" style="3" customWidth="1"/>
    <col min="8194" max="8194" width="14.85546875" style="3" customWidth="1"/>
    <col min="8195" max="8195" width="13.28515625" style="3" customWidth="1"/>
    <col min="8196" max="8196" width="11.42578125" style="3"/>
    <col min="8197" max="8197" width="13.42578125" style="3" customWidth="1"/>
    <col min="8198" max="8198" width="12.7109375" style="3" customWidth="1"/>
    <col min="8199" max="8199" width="14" style="3" customWidth="1"/>
    <col min="8200" max="8200" width="7.42578125" style="3" customWidth="1"/>
    <col min="8201" max="8448" width="11.42578125" style="3"/>
    <col min="8449" max="8449" width="15.85546875" style="3" customWidth="1"/>
    <col min="8450" max="8450" width="14.85546875" style="3" customWidth="1"/>
    <col min="8451" max="8451" width="13.28515625" style="3" customWidth="1"/>
    <col min="8452" max="8452" width="11.42578125" style="3"/>
    <col min="8453" max="8453" width="13.42578125" style="3" customWidth="1"/>
    <col min="8454" max="8454" width="12.7109375" style="3" customWidth="1"/>
    <col min="8455" max="8455" width="14" style="3" customWidth="1"/>
    <col min="8456" max="8456" width="7.42578125" style="3" customWidth="1"/>
    <col min="8457" max="8704" width="11.42578125" style="3"/>
    <col min="8705" max="8705" width="15.85546875" style="3" customWidth="1"/>
    <col min="8706" max="8706" width="14.85546875" style="3" customWidth="1"/>
    <col min="8707" max="8707" width="13.28515625" style="3" customWidth="1"/>
    <col min="8708" max="8708" width="11.42578125" style="3"/>
    <col min="8709" max="8709" width="13.42578125" style="3" customWidth="1"/>
    <col min="8710" max="8710" width="12.7109375" style="3" customWidth="1"/>
    <col min="8711" max="8711" width="14" style="3" customWidth="1"/>
    <col min="8712" max="8712" width="7.42578125" style="3" customWidth="1"/>
    <col min="8713" max="8960" width="11.42578125" style="3"/>
    <col min="8961" max="8961" width="15.85546875" style="3" customWidth="1"/>
    <col min="8962" max="8962" width="14.85546875" style="3" customWidth="1"/>
    <col min="8963" max="8963" width="13.28515625" style="3" customWidth="1"/>
    <col min="8964" max="8964" width="11.42578125" style="3"/>
    <col min="8965" max="8965" width="13.42578125" style="3" customWidth="1"/>
    <col min="8966" max="8966" width="12.7109375" style="3" customWidth="1"/>
    <col min="8967" max="8967" width="14" style="3" customWidth="1"/>
    <col min="8968" max="8968" width="7.42578125" style="3" customWidth="1"/>
    <col min="8969" max="9216" width="11.42578125" style="3"/>
    <col min="9217" max="9217" width="15.85546875" style="3" customWidth="1"/>
    <col min="9218" max="9218" width="14.85546875" style="3" customWidth="1"/>
    <col min="9219" max="9219" width="13.28515625" style="3" customWidth="1"/>
    <col min="9220" max="9220" width="11.42578125" style="3"/>
    <col min="9221" max="9221" width="13.42578125" style="3" customWidth="1"/>
    <col min="9222" max="9222" width="12.7109375" style="3" customWidth="1"/>
    <col min="9223" max="9223" width="14" style="3" customWidth="1"/>
    <col min="9224" max="9224" width="7.42578125" style="3" customWidth="1"/>
    <col min="9225" max="9472" width="11.42578125" style="3"/>
    <col min="9473" max="9473" width="15.85546875" style="3" customWidth="1"/>
    <col min="9474" max="9474" width="14.85546875" style="3" customWidth="1"/>
    <col min="9475" max="9475" width="13.28515625" style="3" customWidth="1"/>
    <col min="9476" max="9476" width="11.42578125" style="3"/>
    <col min="9477" max="9477" width="13.42578125" style="3" customWidth="1"/>
    <col min="9478" max="9478" width="12.7109375" style="3" customWidth="1"/>
    <col min="9479" max="9479" width="14" style="3" customWidth="1"/>
    <col min="9480" max="9480" width="7.42578125" style="3" customWidth="1"/>
    <col min="9481" max="9728" width="11.42578125" style="3"/>
    <col min="9729" max="9729" width="15.85546875" style="3" customWidth="1"/>
    <col min="9730" max="9730" width="14.85546875" style="3" customWidth="1"/>
    <col min="9731" max="9731" width="13.28515625" style="3" customWidth="1"/>
    <col min="9732" max="9732" width="11.42578125" style="3"/>
    <col min="9733" max="9733" width="13.42578125" style="3" customWidth="1"/>
    <col min="9734" max="9734" width="12.7109375" style="3" customWidth="1"/>
    <col min="9735" max="9735" width="14" style="3" customWidth="1"/>
    <col min="9736" max="9736" width="7.42578125" style="3" customWidth="1"/>
    <col min="9737" max="9984" width="11.42578125" style="3"/>
    <col min="9985" max="9985" width="15.85546875" style="3" customWidth="1"/>
    <col min="9986" max="9986" width="14.85546875" style="3" customWidth="1"/>
    <col min="9987" max="9987" width="13.28515625" style="3" customWidth="1"/>
    <col min="9988" max="9988" width="11.42578125" style="3"/>
    <col min="9989" max="9989" width="13.42578125" style="3" customWidth="1"/>
    <col min="9990" max="9990" width="12.7109375" style="3" customWidth="1"/>
    <col min="9991" max="9991" width="14" style="3" customWidth="1"/>
    <col min="9992" max="9992" width="7.42578125" style="3" customWidth="1"/>
    <col min="9993" max="10240" width="11.42578125" style="3"/>
    <col min="10241" max="10241" width="15.85546875" style="3" customWidth="1"/>
    <col min="10242" max="10242" width="14.85546875" style="3" customWidth="1"/>
    <col min="10243" max="10243" width="13.28515625" style="3" customWidth="1"/>
    <col min="10244" max="10244" width="11.42578125" style="3"/>
    <col min="10245" max="10245" width="13.42578125" style="3" customWidth="1"/>
    <col min="10246" max="10246" width="12.7109375" style="3" customWidth="1"/>
    <col min="10247" max="10247" width="14" style="3" customWidth="1"/>
    <col min="10248" max="10248" width="7.42578125" style="3" customWidth="1"/>
    <col min="10249" max="10496" width="11.42578125" style="3"/>
    <col min="10497" max="10497" width="15.85546875" style="3" customWidth="1"/>
    <col min="10498" max="10498" width="14.85546875" style="3" customWidth="1"/>
    <col min="10499" max="10499" width="13.28515625" style="3" customWidth="1"/>
    <col min="10500" max="10500" width="11.42578125" style="3"/>
    <col min="10501" max="10501" width="13.42578125" style="3" customWidth="1"/>
    <col min="10502" max="10502" width="12.7109375" style="3" customWidth="1"/>
    <col min="10503" max="10503" width="14" style="3" customWidth="1"/>
    <col min="10504" max="10504" width="7.42578125" style="3" customWidth="1"/>
    <col min="10505" max="10752" width="11.42578125" style="3"/>
    <col min="10753" max="10753" width="15.85546875" style="3" customWidth="1"/>
    <col min="10754" max="10754" width="14.85546875" style="3" customWidth="1"/>
    <col min="10755" max="10755" width="13.28515625" style="3" customWidth="1"/>
    <col min="10756" max="10756" width="11.42578125" style="3"/>
    <col min="10757" max="10757" width="13.42578125" style="3" customWidth="1"/>
    <col min="10758" max="10758" width="12.7109375" style="3" customWidth="1"/>
    <col min="10759" max="10759" width="14" style="3" customWidth="1"/>
    <col min="10760" max="10760" width="7.42578125" style="3" customWidth="1"/>
    <col min="10761" max="11008" width="11.42578125" style="3"/>
    <col min="11009" max="11009" width="15.85546875" style="3" customWidth="1"/>
    <col min="11010" max="11010" width="14.85546875" style="3" customWidth="1"/>
    <col min="11011" max="11011" width="13.28515625" style="3" customWidth="1"/>
    <col min="11012" max="11012" width="11.42578125" style="3"/>
    <col min="11013" max="11013" width="13.42578125" style="3" customWidth="1"/>
    <col min="11014" max="11014" width="12.7109375" style="3" customWidth="1"/>
    <col min="11015" max="11015" width="14" style="3" customWidth="1"/>
    <col min="11016" max="11016" width="7.42578125" style="3" customWidth="1"/>
    <col min="11017" max="11264" width="11.42578125" style="3"/>
    <col min="11265" max="11265" width="15.85546875" style="3" customWidth="1"/>
    <col min="11266" max="11266" width="14.85546875" style="3" customWidth="1"/>
    <col min="11267" max="11267" width="13.28515625" style="3" customWidth="1"/>
    <col min="11268" max="11268" width="11.42578125" style="3"/>
    <col min="11269" max="11269" width="13.42578125" style="3" customWidth="1"/>
    <col min="11270" max="11270" width="12.7109375" style="3" customWidth="1"/>
    <col min="11271" max="11271" width="14" style="3" customWidth="1"/>
    <col min="11272" max="11272" width="7.42578125" style="3" customWidth="1"/>
    <col min="11273" max="11520" width="11.42578125" style="3"/>
    <col min="11521" max="11521" width="15.85546875" style="3" customWidth="1"/>
    <col min="11522" max="11522" width="14.85546875" style="3" customWidth="1"/>
    <col min="11523" max="11523" width="13.28515625" style="3" customWidth="1"/>
    <col min="11524" max="11524" width="11.42578125" style="3"/>
    <col min="11525" max="11525" width="13.42578125" style="3" customWidth="1"/>
    <col min="11526" max="11526" width="12.7109375" style="3" customWidth="1"/>
    <col min="11527" max="11527" width="14" style="3" customWidth="1"/>
    <col min="11528" max="11528" width="7.42578125" style="3" customWidth="1"/>
    <col min="11529" max="11776" width="11.42578125" style="3"/>
    <col min="11777" max="11777" width="15.85546875" style="3" customWidth="1"/>
    <col min="11778" max="11778" width="14.85546875" style="3" customWidth="1"/>
    <col min="11779" max="11779" width="13.28515625" style="3" customWidth="1"/>
    <col min="11780" max="11780" width="11.42578125" style="3"/>
    <col min="11781" max="11781" width="13.42578125" style="3" customWidth="1"/>
    <col min="11782" max="11782" width="12.7109375" style="3" customWidth="1"/>
    <col min="11783" max="11783" width="14" style="3" customWidth="1"/>
    <col min="11784" max="11784" width="7.42578125" style="3" customWidth="1"/>
    <col min="11785" max="12032" width="11.42578125" style="3"/>
    <col min="12033" max="12033" width="15.85546875" style="3" customWidth="1"/>
    <col min="12034" max="12034" width="14.85546875" style="3" customWidth="1"/>
    <col min="12035" max="12035" width="13.28515625" style="3" customWidth="1"/>
    <col min="12036" max="12036" width="11.42578125" style="3"/>
    <col min="12037" max="12037" width="13.42578125" style="3" customWidth="1"/>
    <col min="12038" max="12038" width="12.7109375" style="3" customWidth="1"/>
    <col min="12039" max="12039" width="14" style="3" customWidth="1"/>
    <col min="12040" max="12040" width="7.42578125" style="3" customWidth="1"/>
    <col min="12041" max="12288" width="11.42578125" style="3"/>
    <col min="12289" max="12289" width="15.85546875" style="3" customWidth="1"/>
    <col min="12290" max="12290" width="14.85546875" style="3" customWidth="1"/>
    <col min="12291" max="12291" width="13.28515625" style="3" customWidth="1"/>
    <col min="12292" max="12292" width="11.42578125" style="3"/>
    <col min="12293" max="12293" width="13.42578125" style="3" customWidth="1"/>
    <col min="12294" max="12294" width="12.7109375" style="3" customWidth="1"/>
    <col min="12295" max="12295" width="14" style="3" customWidth="1"/>
    <col min="12296" max="12296" width="7.42578125" style="3" customWidth="1"/>
    <col min="12297" max="12544" width="11.42578125" style="3"/>
    <col min="12545" max="12545" width="15.85546875" style="3" customWidth="1"/>
    <col min="12546" max="12546" width="14.85546875" style="3" customWidth="1"/>
    <col min="12547" max="12547" width="13.28515625" style="3" customWidth="1"/>
    <col min="12548" max="12548" width="11.42578125" style="3"/>
    <col min="12549" max="12549" width="13.42578125" style="3" customWidth="1"/>
    <col min="12550" max="12550" width="12.7109375" style="3" customWidth="1"/>
    <col min="12551" max="12551" width="14" style="3" customWidth="1"/>
    <col min="12552" max="12552" width="7.42578125" style="3" customWidth="1"/>
    <col min="12553" max="12800" width="11.42578125" style="3"/>
    <col min="12801" max="12801" width="15.85546875" style="3" customWidth="1"/>
    <col min="12802" max="12802" width="14.85546875" style="3" customWidth="1"/>
    <col min="12803" max="12803" width="13.28515625" style="3" customWidth="1"/>
    <col min="12804" max="12804" width="11.42578125" style="3"/>
    <col min="12805" max="12805" width="13.42578125" style="3" customWidth="1"/>
    <col min="12806" max="12806" width="12.7109375" style="3" customWidth="1"/>
    <col min="12807" max="12807" width="14" style="3" customWidth="1"/>
    <col min="12808" max="12808" width="7.42578125" style="3" customWidth="1"/>
    <col min="12809" max="13056" width="11.42578125" style="3"/>
    <col min="13057" max="13057" width="15.85546875" style="3" customWidth="1"/>
    <col min="13058" max="13058" width="14.85546875" style="3" customWidth="1"/>
    <col min="13059" max="13059" width="13.28515625" style="3" customWidth="1"/>
    <col min="13060" max="13060" width="11.42578125" style="3"/>
    <col min="13061" max="13061" width="13.42578125" style="3" customWidth="1"/>
    <col min="13062" max="13062" width="12.7109375" style="3" customWidth="1"/>
    <col min="13063" max="13063" width="14" style="3" customWidth="1"/>
    <col min="13064" max="13064" width="7.42578125" style="3" customWidth="1"/>
    <col min="13065" max="13312" width="11.42578125" style="3"/>
    <col min="13313" max="13313" width="15.85546875" style="3" customWidth="1"/>
    <col min="13314" max="13314" width="14.85546875" style="3" customWidth="1"/>
    <col min="13315" max="13315" width="13.28515625" style="3" customWidth="1"/>
    <col min="13316" max="13316" width="11.42578125" style="3"/>
    <col min="13317" max="13317" width="13.42578125" style="3" customWidth="1"/>
    <col min="13318" max="13318" width="12.7109375" style="3" customWidth="1"/>
    <col min="13319" max="13319" width="14" style="3" customWidth="1"/>
    <col min="13320" max="13320" width="7.42578125" style="3" customWidth="1"/>
    <col min="13321" max="13568" width="11.42578125" style="3"/>
    <col min="13569" max="13569" width="15.85546875" style="3" customWidth="1"/>
    <col min="13570" max="13570" width="14.85546875" style="3" customWidth="1"/>
    <col min="13571" max="13571" width="13.28515625" style="3" customWidth="1"/>
    <col min="13572" max="13572" width="11.42578125" style="3"/>
    <col min="13573" max="13573" width="13.42578125" style="3" customWidth="1"/>
    <col min="13574" max="13574" width="12.7109375" style="3" customWidth="1"/>
    <col min="13575" max="13575" width="14" style="3" customWidth="1"/>
    <col min="13576" max="13576" width="7.42578125" style="3" customWidth="1"/>
    <col min="13577" max="13824" width="11.42578125" style="3"/>
    <col min="13825" max="13825" width="15.85546875" style="3" customWidth="1"/>
    <col min="13826" max="13826" width="14.85546875" style="3" customWidth="1"/>
    <col min="13827" max="13827" width="13.28515625" style="3" customWidth="1"/>
    <col min="13828" max="13828" width="11.42578125" style="3"/>
    <col min="13829" max="13829" width="13.42578125" style="3" customWidth="1"/>
    <col min="13830" max="13830" width="12.7109375" style="3" customWidth="1"/>
    <col min="13831" max="13831" width="14" style="3" customWidth="1"/>
    <col min="13832" max="13832" width="7.42578125" style="3" customWidth="1"/>
    <col min="13833" max="14080" width="11.42578125" style="3"/>
    <col min="14081" max="14081" width="15.85546875" style="3" customWidth="1"/>
    <col min="14082" max="14082" width="14.85546875" style="3" customWidth="1"/>
    <col min="14083" max="14083" width="13.28515625" style="3" customWidth="1"/>
    <col min="14084" max="14084" width="11.42578125" style="3"/>
    <col min="14085" max="14085" width="13.42578125" style="3" customWidth="1"/>
    <col min="14086" max="14086" width="12.7109375" style="3" customWidth="1"/>
    <col min="14087" max="14087" width="14" style="3" customWidth="1"/>
    <col min="14088" max="14088" width="7.42578125" style="3" customWidth="1"/>
    <col min="14089" max="14336" width="11.42578125" style="3"/>
    <col min="14337" max="14337" width="15.85546875" style="3" customWidth="1"/>
    <col min="14338" max="14338" width="14.85546875" style="3" customWidth="1"/>
    <col min="14339" max="14339" width="13.28515625" style="3" customWidth="1"/>
    <col min="14340" max="14340" width="11.42578125" style="3"/>
    <col min="14341" max="14341" width="13.42578125" style="3" customWidth="1"/>
    <col min="14342" max="14342" width="12.7109375" style="3" customWidth="1"/>
    <col min="14343" max="14343" width="14" style="3" customWidth="1"/>
    <col min="14344" max="14344" width="7.42578125" style="3" customWidth="1"/>
    <col min="14345" max="14592" width="11.42578125" style="3"/>
    <col min="14593" max="14593" width="15.85546875" style="3" customWidth="1"/>
    <col min="14594" max="14594" width="14.85546875" style="3" customWidth="1"/>
    <col min="14595" max="14595" width="13.28515625" style="3" customWidth="1"/>
    <col min="14596" max="14596" width="11.42578125" style="3"/>
    <col min="14597" max="14597" width="13.42578125" style="3" customWidth="1"/>
    <col min="14598" max="14598" width="12.7109375" style="3" customWidth="1"/>
    <col min="14599" max="14599" width="14" style="3" customWidth="1"/>
    <col min="14600" max="14600" width="7.42578125" style="3" customWidth="1"/>
    <col min="14601" max="14848" width="11.42578125" style="3"/>
    <col min="14849" max="14849" width="15.85546875" style="3" customWidth="1"/>
    <col min="14850" max="14850" width="14.85546875" style="3" customWidth="1"/>
    <col min="14851" max="14851" width="13.28515625" style="3" customWidth="1"/>
    <col min="14852" max="14852" width="11.42578125" style="3"/>
    <col min="14853" max="14853" width="13.42578125" style="3" customWidth="1"/>
    <col min="14854" max="14854" width="12.7109375" style="3" customWidth="1"/>
    <col min="14855" max="14855" width="14" style="3" customWidth="1"/>
    <col min="14856" max="14856" width="7.42578125" style="3" customWidth="1"/>
    <col min="14857" max="15104" width="11.42578125" style="3"/>
    <col min="15105" max="15105" width="15.85546875" style="3" customWidth="1"/>
    <col min="15106" max="15106" width="14.85546875" style="3" customWidth="1"/>
    <col min="15107" max="15107" width="13.28515625" style="3" customWidth="1"/>
    <col min="15108" max="15108" width="11.42578125" style="3"/>
    <col min="15109" max="15109" width="13.42578125" style="3" customWidth="1"/>
    <col min="15110" max="15110" width="12.7109375" style="3" customWidth="1"/>
    <col min="15111" max="15111" width="14" style="3" customWidth="1"/>
    <col min="15112" max="15112" width="7.42578125" style="3" customWidth="1"/>
    <col min="15113" max="15360" width="11.42578125" style="3"/>
    <col min="15361" max="15361" width="15.85546875" style="3" customWidth="1"/>
    <col min="15362" max="15362" width="14.85546875" style="3" customWidth="1"/>
    <col min="15363" max="15363" width="13.28515625" style="3" customWidth="1"/>
    <col min="15364" max="15364" width="11.42578125" style="3"/>
    <col min="15365" max="15365" width="13.42578125" style="3" customWidth="1"/>
    <col min="15366" max="15366" width="12.7109375" style="3" customWidth="1"/>
    <col min="15367" max="15367" width="14" style="3" customWidth="1"/>
    <col min="15368" max="15368" width="7.42578125" style="3" customWidth="1"/>
    <col min="15369" max="15616" width="11.42578125" style="3"/>
    <col min="15617" max="15617" width="15.85546875" style="3" customWidth="1"/>
    <col min="15618" max="15618" width="14.85546875" style="3" customWidth="1"/>
    <col min="15619" max="15619" width="13.28515625" style="3" customWidth="1"/>
    <col min="15620" max="15620" width="11.42578125" style="3"/>
    <col min="15621" max="15621" width="13.42578125" style="3" customWidth="1"/>
    <col min="15622" max="15622" width="12.7109375" style="3" customWidth="1"/>
    <col min="15623" max="15623" width="14" style="3" customWidth="1"/>
    <col min="15624" max="15624" width="7.42578125" style="3" customWidth="1"/>
    <col min="15625" max="15872" width="11.42578125" style="3"/>
    <col min="15873" max="15873" width="15.85546875" style="3" customWidth="1"/>
    <col min="15874" max="15874" width="14.85546875" style="3" customWidth="1"/>
    <col min="15875" max="15875" width="13.28515625" style="3" customWidth="1"/>
    <col min="15876" max="15876" width="11.42578125" style="3"/>
    <col min="15877" max="15877" width="13.42578125" style="3" customWidth="1"/>
    <col min="15878" max="15878" width="12.7109375" style="3" customWidth="1"/>
    <col min="15879" max="15879" width="14" style="3" customWidth="1"/>
    <col min="15880" max="15880" width="7.42578125" style="3" customWidth="1"/>
    <col min="15881" max="16128" width="11.42578125" style="3"/>
    <col min="16129" max="16129" width="15.85546875" style="3" customWidth="1"/>
    <col min="16130" max="16130" width="14.85546875" style="3" customWidth="1"/>
    <col min="16131" max="16131" width="13.28515625" style="3" customWidth="1"/>
    <col min="16132" max="16132" width="11.42578125" style="3"/>
    <col min="16133" max="16133" width="13.42578125" style="3" customWidth="1"/>
    <col min="16134" max="16134" width="12.7109375" style="3" customWidth="1"/>
    <col min="16135" max="16135" width="14" style="3" customWidth="1"/>
    <col min="16136" max="16136" width="7.42578125" style="3" customWidth="1"/>
    <col min="16137" max="16384" width="11.42578125" style="3"/>
  </cols>
  <sheetData>
    <row r="1" spans="1:21" ht="48" customHeight="1">
      <c r="A1" s="1346" t="str">
        <f>PPTO!D3</f>
        <v>PRESUPUESTO
MUNICIPIO EL BAGRE (ANTIOQUIA).</v>
      </c>
      <c r="B1" s="1347"/>
      <c r="C1" s="1347"/>
      <c r="D1" s="1347"/>
      <c r="E1" s="1347"/>
      <c r="F1" s="1347"/>
      <c r="G1" s="1348"/>
      <c r="H1" s="1"/>
      <c r="I1" s="2"/>
    </row>
    <row r="2" spans="1:21" ht="18" customHeight="1">
      <c r="A2" s="1362" t="s">
        <v>16</v>
      </c>
      <c r="B2" s="1363"/>
      <c r="C2" s="1363"/>
      <c r="D2" s="1363"/>
      <c r="E2" s="1363"/>
      <c r="F2" s="1363"/>
      <c r="G2" s="1364"/>
      <c r="H2" s="1"/>
      <c r="I2" s="2"/>
    </row>
    <row r="3" spans="1:21" ht="27" customHeight="1">
      <c r="A3" s="1367" t="str">
        <f>+PPTO!$D$5</f>
        <v>PROYECTO DE MEJORAMIENTO VIAL, ESPACIO PUBLICO Y OBRAS COMPLEMENTARIAS DE LA AVENIDA LA JUVENTUD Y TRAMOS ADYACENTES Y PRIORITARIOS DEL SECTOR URBANO EN EL MUNICIPIO EL BAGRE ANTIOQUIA.</v>
      </c>
      <c r="B3" s="1368"/>
      <c r="C3" s="1368"/>
      <c r="D3" s="1368"/>
      <c r="E3" s="1368"/>
      <c r="F3" s="1368"/>
      <c r="G3" s="1369"/>
      <c r="H3" s="1"/>
      <c r="I3" s="2"/>
    </row>
    <row r="4" spans="1:21" ht="30" customHeight="1">
      <c r="A4" s="1370"/>
      <c r="B4" s="1368"/>
      <c r="C4" s="1368"/>
      <c r="D4" s="1368"/>
      <c r="E4" s="1368"/>
      <c r="F4" s="1368"/>
      <c r="G4" s="1369"/>
      <c r="H4" s="1"/>
      <c r="I4" s="2"/>
    </row>
    <row r="5" spans="1:21" ht="6.75" customHeight="1">
      <c r="A5" s="222"/>
      <c r="B5" s="6"/>
      <c r="C5" s="24"/>
      <c r="D5" s="25"/>
      <c r="E5" s="6"/>
      <c r="F5" s="6"/>
      <c r="G5" s="223"/>
      <c r="H5" s="9"/>
    </row>
    <row r="6" spans="1:21" ht="52.5" customHeight="1">
      <c r="A6" s="368">
        <v>6.15</v>
      </c>
      <c r="B6" s="1349" t="str">
        <f>VLOOKUP(A6,PPTO!D9:I136,2,FALSE)</f>
        <v>Suministro e instalacion tuberia en PVC Novafort 39"</v>
      </c>
      <c r="C6" s="1350"/>
      <c r="D6" s="1350"/>
      <c r="E6" s="1351"/>
      <c r="F6" s="192" t="s">
        <v>118</v>
      </c>
      <c r="G6" s="248" t="str">
        <f>VLOOKUP(A6,PPTO!D9:I136,3,FALSE)</f>
        <v>m</v>
      </c>
      <c r="H6" s="9"/>
    </row>
    <row r="7" spans="1:21" ht="3.75" customHeight="1">
      <c r="A7" s="226"/>
      <c r="B7" s="4"/>
      <c r="C7" s="6"/>
      <c r="D7" s="4"/>
      <c r="E7" s="4"/>
      <c r="F7" s="4"/>
      <c r="G7" s="227"/>
      <c r="H7" s="9"/>
    </row>
    <row r="8" spans="1:21" ht="22.5" customHeight="1">
      <c r="A8" s="1354" t="s">
        <v>69</v>
      </c>
      <c r="B8" s="1355"/>
      <c r="C8" s="1355"/>
      <c r="D8" s="1355"/>
      <c r="E8" s="1355"/>
      <c r="F8" s="1355"/>
      <c r="G8" s="1356"/>
      <c r="H8" s="9"/>
    </row>
    <row r="9" spans="1:21" ht="4.5" customHeight="1">
      <c r="A9" s="226"/>
      <c r="B9" s="4"/>
      <c r="C9" s="6"/>
      <c r="D9" s="4"/>
      <c r="E9" s="4"/>
      <c r="F9" s="4"/>
      <c r="G9" s="227"/>
      <c r="H9" s="9"/>
      <c r="I9" s="5"/>
      <c r="J9" s="5"/>
      <c r="K9" s="5"/>
      <c r="L9" s="26"/>
      <c r="M9" s="5"/>
      <c r="N9" s="5"/>
      <c r="O9" s="5"/>
      <c r="P9" s="5"/>
    </row>
    <row r="10" spans="1:21">
      <c r="A10" s="1373" t="s">
        <v>17</v>
      </c>
      <c r="B10" s="1374"/>
      <c r="C10" s="1374"/>
      <c r="D10" s="346" t="s">
        <v>18</v>
      </c>
      <c r="E10" s="346" t="s">
        <v>19</v>
      </c>
      <c r="F10" s="346" t="s">
        <v>20</v>
      </c>
      <c r="G10" s="228" t="s">
        <v>21</v>
      </c>
      <c r="H10" s="27"/>
      <c r="I10" s="28"/>
      <c r="J10" s="29"/>
      <c r="K10" s="30"/>
      <c r="L10" s="30"/>
      <c r="M10" s="30"/>
      <c r="N10" s="30"/>
      <c r="O10" s="30"/>
      <c r="P10" s="5"/>
    </row>
    <row r="11" spans="1:21">
      <c r="A11" s="1352" t="s">
        <v>47</v>
      </c>
      <c r="B11" s="1353"/>
      <c r="C11" s="1353"/>
      <c r="D11" s="346"/>
      <c r="E11" s="83"/>
      <c r="F11" s="97"/>
      <c r="G11" s="229">
        <f>+G39*10%</f>
        <v>8726</v>
      </c>
      <c r="H11" s="9"/>
      <c r="I11" s="30"/>
      <c r="J11" s="31"/>
      <c r="K11" s="30"/>
      <c r="L11" s="30"/>
      <c r="M11" s="30"/>
      <c r="N11" s="30"/>
      <c r="O11" s="30"/>
      <c r="P11" s="5"/>
    </row>
    <row r="12" spans="1:21">
      <c r="A12" s="1371"/>
      <c r="B12" s="1372"/>
      <c r="C12" s="1372"/>
      <c r="D12" s="83"/>
      <c r="E12" s="83"/>
      <c r="F12" s="93"/>
      <c r="G12" s="229"/>
      <c r="H12" s="9"/>
      <c r="I12" s="16"/>
      <c r="J12" s="13"/>
      <c r="K12" s="8"/>
      <c r="L12" s="8"/>
      <c r="M12" s="8"/>
      <c r="N12" s="8"/>
      <c r="O12" s="8"/>
      <c r="P12" s="5"/>
    </row>
    <row r="13" spans="1:21">
      <c r="A13" s="1371"/>
      <c r="B13" s="1372"/>
      <c r="C13" s="1372"/>
      <c r="D13" s="83"/>
      <c r="E13" s="83"/>
      <c r="F13" s="93"/>
      <c r="G13" s="229"/>
      <c r="H13" s="9"/>
      <c r="I13" s="13"/>
      <c r="J13" s="13"/>
      <c r="K13" s="13"/>
      <c r="L13" s="13"/>
      <c r="M13" s="13"/>
      <c r="N13" s="13"/>
      <c r="O13" s="13"/>
      <c r="P13" s="5"/>
    </row>
    <row r="14" spans="1:21">
      <c r="A14" s="1371"/>
      <c r="B14" s="1372"/>
      <c r="C14" s="1372"/>
      <c r="D14" s="83"/>
      <c r="E14" s="83"/>
      <c r="F14" s="93"/>
      <c r="G14" s="229"/>
      <c r="H14" s="9"/>
      <c r="I14" s="8"/>
      <c r="J14" s="14"/>
      <c r="K14" s="32"/>
      <c r="L14" s="14"/>
      <c r="M14" s="15"/>
      <c r="N14" s="15"/>
      <c r="O14" s="19"/>
      <c r="P14" s="5"/>
    </row>
    <row r="15" spans="1:21">
      <c r="A15" s="1371"/>
      <c r="B15" s="1372"/>
      <c r="C15" s="1372"/>
      <c r="D15" s="83"/>
      <c r="E15" s="83"/>
      <c r="F15" s="98"/>
      <c r="G15" s="229"/>
      <c r="H15" s="9"/>
      <c r="I15" s="8"/>
      <c r="J15" s="33"/>
      <c r="K15" s="32"/>
      <c r="L15" s="14"/>
      <c r="M15" s="15"/>
      <c r="N15" s="15"/>
      <c r="O15" s="19"/>
      <c r="P15" s="5"/>
      <c r="Q15" s="5"/>
      <c r="R15" s="5"/>
      <c r="S15" s="5"/>
      <c r="T15" s="5"/>
      <c r="U15" s="5"/>
    </row>
    <row r="16" spans="1:21">
      <c r="A16" s="1371"/>
      <c r="B16" s="1372"/>
      <c r="C16" s="1372"/>
      <c r="D16" s="85" t="s">
        <v>37</v>
      </c>
      <c r="E16" s="50"/>
      <c r="F16" s="49"/>
      <c r="G16" s="230">
        <f>SUM(G11:G15)</f>
        <v>8726</v>
      </c>
      <c r="H16" s="9"/>
      <c r="I16" s="34"/>
      <c r="J16" s="34"/>
      <c r="K16" s="35"/>
      <c r="L16" s="36"/>
      <c r="M16" s="7"/>
      <c r="N16" s="7"/>
      <c r="O16" s="19"/>
      <c r="P16" s="5"/>
      <c r="Q16" s="5"/>
      <c r="R16" s="5"/>
      <c r="S16" s="5"/>
      <c r="T16" s="5"/>
      <c r="U16" s="5"/>
    </row>
    <row r="17" spans="1:21" ht="4.5" customHeight="1">
      <c r="A17" s="226"/>
      <c r="B17" s="4"/>
      <c r="C17" s="6"/>
      <c r="D17" s="4"/>
      <c r="E17" s="4"/>
      <c r="F17" s="4"/>
      <c r="G17" s="227"/>
      <c r="H17" s="9"/>
      <c r="I17" s="34"/>
      <c r="J17" s="34"/>
      <c r="K17" s="35"/>
      <c r="L17" s="36"/>
      <c r="M17" s="7"/>
      <c r="N17" s="7"/>
      <c r="O17" s="19"/>
      <c r="P17" s="5"/>
      <c r="Q17" s="5"/>
      <c r="R17" s="5"/>
      <c r="S17" s="5"/>
      <c r="T17" s="5"/>
      <c r="U17" s="5"/>
    </row>
    <row r="18" spans="1:21" ht="22.5" customHeight="1">
      <c r="A18" s="1354" t="s">
        <v>70</v>
      </c>
      <c r="B18" s="1355"/>
      <c r="C18" s="1355"/>
      <c r="D18" s="1355"/>
      <c r="E18" s="1355"/>
      <c r="F18" s="1355"/>
      <c r="G18" s="1356"/>
      <c r="H18" s="9"/>
    </row>
    <row r="19" spans="1:21" ht="4.5" customHeight="1">
      <c r="A19" s="226"/>
      <c r="B19" s="4"/>
      <c r="C19" s="6"/>
      <c r="D19" s="4"/>
      <c r="E19" s="4"/>
      <c r="F19" s="38"/>
      <c r="G19" s="227"/>
      <c r="H19" s="9"/>
      <c r="I19" s="34"/>
      <c r="J19" s="34"/>
      <c r="K19" s="35"/>
      <c r="L19" s="39"/>
      <c r="M19" s="7"/>
      <c r="N19" s="7"/>
      <c r="O19" s="8"/>
      <c r="P19" s="5"/>
      <c r="Q19" s="5"/>
      <c r="R19" s="5"/>
      <c r="S19" s="5"/>
      <c r="T19" s="5"/>
      <c r="U19" s="5"/>
    </row>
    <row r="20" spans="1:21">
      <c r="A20" s="1373" t="s">
        <v>17</v>
      </c>
      <c r="B20" s="1374"/>
      <c r="C20" s="1374"/>
      <c r="D20" s="346" t="s">
        <v>3</v>
      </c>
      <c r="E20" s="346" t="s">
        <v>4</v>
      </c>
      <c r="F20" s="346" t="s">
        <v>25</v>
      </c>
      <c r="G20" s="228" t="s">
        <v>21</v>
      </c>
      <c r="H20" s="27"/>
      <c r="I20" s="34"/>
      <c r="J20" s="34"/>
      <c r="K20" s="35"/>
      <c r="L20" s="39"/>
      <c r="M20" s="7"/>
      <c r="N20" s="7"/>
      <c r="O20" s="8"/>
      <c r="P20" s="5"/>
      <c r="Q20" s="5"/>
      <c r="R20" s="5"/>
      <c r="S20" s="5"/>
      <c r="T20" s="5"/>
      <c r="U20" s="5"/>
    </row>
    <row r="21" spans="1:21" ht="31.5" customHeight="1">
      <c r="A21" s="1441" t="s">
        <v>232</v>
      </c>
      <c r="B21" s="1442"/>
      <c r="C21" s="1443"/>
      <c r="D21" s="118" t="s">
        <v>51</v>
      </c>
      <c r="E21" s="119">
        <v>1</v>
      </c>
      <c r="F21" s="87">
        <f>8749502/6*IPC</f>
        <v>1504623</v>
      </c>
      <c r="G21" s="231">
        <f>ROUND(F21*E21,0)</f>
        <v>1504623</v>
      </c>
      <c r="H21" s="9"/>
      <c r="I21" s="34"/>
      <c r="J21" s="34"/>
      <c r="K21" s="35"/>
      <c r="L21" s="36"/>
      <c r="M21" s="7"/>
      <c r="N21" s="7"/>
      <c r="O21" s="19"/>
      <c r="P21" s="5"/>
      <c r="Q21" s="5"/>
      <c r="R21" s="5"/>
      <c r="S21" s="5"/>
      <c r="T21" s="5"/>
      <c r="U21" s="5"/>
    </row>
    <row r="22" spans="1:21" ht="27.75" customHeight="1">
      <c r="A22" s="1444"/>
      <c r="B22" s="1403"/>
      <c r="C22" s="1404"/>
      <c r="D22" s="116"/>
      <c r="E22" s="117"/>
      <c r="F22" s="91"/>
      <c r="G22" s="231"/>
      <c r="H22" s="9"/>
      <c r="I22" s="10"/>
      <c r="J22" s="10"/>
      <c r="K22" s="12"/>
      <c r="L22" s="39"/>
      <c r="M22" s="7"/>
      <c r="N22" s="7"/>
      <c r="O22" s="15"/>
      <c r="P22" s="5"/>
      <c r="Q22" s="5"/>
      <c r="R22" s="5"/>
      <c r="S22" s="5"/>
      <c r="T22" s="5"/>
      <c r="U22" s="5"/>
    </row>
    <row r="23" spans="1:21">
      <c r="A23" s="1386"/>
      <c r="B23" s="1353"/>
      <c r="C23" s="1353"/>
      <c r="D23" s="79"/>
      <c r="E23" s="82"/>
      <c r="F23" s="83"/>
      <c r="G23" s="67"/>
      <c r="H23" s="9"/>
      <c r="I23" s="10"/>
      <c r="J23" s="10"/>
      <c r="K23" s="12"/>
      <c r="L23" s="39"/>
      <c r="M23" s="7"/>
      <c r="N23" s="7"/>
      <c r="O23" s="15"/>
      <c r="P23" s="5"/>
      <c r="Q23" s="5"/>
      <c r="R23" s="5"/>
      <c r="S23" s="5"/>
      <c r="T23" s="5"/>
      <c r="U23" s="5"/>
    </row>
    <row r="24" spans="1:21">
      <c r="A24" s="1352"/>
      <c r="B24" s="1353"/>
      <c r="C24" s="1353"/>
      <c r="D24" s="81"/>
      <c r="E24" s="88"/>
      <c r="F24" s="78"/>
      <c r="G24" s="231"/>
      <c r="H24" s="9"/>
      <c r="I24" s="10"/>
      <c r="J24" s="40"/>
      <c r="K24" s="12"/>
      <c r="L24" s="13"/>
      <c r="M24" s="14"/>
      <c r="N24" s="14"/>
      <c r="O24" s="15"/>
      <c r="P24" s="5"/>
      <c r="Q24" s="5"/>
      <c r="R24" s="5"/>
      <c r="S24" s="5"/>
      <c r="T24" s="5"/>
      <c r="U24" s="5"/>
    </row>
    <row r="25" spans="1:21">
      <c r="A25" s="1352"/>
      <c r="B25" s="1353"/>
      <c r="C25" s="1353"/>
      <c r="D25" s="81"/>
      <c r="E25" s="82"/>
      <c r="F25" s="78"/>
      <c r="G25" s="231"/>
      <c r="H25" s="9"/>
      <c r="I25" s="10"/>
      <c r="J25" s="11"/>
      <c r="K25" s="12"/>
      <c r="L25" s="13"/>
      <c r="M25" s="14"/>
      <c r="N25" s="14"/>
      <c r="O25" s="15"/>
      <c r="P25" s="5"/>
      <c r="Q25" s="5"/>
      <c r="R25" s="5"/>
      <c r="S25" s="5"/>
      <c r="T25" s="5"/>
      <c r="U25" s="5"/>
    </row>
    <row r="26" spans="1:21">
      <c r="A26" s="1352"/>
      <c r="B26" s="1353"/>
      <c r="C26" s="1353"/>
      <c r="D26" s="79"/>
      <c r="E26" s="82"/>
      <c r="F26" s="78"/>
      <c r="G26" s="231"/>
      <c r="H26" s="9"/>
      <c r="I26" s="10"/>
      <c r="J26" s="11"/>
      <c r="K26" s="12"/>
      <c r="L26" s="13"/>
      <c r="M26" s="14"/>
      <c r="N26" s="14"/>
      <c r="O26" s="15"/>
      <c r="P26" s="5"/>
      <c r="Q26" s="5"/>
      <c r="R26" s="5"/>
      <c r="S26" s="5"/>
      <c r="T26" s="5"/>
      <c r="U26" s="5"/>
    </row>
    <row r="27" spans="1:21">
      <c r="A27" s="1352"/>
      <c r="B27" s="1353"/>
      <c r="C27" s="1353"/>
      <c r="D27" s="79"/>
      <c r="E27" s="82"/>
      <c r="F27" s="78"/>
      <c r="G27" s="231"/>
      <c r="H27" s="9"/>
      <c r="I27" s="10"/>
      <c r="J27" s="11"/>
      <c r="K27" s="12"/>
      <c r="L27" s="13"/>
      <c r="M27" s="14"/>
      <c r="N27" s="14"/>
      <c r="O27" s="15"/>
      <c r="P27" s="5"/>
      <c r="Q27" s="5"/>
      <c r="R27" s="5"/>
      <c r="S27" s="5"/>
      <c r="T27" s="5"/>
      <c r="U27" s="5"/>
    </row>
    <row r="28" spans="1:21">
      <c r="A28" s="1352"/>
      <c r="B28" s="1353"/>
      <c r="C28" s="1353"/>
      <c r="D28" s="79"/>
      <c r="E28" s="82"/>
      <c r="F28" s="83"/>
      <c r="G28" s="231"/>
      <c r="H28" s="9"/>
      <c r="I28" s="41"/>
      <c r="J28" s="41"/>
      <c r="K28" s="12"/>
      <c r="L28" s="13"/>
      <c r="M28" s="14"/>
      <c r="N28" s="14"/>
      <c r="O28" s="15"/>
      <c r="P28" s="5"/>
      <c r="Q28" s="5"/>
      <c r="R28" s="5"/>
      <c r="S28" s="5"/>
      <c r="T28" s="5"/>
      <c r="U28" s="5"/>
    </row>
    <row r="29" spans="1:21">
      <c r="A29" s="1352"/>
      <c r="B29" s="1353"/>
      <c r="C29" s="1353"/>
      <c r="D29" s="84"/>
      <c r="E29" s="84"/>
      <c r="F29" s="83"/>
      <c r="G29" s="231"/>
      <c r="H29" s="9"/>
      <c r="I29" s="42"/>
      <c r="J29" s="42"/>
      <c r="K29" s="42"/>
      <c r="L29" s="13"/>
      <c r="M29" s="14"/>
      <c r="N29" s="14"/>
      <c r="O29" s="15"/>
      <c r="P29" s="5"/>
      <c r="Q29" s="5"/>
      <c r="R29" s="5"/>
      <c r="S29" s="5"/>
      <c r="T29" s="5"/>
      <c r="U29" s="5"/>
    </row>
    <row r="30" spans="1:21">
      <c r="A30" s="1352"/>
      <c r="B30" s="1353"/>
      <c r="C30" s="1353"/>
      <c r="D30" s="85" t="s">
        <v>28</v>
      </c>
      <c r="E30" s="50"/>
      <c r="F30" s="49"/>
      <c r="G30" s="230">
        <f>SUM(G21:G29)</f>
        <v>1504623</v>
      </c>
      <c r="H30" s="9"/>
      <c r="I30" s="8"/>
      <c r="J30" s="13"/>
      <c r="K30" s="8"/>
      <c r="L30" s="13"/>
      <c r="M30" s="14"/>
      <c r="N30" s="14"/>
      <c r="O30" s="15"/>
      <c r="P30" s="5"/>
    </row>
    <row r="31" spans="1:21" ht="3.75" customHeight="1">
      <c r="A31" s="226"/>
      <c r="B31" s="4"/>
      <c r="C31" s="6"/>
      <c r="D31" s="4"/>
      <c r="E31" s="4"/>
      <c r="F31" s="4"/>
      <c r="G31" s="227"/>
      <c r="H31" s="9"/>
      <c r="I31" s="8"/>
      <c r="J31" s="13"/>
      <c r="K31" s="18"/>
      <c r="L31" s="13"/>
      <c r="M31" s="33"/>
      <c r="N31" s="33"/>
      <c r="O31" s="15"/>
      <c r="P31" s="5"/>
    </row>
    <row r="32" spans="1:21" ht="22.5" customHeight="1">
      <c r="A32" s="1354" t="s">
        <v>71</v>
      </c>
      <c r="B32" s="1355"/>
      <c r="C32" s="1355"/>
      <c r="D32" s="1355"/>
      <c r="E32" s="1355"/>
      <c r="F32" s="1355"/>
      <c r="G32" s="1356"/>
      <c r="H32" s="9"/>
    </row>
    <row r="33" spans="1:16" ht="3.75" customHeight="1">
      <c r="A33" s="226"/>
      <c r="B33" s="4"/>
      <c r="C33" s="6"/>
      <c r="D33" s="4"/>
      <c r="E33" s="4"/>
      <c r="F33" s="4"/>
      <c r="G33" s="227"/>
      <c r="H33" s="9"/>
      <c r="I33" s="8"/>
      <c r="J33" s="13"/>
      <c r="K33" s="8"/>
      <c r="L33" s="8"/>
      <c r="M33" s="8"/>
      <c r="N33" s="8"/>
      <c r="O33" s="15"/>
      <c r="P33" s="5"/>
    </row>
    <row r="34" spans="1:16">
      <c r="A34" s="232" t="s">
        <v>5</v>
      </c>
      <c r="B34" s="60" t="s">
        <v>29</v>
      </c>
      <c r="C34" s="60" t="s">
        <v>30</v>
      </c>
      <c r="D34" s="60" t="s">
        <v>31</v>
      </c>
      <c r="E34" s="60" t="s">
        <v>32</v>
      </c>
      <c r="F34" s="60" t="s">
        <v>20</v>
      </c>
      <c r="G34" s="228" t="s">
        <v>33</v>
      </c>
      <c r="H34" s="27"/>
      <c r="I34" s="8"/>
      <c r="J34" s="13"/>
      <c r="K34" s="8"/>
      <c r="L34" s="8"/>
      <c r="M34" s="8"/>
      <c r="N34" s="8"/>
      <c r="O34" s="15"/>
      <c r="P34" s="5"/>
    </row>
    <row r="35" spans="1:16">
      <c r="A35" s="233" t="s">
        <v>41</v>
      </c>
      <c r="B35" s="63">
        <f>BOF</f>
        <v>51749</v>
      </c>
      <c r="C35" s="68">
        <f>ffpp</f>
        <v>0.64539999999999997</v>
      </c>
      <c r="D35" s="72">
        <v>1</v>
      </c>
      <c r="E35" s="66">
        <f>OF</f>
        <v>88696</v>
      </c>
      <c r="F35" s="65">
        <v>3.5</v>
      </c>
      <c r="G35" s="231">
        <f>ROUND(+D35*E35/F35,0)</f>
        <v>25342</v>
      </c>
      <c r="H35" s="9"/>
      <c r="I35" s="16"/>
      <c r="J35" s="13"/>
      <c r="K35" s="8"/>
      <c r="L35" s="8"/>
      <c r="M35" s="8"/>
      <c r="N35" s="8"/>
      <c r="O35" s="15"/>
      <c r="P35" s="5"/>
    </row>
    <row r="36" spans="1:16">
      <c r="A36" s="233" t="s">
        <v>38</v>
      </c>
      <c r="B36" s="63">
        <f>BOB</f>
        <v>41749</v>
      </c>
      <c r="C36" s="68">
        <f>ffpp</f>
        <v>0.64539999999999997</v>
      </c>
      <c r="D36" s="72">
        <v>3</v>
      </c>
      <c r="E36" s="66">
        <f>OB</f>
        <v>72242</v>
      </c>
      <c r="F36" s="65">
        <f>F35</f>
        <v>3.5</v>
      </c>
      <c r="G36" s="231">
        <f>ROUND(+D36*E36/F36,0)</f>
        <v>61922</v>
      </c>
      <c r="H36" s="9"/>
      <c r="I36" s="8"/>
      <c r="J36" s="8"/>
      <c r="K36" s="13"/>
      <c r="L36" s="13"/>
      <c r="M36" s="13"/>
      <c r="N36" s="13"/>
      <c r="O36" s="13"/>
      <c r="P36" s="5"/>
    </row>
    <row r="37" spans="1:16">
      <c r="A37" s="234"/>
      <c r="B37" s="50"/>
      <c r="C37" s="961"/>
      <c r="D37" s="50"/>
      <c r="E37" s="66"/>
      <c r="F37" s="65"/>
      <c r="G37" s="231"/>
      <c r="H37" s="9"/>
      <c r="I37" s="8"/>
      <c r="J37" s="13"/>
      <c r="K37" s="13"/>
      <c r="L37" s="13"/>
      <c r="M37" s="33"/>
      <c r="N37" s="33"/>
      <c r="O37" s="43"/>
      <c r="P37" s="5"/>
    </row>
    <row r="38" spans="1:16">
      <c r="A38" s="233"/>
      <c r="B38" s="65"/>
      <c r="C38" s="68"/>
      <c r="D38" s="65"/>
      <c r="E38" s="69"/>
      <c r="F38" s="69"/>
      <c r="G38" s="236"/>
      <c r="H38" s="9"/>
      <c r="I38" s="8"/>
      <c r="J38" s="13"/>
      <c r="K38" s="13"/>
      <c r="L38" s="13"/>
      <c r="M38" s="33"/>
      <c r="N38" s="33"/>
      <c r="O38" s="43"/>
      <c r="P38" s="5"/>
    </row>
    <row r="39" spans="1:16">
      <c r="A39" s="249"/>
      <c r="B39" s="71"/>
      <c r="C39" s="71"/>
      <c r="D39" s="71" t="s">
        <v>34</v>
      </c>
      <c r="E39" s="71"/>
      <c r="F39" s="71"/>
      <c r="G39" s="250">
        <f>SUM(G35:G38)</f>
        <v>87264</v>
      </c>
      <c r="H39" s="9"/>
      <c r="I39" s="8"/>
      <c r="J39" s="13"/>
      <c r="K39" s="13"/>
      <c r="L39" s="13"/>
      <c r="M39" s="14"/>
      <c r="N39" s="14"/>
      <c r="O39" s="15"/>
      <c r="P39" s="5"/>
    </row>
    <row r="40" spans="1:16">
      <c r="A40" s="226"/>
      <c r="B40" s="4"/>
      <c r="C40" s="6"/>
      <c r="D40" s="4"/>
      <c r="E40" s="4"/>
      <c r="F40" s="4"/>
      <c r="G40" s="227"/>
      <c r="H40" s="9"/>
      <c r="I40" s="8"/>
      <c r="J40" s="13"/>
      <c r="K40" s="13"/>
      <c r="L40" s="13"/>
      <c r="M40" s="14"/>
      <c r="N40" s="14"/>
      <c r="O40" s="19"/>
      <c r="P40" s="5"/>
    </row>
    <row r="41" spans="1:16">
      <c r="A41" s="226"/>
      <c r="B41" s="4"/>
      <c r="C41" s="6"/>
      <c r="D41" s="4"/>
      <c r="E41" s="4"/>
      <c r="F41" s="4"/>
      <c r="G41" s="227"/>
      <c r="H41" s="9"/>
      <c r="I41" s="8"/>
      <c r="J41" s="13"/>
      <c r="K41" s="13"/>
      <c r="L41" s="13"/>
      <c r="M41" s="17"/>
      <c r="N41" s="17"/>
      <c r="O41" s="37"/>
      <c r="P41" s="5"/>
    </row>
    <row r="42" spans="1:16" ht="14.25">
      <c r="A42" s="226"/>
      <c r="B42" s="4"/>
      <c r="C42" s="6"/>
      <c r="D42" s="1357" t="s">
        <v>35</v>
      </c>
      <c r="E42" s="1358"/>
      <c r="F42" s="1359"/>
      <c r="G42" s="239">
        <f>+G39+G30+G16</f>
        <v>1600613</v>
      </c>
      <c r="H42" s="9"/>
      <c r="I42" s="48"/>
      <c r="J42" s="20"/>
      <c r="K42" s="8"/>
      <c r="L42" s="8"/>
      <c r="M42" s="8"/>
      <c r="N42" s="8"/>
      <c r="O42" s="8"/>
      <c r="P42" s="5"/>
    </row>
    <row r="43" spans="1:16" ht="14.25">
      <c r="A43" s="240"/>
      <c r="B43" s="57"/>
      <c r="C43" s="58"/>
      <c r="D43" s="99"/>
      <c r="E43" s="99"/>
      <c r="F43" s="99"/>
      <c r="G43" s="251"/>
      <c r="H43" s="9"/>
      <c r="I43" s="48"/>
      <c r="J43" s="20"/>
      <c r="K43" s="8"/>
      <c r="L43" s="8"/>
      <c r="M43" s="8"/>
      <c r="N43" s="8"/>
      <c r="O43" s="8"/>
      <c r="P43" s="5"/>
    </row>
    <row r="44" spans="1:16" ht="14.25">
      <c r="A44" s="374"/>
      <c r="B44" s="375"/>
      <c r="C44" s="375"/>
      <c r="D44" s="99"/>
      <c r="E44" s="99"/>
      <c r="F44" s="99"/>
      <c r="G44" s="251"/>
      <c r="H44" s="9"/>
      <c r="I44" s="48"/>
      <c r="J44" s="20"/>
      <c r="K44" s="8"/>
      <c r="L44" s="8"/>
      <c r="M44" s="8"/>
      <c r="N44" s="8"/>
      <c r="O44" s="8"/>
      <c r="P44" s="5"/>
    </row>
    <row r="45" spans="1:16" ht="14.25">
      <c r="A45" s="373"/>
      <c r="B45" s="376"/>
      <c r="C45" s="376"/>
      <c r="D45" s="99"/>
      <c r="E45" s="99"/>
      <c r="F45" s="99"/>
      <c r="G45" s="251"/>
      <c r="H45" s="9"/>
      <c r="I45" s="48"/>
      <c r="J45" s="20"/>
      <c r="K45" s="8"/>
      <c r="L45" s="8"/>
      <c r="M45" s="8"/>
      <c r="N45" s="8"/>
      <c r="O45" s="8"/>
      <c r="P45" s="5"/>
    </row>
    <row r="46" spans="1:16" ht="14.25">
      <c r="A46" s="373"/>
      <c r="B46" s="376"/>
      <c r="C46" s="376"/>
      <c r="D46" s="44"/>
      <c r="E46" s="45"/>
      <c r="F46" s="45"/>
      <c r="G46" s="251"/>
      <c r="H46" s="9"/>
      <c r="I46" s="8"/>
      <c r="J46" s="13"/>
      <c r="K46" s="8"/>
      <c r="L46" s="8"/>
      <c r="M46" s="8"/>
      <c r="N46" s="8"/>
      <c r="O46" s="8"/>
      <c r="P46" s="5"/>
    </row>
    <row r="47" spans="1:16" ht="15" thickBot="1">
      <c r="A47" s="242"/>
      <c r="B47" s="243"/>
      <c r="C47" s="244"/>
      <c r="D47" s="245"/>
      <c r="E47" s="246"/>
      <c r="F47" s="246"/>
      <c r="G47" s="247"/>
      <c r="H47" s="9"/>
      <c r="I47" s="8"/>
      <c r="J47" s="13"/>
      <c r="K47" s="8"/>
      <c r="L47" s="8"/>
      <c r="M47" s="8"/>
      <c r="N47" s="8"/>
      <c r="O47" s="8"/>
      <c r="P47" s="5"/>
    </row>
    <row r="48" spans="1:16">
      <c r="I48" s="5"/>
      <c r="J48" s="5"/>
      <c r="K48" s="5"/>
      <c r="L48" s="5"/>
      <c r="M48" s="5"/>
      <c r="N48" s="5"/>
      <c r="O48" s="5"/>
      <c r="P48" s="5"/>
    </row>
    <row r="49" spans="9:16">
      <c r="I49" s="5"/>
      <c r="J49" s="5"/>
      <c r="K49" s="5"/>
      <c r="L49" s="5"/>
      <c r="M49" s="5"/>
      <c r="N49" s="5"/>
      <c r="O49" s="5"/>
      <c r="P49" s="5"/>
    </row>
  </sheetData>
  <mergeCells count="26">
    <mergeCell ref="A32:G32"/>
    <mergeCell ref="D42:F42"/>
    <mergeCell ref="A25:C25"/>
    <mergeCell ref="A26:C26"/>
    <mergeCell ref="A27:C27"/>
    <mergeCell ref="A28:C28"/>
    <mergeCell ref="A29:C29"/>
    <mergeCell ref="A30:C30"/>
    <mergeCell ref="A24:C24"/>
    <mergeCell ref="A11:C11"/>
    <mergeCell ref="A12:C12"/>
    <mergeCell ref="A13:C13"/>
    <mergeCell ref="A14:C14"/>
    <mergeCell ref="A15:C15"/>
    <mergeCell ref="A16:C16"/>
    <mergeCell ref="A18:G18"/>
    <mergeCell ref="A20:C20"/>
    <mergeCell ref="A21:C21"/>
    <mergeCell ref="A22:C22"/>
    <mergeCell ref="A23:C23"/>
    <mergeCell ref="A10:C10"/>
    <mergeCell ref="A1:G1"/>
    <mergeCell ref="A2:G2"/>
    <mergeCell ref="A3:G4"/>
    <mergeCell ref="B6:E6"/>
    <mergeCell ref="A8:G8"/>
  </mergeCells>
  <printOptions horizontalCentered="1" verticalCentered="1"/>
  <pageMargins left="0.74803149606299213" right="0.74803149606299213" top="0" bottom="0.98425196850393704" header="0" footer="0"/>
  <pageSetup scale="90" orientation="portrait" r:id="rId1"/>
  <headerFooter alignWithMargins="0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0"/>
  <dimension ref="A1:U49"/>
  <sheetViews>
    <sheetView view="pageBreakPreview" topLeftCell="A18" zoomScaleNormal="100" zoomScaleSheetLayoutView="100" workbookViewId="0">
      <selection activeCell="F22" sqref="F22"/>
    </sheetView>
  </sheetViews>
  <sheetFormatPr baseColWidth="10" defaultColWidth="10.7109375" defaultRowHeight="12.75"/>
  <cols>
    <col min="1" max="1" width="15.85546875" style="3" customWidth="1"/>
    <col min="2" max="2" width="14.85546875" style="3" customWidth="1"/>
    <col min="3" max="3" width="13.28515625" style="3" customWidth="1"/>
    <col min="4" max="4" width="11.42578125" style="3"/>
    <col min="5" max="5" width="13.42578125" style="3" customWidth="1"/>
    <col min="6" max="6" width="12.7109375" style="3" customWidth="1"/>
    <col min="7" max="7" width="14" style="3" customWidth="1"/>
    <col min="8" max="8" width="7.42578125" style="3" customWidth="1"/>
    <col min="9" max="256" width="11.42578125" style="3"/>
    <col min="257" max="257" width="15.85546875" style="3" customWidth="1"/>
    <col min="258" max="258" width="14.85546875" style="3" customWidth="1"/>
    <col min="259" max="259" width="13.28515625" style="3" customWidth="1"/>
    <col min="260" max="260" width="11.42578125" style="3"/>
    <col min="261" max="261" width="13.42578125" style="3" customWidth="1"/>
    <col min="262" max="262" width="12.7109375" style="3" customWidth="1"/>
    <col min="263" max="263" width="14" style="3" customWidth="1"/>
    <col min="264" max="264" width="7.42578125" style="3" customWidth="1"/>
    <col min="265" max="512" width="11.42578125" style="3"/>
    <col min="513" max="513" width="15.85546875" style="3" customWidth="1"/>
    <col min="514" max="514" width="14.85546875" style="3" customWidth="1"/>
    <col min="515" max="515" width="13.28515625" style="3" customWidth="1"/>
    <col min="516" max="516" width="11.42578125" style="3"/>
    <col min="517" max="517" width="13.42578125" style="3" customWidth="1"/>
    <col min="518" max="518" width="12.7109375" style="3" customWidth="1"/>
    <col min="519" max="519" width="14" style="3" customWidth="1"/>
    <col min="520" max="520" width="7.42578125" style="3" customWidth="1"/>
    <col min="521" max="768" width="11.42578125" style="3"/>
    <col min="769" max="769" width="15.85546875" style="3" customWidth="1"/>
    <col min="770" max="770" width="14.85546875" style="3" customWidth="1"/>
    <col min="771" max="771" width="13.28515625" style="3" customWidth="1"/>
    <col min="772" max="772" width="11.42578125" style="3"/>
    <col min="773" max="773" width="13.42578125" style="3" customWidth="1"/>
    <col min="774" max="774" width="12.7109375" style="3" customWidth="1"/>
    <col min="775" max="775" width="14" style="3" customWidth="1"/>
    <col min="776" max="776" width="7.42578125" style="3" customWidth="1"/>
    <col min="777" max="1024" width="11.42578125" style="3"/>
    <col min="1025" max="1025" width="15.85546875" style="3" customWidth="1"/>
    <col min="1026" max="1026" width="14.85546875" style="3" customWidth="1"/>
    <col min="1027" max="1027" width="13.28515625" style="3" customWidth="1"/>
    <col min="1028" max="1028" width="11.42578125" style="3"/>
    <col min="1029" max="1029" width="13.42578125" style="3" customWidth="1"/>
    <col min="1030" max="1030" width="12.7109375" style="3" customWidth="1"/>
    <col min="1031" max="1031" width="14" style="3" customWidth="1"/>
    <col min="1032" max="1032" width="7.42578125" style="3" customWidth="1"/>
    <col min="1033" max="1280" width="11.42578125" style="3"/>
    <col min="1281" max="1281" width="15.85546875" style="3" customWidth="1"/>
    <col min="1282" max="1282" width="14.85546875" style="3" customWidth="1"/>
    <col min="1283" max="1283" width="13.28515625" style="3" customWidth="1"/>
    <col min="1284" max="1284" width="11.42578125" style="3"/>
    <col min="1285" max="1285" width="13.42578125" style="3" customWidth="1"/>
    <col min="1286" max="1286" width="12.7109375" style="3" customWidth="1"/>
    <col min="1287" max="1287" width="14" style="3" customWidth="1"/>
    <col min="1288" max="1288" width="7.42578125" style="3" customWidth="1"/>
    <col min="1289" max="1536" width="11.42578125" style="3"/>
    <col min="1537" max="1537" width="15.85546875" style="3" customWidth="1"/>
    <col min="1538" max="1538" width="14.85546875" style="3" customWidth="1"/>
    <col min="1539" max="1539" width="13.28515625" style="3" customWidth="1"/>
    <col min="1540" max="1540" width="11.42578125" style="3"/>
    <col min="1541" max="1541" width="13.42578125" style="3" customWidth="1"/>
    <col min="1542" max="1542" width="12.7109375" style="3" customWidth="1"/>
    <col min="1543" max="1543" width="14" style="3" customWidth="1"/>
    <col min="1544" max="1544" width="7.42578125" style="3" customWidth="1"/>
    <col min="1545" max="1792" width="11.42578125" style="3"/>
    <col min="1793" max="1793" width="15.85546875" style="3" customWidth="1"/>
    <col min="1794" max="1794" width="14.85546875" style="3" customWidth="1"/>
    <col min="1795" max="1795" width="13.28515625" style="3" customWidth="1"/>
    <col min="1796" max="1796" width="11.42578125" style="3"/>
    <col min="1797" max="1797" width="13.42578125" style="3" customWidth="1"/>
    <col min="1798" max="1798" width="12.7109375" style="3" customWidth="1"/>
    <col min="1799" max="1799" width="14" style="3" customWidth="1"/>
    <col min="1800" max="1800" width="7.42578125" style="3" customWidth="1"/>
    <col min="1801" max="2048" width="11.42578125" style="3"/>
    <col min="2049" max="2049" width="15.85546875" style="3" customWidth="1"/>
    <col min="2050" max="2050" width="14.85546875" style="3" customWidth="1"/>
    <col min="2051" max="2051" width="13.28515625" style="3" customWidth="1"/>
    <col min="2052" max="2052" width="11.42578125" style="3"/>
    <col min="2053" max="2053" width="13.42578125" style="3" customWidth="1"/>
    <col min="2054" max="2054" width="12.7109375" style="3" customWidth="1"/>
    <col min="2055" max="2055" width="14" style="3" customWidth="1"/>
    <col min="2056" max="2056" width="7.42578125" style="3" customWidth="1"/>
    <col min="2057" max="2304" width="11.42578125" style="3"/>
    <col min="2305" max="2305" width="15.85546875" style="3" customWidth="1"/>
    <col min="2306" max="2306" width="14.85546875" style="3" customWidth="1"/>
    <col min="2307" max="2307" width="13.28515625" style="3" customWidth="1"/>
    <col min="2308" max="2308" width="11.42578125" style="3"/>
    <col min="2309" max="2309" width="13.42578125" style="3" customWidth="1"/>
    <col min="2310" max="2310" width="12.7109375" style="3" customWidth="1"/>
    <col min="2311" max="2311" width="14" style="3" customWidth="1"/>
    <col min="2312" max="2312" width="7.42578125" style="3" customWidth="1"/>
    <col min="2313" max="2560" width="11.42578125" style="3"/>
    <col min="2561" max="2561" width="15.85546875" style="3" customWidth="1"/>
    <col min="2562" max="2562" width="14.85546875" style="3" customWidth="1"/>
    <col min="2563" max="2563" width="13.28515625" style="3" customWidth="1"/>
    <col min="2564" max="2564" width="11.42578125" style="3"/>
    <col min="2565" max="2565" width="13.42578125" style="3" customWidth="1"/>
    <col min="2566" max="2566" width="12.7109375" style="3" customWidth="1"/>
    <col min="2567" max="2567" width="14" style="3" customWidth="1"/>
    <col min="2568" max="2568" width="7.42578125" style="3" customWidth="1"/>
    <col min="2569" max="2816" width="11.42578125" style="3"/>
    <col min="2817" max="2817" width="15.85546875" style="3" customWidth="1"/>
    <col min="2818" max="2818" width="14.85546875" style="3" customWidth="1"/>
    <col min="2819" max="2819" width="13.28515625" style="3" customWidth="1"/>
    <col min="2820" max="2820" width="11.42578125" style="3"/>
    <col min="2821" max="2821" width="13.42578125" style="3" customWidth="1"/>
    <col min="2822" max="2822" width="12.7109375" style="3" customWidth="1"/>
    <col min="2823" max="2823" width="14" style="3" customWidth="1"/>
    <col min="2824" max="2824" width="7.42578125" style="3" customWidth="1"/>
    <col min="2825" max="3072" width="11.42578125" style="3"/>
    <col min="3073" max="3073" width="15.85546875" style="3" customWidth="1"/>
    <col min="3074" max="3074" width="14.85546875" style="3" customWidth="1"/>
    <col min="3075" max="3075" width="13.28515625" style="3" customWidth="1"/>
    <col min="3076" max="3076" width="11.42578125" style="3"/>
    <col min="3077" max="3077" width="13.42578125" style="3" customWidth="1"/>
    <col min="3078" max="3078" width="12.7109375" style="3" customWidth="1"/>
    <col min="3079" max="3079" width="14" style="3" customWidth="1"/>
    <col min="3080" max="3080" width="7.42578125" style="3" customWidth="1"/>
    <col min="3081" max="3328" width="11.42578125" style="3"/>
    <col min="3329" max="3329" width="15.85546875" style="3" customWidth="1"/>
    <col min="3330" max="3330" width="14.85546875" style="3" customWidth="1"/>
    <col min="3331" max="3331" width="13.28515625" style="3" customWidth="1"/>
    <col min="3332" max="3332" width="11.42578125" style="3"/>
    <col min="3333" max="3333" width="13.42578125" style="3" customWidth="1"/>
    <col min="3334" max="3334" width="12.7109375" style="3" customWidth="1"/>
    <col min="3335" max="3335" width="14" style="3" customWidth="1"/>
    <col min="3336" max="3336" width="7.42578125" style="3" customWidth="1"/>
    <col min="3337" max="3584" width="11.42578125" style="3"/>
    <col min="3585" max="3585" width="15.85546875" style="3" customWidth="1"/>
    <col min="3586" max="3586" width="14.85546875" style="3" customWidth="1"/>
    <col min="3587" max="3587" width="13.28515625" style="3" customWidth="1"/>
    <col min="3588" max="3588" width="11.42578125" style="3"/>
    <col min="3589" max="3589" width="13.42578125" style="3" customWidth="1"/>
    <col min="3590" max="3590" width="12.7109375" style="3" customWidth="1"/>
    <col min="3591" max="3591" width="14" style="3" customWidth="1"/>
    <col min="3592" max="3592" width="7.42578125" style="3" customWidth="1"/>
    <col min="3593" max="3840" width="11.42578125" style="3"/>
    <col min="3841" max="3841" width="15.85546875" style="3" customWidth="1"/>
    <col min="3842" max="3842" width="14.85546875" style="3" customWidth="1"/>
    <col min="3843" max="3843" width="13.28515625" style="3" customWidth="1"/>
    <col min="3844" max="3844" width="11.42578125" style="3"/>
    <col min="3845" max="3845" width="13.42578125" style="3" customWidth="1"/>
    <col min="3846" max="3846" width="12.7109375" style="3" customWidth="1"/>
    <col min="3847" max="3847" width="14" style="3" customWidth="1"/>
    <col min="3848" max="3848" width="7.42578125" style="3" customWidth="1"/>
    <col min="3849" max="4096" width="11.42578125" style="3"/>
    <col min="4097" max="4097" width="15.85546875" style="3" customWidth="1"/>
    <col min="4098" max="4098" width="14.85546875" style="3" customWidth="1"/>
    <col min="4099" max="4099" width="13.28515625" style="3" customWidth="1"/>
    <col min="4100" max="4100" width="11.42578125" style="3"/>
    <col min="4101" max="4101" width="13.42578125" style="3" customWidth="1"/>
    <col min="4102" max="4102" width="12.7109375" style="3" customWidth="1"/>
    <col min="4103" max="4103" width="14" style="3" customWidth="1"/>
    <col min="4104" max="4104" width="7.42578125" style="3" customWidth="1"/>
    <col min="4105" max="4352" width="11.42578125" style="3"/>
    <col min="4353" max="4353" width="15.85546875" style="3" customWidth="1"/>
    <col min="4354" max="4354" width="14.85546875" style="3" customWidth="1"/>
    <col min="4355" max="4355" width="13.28515625" style="3" customWidth="1"/>
    <col min="4356" max="4356" width="11.42578125" style="3"/>
    <col min="4357" max="4357" width="13.42578125" style="3" customWidth="1"/>
    <col min="4358" max="4358" width="12.7109375" style="3" customWidth="1"/>
    <col min="4359" max="4359" width="14" style="3" customWidth="1"/>
    <col min="4360" max="4360" width="7.42578125" style="3" customWidth="1"/>
    <col min="4361" max="4608" width="11.42578125" style="3"/>
    <col min="4609" max="4609" width="15.85546875" style="3" customWidth="1"/>
    <col min="4610" max="4610" width="14.85546875" style="3" customWidth="1"/>
    <col min="4611" max="4611" width="13.28515625" style="3" customWidth="1"/>
    <col min="4612" max="4612" width="11.42578125" style="3"/>
    <col min="4613" max="4613" width="13.42578125" style="3" customWidth="1"/>
    <col min="4614" max="4614" width="12.7109375" style="3" customWidth="1"/>
    <col min="4615" max="4615" width="14" style="3" customWidth="1"/>
    <col min="4616" max="4616" width="7.42578125" style="3" customWidth="1"/>
    <col min="4617" max="4864" width="11.42578125" style="3"/>
    <col min="4865" max="4865" width="15.85546875" style="3" customWidth="1"/>
    <col min="4866" max="4866" width="14.85546875" style="3" customWidth="1"/>
    <col min="4867" max="4867" width="13.28515625" style="3" customWidth="1"/>
    <col min="4868" max="4868" width="11.42578125" style="3"/>
    <col min="4869" max="4869" width="13.42578125" style="3" customWidth="1"/>
    <col min="4870" max="4870" width="12.7109375" style="3" customWidth="1"/>
    <col min="4871" max="4871" width="14" style="3" customWidth="1"/>
    <col min="4872" max="4872" width="7.42578125" style="3" customWidth="1"/>
    <col min="4873" max="5120" width="11.42578125" style="3"/>
    <col min="5121" max="5121" width="15.85546875" style="3" customWidth="1"/>
    <col min="5122" max="5122" width="14.85546875" style="3" customWidth="1"/>
    <col min="5123" max="5123" width="13.28515625" style="3" customWidth="1"/>
    <col min="5124" max="5124" width="11.42578125" style="3"/>
    <col min="5125" max="5125" width="13.42578125" style="3" customWidth="1"/>
    <col min="5126" max="5126" width="12.7109375" style="3" customWidth="1"/>
    <col min="5127" max="5127" width="14" style="3" customWidth="1"/>
    <col min="5128" max="5128" width="7.42578125" style="3" customWidth="1"/>
    <col min="5129" max="5376" width="11.42578125" style="3"/>
    <col min="5377" max="5377" width="15.85546875" style="3" customWidth="1"/>
    <col min="5378" max="5378" width="14.85546875" style="3" customWidth="1"/>
    <col min="5379" max="5379" width="13.28515625" style="3" customWidth="1"/>
    <col min="5380" max="5380" width="11.42578125" style="3"/>
    <col min="5381" max="5381" width="13.42578125" style="3" customWidth="1"/>
    <col min="5382" max="5382" width="12.7109375" style="3" customWidth="1"/>
    <col min="5383" max="5383" width="14" style="3" customWidth="1"/>
    <col min="5384" max="5384" width="7.42578125" style="3" customWidth="1"/>
    <col min="5385" max="5632" width="11.42578125" style="3"/>
    <col min="5633" max="5633" width="15.85546875" style="3" customWidth="1"/>
    <col min="5634" max="5634" width="14.85546875" style="3" customWidth="1"/>
    <col min="5635" max="5635" width="13.28515625" style="3" customWidth="1"/>
    <col min="5636" max="5636" width="11.42578125" style="3"/>
    <col min="5637" max="5637" width="13.42578125" style="3" customWidth="1"/>
    <col min="5638" max="5638" width="12.7109375" style="3" customWidth="1"/>
    <col min="5639" max="5639" width="14" style="3" customWidth="1"/>
    <col min="5640" max="5640" width="7.42578125" style="3" customWidth="1"/>
    <col min="5641" max="5888" width="11.42578125" style="3"/>
    <col min="5889" max="5889" width="15.85546875" style="3" customWidth="1"/>
    <col min="5890" max="5890" width="14.85546875" style="3" customWidth="1"/>
    <col min="5891" max="5891" width="13.28515625" style="3" customWidth="1"/>
    <col min="5892" max="5892" width="11.42578125" style="3"/>
    <col min="5893" max="5893" width="13.42578125" style="3" customWidth="1"/>
    <col min="5894" max="5894" width="12.7109375" style="3" customWidth="1"/>
    <col min="5895" max="5895" width="14" style="3" customWidth="1"/>
    <col min="5896" max="5896" width="7.42578125" style="3" customWidth="1"/>
    <col min="5897" max="6144" width="11.42578125" style="3"/>
    <col min="6145" max="6145" width="15.85546875" style="3" customWidth="1"/>
    <col min="6146" max="6146" width="14.85546875" style="3" customWidth="1"/>
    <col min="6147" max="6147" width="13.28515625" style="3" customWidth="1"/>
    <col min="6148" max="6148" width="11.42578125" style="3"/>
    <col min="6149" max="6149" width="13.42578125" style="3" customWidth="1"/>
    <col min="6150" max="6150" width="12.7109375" style="3" customWidth="1"/>
    <col min="6151" max="6151" width="14" style="3" customWidth="1"/>
    <col min="6152" max="6152" width="7.42578125" style="3" customWidth="1"/>
    <col min="6153" max="6400" width="11.42578125" style="3"/>
    <col min="6401" max="6401" width="15.85546875" style="3" customWidth="1"/>
    <col min="6402" max="6402" width="14.85546875" style="3" customWidth="1"/>
    <col min="6403" max="6403" width="13.28515625" style="3" customWidth="1"/>
    <col min="6404" max="6404" width="11.42578125" style="3"/>
    <col min="6405" max="6405" width="13.42578125" style="3" customWidth="1"/>
    <col min="6406" max="6406" width="12.7109375" style="3" customWidth="1"/>
    <col min="6407" max="6407" width="14" style="3" customWidth="1"/>
    <col min="6408" max="6408" width="7.42578125" style="3" customWidth="1"/>
    <col min="6409" max="6656" width="11.42578125" style="3"/>
    <col min="6657" max="6657" width="15.85546875" style="3" customWidth="1"/>
    <col min="6658" max="6658" width="14.85546875" style="3" customWidth="1"/>
    <col min="6659" max="6659" width="13.28515625" style="3" customWidth="1"/>
    <col min="6660" max="6660" width="11.42578125" style="3"/>
    <col min="6661" max="6661" width="13.42578125" style="3" customWidth="1"/>
    <col min="6662" max="6662" width="12.7109375" style="3" customWidth="1"/>
    <col min="6663" max="6663" width="14" style="3" customWidth="1"/>
    <col min="6664" max="6664" width="7.42578125" style="3" customWidth="1"/>
    <col min="6665" max="6912" width="11.42578125" style="3"/>
    <col min="6913" max="6913" width="15.85546875" style="3" customWidth="1"/>
    <col min="6914" max="6914" width="14.85546875" style="3" customWidth="1"/>
    <col min="6915" max="6915" width="13.28515625" style="3" customWidth="1"/>
    <col min="6916" max="6916" width="11.42578125" style="3"/>
    <col min="6917" max="6917" width="13.42578125" style="3" customWidth="1"/>
    <col min="6918" max="6918" width="12.7109375" style="3" customWidth="1"/>
    <col min="6919" max="6919" width="14" style="3" customWidth="1"/>
    <col min="6920" max="6920" width="7.42578125" style="3" customWidth="1"/>
    <col min="6921" max="7168" width="11.42578125" style="3"/>
    <col min="7169" max="7169" width="15.85546875" style="3" customWidth="1"/>
    <col min="7170" max="7170" width="14.85546875" style="3" customWidth="1"/>
    <col min="7171" max="7171" width="13.28515625" style="3" customWidth="1"/>
    <col min="7172" max="7172" width="11.42578125" style="3"/>
    <col min="7173" max="7173" width="13.42578125" style="3" customWidth="1"/>
    <col min="7174" max="7174" width="12.7109375" style="3" customWidth="1"/>
    <col min="7175" max="7175" width="14" style="3" customWidth="1"/>
    <col min="7176" max="7176" width="7.42578125" style="3" customWidth="1"/>
    <col min="7177" max="7424" width="11.42578125" style="3"/>
    <col min="7425" max="7425" width="15.85546875" style="3" customWidth="1"/>
    <col min="7426" max="7426" width="14.85546875" style="3" customWidth="1"/>
    <col min="7427" max="7427" width="13.28515625" style="3" customWidth="1"/>
    <col min="7428" max="7428" width="11.42578125" style="3"/>
    <col min="7429" max="7429" width="13.42578125" style="3" customWidth="1"/>
    <col min="7430" max="7430" width="12.7109375" style="3" customWidth="1"/>
    <col min="7431" max="7431" width="14" style="3" customWidth="1"/>
    <col min="7432" max="7432" width="7.42578125" style="3" customWidth="1"/>
    <col min="7433" max="7680" width="11.42578125" style="3"/>
    <col min="7681" max="7681" width="15.85546875" style="3" customWidth="1"/>
    <col min="7682" max="7682" width="14.85546875" style="3" customWidth="1"/>
    <col min="7683" max="7683" width="13.28515625" style="3" customWidth="1"/>
    <col min="7684" max="7684" width="11.42578125" style="3"/>
    <col min="7685" max="7685" width="13.42578125" style="3" customWidth="1"/>
    <col min="7686" max="7686" width="12.7109375" style="3" customWidth="1"/>
    <col min="7687" max="7687" width="14" style="3" customWidth="1"/>
    <col min="7688" max="7688" width="7.42578125" style="3" customWidth="1"/>
    <col min="7689" max="7936" width="11.42578125" style="3"/>
    <col min="7937" max="7937" width="15.85546875" style="3" customWidth="1"/>
    <col min="7938" max="7938" width="14.85546875" style="3" customWidth="1"/>
    <col min="7939" max="7939" width="13.28515625" style="3" customWidth="1"/>
    <col min="7940" max="7940" width="11.42578125" style="3"/>
    <col min="7941" max="7941" width="13.42578125" style="3" customWidth="1"/>
    <col min="7942" max="7942" width="12.7109375" style="3" customWidth="1"/>
    <col min="7943" max="7943" width="14" style="3" customWidth="1"/>
    <col min="7944" max="7944" width="7.42578125" style="3" customWidth="1"/>
    <col min="7945" max="8192" width="11.42578125" style="3"/>
    <col min="8193" max="8193" width="15.85546875" style="3" customWidth="1"/>
    <col min="8194" max="8194" width="14.85546875" style="3" customWidth="1"/>
    <col min="8195" max="8195" width="13.28515625" style="3" customWidth="1"/>
    <col min="8196" max="8196" width="11.42578125" style="3"/>
    <col min="8197" max="8197" width="13.42578125" style="3" customWidth="1"/>
    <col min="8198" max="8198" width="12.7109375" style="3" customWidth="1"/>
    <col min="8199" max="8199" width="14" style="3" customWidth="1"/>
    <col min="8200" max="8200" width="7.42578125" style="3" customWidth="1"/>
    <col min="8201" max="8448" width="11.42578125" style="3"/>
    <col min="8449" max="8449" width="15.85546875" style="3" customWidth="1"/>
    <col min="8450" max="8450" width="14.85546875" style="3" customWidth="1"/>
    <col min="8451" max="8451" width="13.28515625" style="3" customWidth="1"/>
    <col min="8452" max="8452" width="11.42578125" style="3"/>
    <col min="8453" max="8453" width="13.42578125" style="3" customWidth="1"/>
    <col min="8454" max="8454" width="12.7109375" style="3" customWidth="1"/>
    <col min="8455" max="8455" width="14" style="3" customWidth="1"/>
    <col min="8456" max="8456" width="7.42578125" style="3" customWidth="1"/>
    <col min="8457" max="8704" width="11.42578125" style="3"/>
    <col min="8705" max="8705" width="15.85546875" style="3" customWidth="1"/>
    <col min="8706" max="8706" width="14.85546875" style="3" customWidth="1"/>
    <col min="8707" max="8707" width="13.28515625" style="3" customWidth="1"/>
    <col min="8708" max="8708" width="11.42578125" style="3"/>
    <col min="8709" max="8709" width="13.42578125" style="3" customWidth="1"/>
    <col min="8710" max="8710" width="12.7109375" style="3" customWidth="1"/>
    <col min="8711" max="8711" width="14" style="3" customWidth="1"/>
    <col min="8712" max="8712" width="7.42578125" style="3" customWidth="1"/>
    <col min="8713" max="8960" width="11.42578125" style="3"/>
    <col min="8961" max="8961" width="15.85546875" style="3" customWidth="1"/>
    <col min="8962" max="8962" width="14.85546875" style="3" customWidth="1"/>
    <col min="8963" max="8963" width="13.28515625" style="3" customWidth="1"/>
    <col min="8964" max="8964" width="11.42578125" style="3"/>
    <col min="8965" max="8965" width="13.42578125" style="3" customWidth="1"/>
    <col min="8966" max="8966" width="12.7109375" style="3" customWidth="1"/>
    <col min="8967" max="8967" width="14" style="3" customWidth="1"/>
    <col min="8968" max="8968" width="7.42578125" style="3" customWidth="1"/>
    <col min="8969" max="9216" width="11.42578125" style="3"/>
    <col min="9217" max="9217" width="15.85546875" style="3" customWidth="1"/>
    <col min="9218" max="9218" width="14.85546875" style="3" customWidth="1"/>
    <col min="9219" max="9219" width="13.28515625" style="3" customWidth="1"/>
    <col min="9220" max="9220" width="11.42578125" style="3"/>
    <col min="9221" max="9221" width="13.42578125" style="3" customWidth="1"/>
    <col min="9222" max="9222" width="12.7109375" style="3" customWidth="1"/>
    <col min="9223" max="9223" width="14" style="3" customWidth="1"/>
    <col min="9224" max="9224" width="7.42578125" style="3" customWidth="1"/>
    <col min="9225" max="9472" width="11.42578125" style="3"/>
    <col min="9473" max="9473" width="15.85546875" style="3" customWidth="1"/>
    <col min="9474" max="9474" width="14.85546875" style="3" customWidth="1"/>
    <col min="9475" max="9475" width="13.28515625" style="3" customWidth="1"/>
    <col min="9476" max="9476" width="11.42578125" style="3"/>
    <col min="9477" max="9477" width="13.42578125" style="3" customWidth="1"/>
    <col min="9478" max="9478" width="12.7109375" style="3" customWidth="1"/>
    <col min="9479" max="9479" width="14" style="3" customWidth="1"/>
    <col min="9480" max="9480" width="7.42578125" style="3" customWidth="1"/>
    <col min="9481" max="9728" width="11.42578125" style="3"/>
    <col min="9729" max="9729" width="15.85546875" style="3" customWidth="1"/>
    <col min="9730" max="9730" width="14.85546875" style="3" customWidth="1"/>
    <col min="9731" max="9731" width="13.28515625" style="3" customWidth="1"/>
    <col min="9732" max="9732" width="11.42578125" style="3"/>
    <col min="9733" max="9733" width="13.42578125" style="3" customWidth="1"/>
    <col min="9734" max="9734" width="12.7109375" style="3" customWidth="1"/>
    <col min="9735" max="9735" width="14" style="3" customWidth="1"/>
    <col min="9736" max="9736" width="7.42578125" style="3" customWidth="1"/>
    <col min="9737" max="9984" width="11.42578125" style="3"/>
    <col min="9985" max="9985" width="15.85546875" style="3" customWidth="1"/>
    <col min="9986" max="9986" width="14.85546875" style="3" customWidth="1"/>
    <col min="9987" max="9987" width="13.28515625" style="3" customWidth="1"/>
    <col min="9988" max="9988" width="11.42578125" style="3"/>
    <col min="9989" max="9989" width="13.42578125" style="3" customWidth="1"/>
    <col min="9990" max="9990" width="12.7109375" style="3" customWidth="1"/>
    <col min="9991" max="9991" width="14" style="3" customWidth="1"/>
    <col min="9992" max="9992" width="7.42578125" style="3" customWidth="1"/>
    <col min="9993" max="10240" width="11.42578125" style="3"/>
    <col min="10241" max="10241" width="15.85546875" style="3" customWidth="1"/>
    <col min="10242" max="10242" width="14.85546875" style="3" customWidth="1"/>
    <col min="10243" max="10243" width="13.28515625" style="3" customWidth="1"/>
    <col min="10244" max="10244" width="11.42578125" style="3"/>
    <col min="10245" max="10245" width="13.42578125" style="3" customWidth="1"/>
    <col min="10246" max="10246" width="12.7109375" style="3" customWidth="1"/>
    <col min="10247" max="10247" width="14" style="3" customWidth="1"/>
    <col min="10248" max="10248" width="7.42578125" style="3" customWidth="1"/>
    <col min="10249" max="10496" width="11.42578125" style="3"/>
    <col min="10497" max="10497" width="15.85546875" style="3" customWidth="1"/>
    <col min="10498" max="10498" width="14.85546875" style="3" customWidth="1"/>
    <col min="10499" max="10499" width="13.28515625" style="3" customWidth="1"/>
    <col min="10500" max="10500" width="11.42578125" style="3"/>
    <col min="10501" max="10501" width="13.42578125" style="3" customWidth="1"/>
    <col min="10502" max="10502" width="12.7109375" style="3" customWidth="1"/>
    <col min="10503" max="10503" width="14" style="3" customWidth="1"/>
    <col min="10504" max="10504" width="7.42578125" style="3" customWidth="1"/>
    <col min="10505" max="10752" width="11.42578125" style="3"/>
    <col min="10753" max="10753" width="15.85546875" style="3" customWidth="1"/>
    <col min="10754" max="10754" width="14.85546875" style="3" customWidth="1"/>
    <col min="10755" max="10755" width="13.28515625" style="3" customWidth="1"/>
    <col min="10756" max="10756" width="11.42578125" style="3"/>
    <col min="10757" max="10757" width="13.42578125" style="3" customWidth="1"/>
    <col min="10758" max="10758" width="12.7109375" style="3" customWidth="1"/>
    <col min="10759" max="10759" width="14" style="3" customWidth="1"/>
    <col min="10760" max="10760" width="7.42578125" style="3" customWidth="1"/>
    <col min="10761" max="11008" width="11.42578125" style="3"/>
    <col min="11009" max="11009" width="15.85546875" style="3" customWidth="1"/>
    <col min="11010" max="11010" width="14.85546875" style="3" customWidth="1"/>
    <col min="11011" max="11011" width="13.28515625" style="3" customWidth="1"/>
    <col min="11012" max="11012" width="11.42578125" style="3"/>
    <col min="11013" max="11013" width="13.42578125" style="3" customWidth="1"/>
    <col min="11014" max="11014" width="12.7109375" style="3" customWidth="1"/>
    <col min="11015" max="11015" width="14" style="3" customWidth="1"/>
    <col min="11016" max="11016" width="7.42578125" style="3" customWidth="1"/>
    <col min="11017" max="11264" width="11.42578125" style="3"/>
    <col min="11265" max="11265" width="15.85546875" style="3" customWidth="1"/>
    <col min="11266" max="11266" width="14.85546875" style="3" customWidth="1"/>
    <col min="11267" max="11267" width="13.28515625" style="3" customWidth="1"/>
    <col min="11268" max="11268" width="11.42578125" style="3"/>
    <col min="11269" max="11269" width="13.42578125" style="3" customWidth="1"/>
    <col min="11270" max="11270" width="12.7109375" style="3" customWidth="1"/>
    <col min="11271" max="11271" width="14" style="3" customWidth="1"/>
    <col min="11272" max="11272" width="7.42578125" style="3" customWidth="1"/>
    <col min="11273" max="11520" width="11.42578125" style="3"/>
    <col min="11521" max="11521" width="15.85546875" style="3" customWidth="1"/>
    <col min="11522" max="11522" width="14.85546875" style="3" customWidth="1"/>
    <col min="11523" max="11523" width="13.28515625" style="3" customWidth="1"/>
    <col min="11524" max="11524" width="11.42578125" style="3"/>
    <col min="11525" max="11525" width="13.42578125" style="3" customWidth="1"/>
    <col min="11526" max="11526" width="12.7109375" style="3" customWidth="1"/>
    <col min="11527" max="11527" width="14" style="3" customWidth="1"/>
    <col min="11528" max="11528" width="7.42578125" style="3" customWidth="1"/>
    <col min="11529" max="11776" width="11.42578125" style="3"/>
    <col min="11777" max="11777" width="15.85546875" style="3" customWidth="1"/>
    <col min="11778" max="11778" width="14.85546875" style="3" customWidth="1"/>
    <col min="11779" max="11779" width="13.28515625" style="3" customWidth="1"/>
    <col min="11780" max="11780" width="11.42578125" style="3"/>
    <col min="11781" max="11781" width="13.42578125" style="3" customWidth="1"/>
    <col min="11782" max="11782" width="12.7109375" style="3" customWidth="1"/>
    <col min="11783" max="11783" width="14" style="3" customWidth="1"/>
    <col min="11784" max="11784" width="7.42578125" style="3" customWidth="1"/>
    <col min="11785" max="12032" width="11.42578125" style="3"/>
    <col min="12033" max="12033" width="15.85546875" style="3" customWidth="1"/>
    <col min="12034" max="12034" width="14.85546875" style="3" customWidth="1"/>
    <col min="12035" max="12035" width="13.28515625" style="3" customWidth="1"/>
    <col min="12036" max="12036" width="11.42578125" style="3"/>
    <col min="12037" max="12037" width="13.42578125" style="3" customWidth="1"/>
    <col min="12038" max="12038" width="12.7109375" style="3" customWidth="1"/>
    <col min="12039" max="12039" width="14" style="3" customWidth="1"/>
    <col min="12040" max="12040" width="7.42578125" style="3" customWidth="1"/>
    <col min="12041" max="12288" width="11.42578125" style="3"/>
    <col min="12289" max="12289" width="15.85546875" style="3" customWidth="1"/>
    <col min="12290" max="12290" width="14.85546875" style="3" customWidth="1"/>
    <col min="12291" max="12291" width="13.28515625" style="3" customWidth="1"/>
    <col min="12292" max="12292" width="11.42578125" style="3"/>
    <col min="12293" max="12293" width="13.42578125" style="3" customWidth="1"/>
    <col min="12294" max="12294" width="12.7109375" style="3" customWidth="1"/>
    <col min="12295" max="12295" width="14" style="3" customWidth="1"/>
    <col min="12296" max="12296" width="7.42578125" style="3" customWidth="1"/>
    <col min="12297" max="12544" width="11.42578125" style="3"/>
    <col min="12545" max="12545" width="15.85546875" style="3" customWidth="1"/>
    <col min="12546" max="12546" width="14.85546875" style="3" customWidth="1"/>
    <col min="12547" max="12547" width="13.28515625" style="3" customWidth="1"/>
    <col min="12548" max="12548" width="11.42578125" style="3"/>
    <col min="12549" max="12549" width="13.42578125" style="3" customWidth="1"/>
    <col min="12550" max="12550" width="12.7109375" style="3" customWidth="1"/>
    <col min="12551" max="12551" width="14" style="3" customWidth="1"/>
    <col min="12552" max="12552" width="7.42578125" style="3" customWidth="1"/>
    <col min="12553" max="12800" width="11.42578125" style="3"/>
    <col min="12801" max="12801" width="15.85546875" style="3" customWidth="1"/>
    <col min="12802" max="12802" width="14.85546875" style="3" customWidth="1"/>
    <col min="12803" max="12803" width="13.28515625" style="3" customWidth="1"/>
    <col min="12804" max="12804" width="11.42578125" style="3"/>
    <col min="12805" max="12805" width="13.42578125" style="3" customWidth="1"/>
    <col min="12806" max="12806" width="12.7109375" style="3" customWidth="1"/>
    <col min="12807" max="12807" width="14" style="3" customWidth="1"/>
    <col min="12808" max="12808" width="7.42578125" style="3" customWidth="1"/>
    <col min="12809" max="13056" width="11.42578125" style="3"/>
    <col min="13057" max="13057" width="15.85546875" style="3" customWidth="1"/>
    <col min="13058" max="13058" width="14.85546875" style="3" customWidth="1"/>
    <col min="13059" max="13059" width="13.28515625" style="3" customWidth="1"/>
    <col min="13060" max="13060" width="11.42578125" style="3"/>
    <col min="13061" max="13061" width="13.42578125" style="3" customWidth="1"/>
    <col min="13062" max="13062" width="12.7109375" style="3" customWidth="1"/>
    <col min="13063" max="13063" width="14" style="3" customWidth="1"/>
    <col min="13064" max="13064" width="7.42578125" style="3" customWidth="1"/>
    <col min="13065" max="13312" width="11.42578125" style="3"/>
    <col min="13313" max="13313" width="15.85546875" style="3" customWidth="1"/>
    <col min="13314" max="13314" width="14.85546875" style="3" customWidth="1"/>
    <col min="13315" max="13315" width="13.28515625" style="3" customWidth="1"/>
    <col min="13316" max="13316" width="11.42578125" style="3"/>
    <col min="13317" max="13317" width="13.42578125" style="3" customWidth="1"/>
    <col min="13318" max="13318" width="12.7109375" style="3" customWidth="1"/>
    <col min="13319" max="13319" width="14" style="3" customWidth="1"/>
    <col min="13320" max="13320" width="7.42578125" style="3" customWidth="1"/>
    <col min="13321" max="13568" width="11.42578125" style="3"/>
    <col min="13569" max="13569" width="15.85546875" style="3" customWidth="1"/>
    <col min="13570" max="13570" width="14.85546875" style="3" customWidth="1"/>
    <col min="13571" max="13571" width="13.28515625" style="3" customWidth="1"/>
    <col min="13572" max="13572" width="11.42578125" style="3"/>
    <col min="13573" max="13573" width="13.42578125" style="3" customWidth="1"/>
    <col min="13574" max="13574" width="12.7109375" style="3" customWidth="1"/>
    <col min="13575" max="13575" width="14" style="3" customWidth="1"/>
    <col min="13576" max="13576" width="7.42578125" style="3" customWidth="1"/>
    <col min="13577" max="13824" width="11.42578125" style="3"/>
    <col min="13825" max="13825" width="15.85546875" style="3" customWidth="1"/>
    <col min="13826" max="13826" width="14.85546875" style="3" customWidth="1"/>
    <col min="13827" max="13827" width="13.28515625" style="3" customWidth="1"/>
    <col min="13828" max="13828" width="11.42578125" style="3"/>
    <col min="13829" max="13829" width="13.42578125" style="3" customWidth="1"/>
    <col min="13830" max="13830" width="12.7109375" style="3" customWidth="1"/>
    <col min="13831" max="13831" width="14" style="3" customWidth="1"/>
    <col min="13832" max="13832" width="7.42578125" style="3" customWidth="1"/>
    <col min="13833" max="14080" width="11.42578125" style="3"/>
    <col min="14081" max="14081" width="15.85546875" style="3" customWidth="1"/>
    <col min="14082" max="14082" width="14.85546875" style="3" customWidth="1"/>
    <col min="14083" max="14083" width="13.28515625" style="3" customWidth="1"/>
    <col min="14084" max="14084" width="11.42578125" style="3"/>
    <col min="14085" max="14085" width="13.42578125" style="3" customWidth="1"/>
    <col min="14086" max="14086" width="12.7109375" style="3" customWidth="1"/>
    <col min="14087" max="14087" width="14" style="3" customWidth="1"/>
    <col min="14088" max="14088" width="7.42578125" style="3" customWidth="1"/>
    <col min="14089" max="14336" width="11.42578125" style="3"/>
    <col min="14337" max="14337" width="15.85546875" style="3" customWidth="1"/>
    <col min="14338" max="14338" width="14.85546875" style="3" customWidth="1"/>
    <col min="14339" max="14339" width="13.28515625" style="3" customWidth="1"/>
    <col min="14340" max="14340" width="11.42578125" style="3"/>
    <col min="14341" max="14341" width="13.42578125" style="3" customWidth="1"/>
    <col min="14342" max="14342" width="12.7109375" style="3" customWidth="1"/>
    <col min="14343" max="14343" width="14" style="3" customWidth="1"/>
    <col min="14344" max="14344" width="7.42578125" style="3" customWidth="1"/>
    <col min="14345" max="14592" width="11.42578125" style="3"/>
    <col min="14593" max="14593" width="15.85546875" style="3" customWidth="1"/>
    <col min="14594" max="14594" width="14.85546875" style="3" customWidth="1"/>
    <col min="14595" max="14595" width="13.28515625" style="3" customWidth="1"/>
    <col min="14596" max="14596" width="11.42578125" style="3"/>
    <col min="14597" max="14597" width="13.42578125" style="3" customWidth="1"/>
    <col min="14598" max="14598" width="12.7109375" style="3" customWidth="1"/>
    <col min="14599" max="14599" width="14" style="3" customWidth="1"/>
    <col min="14600" max="14600" width="7.42578125" style="3" customWidth="1"/>
    <col min="14601" max="14848" width="11.42578125" style="3"/>
    <col min="14849" max="14849" width="15.85546875" style="3" customWidth="1"/>
    <col min="14850" max="14850" width="14.85546875" style="3" customWidth="1"/>
    <col min="14851" max="14851" width="13.28515625" style="3" customWidth="1"/>
    <col min="14852" max="14852" width="11.42578125" style="3"/>
    <col min="14853" max="14853" width="13.42578125" style="3" customWidth="1"/>
    <col min="14854" max="14854" width="12.7109375" style="3" customWidth="1"/>
    <col min="14855" max="14855" width="14" style="3" customWidth="1"/>
    <col min="14856" max="14856" width="7.42578125" style="3" customWidth="1"/>
    <col min="14857" max="15104" width="11.42578125" style="3"/>
    <col min="15105" max="15105" width="15.85546875" style="3" customWidth="1"/>
    <col min="15106" max="15106" width="14.85546875" style="3" customWidth="1"/>
    <col min="15107" max="15107" width="13.28515625" style="3" customWidth="1"/>
    <col min="15108" max="15108" width="11.42578125" style="3"/>
    <col min="15109" max="15109" width="13.42578125" style="3" customWidth="1"/>
    <col min="15110" max="15110" width="12.7109375" style="3" customWidth="1"/>
    <col min="15111" max="15111" width="14" style="3" customWidth="1"/>
    <col min="15112" max="15112" width="7.42578125" style="3" customWidth="1"/>
    <col min="15113" max="15360" width="11.42578125" style="3"/>
    <col min="15361" max="15361" width="15.85546875" style="3" customWidth="1"/>
    <col min="15362" max="15362" width="14.85546875" style="3" customWidth="1"/>
    <col min="15363" max="15363" width="13.28515625" style="3" customWidth="1"/>
    <col min="15364" max="15364" width="11.42578125" style="3"/>
    <col min="15365" max="15365" width="13.42578125" style="3" customWidth="1"/>
    <col min="15366" max="15366" width="12.7109375" style="3" customWidth="1"/>
    <col min="15367" max="15367" width="14" style="3" customWidth="1"/>
    <col min="15368" max="15368" width="7.42578125" style="3" customWidth="1"/>
    <col min="15369" max="15616" width="11.42578125" style="3"/>
    <col min="15617" max="15617" width="15.85546875" style="3" customWidth="1"/>
    <col min="15618" max="15618" width="14.85546875" style="3" customWidth="1"/>
    <col min="15619" max="15619" width="13.28515625" style="3" customWidth="1"/>
    <col min="15620" max="15620" width="11.42578125" style="3"/>
    <col min="15621" max="15621" width="13.42578125" style="3" customWidth="1"/>
    <col min="15622" max="15622" width="12.7109375" style="3" customWidth="1"/>
    <col min="15623" max="15623" width="14" style="3" customWidth="1"/>
    <col min="15624" max="15624" width="7.42578125" style="3" customWidth="1"/>
    <col min="15625" max="15872" width="11.42578125" style="3"/>
    <col min="15873" max="15873" width="15.85546875" style="3" customWidth="1"/>
    <col min="15874" max="15874" width="14.85546875" style="3" customWidth="1"/>
    <col min="15875" max="15875" width="13.28515625" style="3" customWidth="1"/>
    <col min="15876" max="15876" width="11.42578125" style="3"/>
    <col min="15877" max="15877" width="13.42578125" style="3" customWidth="1"/>
    <col min="15878" max="15878" width="12.7109375" style="3" customWidth="1"/>
    <col min="15879" max="15879" width="14" style="3" customWidth="1"/>
    <col min="15880" max="15880" width="7.42578125" style="3" customWidth="1"/>
    <col min="15881" max="16128" width="11.42578125" style="3"/>
    <col min="16129" max="16129" width="15.85546875" style="3" customWidth="1"/>
    <col min="16130" max="16130" width="14.85546875" style="3" customWidth="1"/>
    <col min="16131" max="16131" width="13.28515625" style="3" customWidth="1"/>
    <col min="16132" max="16132" width="11.42578125" style="3"/>
    <col min="16133" max="16133" width="13.42578125" style="3" customWidth="1"/>
    <col min="16134" max="16134" width="12.7109375" style="3" customWidth="1"/>
    <col min="16135" max="16135" width="14" style="3" customWidth="1"/>
    <col min="16136" max="16136" width="7.42578125" style="3" customWidth="1"/>
    <col min="16137" max="16384" width="11.42578125" style="3"/>
  </cols>
  <sheetData>
    <row r="1" spans="1:21" ht="48" customHeight="1">
      <c r="A1" s="1346" t="str">
        <f>PPTO!D3</f>
        <v>PRESUPUESTO
MUNICIPIO EL BAGRE (ANTIOQUIA).</v>
      </c>
      <c r="B1" s="1347"/>
      <c r="C1" s="1347"/>
      <c r="D1" s="1347"/>
      <c r="E1" s="1347"/>
      <c r="F1" s="1347"/>
      <c r="G1" s="1348"/>
      <c r="H1" s="1"/>
      <c r="I1" s="2"/>
    </row>
    <row r="2" spans="1:21" ht="18" customHeight="1">
      <c r="A2" s="1362" t="s">
        <v>16</v>
      </c>
      <c r="B2" s="1363"/>
      <c r="C2" s="1363"/>
      <c r="D2" s="1363"/>
      <c r="E2" s="1363"/>
      <c r="F2" s="1363"/>
      <c r="G2" s="1364"/>
      <c r="H2" s="1"/>
      <c r="I2" s="2"/>
    </row>
    <row r="3" spans="1:21" ht="27" customHeight="1">
      <c r="A3" s="1367" t="str">
        <f>+PPTO!$D$5</f>
        <v>PROYECTO DE MEJORAMIENTO VIAL, ESPACIO PUBLICO Y OBRAS COMPLEMENTARIAS DE LA AVENIDA LA JUVENTUD Y TRAMOS ADYACENTES Y PRIORITARIOS DEL SECTOR URBANO EN EL MUNICIPIO EL BAGRE ANTIOQUIA.</v>
      </c>
      <c r="B3" s="1368"/>
      <c r="C3" s="1368"/>
      <c r="D3" s="1368"/>
      <c r="E3" s="1368"/>
      <c r="F3" s="1368"/>
      <c r="G3" s="1369"/>
      <c r="H3" s="1"/>
      <c r="I3" s="2"/>
    </row>
    <row r="4" spans="1:21" ht="30" customHeight="1">
      <c r="A4" s="1370"/>
      <c r="B4" s="1368"/>
      <c r="C4" s="1368"/>
      <c r="D4" s="1368"/>
      <c r="E4" s="1368"/>
      <c r="F4" s="1368"/>
      <c r="G4" s="1369"/>
      <c r="H4" s="1"/>
      <c r="I4" s="2"/>
    </row>
    <row r="5" spans="1:21" ht="6.75" customHeight="1">
      <c r="A5" s="222"/>
      <c r="B5" s="6"/>
      <c r="C5" s="24"/>
      <c r="D5" s="25"/>
      <c r="E5" s="6"/>
      <c r="F5" s="6"/>
      <c r="G5" s="223"/>
      <c r="H5" s="9"/>
    </row>
    <row r="6" spans="1:21" ht="52.5" customHeight="1">
      <c r="A6" s="368">
        <v>6.16</v>
      </c>
      <c r="B6" s="1349" t="str">
        <f>VLOOKUP(A6,PPTO!D9:I136,2,FALSE)</f>
        <v>Suministro e instalacion tuberia en PVC Novafort 42"</v>
      </c>
      <c r="C6" s="1350"/>
      <c r="D6" s="1350"/>
      <c r="E6" s="1351"/>
      <c r="F6" s="192" t="s">
        <v>118</v>
      </c>
      <c r="G6" s="248" t="str">
        <f>VLOOKUP(A6,PPTO!D9:I136,3,FALSE)</f>
        <v>m</v>
      </c>
      <c r="H6" s="9"/>
    </row>
    <row r="7" spans="1:21" ht="3.75" customHeight="1">
      <c r="A7" s="226"/>
      <c r="B7" s="4"/>
      <c r="C7" s="6"/>
      <c r="D7" s="4"/>
      <c r="E7" s="4"/>
      <c r="F7" s="4"/>
      <c r="G7" s="227"/>
      <c r="H7" s="9"/>
    </row>
    <row r="8" spans="1:21" ht="22.5" customHeight="1">
      <c r="A8" s="1354" t="s">
        <v>69</v>
      </c>
      <c r="B8" s="1355"/>
      <c r="C8" s="1355"/>
      <c r="D8" s="1355"/>
      <c r="E8" s="1355"/>
      <c r="F8" s="1355"/>
      <c r="G8" s="1356"/>
      <c r="H8" s="9"/>
    </row>
    <row r="9" spans="1:21" ht="4.5" customHeight="1">
      <c r="A9" s="226"/>
      <c r="B9" s="4"/>
      <c r="C9" s="6"/>
      <c r="D9" s="4"/>
      <c r="E9" s="4"/>
      <c r="F9" s="4"/>
      <c r="G9" s="227"/>
      <c r="H9" s="9"/>
      <c r="I9" s="5"/>
      <c r="J9" s="5"/>
      <c r="K9" s="5"/>
      <c r="L9" s="26"/>
      <c r="M9" s="5"/>
      <c r="N9" s="5"/>
      <c r="O9" s="5"/>
      <c r="P9" s="5"/>
    </row>
    <row r="10" spans="1:21">
      <c r="A10" s="1373" t="s">
        <v>17</v>
      </c>
      <c r="B10" s="1374"/>
      <c r="C10" s="1374"/>
      <c r="D10" s="346" t="s">
        <v>18</v>
      </c>
      <c r="E10" s="346" t="s">
        <v>19</v>
      </c>
      <c r="F10" s="346" t="s">
        <v>20</v>
      </c>
      <c r="G10" s="228" t="s">
        <v>21</v>
      </c>
      <c r="H10" s="27"/>
      <c r="I10" s="28"/>
      <c r="J10" s="29"/>
      <c r="K10" s="30"/>
      <c r="L10" s="30"/>
      <c r="M10" s="30"/>
      <c r="N10" s="30"/>
      <c r="O10" s="30"/>
      <c r="P10" s="5"/>
    </row>
    <row r="11" spans="1:21">
      <c r="A11" s="1352" t="s">
        <v>47</v>
      </c>
      <c r="B11" s="1353"/>
      <c r="C11" s="1353"/>
      <c r="D11" s="346"/>
      <c r="E11" s="83"/>
      <c r="F11" s="97"/>
      <c r="G11" s="229">
        <f>+G39*10%</f>
        <v>10181</v>
      </c>
      <c r="H11" s="9"/>
      <c r="I11" s="30"/>
      <c r="J11" s="31"/>
      <c r="K11" s="30"/>
      <c r="L11" s="30"/>
      <c r="M11" s="30"/>
      <c r="N11" s="30"/>
      <c r="O11" s="30"/>
      <c r="P11" s="5"/>
    </row>
    <row r="12" spans="1:21">
      <c r="A12" s="1371"/>
      <c r="B12" s="1372"/>
      <c r="C12" s="1372"/>
      <c r="D12" s="83"/>
      <c r="E12" s="83"/>
      <c r="F12" s="93"/>
      <c r="G12" s="229"/>
      <c r="H12" s="9"/>
      <c r="I12" s="16"/>
      <c r="J12" s="13"/>
      <c r="K12" s="8"/>
      <c r="L12" s="8"/>
      <c r="M12" s="8"/>
      <c r="N12" s="8"/>
      <c r="O12" s="8"/>
      <c r="P12" s="5"/>
    </row>
    <row r="13" spans="1:21">
      <c r="A13" s="1371"/>
      <c r="B13" s="1372"/>
      <c r="C13" s="1372"/>
      <c r="D13" s="83"/>
      <c r="E13" s="83"/>
      <c r="F13" s="93"/>
      <c r="G13" s="229"/>
      <c r="H13" s="9"/>
      <c r="I13" s="13"/>
      <c r="J13" s="13"/>
      <c r="K13" s="13"/>
      <c r="L13" s="13"/>
      <c r="M13" s="13"/>
      <c r="N13" s="13"/>
      <c r="O13" s="13"/>
      <c r="P13" s="5"/>
    </row>
    <row r="14" spans="1:21">
      <c r="A14" s="1371"/>
      <c r="B14" s="1372"/>
      <c r="C14" s="1372"/>
      <c r="D14" s="83"/>
      <c r="E14" s="83"/>
      <c r="F14" s="93"/>
      <c r="G14" s="229"/>
      <c r="H14" s="9"/>
      <c r="I14" s="8"/>
      <c r="J14" s="14"/>
      <c r="K14" s="32"/>
      <c r="L14" s="14"/>
      <c r="M14" s="15"/>
      <c r="N14" s="15"/>
      <c r="O14" s="19"/>
      <c r="P14" s="5"/>
    </row>
    <row r="15" spans="1:21">
      <c r="A15" s="1371"/>
      <c r="B15" s="1372"/>
      <c r="C15" s="1372"/>
      <c r="D15" s="83"/>
      <c r="E15" s="83"/>
      <c r="F15" s="98"/>
      <c r="G15" s="229"/>
      <c r="H15" s="9"/>
      <c r="I15" s="8"/>
      <c r="J15" s="33"/>
      <c r="K15" s="32"/>
      <c r="L15" s="14"/>
      <c r="M15" s="15"/>
      <c r="N15" s="15"/>
      <c r="O15" s="19"/>
      <c r="P15" s="5"/>
      <c r="Q15" s="5"/>
      <c r="R15" s="5"/>
      <c r="S15" s="5"/>
      <c r="T15" s="5"/>
      <c r="U15" s="5"/>
    </row>
    <row r="16" spans="1:21">
      <c r="A16" s="1371"/>
      <c r="B16" s="1372"/>
      <c r="C16" s="1372"/>
      <c r="D16" s="85" t="s">
        <v>37</v>
      </c>
      <c r="E16" s="50"/>
      <c r="F16" s="49"/>
      <c r="G16" s="230">
        <f>SUM(G11:G15)</f>
        <v>10181</v>
      </c>
      <c r="H16" s="9"/>
      <c r="I16" s="34"/>
      <c r="J16" s="34"/>
      <c r="K16" s="35"/>
      <c r="L16" s="36"/>
      <c r="M16" s="7"/>
      <c r="N16" s="7"/>
      <c r="O16" s="19"/>
      <c r="P16" s="5"/>
      <c r="Q16" s="5"/>
      <c r="R16" s="5"/>
      <c r="S16" s="5"/>
      <c r="T16" s="5"/>
      <c r="U16" s="5"/>
    </row>
    <row r="17" spans="1:21" ht="4.5" customHeight="1">
      <c r="A17" s="226"/>
      <c r="B17" s="4"/>
      <c r="C17" s="6"/>
      <c r="D17" s="4"/>
      <c r="E17" s="4"/>
      <c r="F17" s="4"/>
      <c r="G17" s="227"/>
      <c r="H17" s="9"/>
      <c r="I17" s="34"/>
      <c r="J17" s="34"/>
      <c r="K17" s="35"/>
      <c r="L17" s="36"/>
      <c r="M17" s="7"/>
      <c r="N17" s="7"/>
      <c r="O17" s="19"/>
      <c r="P17" s="5"/>
      <c r="Q17" s="5"/>
      <c r="R17" s="5"/>
      <c r="S17" s="5"/>
      <c r="T17" s="5"/>
      <c r="U17" s="5"/>
    </row>
    <row r="18" spans="1:21" ht="22.5" customHeight="1">
      <c r="A18" s="1354" t="s">
        <v>70</v>
      </c>
      <c r="B18" s="1355"/>
      <c r="C18" s="1355"/>
      <c r="D18" s="1355"/>
      <c r="E18" s="1355"/>
      <c r="F18" s="1355"/>
      <c r="G18" s="1356"/>
      <c r="H18" s="9"/>
    </row>
    <row r="19" spans="1:21" ht="4.5" customHeight="1">
      <c r="A19" s="226"/>
      <c r="B19" s="4"/>
      <c r="C19" s="6"/>
      <c r="D19" s="4"/>
      <c r="E19" s="4"/>
      <c r="F19" s="38"/>
      <c r="G19" s="227"/>
      <c r="H19" s="9"/>
      <c r="I19" s="34"/>
      <c r="J19" s="34"/>
      <c r="K19" s="35"/>
      <c r="L19" s="39"/>
      <c r="M19" s="7"/>
      <c r="N19" s="7"/>
      <c r="O19" s="8"/>
      <c r="P19" s="5"/>
      <c r="Q19" s="5"/>
      <c r="R19" s="5"/>
      <c r="S19" s="5"/>
      <c r="T19" s="5"/>
      <c r="U19" s="5"/>
    </row>
    <row r="20" spans="1:21">
      <c r="A20" s="1373" t="s">
        <v>17</v>
      </c>
      <c r="B20" s="1374"/>
      <c r="C20" s="1374"/>
      <c r="D20" s="346" t="s">
        <v>3</v>
      </c>
      <c r="E20" s="346" t="s">
        <v>4</v>
      </c>
      <c r="F20" s="346" t="s">
        <v>25</v>
      </c>
      <c r="G20" s="228" t="s">
        <v>21</v>
      </c>
      <c r="H20" s="27"/>
      <c r="I20" s="34"/>
      <c r="J20" s="34"/>
      <c r="K20" s="35"/>
      <c r="L20" s="39"/>
      <c r="M20" s="7"/>
      <c r="N20" s="7"/>
      <c r="O20" s="8"/>
      <c r="P20" s="5"/>
      <c r="Q20" s="5"/>
      <c r="R20" s="5"/>
      <c r="S20" s="5"/>
      <c r="T20" s="5"/>
      <c r="U20" s="5"/>
    </row>
    <row r="21" spans="1:21" ht="31.5" customHeight="1">
      <c r="A21" s="1441" t="s">
        <v>233</v>
      </c>
      <c r="B21" s="1442"/>
      <c r="C21" s="1443"/>
      <c r="D21" s="118" t="s">
        <v>51</v>
      </c>
      <c r="E21" s="119">
        <v>1</v>
      </c>
      <c r="F21" s="87">
        <f>9991256/6*IPC</f>
        <v>1718163</v>
      </c>
      <c r="G21" s="231">
        <f>ROUND(F21*E21,0)</f>
        <v>1718163</v>
      </c>
      <c r="H21" s="9"/>
      <c r="I21" s="34"/>
      <c r="J21" s="34"/>
      <c r="K21" s="35"/>
      <c r="L21" s="36"/>
      <c r="M21" s="7"/>
      <c r="N21" s="7"/>
      <c r="O21" s="19"/>
      <c r="P21" s="5"/>
      <c r="Q21" s="5"/>
      <c r="R21" s="5"/>
      <c r="S21" s="5"/>
      <c r="T21" s="5"/>
      <c r="U21" s="5"/>
    </row>
    <row r="22" spans="1:21" ht="27.75" customHeight="1">
      <c r="A22" s="1444"/>
      <c r="B22" s="1403"/>
      <c r="C22" s="1404"/>
      <c r="D22" s="116"/>
      <c r="E22" s="117"/>
      <c r="F22" s="91"/>
      <c r="G22" s="231"/>
      <c r="H22" s="9"/>
      <c r="I22" s="10"/>
      <c r="J22" s="10"/>
      <c r="K22" s="12"/>
      <c r="L22" s="39"/>
      <c r="M22" s="7"/>
      <c r="N22" s="7"/>
      <c r="O22" s="15"/>
      <c r="P22" s="5"/>
      <c r="Q22" s="5"/>
      <c r="R22" s="5"/>
      <c r="S22" s="5"/>
      <c r="T22" s="5"/>
      <c r="U22" s="5"/>
    </row>
    <row r="23" spans="1:21">
      <c r="A23" s="1386"/>
      <c r="B23" s="1353"/>
      <c r="C23" s="1353"/>
      <c r="D23" s="79"/>
      <c r="E23" s="82"/>
      <c r="F23" s="83"/>
      <c r="G23" s="67"/>
      <c r="H23" s="9"/>
      <c r="I23" s="10"/>
      <c r="J23" s="10"/>
      <c r="K23" s="12"/>
      <c r="L23" s="39"/>
      <c r="M23" s="7"/>
      <c r="N23" s="7"/>
      <c r="O23" s="15"/>
      <c r="P23" s="5"/>
      <c r="Q23" s="5"/>
      <c r="R23" s="5"/>
      <c r="S23" s="5"/>
      <c r="T23" s="5"/>
      <c r="U23" s="5"/>
    </row>
    <row r="24" spans="1:21">
      <c r="A24" s="1352"/>
      <c r="B24" s="1353"/>
      <c r="C24" s="1353"/>
      <c r="D24" s="81"/>
      <c r="E24" s="88"/>
      <c r="F24" s="78"/>
      <c r="G24" s="231"/>
      <c r="H24" s="9"/>
      <c r="I24" s="10"/>
      <c r="J24" s="40"/>
      <c r="K24" s="12"/>
      <c r="L24" s="13"/>
      <c r="M24" s="14"/>
      <c r="N24" s="14"/>
      <c r="O24" s="15"/>
      <c r="P24" s="5"/>
      <c r="Q24" s="5"/>
      <c r="R24" s="5"/>
      <c r="S24" s="5"/>
      <c r="T24" s="5"/>
      <c r="U24" s="5"/>
    </row>
    <row r="25" spans="1:21">
      <c r="A25" s="1352"/>
      <c r="B25" s="1353"/>
      <c r="C25" s="1353"/>
      <c r="D25" s="81"/>
      <c r="E25" s="82"/>
      <c r="F25" s="78"/>
      <c r="G25" s="231"/>
      <c r="H25" s="9"/>
      <c r="I25" s="10"/>
      <c r="J25" s="11"/>
      <c r="K25" s="12"/>
      <c r="L25" s="13"/>
      <c r="M25" s="14"/>
      <c r="N25" s="14"/>
      <c r="O25" s="15"/>
      <c r="P25" s="5"/>
      <c r="Q25" s="5"/>
      <c r="R25" s="5"/>
      <c r="S25" s="5"/>
      <c r="T25" s="5"/>
      <c r="U25" s="5"/>
    </row>
    <row r="26" spans="1:21">
      <c r="A26" s="1352"/>
      <c r="B26" s="1353"/>
      <c r="C26" s="1353"/>
      <c r="D26" s="79"/>
      <c r="E26" s="82"/>
      <c r="F26" s="78"/>
      <c r="G26" s="231"/>
      <c r="H26" s="9"/>
      <c r="I26" s="10"/>
      <c r="J26" s="11"/>
      <c r="K26" s="12"/>
      <c r="L26" s="13"/>
      <c r="M26" s="14"/>
      <c r="N26" s="14"/>
      <c r="O26" s="15"/>
      <c r="P26" s="5"/>
      <c r="Q26" s="5"/>
      <c r="R26" s="5"/>
      <c r="S26" s="5"/>
      <c r="T26" s="5"/>
      <c r="U26" s="5"/>
    </row>
    <row r="27" spans="1:21">
      <c r="A27" s="1352"/>
      <c r="B27" s="1353"/>
      <c r="C27" s="1353"/>
      <c r="D27" s="79"/>
      <c r="E27" s="82"/>
      <c r="F27" s="78"/>
      <c r="G27" s="231"/>
      <c r="H27" s="9"/>
      <c r="I27" s="10"/>
      <c r="J27" s="11"/>
      <c r="K27" s="12"/>
      <c r="L27" s="13"/>
      <c r="M27" s="14"/>
      <c r="N27" s="14"/>
      <c r="O27" s="15"/>
      <c r="P27" s="5"/>
      <c r="Q27" s="5"/>
      <c r="R27" s="5"/>
      <c r="S27" s="5"/>
      <c r="T27" s="5"/>
      <c r="U27" s="5"/>
    </row>
    <row r="28" spans="1:21">
      <c r="A28" s="1352"/>
      <c r="B28" s="1353"/>
      <c r="C28" s="1353"/>
      <c r="D28" s="79"/>
      <c r="E28" s="82"/>
      <c r="F28" s="83"/>
      <c r="G28" s="231"/>
      <c r="H28" s="9"/>
      <c r="I28" s="41"/>
      <c r="J28" s="41"/>
      <c r="K28" s="12"/>
      <c r="L28" s="13"/>
      <c r="M28" s="14"/>
      <c r="N28" s="14"/>
      <c r="O28" s="15"/>
      <c r="P28" s="5"/>
      <c r="Q28" s="5"/>
      <c r="R28" s="5"/>
      <c r="S28" s="5"/>
      <c r="T28" s="5"/>
      <c r="U28" s="5"/>
    </row>
    <row r="29" spans="1:21">
      <c r="A29" s="1352"/>
      <c r="B29" s="1353"/>
      <c r="C29" s="1353"/>
      <c r="D29" s="84"/>
      <c r="E29" s="84"/>
      <c r="F29" s="83"/>
      <c r="G29" s="231"/>
      <c r="H29" s="9"/>
      <c r="I29" s="42"/>
      <c r="J29" s="42"/>
      <c r="K29" s="42"/>
      <c r="L29" s="13"/>
      <c r="M29" s="14"/>
      <c r="N29" s="14"/>
      <c r="O29" s="15"/>
      <c r="P29" s="5"/>
      <c r="Q29" s="5"/>
      <c r="R29" s="5"/>
      <c r="S29" s="5"/>
      <c r="T29" s="5"/>
      <c r="U29" s="5"/>
    </row>
    <row r="30" spans="1:21">
      <c r="A30" s="1352"/>
      <c r="B30" s="1353"/>
      <c r="C30" s="1353"/>
      <c r="D30" s="85" t="s">
        <v>28</v>
      </c>
      <c r="E30" s="50"/>
      <c r="F30" s="49"/>
      <c r="G30" s="230">
        <f>SUM(G21:G29)</f>
        <v>1718163</v>
      </c>
      <c r="H30" s="9"/>
      <c r="I30" s="8"/>
      <c r="J30" s="13"/>
      <c r="K30" s="8"/>
      <c r="L30" s="13"/>
      <c r="M30" s="14"/>
      <c r="N30" s="14"/>
      <c r="O30" s="15"/>
      <c r="P30" s="5"/>
    </row>
    <row r="31" spans="1:21" ht="3.75" customHeight="1">
      <c r="A31" s="226"/>
      <c r="B31" s="4"/>
      <c r="C31" s="6"/>
      <c r="D31" s="4"/>
      <c r="E31" s="4"/>
      <c r="F31" s="4"/>
      <c r="G31" s="227"/>
      <c r="H31" s="9"/>
      <c r="I31" s="8"/>
      <c r="J31" s="13"/>
      <c r="K31" s="18"/>
      <c r="L31" s="13"/>
      <c r="M31" s="33"/>
      <c r="N31" s="33"/>
      <c r="O31" s="15"/>
      <c r="P31" s="5"/>
    </row>
    <row r="32" spans="1:21" ht="22.5" customHeight="1">
      <c r="A32" s="1354" t="s">
        <v>71</v>
      </c>
      <c r="B32" s="1355"/>
      <c r="C32" s="1355"/>
      <c r="D32" s="1355"/>
      <c r="E32" s="1355"/>
      <c r="F32" s="1355"/>
      <c r="G32" s="1356"/>
      <c r="H32" s="9"/>
    </row>
    <row r="33" spans="1:16" ht="3.75" customHeight="1">
      <c r="A33" s="226"/>
      <c r="B33" s="4"/>
      <c r="C33" s="6"/>
      <c r="D33" s="4"/>
      <c r="E33" s="4"/>
      <c r="F33" s="4"/>
      <c r="G33" s="227"/>
      <c r="H33" s="9"/>
      <c r="I33" s="8"/>
      <c r="J33" s="13"/>
      <c r="K33" s="8"/>
      <c r="L33" s="8"/>
      <c r="M33" s="8"/>
      <c r="N33" s="8"/>
      <c r="O33" s="15"/>
      <c r="P33" s="5"/>
    </row>
    <row r="34" spans="1:16">
      <c r="A34" s="232" t="s">
        <v>5</v>
      </c>
      <c r="B34" s="60" t="s">
        <v>29</v>
      </c>
      <c r="C34" s="60" t="s">
        <v>30</v>
      </c>
      <c r="D34" s="60" t="s">
        <v>31</v>
      </c>
      <c r="E34" s="60" t="s">
        <v>32</v>
      </c>
      <c r="F34" s="60" t="s">
        <v>20</v>
      </c>
      <c r="G34" s="228" t="s">
        <v>33</v>
      </c>
      <c r="H34" s="27"/>
      <c r="I34" s="8"/>
      <c r="J34" s="13"/>
      <c r="K34" s="8"/>
      <c r="L34" s="8"/>
      <c r="M34" s="8"/>
      <c r="N34" s="8"/>
      <c r="O34" s="15"/>
      <c r="P34" s="5"/>
    </row>
    <row r="35" spans="1:16">
      <c r="A35" s="233" t="s">
        <v>41</v>
      </c>
      <c r="B35" s="63">
        <f>BOF</f>
        <v>51749</v>
      </c>
      <c r="C35" s="68">
        <f>ffpp</f>
        <v>0.64539999999999997</v>
      </c>
      <c r="D35" s="72">
        <v>1</v>
      </c>
      <c r="E35" s="66">
        <f>OF</f>
        <v>88696</v>
      </c>
      <c r="F35" s="65">
        <v>3</v>
      </c>
      <c r="G35" s="231">
        <f>ROUND(+D35*E35/F35,0)</f>
        <v>29565</v>
      </c>
      <c r="H35" s="9"/>
      <c r="I35" s="16"/>
      <c r="J35" s="13"/>
      <c r="K35" s="8"/>
      <c r="L35" s="8"/>
      <c r="M35" s="8"/>
      <c r="N35" s="8"/>
      <c r="O35" s="15"/>
      <c r="P35" s="5"/>
    </row>
    <row r="36" spans="1:16">
      <c r="A36" s="233" t="s">
        <v>38</v>
      </c>
      <c r="B36" s="63">
        <f>BOB</f>
        <v>41749</v>
      </c>
      <c r="C36" s="68">
        <f>ffpp</f>
        <v>0.64539999999999997</v>
      </c>
      <c r="D36" s="72">
        <v>3</v>
      </c>
      <c r="E36" s="66">
        <f>OB</f>
        <v>72242</v>
      </c>
      <c r="F36" s="65">
        <f>F35</f>
        <v>3</v>
      </c>
      <c r="G36" s="231">
        <f>ROUND(+D36*E36/F36,0)</f>
        <v>72242</v>
      </c>
      <c r="H36" s="9"/>
      <c r="I36" s="8"/>
      <c r="J36" s="8"/>
      <c r="K36" s="13"/>
      <c r="L36" s="13"/>
      <c r="M36" s="13"/>
      <c r="N36" s="13"/>
      <c r="O36" s="13"/>
      <c r="P36" s="5"/>
    </row>
    <row r="37" spans="1:16">
      <c r="A37" s="234"/>
      <c r="B37" s="50"/>
      <c r="C37" s="961"/>
      <c r="D37" s="50"/>
      <c r="E37" s="66"/>
      <c r="F37" s="65"/>
      <c r="G37" s="231"/>
      <c r="H37" s="9"/>
      <c r="I37" s="8"/>
      <c r="J37" s="13"/>
      <c r="K37" s="13"/>
      <c r="L37" s="13"/>
      <c r="M37" s="33"/>
      <c r="N37" s="33"/>
      <c r="O37" s="43"/>
      <c r="P37" s="5"/>
    </row>
    <row r="38" spans="1:16">
      <c r="A38" s="233"/>
      <c r="B38" s="65"/>
      <c r="C38" s="68"/>
      <c r="D38" s="65"/>
      <c r="E38" s="69"/>
      <c r="F38" s="69"/>
      <c r="G38" s="236"/>
      <c r="H38" s="9"/>
      <c r="I38" s="8"/>
      <c r="J38" s="13"/>
      <c r="K38" s="13"/>
      <c r="L38" s="13"/>
      <c r="M38" s="33"/>
      <c r="N38" s="33"/>
      <c r="O38" s="43"/>
      <c r="P38" s="5"/>
    </row>
    <row r="39" spans="1:16">
      <c r="A39" s="249"/>
      <c r="B39" s="71"/>
      <c r="C39" s="71"/>
      <c r="D39" s="71" t="s">
        <v>34</v>
      </c>
      <c r="E39" s="71"/>
      <c r="F39" s="71"/>
      <c r="G39" s="250">
        <f>SUM(G35:G38)</f>
        <v>101807</v>
      </c>
      <c r="H39" s="9"/>
      <c r="I39" s="8"/>
      <c r="J39" s="13"/>
      <c r="K39" s="13"/>
      <c r="L39" s="13"/>
      <c r="M39" s="14"/>
      <c r="N39" s="14"/>
      <c r="O39" s="15"/>
      <c r="P39" s="5"/>
    </row>
    <row r="40" spans="1:16">
      <c r="A40" s="226"/>
      <c r="B40" s="4"/>
      <c r="C40" s="6"/>
      <c r="D40" s="4"/>
      <c r="E40" s="4"/>
      <c r="F40" s="4"/>
      <c r="G40" s="227"/>
      <c r="H40" s="9"/>
      <c r="I40" s="8"/>
      <c r="J40" s="13"/>
      <c r="K40" s="13"/>
      <c r="L40" s="13"/>
      <c r="M40" s="14"/>
      <c r="N40" s="14"/>
      <c r="O40" s="19"/>
      <c r="P40" s="5"/>
    </row>
    <row r="41" spans="1:16">
      <c r="A41" s="226"/>
      <c r="B41" s="4"/>
      <c r="C41" s="6"/>
      <c r="D41" s="4"/>
      <c r="E41" s="4"/>
      <c r="F41" s="4"/>
      <c r="G41" s="227"/>
      <c r="H41" s="9"/>
      <c r="I41" s="8"/>
      <c r="J41" s="13"/>
      <c r="K41" s="13"/>
      <c r="L41" s="13"/>
      <c r="M41" s="17"/>
      <c r="N41" s="17"/>
      <c r="O41" s="37"/>
      <c r="P41" s="5"/>
    </row>
    <row r="42" spans="1:16" ht="14.25">
      <c r="A42" s="226"/>
      <c r="B42" s="4"/>
      <c r="C42" s="6"/>
      <c r="D42" s="1357" t="s">
        <v>35</v>
      </c>
      <c r="E42" s="1358"/>
      <c r="F42" s="1359"/>
      <c r="G42" s="239">
        <f>+G39+G30+G16</f>
        <v>1830151</v>
      </c>
      <c r="H42" s="9"/>
      <c r="I42" s="48"/>
      <c r="J42" s="20"/>
      <c r="K42" s="8"/>
      <c r="L42" s="8"/>
      <c r="M42" s="8"/>
      <c r="N42" s="8"/>
      <c r="O42" s="8"/>
      <c r="P42" s="5"/>
    </row>
    <row r="43" spans="1:16" ht="14.25">
      <c r="A43" s="240"/>
      <c r="B43" s="57"/>
      <c r="C43" s="58"/>
      <c r="D43" s="99"/>
      <c r="E43" s="99"/>
      <c r="F43" s="99"/>
      <c r="G43" s="251"/>
      <c r="H43" s="9"/>
      <c r="I43" s="48"/>
      <c r="J43" s="20"/>
      <c r="K43" s="8"/>
      <c r="L43" s="8"/>
      <c r="M43" s="8"/>
      <c r="N43" s="8"/>
      <c r="O43" s="8"/>
      <c r="P43" s="5"/>
    </row>
    <row r="44" spans="1:16" ht="14.25">
      <c r="A44" s="374"/>
      <c r="B44" s="375"/>
      <c r="C44" s="375"/>
      <c r="D44" s="99"/>
      <c r="E44" s="99"/>
      <c r="F44" s="99"/>
      <c r="G44" s="251"/>
      <c r="H44" s="9"/>
      <c r="I44" s="48"/>
      <c r="J44" s="20"/>
      <c r="K44" s="8"/>
      <c r="L44" s="8"/>
      <c r="M44" s="8"/>
      <c r="N44" s="8"/>
      <c r="O44" s="8"/>
      <c r="P44" s="5"/>
    </row>
    <row r="45" spans="1:16" ht="14.25">
      <c r="A45" s="373"/>
      <c r="B45" s="376"/>
      <c r="C45" s="376"/>
      <c r="D45" s="99"/>
      <c r="E45" s="99"/>
      <c r="F45" s="99"/>
      <c r="G45" s="251"/>
      <c r="H45" s="9"/>
      <c r="I45" s="48"/>
      <c r="J45" s="20"/>
      <c r="K45" s="8"/>
      <c r="L45" s="8"/>
      <c r="M45" s="8"/>
      <c r="N45" s="8"/>
      <c r="O45" s="8"/>
      <c r="P45" s="5"/>
    </row>
    <row r="46" spans="1:16" ht="14.25">
      <c r="A46" s="373"/>
      <c r="B46" s="376"/>
      <c r="C46" s="376"/>
      <c r="D46" s="44"/>
      <c r="E46" s="45"/>
      <c r="F46" s="45"/>
      <c r="G46" s="251"/>
      <c r="H46" s="9"/>
      <c r="I46" s="8"/>
      <c r="J46" s="13"/>
      <c r="K46" s="8"/>
      <c r="L46" s="8"/>
      <c r="M46" s="8"/>
      <c r="N46" s="8"/>
      <c r="O46" s="8"/>
      <c r="P46" s="5"/>
    </row>
    <row r="47" spans="1:16" ht="15" thickBot="1">
      <c r="A47" s="242"/>
      <c r="B47" s="243"/>
      <c r="C47" s="244"/>
      <c r="D47" s="245"/>
      <c r="E47" s="246"/>
      <c r="F47" s="246"/>
      <c r="G47" s="247"/>
      <c r="H47" s="9"/>
      <c r="I47" s="8"/>
      <c r="J47" s="13"/>
      <c r="K47" s="8"/>
      <c r="L47" s="8"/>
      <c r="M47" s="8"/>
      <c r="N47" s="8"/>
      <c r="O47" s="8"/>
      <c r="P47" s="5"/>
    </row>
    <row r="48" spans="1:16">
      <c r="I48" s="5"/>
      <c r="J48" s="5"/>
      <c r="K48" s="5"/>
      <c r="L48" s="5"/>
      <c r="M48" s="5"/>
      <c r="N48" s="5"/>
      <c r="O48" s="5"/>
      <c r="P48" s="5"/>
    </row>
    <row r="49" spans="9:16">
      <c r="I49" s="5"/>
      <c r="J49" s="5"/>
      <c r="K49" s="5"/>
      <c r="L49" s="5"/>
      <c r="M49" s="5"/>
      <c r="N49" s="5"/>
      <c r="O49" s="5"/>
      <c r="P49" s="5"/>
    </row>
  </sheetData>
  <mergeCells count="26">
    <mergeCell ref="A32:G32"/>
    <mergeCell ref="D42:F42"/>
    <mergeCell ref="A25:C25"/>
    <mergeCell ref="A26:C26"/>
    <mergeCell ref="A27:C27"/>
    <mergeCell ref="A28:C28"/>
    <mergeCell ref="A29:C29"/>
    <mergeCell ref="A30:C30"/>
    <mergeCell ref="A24:C24"/>
    <mergeCell ref="A11:C11"/>
    <mergeCell ref="A12:C12"/>
    <mergeCell ref="A13:C13"/>
    <mergeCell ref="A14:C14"/>
    <mergeCell ref="A15:C15"/>
    <mergeCell ref="A16:C16"/>
    <mergeCell ref="A18:G18"/>
    <mergeCell ref="A20:C20"/>
    <mergeCell ref="A21:C21"/>
    <mergeCell ref="A22:C22"/>
    <mergeCell ref="A23:C23"/>
    <mergeCell ref="A10:C10"/>
    <mergeCell ref="A1:G1"/>
    <mergeCell ref="A2:G2"/>
    <mergeCell ref="A3:G4"/>
    <mergeCell ref="B6:E6"/>
    <mergeCell ref="A8:G8"/>
  </mergeCells>
  <printOptions horizontalCentered="1" verticalCentered="1"/>
  <pageMargins left="0.74803149606299213" right="0.74803149606299213" top="0" bottom="0.98425196850393704" header="0" footer="0"/>
  <pageSetup scale="90" orientation="portrait" r:id="rId1"/>
  <headerFooter alignWithMargins="0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71"/>
  <dimension ref="A1:U49"/>
  <sheetViews>
    <sheetView view="pageBreakPreview" topLeftCell="A4" zoomScaleNormal="100" zoomScaleSheetLayoutView="100" workbookViewId="0">
      <selection activeCell="F22" sqref="F22"/>
    </sheetView>
  </sheetViews>
  <sheetFormatPr baseColWidth="10" defaultColWidth="10.7109375" defaultRowHeight="12.75"/>
  <cols>
    <col min="1" max="1" width="15.85546875" style="3" customWidth="1"/>
    <col min="2" max="2" width="14.85546875" style="3" customWidth="1"/>
    <col min="3" max="3" width="13.28515625" style="3" customWidth="1"/>
    <col min="4" max="4" width="11.42578125" style="3"/>
    <col min="5" max="5" width="13.42578125" style="3" customWidth="1"/>
    <col min="6" max="6" width="12.7109375" style="3" customWidth="1"/>
    <col min="7" max="7" width="14" style="3" customWidth="1"/>
    <col min="8" max="8" width="7.42578125" style="3" customWidth="1"/>
    <col min="9" max="256" width="11.42578125" style="3"/>
    <col min="257" max="257" width="15.85546875" style="3" customWidth="1"/>
    <col min="258" max="258" width="14.85546875" style="3" customWidth="1"/>
    <col min="259" max="259" width="13.28515625" style="3" customWidth="1"/>
    <col min="260" max="260" width="11.42578125" style="3"/>
    <col min="261" max="261" width="13.42578125" style="3" customWidth="1"/>
    <col min="262" max="262" width="12.7109375" style="3" customWidth="1"/>
    <col min="263" max="263" width="14" style="3" customWidth="1"/>
    <col min="264" max="264" width="7.42578125" style="3" customWidth="1"/>
    <col min="265" max="512" width="11.42578125" style="3"/>
    <col min="513" max="513" width="15.85546875" style="3" customWidth="1"/>
    <col min="514" max="514" width="14.85546875" style="3" customWidth="1"/>
    <col min="515" max="515" width="13.28515625" style="3" customWidth="1"/>
    <col min="516" max="516" width="11.42578125" style="3"/>
    <col min="517" max="517" width="13.42578125" style="3" customWidth="1"/>
    <col min="518" max="518" width="12.7109375" style="3" customWidth="1"/>
    <col min="519" max="519" width="14" style="3" customWidth="1"/>
    <col min="520" max="520" width="7.42578125" style="3" customWidth="1"/>
    <col min="521" max="768" width="11.42578125" style="3"/>
    <col min="769" max="769" width="15.85546875" style="3" customWidth="1"/>
    <col min="770" max="770" width="14.85546875" style="3" customWidth="1"/>
    <col min="771" max="771" width="13.28515625" style="3" customWidth="1"/>
    <col min="772" max="772" width="11.42578125" style="3"/>
    <col min="773" max="773" width="13.42578125" style="3" customWidth="1"/>
    <col min="774" max="774" width="12.7109375" style="3" customWidth="1"/>
    <col min="775" max="775" width="14" style="3" customWidth="1"/>
    <col min="776" max="776" width="7.42578125" style="3" customWidth="1"/>
    <col min="777" max="1024" width="11.42578125" style="3"/>
    <col min="1025" max="1025" width="15.85546875" style="3" customWidth="1"/>
    <col min="1026" max="1026" width="14.85546875" style="3" customWidth="1"/>
    <col min="1027" max="1027" width="13.28515625" style="3" customWidth="1"/>
    <col min="1028" max="1028" width="11.42578125" style="3"/>
    <col min="1029" max="1029" width="13.42578125" style="3" customWidth="1"/>
    <col min="1030" max="1030" width="12.7109375" style="3" customWidth="1"/>
    <col min="1031" max="1031" width="14" style="3" customWidth="1"/>
    <col min="1032" max="1032" width="7.42578125" style="3" customWidth="1"/>
    <col min="1033" max="1280" width="11.42578125" style="3"/>
    <col min="1281" max="1281" width="15.85546875" style="3" customWidth="1"/>
    <col min="1282" max="1282" width="14.85546875" style="3" customWidth="1"/>
    <col min="1283" max="1283" width="13.28515625" style="3" customWidth="1"/>
    <col min="1284" max="1284" width="11.42578125" style="3"/>
    <col min="1285" max="1285" width="13.42578125" style="3" customWidth="1"/>
    <col min="1286" max="1286" width="12.7109375" style="3" customWidth="1"/>
    <col min="1287" max="1287" width="14" style="3" customWidth="1"/>
    <col min="1288" max="1288" width="7.42578125" style="3" customWidth="1"/>
    <col min="1289" max="1536" width="11.42578125" style="3"/>
    <col min="1537" max="1537" width="15.85546875" style="3" customWidth="1"/>
    <col min="1538" max="1538" width="14.85546875" style="3" customWidth="1"/>
    <col min="1539" max="1539" width="13.28515625" style="3" customWidth="1"/>
    <col min="1540" max="1540" width="11.42578125" style="3"/>
    <col min="1541" max="1541" width="13.42578125" style="3" customWidth="1"/>
    <col min="1542" max="1542" width="12.7109375" style="3" customWidth="1"/>
    <col min="1543" max="1543" width="14" style="3" customWidth="1"/>
    <col min="1544" max="1544" width="7.42578125" style="3" customWidth="1"/>
    <col min="1545" max="1792" width="11.42578125" style="3"/>
    <col min="1793" max="1793" width="15.85546875" style="3" customWidth="1"/>
    <col min="1794" max="1794" width="14.85546875" style="3" customWidth="1"/>
    <col min="1795" max="1795" width="13.28515625" style="3" customWidth="1"/>
    <col min="1796" max="1796" width="11.42578125" style="3"/>
    <col min="1797" max="1797" width="13.42578125" style="3" customWidth="1"/>
    <col min="1798" max="1798" width="12.7109375" style="3" customWidth="1"/>
    <col min="1799" max="1799" width="14" style="3" customWidth="1"/>
    <col min="1800" max="1800" width="7.42578125" style="3" customWidth="1"/>
    <col min="1801" max="2048" width="11.42578125" style="3"/>
    <col min="2049" max="2049" width="15.85546875" style="3" customWidth="1"/>
    <col min="2050" max="2050" width="14.85546875" style="3" customWidth="1"/>
    <col min="2051" max="2051" width="13.28515625" style="3" customWidth="1"/>
    <col min="2052" max="2052" width="11.42578125" style="3"/>
    <col min="2053" max="2053" width="13.42578125" style="3" customWidth="1"/>
    <col min="2054" max="2054" width="12.7109375" style="3" customWidth="1"/>
    <col min="2055" max="2055" width="14" style="3" customWidth="1"/>
    <col min="2056" max="2056" width="7.42578125" style="3" customWidth="1"/>
    <col min="2057" max="2304" width="11.42578125" style="3"/>
    <col min="2305" max="2305" width="15.85546875" style="3" customWidth="1"/>
    <col min="2306" max="2306" width="14.85546875" style="3" customWidth="1"/>
    <col min="2307" max="2307" width="13.28515625" style="3" customWidth="1"/>
    <col min="2308" max="2308" width="11.42578125" style="3"/>
    <col min="2309" max="2309" width="13.42578125" style="3" customWidth="1"/>
    <col min="2310" max="2310" width="12.7109375" style="3" customWidth="1"/>
    <col min="2311" max="2311" width="14" style="3" customWidth="1"/>
    <col min="2312" max="2312" width="7.42578125" style="3" customWidth="1"/>
    <col min="2313" max="2560" width="11.42578125" style="3"/>
    <col min="2561" max="2561" width="15.85546875" style="3" customWidth="1"/>
    <col min="2562" max="2562" width="14.85546875" style="3" customWidth="1"/>
    <col min="2563" max="2563" width="13.28515625" style="3" customWidth="1"/>
    <col min="2564" max="2564" width="11.42578125" style="3"/>
    <col min="2565" max="2565" width="13.42578125" style="3" customWidth="1"/>
    <col min="2566" max="2566" width="12.7109375" style="3" customWidth="1"/>
    <col min="2567" max="2567" width="14" style="3" customWidth="1"/>
    <col min="2568" max="2568" width="7.42578125" style="3" customWidth="1"/>
    <col min="2569" max="2816" width="11.42578125" style="3"/>
    <col min="2817" max="2817" width="15.85546875" style="3" customWidth="1"/>
    <col min="2818" max="2818" width="14.85546875" style="3" customWidth="1"/>
    <col min="2819" max="2819" width="13.28515625" style="3" customWidth="1"/>
    <col min="2820" max="2820" width="11.42578125" style="3"/>
    <col min="2821" max="2821" width="13.42578125" style="3" customWidth="1"/>
    <col min="2822" max="2822" width="12.7109375" style="3" customWidth="1"/>
    <col min="2823" max="2823" width="14" style="3" customWidth="1"/>
    <col min="2824" max="2824" width="7.42578125" style="3" customWidth="1"/>
    <col min="2825" max="3072" width="11.42578125" style="3"/>
    <col min="3073" max="3073" width="15.85546875" style="3" customWidth="1"/>
    <col min="3074" max="3074" width="14.85546875" style="3" customWidth="1"/>
    <col min="3075" max="3075" width="13.28515625" style="3" customWidth="1"/>
    <col min="3076" max="3076" width="11.42578125" style="3"/>
    <col min="3077" max="3077" width="13.42578125" style="3" customWidth="1"/>
    <col min="3078" max="3078" width="12.7109375" style="3" customWidth="1"/>
    <col min="3079" max="3079" width="14" style="3" customWidth="1"/>
    <col min="3080" max="3080" width="7.42578125" style="3" customWidth="1"/>
    <col min="3081" max="3328" width="11.42578125" style="3"/>
    <col min="3329" max="3329" width="15.85546875" style="3" customWidth="1"/>
    <col min="3330" max="3330" width="14.85546875" style="3" customWidth="1"/>
    <col min="3331" max="3331" width="13.28515625" style="3" customWidth="1"/>
    <col min="3332" max="3332" width="11.42578125" style="3"/>
    <col min="3333" max="3333" width="13.42578125" style="3" customWidth="1"/>
    <col min="3334" max="3334" width="12.7109375" style="3" customWidth="1"/>
    <col min="3335" max="3335" width="14" style="3" customWidth="1"/>
    <col min="3336" max="3336" width="7.42578125" style="3" customWidth="1"/>
    <col min="3337" max="3584" width="11.42578125" style="3"/>
    <col min="3585" max="3585" width="15.85546875" style="3" customWidth="1"/>
    <col min="3586" max="3586" width="14.85546875" style="3" customWidth="1"/>
    <col min="3587" max="3587" width="13.28515625" style="3" customWidth="1"/>
    <col min="3588" max="3588" width="11.42578125" style="3"/>
    <col min="3589" max="3589" width="13.42578125" style="3" customWidth="1"/>
    <col min="3590" max="3590" width="12.7109375" style="3" customWidth="1"/>
    <col min="3591" max="3591" width="14" style="3" customWidth="1"/>
    <col min="3592" max="3592" width="7.42578125" style="3" customWidth="1"/>
    <col min="3593" max="3840" width="11.42578125" style="3"/>
    <col min="3841" max="3841" width="15.85546875" style="3" customWidth="1"/>
    <col min="3842" max="3842" width="14.85546875" style="3" customWidth="1"/>
    <col min="3843" max="3843" width="13.28515625" style="3" customWidth="1"/>
    <col min="3844" max="3844" width="11.42578125" style="3"/>
    <col min="3845" max="3845" width="13.42578125" style="3" customWidth="1"/>
    <col min="3846" max="3846" width="12.7109375" style="3" customWidth="1"/>
    <col min="3847" max="3847" width="14" style="3" customWidth="1"/>
    <col min="3848" max="3848" width="7.42578125" style="3" customWidth="1"/>
    <col min="3849" max="4096" width="11.42578125" style="3"/>
    <col min="4097" max="4097" width="15.85546875" style="3" customWidth="1"/>
    <col min="4098" max="4098" width="14.85546875" style="3" customWidth="1"/>
    <col min="4099" max="4099" width="13.28515625" style="3" customWidth="1"/>
    <col min="4100" max="4100" width="11.42578125" style="3"/>
    <col min="4101" max="4101" width="13.42578125" style="3" customWidth="1"/>
    <col min="4102" max="4102" width="12.7109375" style="3" customWidth="1"/>
    <col min="4103" max="4103" width="14" style="3" customWidth="1"/>
    <col min="4104" max="4104" width="7.42578125" style="3" customWidth="1"/>
    <col min="4105" max="4352" width="11.42578125" style="3"/>
    <col min="4353" max="4353" width="15.85546875" style="3" customWidth="1"/>
    <col min="4354" max="4354" width="14.85546875" style="3" customWidth="1"/>
    <col min="4355" max="4355" width="13.28515625" style="3" customWidth="1"/>
    <col min="4356" max="4356" width="11.42578125" style="3"/>
    <col min="4357" max="4357" width="13.42578125" style="3" customWidth="1"/>
    <col min="4358" max="4358" width="12.7109375" style="3" customWidth="1"/>
    <col min="4359" max="4359" width="14" style="3" customWidth="1"/>
    <col min="4360" max="4360" width="7.42578125" style="3" customWidth="1"/>
    <col min="4361" max="4608" width="11.42578125" style="3"/>
    <col min="4609" max="4609" width="15.85546875" style="3" customWidth="1"/>
    <col min="4610" max="4610" width="14.85546875" style="3" customWidth="1"/>
    <col min="4611" max="4611" width="13.28515625" style="3" customWidth="1"/>
    <col min="4612" max="4612" width="11.42578125" style="3"/>
    <col min="4613" max="4613" width="13.42578125" style="3" customWidth="1"/>
    <col min="4614" max="4614" width="12.7109375" style="3" customWidth="1"/>
    <col min="4615" max="4615" width="14" style="3" customWidth="1"/>
    <col min="4616" max="4616" width="7.42578125" style="3" customWidth="1"/>
    <col min="4617" max="4864" width="11.42578125" style="3"/>
    <col min="4865" max="4865" width="15.85546875" style="3" customWidth="1"/>
    <col min="4866" max="4866" width="14.85546875" style="3" customWidth="1"/>
    <col min="4867" max="4867" width="13.28515625" style="3" customWidth="1"/>
    <col min="4868" max="4868" width="11.42578125" style="3"/>
    <col min="4869" max="4869" width="13.42578125" style="3" customWidth="1"/>
    <col min="4870" max="4870" width="12.7109375" style="3" customWidth="1"/>
    <col min="4871" max="4871" width="14" style="3" customWidth="1"/>
    <col min="4872" max="4872" width="7.42578125" style="3" customWidth="1"/>
    <col min="4873" max="5120" width="11.42578125" style="3"/>
    <col min="5121" max="5121" width="15.85546875" style="3" customWidth="1"/>
    <col min="5122" max="5122" width="14.85546875" style="3" customWidth="1"/>
    <col min="5123" max="5123" width="13.28515625" style="3" customWidth="1"/>
    <col min="5124" max="5124" width="11.42578125" style="3"/>
    <col min="5125" max="5125" width="13.42578125" style="3" customWidth="1"/>
    <col min="5126" max="5126" width="12.7109375" style="3" customWidth="1"/>
    <col min="5127" max="5127" width="14" style="3" customWidth="1"/>
    <col min="5128" max="5128" width="7.42578125" style="3" customWidth="1"/>
    <col min="5129" max="5376" width="11.42578125" style="3"/>
    <col min="5377" max="5377" width="15.85546875" style="3" customWidth="1"/>
    <col min="5378" max="5378" width="14.85546875" style="3" customWidth="1"/>
    <col min="5379" max="5379" width="13.28515625" style="3" customWidth="1"/>
    <col min="5380" max="5380" width="11.42578125" style="3"/>
    <col min="5381" max="5381" width="13.42578125" style="3" customWidth="1"/>
    <col min="5382" max="5382" width="12.7109375" style="3" customWidth="1"/>
    <col min="5383" max="5383" width="14" style="3" customWidth="1"/>
    <col min="5384" max="5384" width="7.42578125" style="3" customWidth="1"/>
    <col min="5385" max="5632" width="11.42578125" style="3"/>
    <col min="5633" max="5633" width="15.85546875" style="3" customWidth="1"/>
    <col min="5634" max="5634" width="14.85546875" style="3" customWidth="1"/>
    <col min="5635" max="5635" width="13.28515625" style="3" customWidth="1"/>
    <col min="5636" max="5636" width="11.42578125" style="3"/>
    <col min="5637" max="5637" width="13.42578125" style="3" customWidth="1"/>
    <col min="5638" max="5638" width="12.7109375" style="3" customWidth="1"/>
    <col min="5639" max="5639" width="14" style="3" customWidth="1"/>
    <col min="5640" max="5640" width="7.42578125" style="3" customWidth="1"/>
    <col min="5641" max="5888" width="11.42578125" style="3"/>
    <col min="5889" max="5889" width="15.85546875" style="3" customWidth="1"/>
    <col min="5890" max="5890" width="14.85546875" style="3" customWidth="1"/>
    <col min="5891" max="5891" width="13.28515625" style="3" customWidth="1"/>
    <col min="5892" max="5892" width="11.42578125" style="3"/>
    <col min="5893" max="5893" width="13.42578125" style="3" customWidth="1"/>
    <col min="5894" max="5894" width="12.7109375" style="3" customWidth="1"/>
    <col min="5895" max="5895" width="14" style="3" customWidth="1"/>
    <col min="5896" max="5896" width="7.42578125" style="3" customWidth="1"/>
    <col min="5897" max="6144" width="11.42578125" style="3"/>
    <col min="6145" max="6145" width="15.85546875" style="3" customWidth="1"/>
    <col min="6146" max="6146" width="14.85546875" style="3" customWidth="1"/>
    <col min="6147" max="6147" width="13.28515625" style="3" customWidth="1"/>
    <col min="6148" max="6148" width="11.42578125" style="3"/>
    <col min="6149" max="6149" width="13.42578125" style="3" customWidth="1"/>
    <col min="6150" max="6150" width="12.7109375" style="3" customWidth="1"/>
    <col min="6151" max="6151" width="14" style="3" customWidth="1"/>
    <col min="6152" max="6152" width="7.42578125" style="3" customWidth="1"/>
    <col min="6153" max="6400" width="11.42578125" style="3"/>
    <col min="6401" max="6401" width="15.85546875" style="3" customWidth="1"/>
    <col min="6402" max="6402" width="14.85546875" style="3" customWidth="1"/>
    <col min="6403" max="6403" width="13.28515625" style="3" customWidth="1"/>
    <col min="6404" max="6404" width="11.42578125" style="3"/>
    <col min="6405" max="6405" width="13.42578125" style="3" customWidth="1"/>
    <col min="6406" max="6406" width="12.7109375" style="3" customWidth="1"/>
    <col min="6407" max="6407" width="14" style="3" customWidth="1"/>
    <col min="6408" max="6408" width="7.42578125" style="3" customWidth="1"/>
    <col min="6409" max="6656" width="11.42578125" style="3"/>
    <col min="6657" max="6657" width="15.85546875" style="3" customWidth="1"/>
    <col min="6658" max="6658" width="14.85546875" style="3" customWidth="1"/>
    <col min="6659" max="6659" width="13.28515625" style="3" customWidth="1"/>
    <col min="6660" max="6660" width="11.42578125" style="3"/>
    <col min="6661" max="6661" width="13.42578125" style="3" customWidth="1"/>
    <col min="6662" max="6662" width="12.7109375" style="3" customWidth="1"/>
    <col min="6663" max="6663" width="14" style="3" customWidth="1"/>
    <col min="6664" max="6664" width="7.42578125" style="3" customWidth="1"/>
    <col min="6665" max="6912" width="11.42578125" style="3"/>
    <col min="6913" max="6913" width="15.85546875" style="3" customWidth="1"/>
    <col min="6914" max="6914" width="14.85546875" style="3" customWidth="1"/>
    <col min="6915" max="6915" width="13.28515625" style="3" customWidth="1"/>
    <col min="6916" max="6916" width="11.42578125" style="3"/>
    <col min="6917" max="6917" width="13.42578125" style="3" customWidth="1"/>
    <col min="6918" max="6918" width="12.7109375" style="3" customWidth="1"/>
    <col min="6919" max="6919" width="14" style="3" customWidth="1"/>
    <col min="6920" max="6920" width="7.42578125" style="3" customWidth="1"/>
    <col min="6921" max="7168" width="11.42578125" style="3"/>
    <col min="7169" max="7169" width="15.85546875" style="3" customWidth="1"/>
    <col min="7170" max="7170" width="14.85546875" style="3" customWidth="1"/>
    <col min="7171" max="7171" width="13.28515625" style="3" customWidth="1"/>
    <col min="7172" max="7172" width="11.42578125" style="3"/>
    <col min="7173" max="7173" width="13.42578125" style="3" customWidth="1"/>
    <col min="7174" max="7174" width="12.7109375" style="3" customWidth="1"/>
    <col min="7175" max="7175" width="14" style="3" customWidth="1"/>
    <col min="7176" max="7176" width="7.42578125" style="3" customWidth="1"/>
    <col min="7177" max="7424" width="11.42578125" style="3"/>
    <col min="7425" max="7425" width="15.85546875" style="3" customWidth="1"/>
    <col min="7426" max="7426" width="14.85546875" style="3" customWidth="1"/>
    <col min="7427" max="7427" width="13.28515625" style="3" customWidth="1"/>
    <col min="7428" max="7428" width="11.42578125" style="3"/>
    <col min="7429" max="7429" width="13.42578125" style="3" customWidth="1"/>
    <col min="7430" max="7430" width="12.7109375" style="3" customWidth="1"/>
    <col min="7431" max="7431" width="14" style="3" customWidth="1"/>
    <col min="7432" max="7432" width="7.42578125" style="3" customWidth="1"/>
    <col min="7433" max="7680" width="11.42578125" style="3"/>
    <col min="7681" max="7681" width="15.85546875" style="3" customWidth="1"/>
    <col min="7682" max="7682" width="14.85546875" style="3" customWidth="1"/>
    <col min="7683" max="7683" width="13.28515625" style="3" customWidth="1"/>
    <col min="7684" max="7684" width="11.42578125" style="3"/>
    <col min="7685" max="7685" width="13.42578125" style="3" customWidth="1"/>
    <col min="7686" max="7686" width="12.7109375" style="3" customWidth="1"/>
    <col min="7687" max="7687" width="14" style="3" customWidth="1"/>
    <col min="7688" max="7688" width="7.42578125" style="3" customWidth="1"/>
    <col min="7689" max="7936" width="11.42578125" style="3"/>
    <col min="7937" max="7937" width="15.85546875" style="3" customWidth="1"/>
    <col min="7938" max="7938" width="14.85546875" style="3" customWidth="1"/>
    <col min="7939" max="7939" width="13.28515625" style="3" customWidth="1"/>
    <col min="7940" max="7940" width="11.42578125" style="3"/>
    <col min="7941" max="7941" width="13.42578125" style="3" customWidth="1"/>
    <col min="7942" max="7942" width="12.7109375" style="3" customWidth="1"/>
    <col min="7943" max="7943" width="14" style="3" customWidth="1"/>
    <col min="7944" max="7944" width="7.42578125" style="3" customWidth="1"/>
    <col min="7945" max="8192" width="11.42578125" style="3"/>
    <col min="8193" max="8193" width="15.85546875" style="3" customWidth="1"/>
    <col min="8194" max="8194" width="14.85546875" style="3" customWidth="1"/>
    <col min="8195" max="8195" width="13.28515625" style="3" customWidth="1"/>
    <col min="8196" max="8196" width="11.42578125" style="3"/>
    <col min="8197" max="8197" width="13.42578125" style="3" customWidth="1"/>
    <col min="8198" max="8198" width="12.7109375" style="3" customWidth="1"/>
    <col min="8199" max="8199" width="14" style="3" customWidth="1"/>
    <col min="8200" max="8200" width="7.42578125" style="3" customWidth="1"/>
    <col min="8201" max="8448" width="11.42578125" style="3"/>
    <col min="8449" max="8449" width="15.85546875" style="3" customWidth="1"/>
    <col min="8450" max="8450" width="14.85546875" style="3" customWidth="1"/>
    <col min="8451" max="8451" width="13.28515625" style="3" customWidth="1"/>
    <col min="8452" max="8452" width="11.42578125" style="3"/>
    <col min="8453" max="8453" width="13.42578125" style="3" customWidth="1"/>
    <col min="8454" max="8454" width="12.7109375" style="3" customWidth="1"/>
    <col min="8455" max="8455" width="14" style="3" customWidth="1"/>
    <col min="8456" max="8456" width="7.42578125" style="3" customWidth="1"/>
    <col min="8457" max="8704" width="11.42578125" style="3"/>
    <col min="8705" max="8705" width="15.85546875" style="3" customWidth="1"/>
    <col min="8706" max="8706" width="14.85546875" style="3" customWidth="1"/>
    <col min="8707" max="8707" width="13.28515625" style="3" customWidth="1"/>
    <col min="8708" max="8708" width="11.42578125" style="3"/>
    <col min="8709" max="8709" width="13.42578125" style="3" customWidth="1"/>
    <col min="8710" max="8710" width="12.7109375" style="3" customWidth="1"/>
    <col min="8711" max="8711" width="14" style="3" customWidth="1"/>
    <col min="8712" max="8712" width="7.42578125" style="3" customWidth="1"/>
    <col min="8713" max="8960" width="11.42578125" style="3"/>
    <col min="8961" max="8961" width="15.85546875" style="3" customWidth="1"/>
    <col min="8962" max="8962" width="14.85546875" style="3" customWidth="1"/>
    <col min="8963" max="8963" width="13.28515625" style="3" customWidth="1"/>
    <col min="8964" max="8964" width="11.42578125" style="3"/>
    <col min="8965" max="8965" width="13.42578125" style="3" customWidth="1"/>
    <col min="8966" max="8966" width="12.7109375" style="3" customWidth="1"/>
    <col min="8967" max="8967" width="14" style="3" customWidth="1"/>
    <col min="8968" max="8968" width="7.42578125" style="3" customWidth="1"/>
    <col min="8969" max="9216" width="11.42578125" style="3"/>
    <col min="9217" max="9217" width="15.85546875" style="3" customWidth="1"/>
    <col min="9218" max="9218" width="14.85546875" style="3" customWidth="1"/>
    <col min="9219" max="9219" width="13.28515625" style="3" customWidth="1"/>
    <col min="9220" max="9220" width="11.42578125" style="3"/>
    <col min="9221" max="9221" width="13.42578125" style="3" customWidth="1"/>
    <col min="9222" max="9222" width="12.7109375" style="3" customWidth="1"/>
    <col min="9223" max="9223" width="14" style="3" customWidth="1"/>
    <col min="9224" max="9224" width="7.42578125" style="3" customWidth="1"/>
    <col min="9225" max="9472" width="11.42578125" style="3"/>
    <col min="9473" max="9473" width="15.85546875" style="3" customWidth="1"/>
    <col min="9474" max="9474" width="14.85546875" style="3" customWidth="1"/>
    <col min="9475" max="9475" width="13.28515625" style="3" customWidth="1"/>
    <col min="9476" max="9476" width="11.42578125" style="3"/>
    <col min="9477" max="9477" width="13.42578125" style="3" customWidth="1"/>
    <col min="9478" max="9478" width="12.7109375" style="3" customWidth="1"/>
    <col min="9479" max="9479" width="14" style="3" customWidth="1"/>
    <col min="9480" max="9480" width="7.42578125" style="3" customWidth="1"/>
    <col min="9481" max="9728" width="11.42578125" style="3"/>
    <col min="9729" max="9729" width="15.85546875" style="3" customWidth="1"/>
    <col min="9730" max="9730" width="14.85546875" style="3" customWidth="1"/>
    <col min="9731" max="9731" width="13.28515625" style="3" customWidth="1"/>
    <col min="9732" max="9732" width="11.42578125" style="3"/>
    <col min="9733" max="9733" width="13.42578125" style="3" customWidth="1"/>
    <col min="9734" max="9734" width="12.7109375" style="3" customWidth="1"/>
    <col min="9735" max="9735" width="14" style="3" customWidth="1"/>
    <col min="9736" max="9736" width="7.42578125" style="3" customWidth="1"/>
    <col min="9737" max="9984" width="11.42578125" style="3"/>
    <col min="9985" max="9985" width="15.85546875" style="3" customWidth="1"/>
    <col min="9986" max="9986" width="14.85546875" style="3" customWidth="1"/>
    <col min="9987" max="9987" width="13.28515625" style="3" customWidth="1"/>
    <col min="9988" max="9988" width="11.42578125" style="3"/>
    <col min="9989" max="9989" width="13.42578125" style="3" customWidth="1"/>
    <col min="9990" max="9990" width="12.7109375" style="3" customWidth="1"/>
    <col min="9991" max="9991" width="14" style="3" customWidth="1"/>
    <col min="9992" max="9992" width="7.42578125" style="3" customWidth="1"/>
    <col min="9993" max="10240" width="11.42578125" style="3"/>
    <col min="10241" max="10241" width="15.85546875" style="3" customWidth="1"/>
    <col min="10242" max="10242" width="14.85546875" style="3" customWidth="1"/>
    <col min="10243" max="10243" width="13.28515625" style="3" customWidth="1"/>
    <col min="10244" max="10244" width="11.42578125" style="3"/>
    <col min="10245" max="10245" width="13.42578125" style="3" customWidth="1"/>
    <col min="10246" max="10246" width="12.7109375" style="3" customWidth="1"/>
    <col min="10247" max="10247" width="14" style="3" customWidth="1"/>
    <col min="10248" max="10248" width="7.42578125" style="3" customWidth="1"/>
    <col min="10249" max="10496" width="11.42578125" style="3"/>
    <col min="10497" max="10497" width="15.85546875" style="3" customWidth="1"/>
    <col min="10498" max="10498" width="14.85546875" style="3" customWidth="1"/>
    <col min="10499" max="10499" width="13.28515625" style="3" customWidth="1"/>
    <col min="10500" max="10500" width="11.42578125" style="3"/>
    <col min="10501" max="10501" width="13.42578125" style="3" customWidth="1"/>
    <col min="10502" max="10502" width="12.7109375" style="3" customWidth="1"/>
    <col min="10503" max="10503" width="14" style="3" customWidth="1"/>
    <col min="10504" max="10504" width="7.42578125" style="3" customWidth="1"/>
    <col min="10505" max="10752" width="11.42578125" style="3"/>
    <col min="10753" max="10753" width="15.85546875" style="3" customWidth="1"/>
    <col min="10754" max="10754" width="14.85546875" style="3" customWidth="1"/>
    <col min="10755" max="10755" width="13.28515625" style="3" customWidth="1"/>
    <col min="10756" max="10756" width="11.42578125" style="3"/>
    <col min="10757" max="10757" width="13.42578125" style="3" customWidth="1"/>
    <col min="10758" max="10758" width="12.7109375" style="3" customWidth="1"/>
    <col min="10759" max="10759" width="14" style="3" customWidth="1"/>
    <col min="10760" max="10760" width="7.42578125" style="3" customWidth="1"/>
    <col min="10761" max="11008" width="11.42578125" style="3"/>
    <col min="11009" max="11009" width="15.85546875" style="3" customWidth="1"/>
    <col min="11010" max="11010" width="14.85546875" style="3" customWidth="1"/>
    <col min="11011" max="11011" width="13.28515625" style="3" customWidth="1"/>
    <col min="11012" max="11012" width="11.42578125" style="3"/>
    <col min="11013" max="11013" width="13.42578125" style="3" customWidth="1"/>
    <col min="11014" max="11014" width="12.7109375" style="3" customWidth="1"/>
    <col min="11015" max="11015" width="14" style="3" customWidth="1"/>
    <col min="11016" max="11016" width="7.42578125" style="3" customWidth="1"/>
    <col min="11017" max="11264" width="11.42578125" style="3"/>
    <col min="11265" max="11265" width="15.85546875" style="3" customWidth="1"/>
    <col min="11266" max="11266" width="14.85546875" style="3" customWidth="1"/>
    <col min="11267" max="11267" width="13.28515625" style="3" customWidth="1"/>
    <col min="11268" max="11268" width="11.42578125" style="3"/>
    <col min="11269" max="11269" width="13.42578125" style="3" customWidth="1"/>
    <col min="11270" max="11270" width="12.7109375" style="3" customWidth="1"/>
    <col min="11271" max="11271" width="14" style="3" customWidth="1"/>
    <col min="11272" max="11272" width="7.42578125" style="3" customWidth="1"/>
    <col min="11273" max="11520" width="11.42578125" style="3"/>
    <col min="11521" max="11521" width="15.85546875" style="3" customWidth="1"/>
    <col min="11522" max="11522" width="14.85546875" style="3" customWidth="1"/>
    <col min="11523" max="11523" width="13.28515625" style="3" customWidth="1"/>
    <col min="11524" max="11524" width="11.42578125" style="3"/>
    <col min="11525" max="11525" width="13.42578125" style="3" customWidth="1"/>
    <col min="11526" max="11526" width="12.7109375" style="3" customWidth="1"/>
    <col min="11527" max="11527" width="14" style="3" customWidth="1"/>
    <col min="11528" max="11528" width="7.42578125" style="3" customWidth="1"/>
    <col min="11529" max="11776" width="11.42578125" style="3"/>
    <col min="11777" max="11777" width="15.85546875" style="3" customWidth="1"/>
    <col min="11778" max="11778" width="14.85546875" style="3" customWidth="1"/>
    <col min="11779" max="11779" width="13.28515625" style="3" customWidth="1"/>
    <col min="11780" max="11780" width="11.42578125" style="3"/>
    <col min="11781" max="11781" width="13.42578125" style="3" customWidth="1"/>
    <col min="11782" max="11782" width="12.7109375" style="3" customWidth="1"/>
    <col min="11783" max="11783" width="14" style="3" customWidth="1"/>
    <col min="11784" max="11784" width="7.42578125" style="3" customWidth="1"/>
    <col min="11785" max="12032" width="11.42578125" style="3"/>
    <col min="12033" max="12033" width="15.85546875" style="3" customWidth="1"/>
    <col min="12034" max="12034" width="14.85546875" style="3" customWidth="1"/>
    <col min="12035" max="12035" width="13.28515625" style="3" customWidth="1"/>
    <col min="12036" max="12036" width="11.42578125" style="3"/>
    <col min="12037" max="12037" width="13.42578125" style="3" customWidth="1"/>
    <col min="12038" max="12038" width="12.7109375" style="3" customWidth="1"/>
    <col min="12039" max="12039" width="14" style="3" customWidth="1"/>
    <col min="12040" max="12040" width="7.42578125" style="3" customWidth="1"/>
    <col min="12041" max="12288" width="11.42578125" style="3"/>
    <col min="12289" max="12289" width="15.85546875" style="3" customWidth="1"/>
    <col min="12290" max="12290" width="14.85546875" style="3" customWidth="1"/>
    <col min="12291" max="12291" width="13.28515625" style="3" customWidth="1"/>
    <col min="12292" max="12292" width="11.42578125" style="3"/>
    <col min="12293" max="12293" width="13.42578125" style="3" customWidth="1"/>
    <col min="12294" max="12294" width="12.7109375" style="3" customWidth="1"/>
    <col min="12295" max="12295" width="14" style="3" customWidth="1"/>
    <col min="12296" max="12296" width="7.42578125" style="3" customWidth="1"/>
    <col min="12297" max="12544" width="11.42578125" style="3"/>
    <col min="12545" max="12545" width="15.85546875" style="3" customWidth="1"/>
    <col min="12546" max="12546" width="14.85546875" style="3" customWidth="1"/>
    <col min="12547" max="12547" width="13.28515625" style="3" customWidth="1"/>
    <col min="12548" max="12548" width="11.42578125" style="3"/>
    <col min="12549" max="12549" width="13.42578125" style="3" customWidth="1"/>
    <col min="12550" max="12550" width="12.7109375" style="3" customWidth="1"/>
    <col min="12551" max="12551" width="14" style="3" customWidth="1"/>
    <col min="12552" max="12552" width="7.42578125" style="3" customWidth="1"/>
    <col min="12553" max="12800" width="11.42578125" style="3"/>
    <col min="12801" max="12801" width="15.85546875" style="3" customWidth="1"/>
    <col min="12802" max="12802" width="14.85546875" style="3" customWidth="1"/>
    <col min="12803" max="12803" width="13.28515625" style="3" customWidth="1"/>
    <col min="12804" max="12804" width="11.42578125" style="3"/>
    <col min="12805" max="12805" width="13.42578125" style="3" customWidth="1"/>
    <col min="12806" max="12806" width="12.7109375" style="3" customWidth="1"/>
    <col min="12807" max="12807" width="14" style="3" customWidth="1"/>
    <col min="12808" max="12808" width="7.42578125" style="3" customWidth="1"/>
    <col min="12809" max="13056" width="11.42578125" style="3"/>
    <col min="13057" max="13057" width="15.85546875" style="3" customWidth="1"/>
    <col min="13058" max="13058" width="14.85546875" style="3" customWidth="1"/>
    <col min="13059" max="13059" width="13.28515625" style="3" customWidth="1"/>
    <col min="13060" max="13060" width="11.42578125" style="3"/>
    <col min="13061" max="13061" width="13.42578125" style="3" customWidth="1"/>
    <col min="13062" max="13062" width="12.7109375" style="3" customWidth="1"/>
    <col min="13063" max="13063" width="14" style="3" customWidth="1"/>
    <col min="13064" max="13064" width="7.42578125" style="3" customWidth="1"/>
    <col min="13065" max="13312" width="11.42578125" style="3"/>
    <col min="13313" max="13313" width="15.85546875" style="3" customWidth="1"/>
    <col min="13314" max="13314" width="14.85546875" style="3" customWidth="1"/>
    <col min="13315" max="13315" width="13.28515625" style="3" customWidth="1"/>
    <col min="13316" max="13316" width="11.42578125" style="3"/>
    <col min="13317" max="13317" width="13.42578125" style="3" customWidth="1"/>
    <col min="13318" max="13318" width="12.7109375" style="3" customWidth="1"/>
    <col min="13319" max="13319" width="14" style="3" customWidth="1"/>
    <col min="13320" max="13320" width="7.42578125" style="3" customWidth="1"/>
    <col min="13321" max="13568" width="11.42578125" style="3"/>
    <col min="13569" max="13569" width="15.85546875" style="3" customWidth="1"/>
    <col min="13570" max="13570" width="14.85546875" style="3" customWidth="1"/>
    <col min="13571" max="13571" width="13.28515625" style="3" customWidth="1"/>
    <col min="13572" max="13572" width="11.42578125" style="3"/>
    <col min="13573" max="13573" width="13.42578125" style="3" customWidth="1"/>
    <col min="13574" max="13574" width="12.7109375" style="3" customWidth="1"/>
    <col min="13575" max="13575" width="14" style="3" customWidth="1"/>
    <col min="13576" max="13576" width="7.42578125" style="3" customWidth="1"/>
    <col min="13577" max="13824" width="11.42578125" style="3"/>
    <col min="13825" max="13825" width="15.85546875" style="3" customWidth="1"/>
    <col min="13826" max="13826" width="14.85546875" style="3" customWidth="1"/>
    <col min="13827" max="13827" width="13.28515625" style="3" customWidth="1"/>
    <col min="13828" max="13828" width="11.42578125" style="3"/>
    <col min="13829" max="13829" width="13.42578125" style="3" customWidth="1"/>
    <col min="13830" max="13830" width="12.7109375" style="3" customWidth="1"/>
    <col min="13831" max="13831" width="14" style="3" customWidth="1"/>
    <col min="13832" max="13832" width="7.42578125" style="3" customWidth="1"/>
    <col min="13833" max="14080" width="11.42578125" style="3"/>
    <col min="14081" max="14081" width="15.85546875" style="3" customWidth="1"/>
    <col min="14082" max="14082" width="14.85546875" style="3" customWidth="1"/>
    <col min="14083" max="14083" width="13.28515625" style="3" customWidth="1"/>
    <col min="14084" max="14084" width="11.42578125" style="3"/>
    <col min="14085" max="14085" width="13.42578125" style="3" customWidth="1"/>
    <col min="14086" max="14086" width="12.7109375" style="3" customWidth="1"/>
    <col min="14087" max="14087" width="14" style="3" customWidth="1"/>
    <col min="14088" max="14088" width="7.42578125" style="3" customWidth="1"/>
    <col min="14089" max="14336" width="11.42578125" style="3"/>
    <col min="14337" max="14337" width="15.85546875" style="3" customWidth="1"/>
    <col min="14338" max="14338" width="14.85546875" style="3" customWidth="1"/>
    <col min="14339" max="14339" width="13.28515625" style="3" customWidth="1"/>
    <col min="14340" max="14340" width="11.42578125" style="3"/>
    <col min="14341" max="14341" width="13.42578125" style="3" customWidth="1"/>
    <col min="14342" max="14342" width="12.7109375" style="3" customWidth="1"/>
    <col min="14343" max="14343" width="14" style="3" customWidth="1"/>
    <col min="14344" max="14344" width="7.42578125" style="3" customWidth="1"/>
    <col min="14345" max="14592" width="11.42578125" style="3"/>
    <col min="14593" max="14593" width="15.85546875" style="3" customWidth="1"/>
    <col min="14594" max="14594" width="14.85546875" style="3" customWidth="1"/>
    <col min="14595" max="14595" width="13.28515625" style="3" customWidth="1"/>
    <col min="14596" max="14596" width="11.42578125" style="3"/>
    <col min="14597" max="14597" width="13.42578125" style="3" customWidth="1"/>
    <col min="14598" max="14598" width="12.7109375" style="3" customWidth="1"/>
    <col min="14599" max="14599" width="14" style="3" customWidth="1"/>
    <col min="14600" max="14600" width="7.42578125" style="3" customWidth="1"/>
    <col min="14601" max="14848" width="11.42578125" style="3"/>
    <col min="14849" max="14849" width="15.85546875" style="3" customWidth="1"/>
    <col min="14850" max="14850" width="14.85546875" style="3" customWidth="1"/>
    <col min="14851" max="14851" width="13.28515625" style="3" customWidth="1"/>
    <col min="14852" max="14852" width="11.42578125" style="3"/>
    <col min="14853" max="14853" width="13.42578125" style="3" customWidth="1"/>
    <col min="14854" max="14854" width="12.7109375" style="3" customWidth="1"/>
    <col min="14855" max="14855" width="14" style="3" customWidth="1"/>
    <col min="14856" max="14856" width="7.42578125" style="3" customWidth="1"/>
    <col min="14857" max="15104" width="11.42578125" style="3"/>
    <col min="15105" max="15105" width="15.85546875" style="3" customWidth="1"/>
    <col min="15106" max="15106" width="14.85546875" style="3" customWidth="1"/>
    <col min="15107" max="15107" width="13.28515625" style="3" customWidth="1"/>
    <col min="15108" max="15108" width="11.42578125" style="3"/>
    <col min="15109" max="15109" width="13.42578125" style="3" customWidth="1"/>
    <col min="15110" max="15110" width="12.7109375" style="3" customWidth="1"/>
    <col min="15111" max="15111" width="14" style="3" customWidth="1"/>
    <col min="15112" max="15112" width="7.42578125" style="3" customWidth="1"/>
    <col min="15113" max="15360" width="11.42578125" style="3"/>
    <col min="15361" max="15361" width="15.85546875" style="3" customWidth="1"/>
    <col min="15362" max="15362" width="14.85546875" style="3" customWidth="1"/>
    <col min="15363" max="15363" width="13.28515625" style="3" customWidth="1"/>
    <col min="15364" max="15364" width="11.42578125" style="3"/>
    <col min="15365" max="15365" width="13.42578125" style="3" customWidth="1"/>
    <col min="15366" max="15366" width="12.7109375" style="3" customWidth="1"/>
    <col min="15367" max="15367" width="14" style="3" customWidth="1"/>
    <col min="15368" max="15368" width="7.42578125" style="3" customWidth="1"/>
    <col min="15369" max="15616" width="11.42578125" style="3"/>
    <col min="15617" max="15617" width="15.85546875" style="3" customWidth="1"/>
    <col min="15618" max="15618" width="14.85546875" style="3" customWidth="1"/>
    <col min="15619" max="15619" width="13.28515625" style="3" customWidth="1"/>
    <col min="15620" max="15620" width="11.42578125" style="3"/>
    <col min="15621" max="15621" width="13.42578125" style="3" customWidth="1"/>
    <col min="15622" max="15622" width="12.7109375" style="3" customWidth="1"/>
    <col min="15623" max="15623" width="14" style="3" customWidth="1"/>
    <col min="15624" max="15624" width="7.42578125" style="3" customWidth="1"/>
    <col min="15625" max="15872" width="11.42578125" style="3"/>
    <col min="15873" max="15873" width="15.85546875" style="3" customWidth="1"/>
    <col min="15874" max="15874" width="14.85546875" style="3" customWidth="1"/>
    <col min="15875" max="15875" width="13.28515625" style="3" customWidth="1"/>
    <col min="15876" max="15876" width="11.42578125" style="3"/>
    <col min="15877" max="15877" width="13.42578125" style="3" customWidth="1"/>
    <col min="15878" max="15878" width="12.7109375" style="3" customWidth="1"/>
    <col min="15879" max="15879" width="14" style="3" customWidth="1"/>
    <col min="15880" max="15880" width="7.42578125" style="3" customWidth="1"/>
    <col min="15881" max="16128" width="11.42578125" style="3"/>
    <col min="16129" max="16129" width="15.85546875" style="3" customWidth="1"/>
    <col min="16130" max="16130" width="14.85546875" style="3" customWidth="1"/>
    <col min="16131" max="16131" width="13.28515625" style="3" customWidth="1"/>
    <col min="16132" max="16132" width="11.42578125" style="3"/>
    <col min="16133" max="16133" width="13.42578125" style="3" customWidth="1"/>
    <col min="16134" max="16134" width="12.7109375" style="3" customWidth="1"/>
    <col min="16135" max="16135" width="14" style="3" customWidth="1"/>
    <col min="16136" max="16136" width="7.42578125" style="3" customWidth="1"/>
    <col min="16137" max="16384" width="11.42578125" style="3"/>
  </cols>
  <sheetData>
    <row r="1" spans="1:21" ht="48" customHeight="1">
      <c r="A1" s="1346" t="str">
        <f>PPTO!D3</f>
        <v>PRESUPUESTO
MUNICIPIO EL BAGRE (ANTIOQUIA).</v>
      </c>
      <c r="B1" s="1347"/>
      <c r="C1" s="1347"/>
      <c r="D1" s="1347"/>
      <c r="E1" s="1347"/>
      <c r="F1" s="1347"/>
      <c r="G1" s="1348"/>
      <c r="H1" s="1"/>
      <c r="I1" s="2"/>
    </row>
    <row r="2" spans="1:21" ht="18" customHeight="1">
      <c r="A2" s="1362" t="s">
        <v>16</v>
      </c>
      <c r="B2" s="1363"/>
      <c r="C2" s="1363"/>
      <c r="D2" s="1363"/>
      <c r="E2" s="1363"/>
      <c r="F2" s="1363"/>
      <c r="G2" s="1364"/>
      <c r="H2" s="1"/>
      <c r="I2" s="2"/>
    </row>
    <row r="3" spans="1:21" ht="27" customHeight="1">
      <c r="A3" s="1367" t="str">
        <f>+PPTO!$D$5</f>
        <v>PROYECTO DE MEJORAMIENTO VIAL, ESPACIO PUBLICO Y OBRAS COMPLEMENTARIAS DE LA AVENIDA LA JUVENTUD Y TRAMOS ADYACENTES Y PRIORITARIOS DEL SECTOR URBANO EN EL MUNICIPIO EL BAGRE ANTIOQUIA.</v>
      </c>
      <c r="B3" s="1368"/>
      <c r="C3" s="1368"/>
      <c r="D3" s="1368"/>
      <c r="E3" s="1368"/>
      <c r="F3" s="1368"/>
      <c r="G3" s="1369"/>
      <c r="H3" s="1"/>
      <c r="I3" s="2"/>
    </row>
    <row r="4" spans="1:21" ht="16.5" customHeight="1">
      <c r="A4" s="1370"/>
      <c r="B4" s="1368"/>
      <c r="C4" s="1368"/>
      <c r="D4" s="1368"/>
      <c r="E4" s="1368"/>
      <c r="F4" s="1368"/>
      <c r="G4" s="1369"/>
      <c r="H4" s="1"/>
      <c r="I4" s="2"/>
    </row>
    <row r="5" spans="1:21" ht="6.75" customHeight="1">
      <c r="A5" s="222"/>
      <c r="B5" s="6"/>
      <c r="C5" s="24"/>
      <c r="D5" s="25"/>
      <c r="E5" s="6"/>
      <c r="F5" s="6"/>
      <c r="G5" s="223"/>
      <c r="H5" s="9"/>
    </row>
    <row r="6" spans="1:21">
      <c r="A6" s="368">
        <v>6.17</v>
      </c>
      <c r="B6" s="1349" t="str">
        <f>VLOOKUP(A6,PPTO!D9:I136,2,FALSE)</f>
        <v>Suministro e instalación Tuberia PVC U.M. RDE 21 Ø 3"</v>
      </c>
      <c r="C6" s="1350"/>
      <c r="D6" s="1350"/>
      <c r="E6" s="1351"/>
      <c r="F6" s="192" t="s">
        <v>118</v>
      </c>
      <c r="G6" s="248" t="str">
        <f>VLOOKUP(A6,PPTO!D9:I136,3,FALSE)</f>
        <v>m</v>
      </c>
      <c r="H6" s="9"/>
    </row>
    <row r="7" spans="1:21" ht="3.75" customHeight="1">
      <c r="A7" s="226"/>
      <c r="B7" s="4"/>
      <c r="C7" s="6"/>
      <c r="D7" s="4"/>
      <c r="E7" s="4"/>
      <c r="F7" s="4"/>
      <c r="G7" s="227"/>
      <c r="H7" s="9"/>
    </row>
    <row r="8" spans="1:21" ht="22.5" customHeight="1">
      <c r="A8" s="1354" t="s">
        <v>69</v>
      </c>
      <c r="B8" s="1355"/>
      <c r="C8" s="1355"/>
      <c r="D8" s="1355"/>
      <c r="E8" s="1355"/>
      <c r="F8" s="1355"/>
      <c r="G8" s="1356"/>
      <c r="H8" s="9"/>
    </row>
    <row r="9" spans="1:21" ht="4.5" customHeight="1">
      <c r="A9" s="226"/>
      <c r="B9" s="4"/>
      <c r="C9" s="6"/>
      <c r="D9" s="4"/>
      <c r="E9" s="4"/>
      <c r="F9" s="4"/>
      <c r="G9" s="227"/>
      <c r="H9" s="9"/>
      <c r="I9" s="5"/>
      <c r="J9" s="5"/>
      <c r="K9" s="5"/>
      <c r="L9" s="26"/>
      <c r="M9" s="5"/>
      <c r="N9" s="5"/>
      <c r="O9" s="5"/>
      <c r="P9" s="5"/>
    </row>
    <row r="10" spans="1:21">
      <c r="A10" s="1373" t="s">
        <v>17</v>
      </c>
      <c r="B10" s="1374"/>
      <c r="C10" s="1374"/>
      <c r="D10" s="353" t="s">
        <v>18</v>
      </c>
      <c r="E10" s="353" t="s">
        <v>19</v>
      </c>
      <c r="F10" s="353" t="s">
        <v>20</v>
      </c>
      <c r="G10" s="228" t="s">
        <v>21</v>
      </c>
      <c r="H10" s="27"/>
      <c r="I10" s="28"/>
      <c r="J10" s="29"/>
      <c r="K10" s="30"/>
      <c r="L10" s="30"/>
      <c r="M10" s="30"/>
      <c r="N10" s="30"/>
      <c r="O10" s="30"/>
      <c r="P10" s="5"/>
    </row>
    <row r="11" spans="1:21">
      <c r="A11" s="1352" t="s">
        <v>47</v>
      </c>
      <c r="B11" s="1353"/>
      <c r="C11" s="1353"/>
      <c r="D11" s="353"/>
      <c r="E11" s="83"/>
      <c r="F11" s="97"/>
      <c r="G11" s="229">
        <f>+G39*10%</f>
        <v>6108</v>
      </c>
      <c r="H11" s="9"/>
      <c r="I11" s="30"/>
      <c r="J11" s="31"/>
      <c r="K11" s="30"/>
      <c r="L11" s="30"/>
      <c r="M11" s="30"/>
      <c r="N11" s="30"/>
      <c r="O11" s="30"/>
      <c r="P11" s="5"/>
    </row>
    <row r="12" spans="1:21">
      <c r="A12" s="1371"/>
      <c r="B12" s="1372"/>
      <c r="C12" s="1372"/>
      <c r="D12" s="83"/>
      <c r="E12" s="83"/>
      <c r="F12" s="93"/>
      <c r="G12" s="229"/>
      <c r="H12" s="9"/>
      <c r="I12" s="16"/>
      <c r="J12" s="13"/>
      <c r="K12" s="8"/>
      <c r="L12" s="8"/>
      <c r="M12" s="8"/>
      <c r="N12" s="8"/>
      <c r="O12" s="8"/>
      <c r="P12" s="5"/>
    </row>
    <row r="13" spans="1:21">
      <c r="A13" s="1371"/>
      <c r="B13" s="1372"/>
      <c r="C13" s="1372"/>
      <c r="D13" s="83"/>
      <c r="E13" s="83"/>
      <c r="F13" s="93"/>
      <c r="G13" s="229"/>
      <c r="H13" s="9"/>
      <c r="I13" s="13"/>
      <c r="J13" s="13"/>
      <c r="K13" s="13"/>
      <c r="L13" s="13"/>
      <c r="M13" s="13"/>
      <c r="N13" s="13"/>
      <c r="O13" s="13"/>
      <c r="P13" s="5"/>
    </row>
    <row r="14" spans="1:21">
      <c r="A14" s="1371"/>
      <c r="B14" s="1372"/>
      <c r="C14" s="1372"/>
      <c r="D14" s="83"/>
      <c r="E14" s="83"/>
      <c r="F14" s="93"/>
      <c r="G14" s="229"/>
      <c r="H14" s="9"/>
      <c r="I14" s="8"/>
      <c r="J14" s="14"/>
      <c r="K14" s="32"/>
      <c r="L14" s="14"/>
      <c r="M14" s="15"/>
      <c r="N14" s="15"/>
      <c r="O14" s="19"/>
      <c r="P14" s="5"/>
    </row>
    <row r="15" spans="1:21">
      <c r="A15" s="1371"/>
      <c r="B15" s="1372"/>
      <c r="C15" s="1372"/>
      <c r="D15" s="83"/>
      <c r="E15" s="83"/>
      <c r="F15" s="98"/>
      <c r="G15" s="229"/>
      <c r="H15" s="9"/>
      <c r="I15" s="8"/>
      <c r="J15" s="33"/>
      <c r="K15" s="32"/>
      <c r="L15" s="14"/>
      <c r="M15" s="15"/>
      <c r="N15" s="15"/>
      <c r="O15" s="19"/>
      <c r="P15" s="5"/>
      <c r="Q15" s="5"/>
      <c r="R15" s="5"/>
      <c r="S15" s="5"/>
      <c r="T15" s="5"/>
      <c r="U15" s="5"/>
    </row>
    <row r="16" spans="1:21">
      <c r="A16" s="1371"/>
      <c r="B16" s="1372"/>
      <c r="C16" s="1372"/>
      <c r="D16" s="85" t="s">
        <v>37</v>
      </c>
      <c r="E16" s="50"/>
      <c r="F16" s="49"/>
      <c r="G16" s="230">
        <f>SUM(G11:G15)</f>
        <v>6108</v>
      </c>
      <c r="H16" s="9"/>
      <c r="I16" s="34"/>
      <c r="J16" s="34"/>
      <c r="K16" s="35"/>
      <c r="L16" s="36"/>
      <c r="M16" s="7"/>
      <c r="N16" s="7"/>
      <c r="O16" s="19"/>
      <c r="P16" s="5"/>
      <c r="Q16" s="5"/>
      <c r="R16" s="5"/>
      <c r="S16" s="5"/>
      <c r="T16" s="5"/>
      <c r="U16" s="5"/>
    </row>
    <row r="17" spans="1:21" ht="4.5" customHeight="1">
      <c r="A17" s="226"/>
      <c r="B17" s="4"/>
      <c r="C17" s="6"/>
      <c r="D17" s="4"/>
      <c r="E17" s="4"/>
      <c r="F17" s="4"/>
      <c r="G17" s="227"/>
      <c r="H17" s="9"/>
      <c r="I17" s="34"/>
      <c r="J17" s="34"/>
      <c r="K17" s="35"/>
      <c r="L17" s="36"/>
      <c r="M17" s="7"/>
      <c r="N17" s="7"/>
      <c r="O17" s="19"/>
      <c r="P17" s="5"/>
      <c r="Q17" s="5"/>
      <c r="R17" s="5"/>
      <c r="S17" s="5"/>
      <c r="T17" s="5"/>
      <c r="U17" s="5"/>
    </row>
    <row r="18" spans="1:21" ht="22.5" customHeight="1">
      <c r="A18" s="1354" t="s">
        <v>70</v>
      </c>
      <c r="B18" s="1355"/>
      <c r="C18" s="1355"/>
      <c r="D18" s="1355"/>
      <c r="E18" s="1355"/>
      <c r="F18" s="1355"/>
      <c r="G18" s="1356"/>
      <c r="H18" s="9"/>
    </row>
    <row r="19" spans="1:21" ht="4.5" customHeight="1">
      <c r="A19" s="226"/>
      <c r="B19" s="4"/>
      <c r="C19" s="6"/>
      <c r="D19" s="4"/>
      <c r="E19" s="4"/>
      <c r="F19" s="38"/>
      <c r="G19" s="227"/>
      <c r="H19" s="9"/>
      <c r="I19" s="34"/>
      <c r="J19" s="34"/>
      <c r="K19" s="35"/>
      <c r="L19" s="39"/>
      <c r="M19" s="7"/>
      <c r="N19" s="7"/>
      <c r="O19" s="8"/>
      <c r="P19" s="5"/>
      <c r="Q19" s="5"/>
      <c r="R19" s="5"/>
      <c r="S19" s="5"/>
      <c r="T19" s="5"/>
      <c r="U19" s="5"/>
    </row>
    <row r="20" spans="1:21">
      <c r="A20" s="1373" t="s">
        <v>17</v>
      </c>
      <c r="B20" s="1374"/>
      <c r="C20" s="1374"/>
      <c r="D20" s="353" t="s">
        <v>3</v>
      </c>
      <c r="E20" s="353" t="s">
        <v>4</v>
      </c>
      <c r="F20" s="353" t="s">
        <v>25</v>
      </c>
      <c r="G20" s="228" t="s">
        <v>21</v>
      </c>
      <c r="H20" s="27"/>
      <c r="I20" s="34"/>
      <c r="J20" s="34"/>
      <c r="K20" s="35"/>
      <c r="L20" s="39"/>
      <c r="M20" s="7"/>
      <c r="N20" s="7"/>
      <c r="O20" s="8"/>
      <c r="P20" s="5"/>
      <c r="Q20" s="5"/>
      <c r="R20" s="5"/>
      <c r="S20" s="5"/>
      <c r="T20" s="5"/>
      <c r="U20" s="5"/>
    </row>
    <row r="21" spans="1:21" ht="31.5" customHeight="1">
      <c r="A21" s="1441" t="str">
        <f>MID(I21,25,50)</f>
        <v xml:space="preserve"> Tuberia PVC U.M. RDE 21 Ø 3"</v>
      </c>
      <c r="B21" s="1442"/>
      <c r="C21" s="1443"/>
      <c r="D21" s="118" t="s">
        <v>119</v>
      </c>
      <c r="E21" s="119">
        <v>1</v>
      </c>
      <c r="F21" s="87">
        <f>283505/6*IPC</f>
        <v>48753</v>
      </c>
      <c r="G21" s="231">
        <f>ROUND(F21*E21,0)</f>
        <v>48753</v>
      </c>
      <c r="H21" s="9"/>
      <c r="I21" s="34" t="str">
        <f>B6</f>
        <v>Suministro e instalación Tuberia PVC U.M. RDE 21 Ø 3"</v>
      </c>
      <c r="J21" s="34"/>
      <c r="K21" s="35"/>
      <c r="L21" s="36"/>
      <c r="M21" s="7"/>
      <c r="N21" s="7"/>
      <c r="O21" s="19"/>
      <c r="P21" s="5"/>
      <c r="Q21" s="5"/>
      <c r="R21" s="5"/>
      <c r="S21" s="5"/>
      <c r="T21" s="5"/>
      <c r="U21" s="5"/>
    </row>
    <row r="22" spans="1:21">
      <c r="A22" s="1444"/>
      <c r="B22" s="1403"/>
      <c r="C22" s="1404"/>
      <c r="D22" s="116"/>
      <c r="E22" s="117"/>
      <c r="F22" s="91"/>
      <c r="G22" s="231"/>
      <c r="H22" s="9"/>
      <c r="I22" s="10"/>
      <c r="J22" s="10"/>
      <c r="K22" s="12"/>
      <c r="L22" s="39"/>
      <c r="M22" s="7"/>
      <c r="N22" s="7"/>
      <c r="O22" s="15"/>
      <c r="P22" s="5"/>
      <c r="Q22" s="5"/>
      <c r="R22" s="5"/>
      <c r="S22" s="5"/>
      <c r="T22" s="5"/>
      <c r="U22" s="5"/>
    </row>
    <row r="23" spans="1:21">
      <c r="A23" s="1386"/>
      <c r="B23" s="1353"/>
      <c r="C23" s="1353"/>
      <c r="D23" s="79"/>
      <c r="E23" s="82"/>
      <c r="F23" s="83"/>
      <c r="G23" s="904"/>
      <c r="H23" s="9"/>
      <c r="I23" s="10"/>
      <c r="J23" s="10"/>
      <c r="K23" s="12"/>
      <c r="L23" s="39"/>
      <c r="M23" s="7"/>
      <c r="N23" s="7"/>
      <c r="O23" s="15"/>
      <c r="P23" s="5"/>
      <c r="Q23" s="5"/>
      <c r="R23" s="5"/>
      <c r="S23" s="5"/>
      <c r="T23" s="5"/>
      <c r="U23" s="5"/>
    </row>
    <row r="24" spans="1:21">
      <c r="A24" s="1352"/>
      <c r="B24" s="1353"/>
      <c r="C24" s="1353"/>
      <c r="D24" s="81"/>
      <c r="E24" s="88"/>
      <c r="F24" s="78"/>
      <c r="G24" s="231"/>
      <c r="H24" s="9"/>
      <c r="I24" s="10"/>
      <c r="J24" s="40"/>
      <c r="K24" s="12"/>
      <c r="L24" s="13"/>
      <c r="M24" s="14"/>
      <c r="N24" s="14"/>
      <c r="O24" s="15"/>
      <c r="P24" s="5"/>
      <c r="Q24" s="5"/>
      <c r="R24" s="5"/>
      <c r="S24" s="5"/>
      <c r="T24" s="5"/>
      <c r="U24" s="5"/>
    </row>
    <row r="25" spans="1:21">
      <c r="A25" s="1352"/>
      <c r="B25" s="1353"/>
      <c r="C25" s="1353"/>
      <c r="D25" s="81"/>
      <c r="E25" s="82"/>
      <c r="F25" s="78"/>
      <c r="G25" s="231"/>
      <c r="H25" s="9"/>
      <c r="I25" s="10"/>
      <c r="J25" s="11"/>
      <c r="K25" s="12"/>
      <c r="L25" s="13"/>
      <c r="M25" s="14"/>
      <c r="N25" s="14"/>
      <c r="O25" s="15"/>
      <c r="P25" s="5"/>
      <c r="Q25" s="5"/>
      <c r="R25" s="5"/>
      <c r="S25" s="5"/>
      <c r="T25" s="5"/>
      <c r="U25" s="5"/>
    </row>
    <row r="26" spans="1:21">
      <c r="A26" s="1352"/>
      <c r="B26" s="1353"/>
      <c r="C26" s="1353"/>
      <c r="D26" s="79"/>
      <c r="E26" s="82"/>
      <c r="F26" s="78"/>
      <c r="G26" s="231"/>
      <c r="H26" s="9"/>
      <c r="I26" s="10"/>
      <c r="J26" s="11"/>
      <c r="K26" s="12"/>
      <c r="L26" s="13"/>
      <c r="M26" s="14"/>
      <c r="N26" s="14"/>
      <c r="O26" s="15"/>
      <c r="P26" s="5"/>
      <c r="Q26" s="5"/>
      <c r="R26" s="5"/>
      <c r="S26" s="5"/>
      <c r="T26" s="5"/>
      <c r="U26" s="5"/>
    </row>
    <row r="27" spans="1:21">
      <c r="A27" s="1352"/>
      <c r="B27" s="1353"/>
      <c r="C27" s="1353"/>
      <c r="D27" s="79"/>
      <c r="E27" s="82"/>
      <c r="F27" s="78"/>
      <c r="G27" s="231"/>
      <c r="H27" s="9"/>
      <c r="I27" s="10"/>
      <c r="J27" s="11"/>
      <c r="K27" s="12"/>
      <c r="L27" s="13"/>
      <c r="M27" s="14"/>
      <c r="N27" s="14"/>
      <c r="O27" s="15"/>
      <c r="P27" s="5"/>
      <c r="Q27" s="5"/>
      <c r="R27" s="5"/>
      <c r="S27" s="5"/>
      <c r="T27" s="5"/>
      <c r="U27" s="5"/>
    </row>
    <row r="28" spans="1:21">
      <c r="A28" s="1352"/>
      <c r="B28" s="1353"/>
      <c r="C28" s="1353"/>
      <c r="D28" s="79"/>
      <c r="E28" s="82"/>
      <c r="F28" s="83"/>
      <c r="G28" s="231"/>
      <c r="H28" s="9"/>
      <c r="I28" s="41"/>
      <c r="J28" s="41"/>
      <c r="K28" s="12"/>
      <c r="L28" s="13"/>
      <c r="M28" s="14"/>
      <c r="N28" s="14"/>
      <c r="O28" s="15"/>
      <c r="P28" s="5"/>
      <c r="Q28" s="5"/>
      <c r="R28" s="5"/>
      <c r="S28" s="5"/>
      <c r="T28" s="5"/>
      <c r="U28" s="5"/>
    </row>
    <row r="29" spans="1:21">
      <c r="A29" s="1352"/>
      <c r="B29" s="1353"/>
      <c r="C29" s="1353"/>
      <c r="D29" s="84"/>
      <c r="E29" s="84"/>
      <c r="F29" s="83"/>
      <c r="G29" s="231"/>
      <c r="H29" s="9"/>
      <c r="I29" s="42"/>
      <c r="J29" s="42"/>
      <c r="K29" s="42"/>
      <c r="L29" s="13"/>
      <c r="M29" s="14"/>
      <c r="N29" s="14"/>
      <c r="O29" s="15"/>
      <c r="P29" s="5"/>
      <c r="Q29" s="5"/>
      <c r="R29" s="5"/>
      <c r="S29" s="5"/>
      <c r="T29" s="5"/>
      <c r="U29" s="5"/>
    </row>
    <row r="30" spans="1:21">
      <c r="A30" s="1352"/>
      <c r="B30" s="1353"/>
      <c r="C30" s="1353"/>
      <c r="D30" s="85" t="s">
        <v>28</v>
      </c>
      <c r="E30" s="50"/>
      <c r="F30" s="49"/>
      <c r="G30" s="230">
        <f>SUM(G21:G29)</f>
        <v>48753</v>
      </c>
      <c r="H30" s="9"/>
      <c r="I30" s="8"/>
      <c r="J30" s="13"/>
      <c r="K30" s="8"/>
      <c r="L30" s="13"/>
      <c r="M30" s="14"/>
      <c r="N30" s="14"/>
      <c r="O30" s="15"/>
      <c r="P30" s="5"/>
    </row>
    <row r="31" spans="1:21" ht="3.75" customHeight="1">
      <c r="A31" s="226"/>
      <c r="B31" s="4"/>
      <c r="C31" s="6"/>
      <c r="D31" s="4"/>
      <c r="E31" s="4"/>
      <c r="F31" s="4"/>
      <c r="G31" s="227"/>
      <c r="H31" s="9"/>
      <c r="I31" s="8"/>
      <c r="J31" s="13"/>
      <c r="K31" s="18"/>
      <c r="L31" s="13"/>
      <c r="M31" s="33"/>
      <c r="N31" s="33"/>
      <c r="O31" s="15"/>
      <c r="P31" s="5"/>
    </row>
    <row r="32" spans="1:21" ht="22.5" customHeight="1">
      <c r="A32" s="1354" t="s">
        <v>71</v>
      </c>
      <c r="B32" s="1355"/>
      <c r="C32" s="1355"/>
      <c r="D32" s="1355"/>
      <c r="E32" s="1355"/>
      <c r="F32" s="1355"/>
      <c r="G32" s="1356"/>
      <c r="H32" s="9"/>
    </row>
    <row r="33" spans="1:16" ht="3.75" customHeight="1">
      <c r="A33" s="226"/>
      <c r="B33" s="4"/>
      <c r="C33" s="6"/>
      <c r="D33" s="4"/>
      <c r="E33" s="4"/>
      <c r="F33" s="4"/>
      <c r="G33" s="227"/>
      <c r="H33" s="9"/>
      <c r="I33" s="8"/>
      <c r="J33" s="13"/>
      <c r="K33" s="8"/>
      <c r="L33" s="8"/>
      <c r="M33" s="8"/>
      <c r="N33" s="8"/>
      <c r="O33" s="15"/>
      <c r="P33" s="5"/>
    </row>
    <row r="34" spans="1:16">
      <c r="A34" s="232" t="s">
        <v>5</v>
      </c>
      <c r="B34" s="60" t="s">
        <v>29</v>
      </c>
      <c r="C34" s="60" t="s">
        <v>30</v>
      </c>
      <c r="D34" s="60" t="s">
        <v>31</v>
      </c>
      <c r="E34" s="60" t="s">
        <v>32</v>
      </c>
      <c r="F34" s="60" t="s">
        <v>20</v>
      </c>
      <c r="G34" s="228" t="s">
        <v>33</v>
      </c>
      <c r="H34" s="27"/>
      <c r="I34" s="8"/>
      <c r="J34" s="13"/>
      <c r="K34" s="8"/>
      <c r="L34" s="8"/>
      <c r="M34" s="8"/>
      <c r="N34" s="8"/>
      <c r="O34" s="15"/>
      <c r="P34" s="5"/>
    </row>
    <row r="35" spans="1:16">
      <c r="A35" s="233" t="s">
        <v>41</v>
      </c>
      <c r="B35" s="63">
        <f>BOF</f>
        <v>51749</v>
      </c>
      <c r="C35" s="68">
        <f>ffpp</f>
        <v>0.64539999999999997</v>
      </c>
      <c r="D35" s="72">
        <v>1</v>
      </c>
      <c r="E35" s="66">
        <f>OF</f>
        <v>88696</v>
      </c>
      <c r="F35" s="65">
        <v>5</v>
      </c>
      <c r="G35" s="231">
        <f>ROUND(+D35*E35/F35,0)</f>
        <v>17739</v>
      </c>
      <c r="H35" s="9"/>
      <c r="I35" s="16"/>
      <c r="J35" s="13"/>
      <c r="K35" s="8"/>
      <c r="L35" s="8"/>
      <c r="M35" s="8"/>
      <c r="N35" s="8"/>
      <c r="O35" s="15"/>
      <c r="P35" s="5"/>
    </row>
    <row r="36" spans="1:16">
      <c r="A36" s="233" t="s">
        <v>38</v>
      </c>
      <c r="B36" s="63">
        <f>BOB</f>
        <v>41749</v>
      </c>
      <c r="C36" s="68">
        <f>ffpp</f>
        <v>0.64539999999999997</v>
      </c>
      <c r="D36" s="72">
        <v>3</v>
      </c>
      <c r="E36" s="66">
        <f>OB</f>
        <v>72242</v>
      </c>
      <c r="F36" s="65">
        <f>F35</f>
        <v>5</v>
      </c>
      <c r="G36" s="231">
        <f>ROUND(+D36*E36/F36,0)</f>
        <v>43345</v>
      </c>
      <c r="H36" s="9"/>
      <c r="I36" s="8"/>
      <c r="J36" s="8"/>
      <c r="K36" s="13"/>
      <c r="L36" s="13"/>
      <c r="M36" s="13"/>
      <c r="N36" s="13"/>
      <c r="O36" s="13"/>
      <c r="P36" s="5"/>
    </row>
    <row r="37" spans="1:16">
      <c r="A37" s="234"/>
      <c r="B37" s="50"/>
      <c r="C37" s="961"/>
      <c r="D37" s="50"/>
      <c r="E37" s="66"/>
      <c r="F37" s="65"/>
      <c r="G37" s="231"/>
      <c r="H37" s="9"/>
      <c r="I37" s="8"/>
      <c r="J37" s="13"/>
      <c r="K37" s="13"/>
      <c r="L37" s="13"/>
      <c r="M37" s="33"/>
      <c r="N37" s="33"/>
      <c r="O37" s="43"/>
      <c r="P37" s="5"/>
    </row>
    <row r="38" spans="1:16">
      <c r="A38" s="233"/>
      <c r="B38" s="65"/>
      <c r="C38" s="68"/>
      <c r="D38" s="65"/>
      <c r="E38" s="69"/>
      <c r="F38" s="69"/>
      <c r="G38" s="236"/>
      <c r="H38" s="9"/>
      <c r="I38" s="8"/>
      <c r="J38" s="13"/>
      <c r="K38" s="13"/>
      <c r="L38" s="13"/>
      <c r="M38" s="33"/>
      <c r="N38" s="33"/>
      <c r="O38" s="43"/>
      <c r="P38" s="5"/>
    </row>
    <row r="39" spans="1:16">
      <c r="A39" s="249"/>
      <c r="B39" s="71"/>
      <c r="C39" s="71"/>
      <c r="D39" s="71" t="s">
        <v>34</v>
      </c>
      <c r="E39" s="71"/>
      <c r="F39" s="71"/>
      <c r="G39" s="250">
        <f>SUM(G35:G38)</f>
        <v>61084</v>
      </c>
      <c r="H39" s="9"/>
      <c r="I39" s="8"/>
      <c r="J39" s="13"/>
      <c r="K39" s="13"/>
      <c r="L39" s="13"/>
      <c r="M39" s="14"/>
      <c r="N39" s="14"/>
      <c r="O39" s="15"/>
      <c r="P39" s="5"/>
    </row>
    <row r="40" spans="1:16">
      <c r="A40" s="226"/>
      <c r="B40" s="4"/>
      <c r="C40" s="6"/>
      <c r="D40" s="4"/>
      <c r="E40" s="4"/>
      <c r="F40" s="4"/>
      <c r="G40" s="227"/>
      <c r="H40" s="9"/>
      <c r="I40" s="8"/>
      <c r="J40" s="13"/>
      <c r="K40" s="13"/>
      <c r="L40" s="13"/>
      <c r="M40" s="14"/>
      <c r="N40" s="14"/>
      <c r="O40" s="19"/>
      <c r="P40" s="5"/>
    </row>
    <row r="41" spans="1:16">
      <c r="A41" s="226"/>
      <c r="B41" s="4"/>
      <c r="C41" s="6"/>
      <c r="D41" s="4"/>
      <c r="E41" s="4"/>
      <c r="F41" s="4"/>
      <c r="G41" s="227"/>
      <c r="H41" s="9"/>
      <c r="I41" s="8"/>
      <c r="J41" s="13"/>
      <c r="K41" s="13"/>
      <c r="L41" s="13"/>
      <c r="M41" s="17"/>
      <c r="N41" s="17"/>
      <c r="O41" s="37"/>
      <c r="P41" s="5"/>
    </row>
    <row r="42" spans="1:16" ht="14.25">
      <c r="A42" s="226"/>
      <c r="B42" s="4"/>
      <c r="C42" s="6"/>
      <c r="D42" s="1357" t="s">
        <v>35</v>
      </c>
      <c r="E42" s="1358"/>
      <c r="F42" s="1359"/>
      <c r="G42" s="239">
        <f>+G39+G30+G16</f>
        <v>115945</v>
      </c>
      <c r="H42" s="9"/>
      <c r="I42" s="48"/>
      <c r="J42" s="20"/>
      <c r="K42" s="8"/>
      <c r="L42" s="8"/>
      <c r="M42" s="8"/>
      <c r="N42" s="8"/>
      <c r="O42" s="8"/>
      <c r="P42" s="5"/>
    </row>
    <row r="43" spans="1:16" ht="14.25">
      <c r="A43" s="240"/>
      <c r="B43" s="57"/>
      <c r="C43" s="58"/>
      <c r="D43" s="99"/>
      <c r="E43" s="99"/>
      <c r="F43" s="99"/>
      <c r="G43" s="251"/>
      <c r="H43" s="9"/>
      <c r="I43" s="48"/>
      <c r="J43" s="20"/>
      <c r="K43" s="8"/>
      <c r="L43" s="8"/>
      <c r="M43" s="8"/>
      <c r="N43" s="8"/>
      <c r="O43" s="8"/>
      <c r="P43" s="5"/>
    </row>
    <row r="44" spans="1:16" ht="14.25">
      <c r="A44" s="374"/>
      <c r="B44" s="375"/>
      <c r="C44" s="375"/>
      <c r="D44" s="99"/>
      <c r="E44" s="99"/>
      <c r="F44" s="99"/>
      <c r="G44" s="251"/>
      <c r="H44" s="9"/>
      <c r="I44" s="48"/>
      <c r="J44" s="20"/>
      <c r="K44" s="8"/>
      <c r="L44" s="8"/>
      <c r="M44" s="8"/>
      <c r="N44" s="8"/>
      <c r="O44" s="8"/>
      <c r="P44" s="5"/>
    </row>
    <row r="45" spans="1:16" ht="14.25">
      <c r="A45" s="373"/>
      <c r="B45" s="376"/>
      <c r="C45" s="376"/>
      <c r="D45" s="99"/>
      <c r="E45" s="99"/>
      <c r="F45" s="99"/>
      <c r="G45" s="251"/>
      <c r="H45" s="9"/>
      <c r="I45" s="48"/>
      <c r="J45" s="20"/>
      <c r="K45" s="8"/>
      <c r="L45" s="8"/>
      <c r="M45" s="8"/>
      <c r="N45" s="8"/>
      <c r="O45" s="8"/>
      <c r="P45" s="5"/>
    </row>
    <row r="46" spans="1:16" ht="14.25">
      <c r="A46" s="373"/>
      <c r="B46" s="376"/>
      <c r="C46" s="376"/>
      <c r="D46" s="44"/>
      <c r="E46" s="45"/>
      <c r="F46" s="45"/>
      <c r="G46" s="251"/>
      <c r="H46" s="9"/>
      <c r="I46" s="8"/>
      <c r="J46" s="13"/>
      <c r="K46" s="8"/>
      <c r="L46" s="8"/>
      <c r="M46" s="8"/>
      <c r="N46" s="8"/>
      <c r="O46" s="8"/>
      <c r="P46" s="5"/>
    </row>
    <row r="47" spans="1:16" ht="15" thickBot="1">
      <c r="A47" s="242"/>
      <c r="B47" s="243"/>
      <c r="C47" s="244"/>
      <c r="D47" s="245"/>
      <c r="E47" s="246"/>
      <c r="F47" s="246"/>
      <c r="G47" s="247"/>
      <c r="H47" s="9"/>
      <c r="I47" s="8"/>
      <c r="J47" s="13"/>
      <c r="K47" s="8"/>
      <c r="L47" s="8"/>
      <c r="M47" s="8"/>
      <c r="N47" s="8"/>
      <c r="O47" s="8"/>
      <c r="P47" s="5"/>
    </row>
    <row r="48" spans="1:16">
      <c r="I48" s="5"/>
      <c r="J48" s="5"/>
      <c r="K48" s="5"/>
      <c r="L48" s="5"/>
      <c r="M48" s="5"/>
      <c r="N48" s="5"/>
      <c r="O48" s="5"/>
      <c r="P48" s="5"/>
    </row>
    <row r="49" spans="9:16">
      <c r="I49" s="5"/>
      <c r="J49" s="5"/>
      <c r="K49" s="5"/>
      <c r="L49" s="5"/>
      <c r="M49" s="5"/>
      <c r="N49" s="5"/>
      <c r="O49" s="5"/>
      <c r="P49" s="5"/>
    </row>
  </sheetData>
  <mergeCells count="26">
    <mergeCell ref="A10:C10"/>
    <mergeCell ref="A1:G1"/>
    <mergeCell ref="A2:G2"/>
    <mergeCell ref="A3:G4"/>
    <mergeCell ref="B6:E6"/>
    <mergeCell ref="A8:G8"/>
    <mergeCell ref="A24:C24"/>
    <mergeCell ref="A11:C11"/>
    <mergeCell ref="A12:C12"/>
    <mergeCell ref="A13:C13"/>
    <mergeCell ref="A14:C14"/>
    <mergeCell ref="A15:C15"/>
    <mergeCell ref="A16:C16"/>
    <mergeCell ref="A18:G18"/>
    <mergeCell ref="A20:C20"/>
    <mergeCell ref="A21:C21"/>
    <mergeCell ref="A22:C22"/>
    <mergeCell ref="A23:C23"/>
    <mergeCell ref="A32:G32"/>
    <mergeCell ref="D42:F42"/>
    <mergeCell ref="A25:C25"/>
    <mergeCell ref="A26:C26"/>
    <mergeCell ref="A27:C27"/>
    <mergeCell ref="A28:C28"/>
    <mergeCell ref="A29:C29"/>
    <mergeCell ref="A30:C30"/>
  </mergeCells>
  <printOptions horizontalCentered="1" verticalCentered="1"/>
  <pageMargins left="0.74803149606299213" right="0.74803149606299213" top="0" bottom="0.98425196850393704" header="0" footer="0"/>
  <pageSetup scale="90" orientation="portrait" r:id="rId1"/>
  <headerFooter alignWithMargins="0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72"/>
  <dimension ref="A1:U49"/>
  <sheetViews>
    <sheetView view="pageBreakPreview" topLeftCell="A11" zoomScaleNormal="100" zoomScaleSheetLayoutView="100" workbookViewId="0">
      <selection activeCell="F21" sqref="F21"/>
    </sheetView>
  </sheetViews>
  <sheetFormatPr baseColWidth="10" defaultColWidth="10.7109375" defaultRowHeight="12.75"/>
  <cols>
    <col min="1" max="1" width="15.85546875" style="3" customWidth="1"/>
    <col min="2" max="2" width="14.85546875" style="3" customWidth="1"/>
    <col min="3" max="3" width="13.28515625" style="3" customWidth="1"/>
    <col min="4" max="4" width="11.42578125" style="3"/>
    <col min="5" max="5" width="13.42578125" style="3" customWidth="1"/>
    <col min="6" max="6" width="12.7109375" style="3" customWidth="1"/>
    <col min="7" max="7" width="14" style="3" customWidth="1"/>
    <col min="8" max="8" width="7.42578125" style="3" customWidth="1"/>
    <col min="9" max="256" width="11.42578125" style="3"/>
    <col min="257" max="257" width="15.85546875" style="3" customWidth="1"/>
    <col min="258" max="258" width="14.85546875" style="3" customWidth="1"/>
    <col min="259" max="259" width="13.28515625" style="3" customWidth="1"/>
    <col min="260" max="260" width="11.42578125" style="3"/>
    <col min="261" max="261" width="13.42578125" style="3" customWidth="1"/>
    <col min="262" max="262" width="12.7109375" style="3" customWidth="1"/>
    <col min="263" max="263" width="14" style="3" customWidth="1"/>
    <col min="264" max="264" width="7.42578125" style="3" customWidth="1"/>
    <col min="265" max="512" width="11.42578125" style="3"/>
    <col min="513" max="513" width="15.85546875" style="3" customWidth="1"/>
    <col min="514" max="514" width="14.85546875" style="3" customWidth="1"/>
    <col min="515" max="515" width="13.28515625" style="3" customWidth="1"/>
    <col min="516" max="516" width="11.42578125" style="3"/>
    <col min="517" max="517" width="13.42578125" style="3" customWidth="1"/>
    <col min="518" max="518" width="12.7109375" style="3" customWidth="1"/>
    <col min="519" max="519" width="14" style="3" customWidth="1"/>
    <col min="520" max="520" width="7.42578125" style="3" customWidth="1"/>
    <col min="521" max="768" width="11.42578125" style="3"/>
    <col min="769" max="769" width="15.85546875" style="3" customWidth="1"/>
    <col min="770" max="770" width="14.85546875" style="3" customWidth="1"/>
    <col min="771" max="771" width="13.28515625" style="3" customWidth="1"/>
    <col min="772" max="772" width="11.42578125" style="3"/>
    <col min="773" max="773" width="13.42578125" style="3" customWidth="1"/>
    <col min="774" max="774" width="12.7109375" style="3" customWidth="1"/>
    <col min="775" max="775" width="14" style="3" customWidth="1"/>
    <col min="776" max="776" width="7.42578125" style="3" customWidth="1"/>
    <col min="777" max="1024" width="11.42578125" style="3"/>
    <col min="1025" max="1025" width="15.85546875" style="3" customWidth="1"/>
    <col min="1026" max="1026" width="14.85546875" style="3" customWidth="1"/>
    <col min="1027" max="1027" width="13.28515625" style="3" customWidth="1"/>
    <col min="1028" max="1028" width="11.42578125" style="3"/>
    <col min="1029" max="1029" width="13.42578125" style="3" customWidth="1"/>
    <col min="1030" max="1030" width="12.7109375" style="3" customWidth="1"/>
    <col min="1031" max="1031" width="14" style="3" customWidth="1"/>
    <col min="1032" max="1032" width="7.42578125" style="3" customWidth="1"/>
    <col min="1033" max="1280" width="11.42578125" style="3"/>
    <col min="1281" max="1281" width="15.85546875" style="3" customWidth="1"/>
    <col min="1282" max="1282" width="14.85546875" style="3" customWidth="1"/>
    <col min="1283" max="1283" width="13.28515625" style="3" customWidth="1"/>
    <col min="1284" max="1284" width="11.42578125" style="3"/>
    <col min="1285" max="1285" width="13.42578125" style="3" customWidth="1"/>
    <col min="1286" max="1286" width="12.7109375" style="3" customWidth="1"/>
    <col min="1287" max="1287" width="14" style="3" customWidth="1"/>
    <col min="1288" max="1288" width="7.42578125" style="3" customWidth="1"/>
    <col min="1289" max="1536" width="11.42578125" style="3"/>
    <col min="1537" max="1537" width="15.85546875" style="3" customWidth="1"/>
    <col min="1538" max="1538" width="14.85546875" style="3" customWidth="1"/>
    <col min="1539" max="1539" width="13.28515625" style="3" customWidth="1"/>
    <col min="1540" max="1540" width="11.42578125" style="3"/>
    <col min="1541" max="1541" width="13.42578125" style="3" customWidth="1"/>
    <col min="1542" max="1542" width="12.7109375" style="3" customWidth="1"/>
    <col min="1543" max="1543" width="14" style="3" customWidth="1"/>
    <col min="1544" max="1544" width="7.42578125" style="3" customWidth="1"/>
    <col min="1545" max="1792" width="11.42578125" style="3"/>
    <col min="1793" max="1793" width="15.85546875" style="3" customWidth="1"/>
    <col min="1794" max="1794" width="14.85546875" style="3" customWidth="1"/>
    <col min="1795" max="1795" width="13.28515625" style="3" customWidth="1"/>
    <col min="1796" max="1796" width="11.42578125" style="3"/>
    <col min="1797" max="1797" width="13.42578125" style="3" customWidth="1"/>
    <col min="1798" max="1798" width="12.7109375" style="3" customWidth="1"/>
    <col min="1799" max="1799" width="14" style="3" customWidth="1"/>
    <col min="1800" max="1800" width="7.42578125" style="3" customWidth="1"/>
    <col min="1801" max="2048" width="11.42578125" style="3"/>
    <col min="2049" max="2049" width="15.85546875" style="3" customWidth="1"/>
    <col min="2050" max="2050" width="14.85546875" style="3" customWidth="1"/>
    <col min="2051" max="2051" width="13.28515625" style="3" customWidth="1"/>
    <col min="2052" max="2052" width="11.42578125" style="3"/>
    <col min="2053" max="2053" width="13.42578125" style="3" customWidth="1"/>
    <col min="2054" max="2054" width="12.7109375" style="3" customWidth="1"/>
    <col min="2055" max="2055" width="14" style="3" customWidth="1"/>
    <col min="2056" max="2056" width="7.42578125" style="3" customWidth="1"/>
    <col min="2057" max="2304" width="11.42578125" style="3"/>
    <col min="2305" max="2305" width="15.85546875" style="3" customWidth="1"/>
    <col min="2306" max="2306" width="14.85546875" style="3" customWidth="1"/>
    <col min="2307" max="2307" width="13.28515625" style="3" customWidth="1"/>
    <col min="2308" max="2308" width="11.42578125" style="3"/>
    <col min="2309" max="2309" width="13.42578125" style="3" customWidth="1"/>
    <col min="2310" max="2310" width="12.7109375" style="3" customWidth="1"/>
    <col min="2311" max="2311" width="14" style="3" customWidth="1"/>
    <col min="2312" max="2312" width="7.42578125" style="3" customWidth="1"/>
    <col min="2313" max="2560" width="11.42578125" style="3"/>
    <col min="2561" max="2561" width="15.85546875" style="3" customWidth="1"/>
    <col min="2562" max="2562" width="14.85546875" style="3" customWidth="1"/>
    <col min="2563" max="2563" width="13.28515625" style="3" customWidth="1"/>
    <col min="2564" max="2564" width="11.42578125" style="3"/>
    <col min="2565" max="2565" width="13.42578125" style="3" customWidth="1"/>
    <col min="2566" max="2566" width="12.7109375" style="3" customWidth="1"/>
    <col min="2567" max="2567" width="14" style="3" customWidth="1"/>
    <col min="2568" max="2568" width="7.42578125" style="3" customWidth="1"/>
    <col min="2569" max="2816" width="11.42578125" style="3"/>
    <col min="2817" max="2817" width="15.85546875" style="3" customWidth="1"/>
    <col min="2818" max="2818" width="14.85546875" style="3" customWidth="1"/>
    <col min="2819" max="2819" width="13.28515625" style="3" customWidth="1"/>
    <col min="2820" max="2820" width="11.42578125" style="3"/>
    <col min="2821" max="2821" width="13.42578125" style="3" customWidth="1"/>
    <col min="2822" max="2822" width="12.7109375" style="3" customWidth="1"/>
    <col min="2823" max="2823" width="14" style="3" customWidth="1"/>
    <col min="2824" max="2824" width="7.42578125" style="3" customWidth="1"/>
    <col min="2825" max="3072" width="11.42578125" style="3"/>
    <col min="3073" max="3073" width="15.85546875" style="3" customWidth="1"/>
    <col min="3074" max="3074" width="14.85546875" style="3" customWidth="1"/>
    <col min="3075" max="3075" width="13.28515625" style="3" customWidth="1"/>
    <col min="3076" max="3076" width="11.42578125" style="3"/>
    <col min="3077" max="3077" width="13.42578125" style="3" customWidth="1"/>
    <col min="3078" max="3078" width="12.7109375" style="3" customWidth="1"/>
    <col min="3079" max="3079" width="14" style="3" customWidth="1"/>
    <col min="3080" max="3080" width="7.42578125" style="3" customWidth="1"/>
    <col min="3081" max="3328" width="11.42578125" style="3"/>
    <col min="3329" max="3329" width="15.85546875" style="3" customWidth="1"/>
    <col min="3330" max="3330" width="14.85546875" style="3" customWidth="1"/>
    <col min="3331" max="3331" width="13.28515625" style="3" customWidth="1"/>
    <col min="3332" max="3332" width="11.42578125" style="3"/>
    <col min="3333" max="3333" width="13.42578125" style="3" customWidth="1"/>
    <col min="3334" max="3334" width="12.7109375" style="3" customWidth="1"/>
    <col min="3335" max="3335" width="14" style="3" customWidth="1"/>
    <col min="3336" max="3336" width="7.42578125" style="3" customWidth="1"/>
    <col min="3337" max="3584" width="11.42578125" style="3"/>
    <col min="3585" max="3585" width="15.85546875" style="3" customWidth="1"/>
    <col min="3586" max="3586" width="14.85546875" style="3" customWidth="1"/>
    <col min="3587" max="3587" width="13.28515625" style="3" customWidth="1"/>
    <col min="3588" max="3588" width="11.42578125" style="3"/>
    <col min="3589" max="3589" width="13.42578125" style="3" customWidth="1"/>
    <col min="3590" max="3590" width="12.7109375" style="3" customWidth="1"/>
    <col min="3591" max="3591" width="14" style="3" customWidth="1"/>
    <col min="3592" max="3592" width="7.42578125" style="3" customWidth="1"/>
    <col min="3593" max="3840" width="11.42578125" style="3"/>
    <col min="3841" max="3841" width="15.85546875" style="3" customWidth="1"/>
    <col min="3842" max="3842" width="14.85546875" style="3" customWidth="1"/>
    <col min="3843" max="3843" width="13.28515625" style="3" customWidth="1"/>
    <col min="3844" max="3844" width="11.42578125" style="3"/>
    <col min="3845" max="3845" width="13.42578125" style="3" customWidth="1"/>
    <col min="3846" max="3846" width="12.7109375" style="3" customWidth="1"/>
    <col min="3847" max="3847" width="14" style="3" customWidth="1"/>
    <col min="3848" max="3848" width="7.42578125" style="3" customWidth="1"/>
    <col min="3849" max="4096" width="11.42578125" style="3"/>
    <col min="4097" max="4097" width="15.85546875" style="3" customWidth="1"/>
    <col min="4098" max="4098" width="14.85546875" style="3" customWidth="1"/>
    <col min="4099" max="4099" width="13.28515625" style="3" customWidth="1"/>
    <col min="4100" max="4100" width="11.42578125" style="3"/>
    <col min="4101" max="4101" width="13.42578125" style="3" customWidth="1"/>
    <col min="4102" max="4102" width="12.7109375" style="3" customWidth="1"/>
    <col min="4103" max="4103" width="14" style="3" customWidth="1"/>
    <col min="4104" max="4104" width="7.42578125" style="3" customWidth="1"/>
    <col min="4105" max="4352" width="11.42578125" style="3"/>
    <col min="4353" max="4353" width="15.85546875" style="3" customWidth="1"/>
    <col min="4354" max="4354" width="14.85546875" style="3" customWidth="1"/>
    <col min="4355" max="4355" width="13.28515625" style="3" customWidth="1"/>
    <col min="4356" max="4356" width="11.42578125" style="3"/>
    <col min="4357" max="4357" width="13.42578125" style="3" customWidth="1"/>
    <col min="4358" max="4358" width="12.7109375" style="3" customWidth="1"/>
    <col min="4359" max="4359" width="14" style="3" customWidth="1"/>
    <col min="4360" max="4360" width="7.42578125" style="3" customWidth="1"/>
    <col min="4361" max="4608" width="11.42578125" style="3"/>
    <col min="4609" max="4609" width="15.85546875" style="3" customWidth="1"/>
    <col min="4610" max="4610" width="14.85546875" style="3" customWidth="1"/>
    <col min="4611" max="4611" width="13.28515625" style="3" customWidth="1"/>
    <col min="4612" max="4612" width="11.42578125" style="3"/>
    <col min="4613" max="4613" width="13.42578125" style="3" customWidth="1"/>
    <col min="4614" max="4614" width="12.7109375" style="3" customWidth="1"/>
    <col min="4615" max="4615" width="14" style="3" customWidth="1"/>
    <col min="4616" max="4616" width="7.42578125" style="3" customWidth="1"/>
    <col min="4617" max="4864" width="11.42578125" style="3"/>
    <col min="4865" max="4865" width="15.85546875" style="3" customWidth="1"/>
    <col min="4866" max="4866" width="14.85546875" style="3" customWidth="1"/>
    <col min="4867" max="4867" width="13.28515625" style="3" customWidth="1"/>
    <col min="4868" max="4868" width="11.42578125" style="3"/>
    <col min="4869" max="4869" width="13.42578125" style="3" customWidth="1"/>
    <col min="4870" max="4870" width="12.7109375" style="3" customWidth="1"/>
    <col min="4871" max="4871" width="14" style="3" customWidth="1"/>
    <col min="4872" max="4872" width="7.42578125" style="3" customWidth="1"/>
    <col min="4873" max="5120" width="11.42578125" style="3"/>
    <col min="5121" max="5121" width="15.85546875" style="3" customWidth="1"/>
    <col min="5122" max="5122" width="14.85546875" style="3" customWidth="1"/>
    <col min="5123" max="5123" width="13.28515625" style="3" customWidth="1"/>
    <col min="5124" max="5124" width="11.42578125" style="3"/>
    <col min="5125" max="5125" width="13.42578125" style="3" customWidth="1"/>
    <col min="5126" max="5126" width="12.7109375" style="3" customWidth="1"/>
    <col min="5127" max="5127" width="14" style="3" customWidth="1"/>
    <col min="5128" max="5128" width="7.42578125" style="3" customWidth="1"/>
    <col min="5129" max="5376" width="11.42578125" style="3"/>
    <col min="5377" max="5377" width="15.85546875" style="3" customWidth="1"/>
    <col min="5378" max="5378" width="14.85546875" style="3" customWidth="1"/>
    <col min="5379" max="5379" width="13.28515625" style="3" customWidth="1"/>
    <col min="5380" max="5380" width="11.42578125" style="3"/>
    <col min="5381" max="5381" width="13.42578125" style="3" customWidth="1"/>
    <col min="5382" max="5382" width="12.7109375" style="3" customWidth="1"/>
    <col min="5383" max="5383" width="14" style="3" customWidth="1"/>
    <col min="5384" max="5384" width="7.42578125" style="3" customWidth="1"/>
    <col min="5385" max="5632" width="11.42578125" style="3"/>
    <col min="5633" max="5633" width="15.85546875" style="3" customWidth="1"/>
    <col min="5634" max="5634" width="14.85546875" style="3" customWidth="1"/>
    <col min="5635" max="5635" width="13.28515625" style="3" customWidth="1"/>
    <col min="5636" max="5636" width="11.42578125" style="3"/>
    <col min="5637" max="5637" width="13.42578125" style="3" customWidth="1"/>
    <col min="5638" max="5638" width="12.7109375" style="3" customWidth="1"/>
    <col min="5639" max="5639" width="14" style="3" customWidth="1"/>
    <col min="5640" max="5640" width="7.42578125" style="3" customWidth="1"/>
    <col min="5641" max="5888" width="11.42578125" style="3"/>
    <col min="5889" max="5889" width="15.85546875" style="3" customWidth="1"/>
    <col min="5890" max="5890" width="14.85546875" style="3" customWidth="1"/>
    <col min="5891" max="5891" width="13.28515625" style="3" customWidth="1"/>
    <col min="5892" max="5892" width="11.42578125" style="3"/>
    <col min="5893" max="5893" width="13.42578125" style="3" customWidth="1"/>
    <col min="5894" max="5894" width="12.7109375" style="3" customWidth="1"/>
    <col min="5895" max="5895" width="14" style="3" customWidth="1"/>
    <col min="5896" max="5896" width="7.42578125" style="3" customWidth="1"/>
    <col min="5897" max="6144" width="11.42578125" style="3"/>
    <col min="6145" max="6145" width="15.85546875" style="3" customWidth="1"/>
    <col min="6146" max="6146" width="14.85546875" style="3" customWidth="1"/>
    <col min="6147" max="6147" width="13.28515625" style="3" customWidth="1"/>
    <col min="6148" max="6148" width="11.42578125" style="3"/>
    <col min="6149" max="6149" width="13.42578125" style="3" customWidth="1"/>
    <col min="6150" max="6150" width="12.7109375" style="3" customWidth="1"/>
    <col min="6151" max="6151" width="14" style="3" customWidth="1"/>
    <col min="6152" max="6152" width="7.42578125" style="3" customWidth="1"/>
    <col min="6153" max="6400" width="11.42578125" style="3"/>
    <col min="6401" max="6401" width="15.85546875" style="3" customWidth="1"/>
    <col min="6402" max="6402" width="14.85546875" style="3" customWidth="1"/>
    <col min="6403" max="6403" width="13.28515625" style="3" customWidth="1"/>
    <col min="6404" max="6404" width="11.42578125" style="3"/>
    <col min="6405" max="6405" width="13.42578125" style="3" customWidth="1"/>
    <col min="6406" max="6406" width="12.7109375" style="3" customWidth="1"/>
    <col min="6407" max="6407" width="14" style="3" customWidth="1"/>
    <col min="6408" max="6408" width="7.42578125" style="3" customWidth="1"/>
    <col min="6409" max="6656" width="11.42578125" style="3"/>
    <col min="6657" max="6657" width="15.85546875" style="3" customWidth="1"/>
    <col min="6658" max="6658" width="14.85546875" style="3" customWidth="1"/>
    <col min="6659" max="6659" width="13.28515625" style="3" customWidth="1"/>
    <col min="6660" max="6660" width="11.42578125" style="3"/>
    <col min="6661" max="6661" width="13.42578125" style="3" customWidth="1"/>
    <col min="6662" max="6662" width="12.7109375" style="3" customWidth="1"/>
    <col min="6663" max="6663" width="14" style="3" customWidth="1"/>
    <col min="6664" max="6664" width="7.42578125" style="3" customWidth="1"/>
    <col min="6665" max="6912" width="11.42578125" style="3"/>
    <col min="6913" max="6913" width="15.85546875" style="3" customWidth="1"/>
    <col min="6914" max="6914" width="14.85546875" style="3" customWidth="1"/>
    <col min="6915" max="6915" width="13.28515625" style="3" customWidth="1"/>
    <col min="6916" max="6916" width="11.42578125" style="3"/>
    <col min="6917" max="6917" width="13.42578125" style="3" customWidth="1"/>
    <col min="6918" max="6918" width="12.7109375" style="3" customWidth="1"/>
    <col min="6919" max="6919" width="14" style="3" customWidth="1"/>
    <col min="6920" max="6920" width="7.42578125" style="3" customWidth="1"/>
    <col min="6921" max="7168" width="11.42578125" style="3"/>
    <col min="7169" max="7169" width="15.85546875" style="3" customWidth="1"/>
    <col min="7170" max="7170" width="14.85546875" style="3" customWidth="1"/>
    <col min="7171" max="7171" width="13.28515625" style="3" customWidth="1"/>
    <col min="7172" max="7172" width="11.42578125" style="3"/>
    <col min="7173" max="7173" width="13.42578125" style="3" customWidth="1"/>
    <col min="7174" max="7174" width="12.7109375" style="3" customWidth="1"/>
    <col min="7175" max="7175" width="14" style="3" customWidth="1"/>
    <col min="7176" max="7176" width="7.42578125" style="3" customWidth="1"/>
    <col min="7177" max="7424" width="11.42578125" style="3"/>
    <col min="7425" max="7425" width="15.85546875" style="3" customWidth="1"/>
    <col min="7426" max="7426" width="14.85546875" style="3" customWidth="1"/>
    <col min="7427" max="7427" width="13.28515625" style="3" customWidth="1"/>
    <col min="7428" max="7428" width="11.42578125" style="3"/>
    <col min="7429" max="7429" width="13.42578125" style="3" customWidth="1"/>
    <col min="7430" max="7430" width="12.7109375" style="3" customWidth="1"/>
    <col min="7431" max="7431" width="14" style="3" customWidth="1"/>
    <col min="7432" max="7432" width="7.42578125" style="3" customWidth="1"/>
    <col min="7433" max="7680" width="11.42578125" style="3"/>
    <col min="7681" max="7681" width="15.85546875" style="3" customWidth="1"/>
    <col min="7682" max="7682" width="14.85546875" style="3" customWidth="1"/>
    <col min="7683" max="7683" width="13.28515625" style="3" customWidth="1"/>
    <col min="7684" max="7684" width="11.42578125" style="3"/>
    <col min="7685" max="7685" width="13.42578125" style="3" customWidth="1"/>
    <col min="7686" max="7686" width="12.7109375" style="3" customWidth="1"/>
    <col min="7687" max="7687" width="14" style="3" customWidth="1"/>
    <col min="7688" max="7688" width="7.42578125" style="3" customWidth="1"/>
    <col min="7689" max="7936" width="11.42578125" style="3"/>
    <col min="7937" max="7937" width="15.85546875" style="3" customWidth="1"/>
    <col min="7938" max="7938" width="14.85546875" style="3" customWidth="1"/>
    <col min="7939" max="7939" width="13.28515625" style="3" customWidth="1"/>
    <col min="7940" max="7940" width="11.42578125" style="3"/>
    <col min="7941" max="7941" width="13.42578125" style="3" customWidth="1"/>
    <col min="7942" max="7942" width="12.7109375" style="3" customWidth="1"/>
    <col min="7943" max="7943" width="14" style="3" customWidth="1"/>
    <col min="7944" max="7944" width="7.42578125" style="3" customWidth="1"/>
    <col min="7945" max="8192" width="11.42578125" style="3"/>
    <col min="8193" max="8193" width="15.85546875" style="3" customWidth="1"/>
    <col min="8194" max="8194" width="14.85546875" style="3" customWidth="1"/>
    <col min="8195" max="8195" width="13.28515625" style="3" customWidth="1"/>
    <col min="8196" max="8196" width="11.42578125" style="3"/>
    <col min="8197" max="8197" width="13.42578125" style="3" customWidth="1"/>
    <col min="8198" max="8198" width="12.7109375" style="3" customWidth="1"/>
    <col min="8199" max="8199" width="14" style="3" customWidth="1"/>
    <col min="8200" max="8200" width="7.42578125" style="3" customWidth="1"/>
    <col min="8201" max="8448" width="11.42578125" style="3"/>
    <col min="8449" max="8449" width="15.85546875" style="3" customWidth="1"/>
    <col min="8450" max="8450" width="14.85546875" style="3" customWidth="1"/>
    <col min="8451" max="8451" width="13.28515625" style="3" customWidth="1"/>
    <col min="8452" max="8452" width="11.42578125" style="3"/>
    <col min="8453" max="8453" width="13.42578125" style="3" customWidth="1"/>
    <col min="8454" max="8454" width="12.7109375" style="3" customWidth="1"/>
    <col min="8455" max="8455" width="14" style="3" customWidth="1"/>
    <col min="8456" max="8456" width="7.42578125" style="3" customWidth="1"/>
    <col min="8457" max="8704" width="11.42578125" style="3"/>
    <col min="8705" max="8705" width="15.85546875" style="3" customWidth="1"/>
    <col min="8706" max="8706" width="14.85546875" style="3" customWidth="1"/>
    <col min="8707" max="8707" width="13.28515625" style="3" customWidth="1"/>
    <col min="8708" max="8708" width="11.42578125" style="3"/>
    <col min="8709" max="8709" width="13.42578125" style="3" customWidth="1"/>
    <col min="8710" max="8710" width="12.7109375" style="3" customWidth="1"/>
    <col min="8711" max="8711" width="14" style="3" customWidth="1"/>
    <col min="8712" max="8712" width="7.42578125" style="3" customWidth="1"/>
    <col min="8713" max="8960" width="11.42578125" style="3"/>
    <col min="8961" max="8961" width="15.85546875" style="3" customWidth="1"/>
    <col min="8962" max="8962" width="14.85546875" style="3" customWidth="1"/>
    <col min="8963" max="8963" width="13.28515625" style="3" customWidth="1"/>
    <col min="8964" max="8964" width="11.42578125" style="3"/>
    <col min="8965" max="8965" width="13.42578125" style="3" customWidth="1"/>
    <col min="8966" max="8966" width="12.7109375" style="3" customWidth="1"/>
    <col min="8967" max="8967" width="14" style="3" customWidth="1"/>
    <col min="8968" max="8968" width="7.42578125" style="3" customWidth="1"/>
    <col min="8969" max="9216" width="11.42578125" style="3"/>
    <col min="9217" max="9217" width="15.85546875" style="3" customWidth="1"/>
    <col min="9218" max="9218" width="14.85546875" style="3" customWidth="1"/>
    <col min="9219" max="9219" width="13.28515625" style="3" customWidth="1"/>
    <col min="9220" max="9220" width="11.42578125" style="3"/>
    <col min="9221" max="9221" width="13.42578125" style="3" customWidth="1"/>
    <col min="9222" max="9222" width="12.7109375" style="3" customWidth="1"/>
    <col min="9223" max="9223" width="14" style="3" customWidth="1"/>
    <col min="9224" max="9224" width="7.42578125" style="3" customWidth="1"/>
    <col min="9225" max="9472" width="11.42578125" style="3"/>
    <col min="9473" max="9473" width="15.85546875" style="3" customWidth="1"/>
    <col min="9474" max="9474" width="14.85546875" style="3" customWidth="1"/>
    <col min="9475" max="9475" width="13.28515625" style="3" customWidth="1"/>
    <col min="9476" max="9476" width="11.42578125" style="3"/>
    <col min="9477" max="9477" width="13.42578125" style="3" customWidth="1"/>
    <col min="9478" max="9478" width="12.7109375" style="3" customWidth="1"/>
    <col min="9479" max="9479" width="14" style="3" customWidth="1"/>
    <col min="9480" max="9480" width="7.42578125" style="3" customWidth="1"/>
    <col min="9481" max="9728" width="11.42578125" style="3"/>
    <col min="9729" max="9729" width="15.85546875" style="3" customWidth="1"/>
    <col min="9730" max="9730" width="14.85546875" style="3" customWidth="1"/>
    <col min="9731" max="9731" width="13.28515625" style="3" customWidth="1"/>
    <col min="9732" max="9732" width="11.42578125" style="3"/>
    <col min="9733" max="9733" width="13.42578125" style="3" customWidth="1"/>
    <col min="9734" max="9734" width="12.7109375" style="3" customWidth="1"/>
    <col min="9735" max="9735" width="14" style="3" customWidth="1"/>
    <col min="9736" max="9736" width="7.42578125" style="3" customWidth="1"/>
    <col min="9737" max="9984" width="11.42578125" style="3"/>
    <col min="9985" max="9985" width="15.85546875" style="3" customWidth="1"/>
    <col min="9986" max="9986" width="14.85546875" style="3" customWidth="1"/>
    <col min="9987" max="9987" width="13.28515625" style="3" customWidth="1"/>
    <col min="9988" max="9988" width="11.42578125" style="3"/>
    <col min="9989" max="9989" width="13.42578125" style="3" customWidth="1"/>
    <col min="9990" max="9990" width="12.7109375" style="3" customWidth="1"/>
    <col min="9991" max="9991" width="14" style="3" customWidth="1"/>
    <col min="9992" max="9992" width="7.42578125" style="3" customWidth="1"/>
    <col min="9993" max="10240" width="11.42578125" style="3"/>
    <col min="10241" max="10241" width="15.85546875" style="3" customWidth="1"/>
    <col min="10242" max="10242" width="14.85546875" style="3" customWidth="1"/>
    <col min="10243" max="10243" width="13.28515625" style="3" customWidth="1"/>
    <col min="10244" max="10244" width="11.42578125" style="3"/>
    <col min="10245" max="10245" width="13.42578125" style="3" customWidth="1"/>
    <col min="10246" max="10246" width="12.7109375" style="3" customWidth="1"/>
    <col min="10247" max="10247" width="14" style="3" customWidth="1"/>
    <col min="10248" max="10248" width="7.42578125" style="3" customWidth="1"/>
    <col min="10249" max="10496" width="11.42578125" style="3"/>
    <col min="10497" max="10497" width="15.85546875" style="3" customWidth="1"/>
    <col min="10498" max="10498" width="14.85546875" style="3" customWidth="1"/>
    <col min="10499" max="10499" width="13.28515625" style="3" customWidth="1"/>
    <col min="10500" max="10500" width="11.42578125" style="3"/>
    <col min="10501" max="10501" width="13.42578125" style="3" customWidth="1"/>
    <col min="10502" max="10502" width="12.7109375" style="3" customWidth="1"/>
    <col min="10503" max="10503" width="14" style="3" customWidth="1"/>
    <col min="10504" max="10504" width="7.42578125" style="3" customWidth="1"/>
    <col min="10505" max="10752" width="11.42578125" style="3"/>
    <col min="10753" max="10753" width="15.85546875" style="3" customWidth="1"/>
    <col min="10754" max="10754" width="14.85546875" style="3" customWidth="1"/>
    <col min="10755" max="10755" width="13.28515625" style="3" customWidth="1"/>
    <col min="10756" max="10756" width="11.42578125" style="3"/>
    <col min="10757" max="10757" width="13.42578125" style="3" customWidth="1"/>
    <col min="10758" max="10758" width="12.7109375" style="3" customWidth="1"/>
    <col min="10759" max="10759" width="14" style="3" customWidth="1"/>
    <col min="10760" max="10760" width="7.42578125" style="3" customWidth="1"/>
    <col min="10761" max="11008" width="11.42578125" style="3"/>
    <col min="11009" max="11009" width="15.85546875" style="3" customWidth="1"/>
    <col min="11010" max="11010" width="14.85546875" style="3" customWidth="1"/>
    <col min="11011" max="11011" width="13.28515625" style="3" customWidth="1"/>
    <col min="11012" max="11012" width="11.42578125" style="3"/>
    <col min="11013" max="11013" width="13.42578125" style="3" customWidth="1"/>
    <col min="11014" max="11014" width="12.7109375" style="3" customWidth="1"/>
    <col min="11015" max="11015" width="14" style="3" customWidth="1"/>
    <col min="11016" max="11016" width="7.42578125" style="3" customWidth="1"/>
    <col min="11017" max="11264" width="11.42578125" style="3"/>
    <col min="11265" max="11265" width="15.85546875" style="3" customWidth="1"/>
    <col min="11266" max="11266" width="14.85546875" style="3" customWidth="1"/>
    <col min="11267" max="11267" width="13.28515625" style="3" customWidth="1"/>
    <col min="11268" max="11268" width="11.42578125" style="3"/>
    <col min="11269" max="11269" width="13.42578125" style="3" customWidth="1"/>
    <col min="11270" max="11270" width="12.7109375" style="3" customWidth="1"/>
    <col min="11271" max="11271" width="14" style="3" customWidth="1"/>
    <col min="11272" max="11272" width="7.42578125" style="3" customWidth="1"/>
    <col min="11273" max="11520" width="11.42578125" style="3"/>
    <col min="11521" max="11521" width="15.85546875" style="3" customWidth="1"/>
    <col min="11522" max="11522" width="14.85546875" style="3" customWidth="1"/>
    <col min="11523" max="11523" width="13.28515625" style="3" customWidth="1"/>
    <col min="11524" max="11524" width="11.42578125" style="3"/>
    <col min="11525" max="11525" width="13.42578125" style="3" customWidth="1"/>
    <col min="11526" max="11526" width="12.7109375" style="3" customWidth="1"/>
    <col min="11527" max="11527" width="14" style="3" customWidth="1"/>
    <col min="11528" max="11528" width="7.42578125" style="3" customWidth="1"/>
    <col min="11529" max="11776" width="11.42578125" style="3"/>
    <col min="11777" max="11777" width="15.85546875" style="3" customWidth="1"/>
    <col min="11778" max="11778" width="14.85546875" style="3" customWidth="1"/>
    <col min="11779" max="11779" width="13.28515625" style="3" customWidth="1"/>
    <col min="11780" max="11780" width="11.42578125" style="3"/>
    <col min="11781" max="11781" width="13.42578125" style="3" customWidth="1"/>
    <col min="11782" max="11782" width="12.7109375" style="3" customWidth="1"/>
    <col min="11783" max="11783" width="14" style="3" customWidth="1"/>
    <col min="11784" max="11784" width="7.42578125" style="3" customWidth="1"/>
    <col min="11785" max="12032" width="11.42578125" style="3"/>
    <col min="12033" max="12033" width="15.85546875" style="3" customWidth="1"/>
    <col min="12034" max="12034" width="14.85546875" style="3" customWidth="1"/>
    <col min="12035" max="12035" width="13.28515625" style="3" customWidth="1"/>
    <col min="12036" max="12036" width="11.42578125" style="3"/>
    <col min="12037" max="12037" width="13.42578125" style="3" customWidth="1"/>
    <col min="12038" max="12038" width="12.7109375" style="3" customWidth="1"/>
    <col min="12039" max="12039" width="14" style="3" customWidth="1"/>
    <col min="12040" max="12040" width="7.42578125" style="3" customWidth="1"/>
    <col min="12041" max="12288" width="11.42578125" style="3"/>
    <col min="12289" max="12289" width="15.85546875" style="3" customWidth="1"/>
    <col min="12290" max="12290" width="14.85546875" style="3" customWidth="1"/>
    <col min="12291" max="12291" width="13.28515625" style="3" customWidth="1"/>
    <col min="12292" max="12292" width="11.42578125" style="3"/>
    <col min="12293" max="12293" width="13.42578125" style="3" customWidth="1"/>
    <col min="12294" max="12294" width="12.7109375" style="3" customWidth="1"/>
    <col min="12295" max="12295" width="14" style="3" customWidth="1"/>
    <col min="12296" max="12296" width="7.42578125" style="3" customWidth="1"/>
    <col min="12297" max="12544" width="11.42578125" style="3"/>
    <col min="12545" max="12545" width="15.85546875" style="3" customWidth="1"/>
    <col min="12546" max="12546" width="14.85546875" style="3" customWidth="1"/>
    <col min="12547" max="12547" width="13.28515625" style="3" customWidth="1"/>
    <col min="12548" max="12548" width="11.42578125" style="3"/>
    <col min="12549" max="12549" width="13.42578125" style="3" customWidth="1"/>
    <col min="12550" max="12550" width="12.7109375" style="3" customWidth="1"/>
    <col min="12551" max="12551" width="14" style="3" customWidth="1"/>
    <col min="12552" max="12552" width="7.42578125" style="3" customWidth="1"/>
    <col min="12553" max="12800" width="11.42578125" style="3"/>
    <col min="12801" max="12801" width="15.85546875" style="3" customWidth="1"/>
    <col min="12802" max="12802" width="14.85546875" style="3" customWidth="1"/>
    <col min="12803" max="12803" width="13.28515625" style="3" customWidth="1"/>
    <col min="12804" max="12804" width="11.42578125" style="3"/>
    <col min="12805" max="12805" width="13.42578125" style="3" customWidth="1"/>
    <col min="12806" max="12806" width="12.7109375" style="3" customWidth="1"/>
    <col min="12807" max="12807" width="14" style="3" customWidth="1"/>
    <col min="12808" max="12808" width="7.42578125" style="3" customWidth="1"/>
    <col min="12809" max="13056" width="11.42578125" style="3"/>
    <col min="13057" max="13057" width="15.85546875" style="3" customWidth="1"/>
    <col min="13058" max="13058" width="14.85546875" style="3" customWidth="1"/>
    <col min="13059" max="13059" width="13.28515625" style="3" customWidth="1"/>
    <col min="13060" max="13060" width="11.42578125" style="3"/>
    <col min="13061" max="13061" width="13.42578125" style="3" customWidth="1"/>
    <col min="13062" max="13062" width="12.7109375" style="3" customWidth="1"/>
    <col min="13063" max="13063" width="14" style="3" customWidth="1"/>
    <col min="13064" max="13064" width="7.42578125" style="3" customWidth="1"/>
    <col min="13065" max="13312" width="11.42578125" style="3"/>
    <col min="13313" max="13313" width="15.85546875" style="3" customWidth="1"/>
    <col min="13314" max="13314" width="14.85546875" style="3" customWidth="1"/>
    <col min="13315" max="13315" width="13.28515625" style="3" customWidth="1"/>
    <col min="13316" max="13316" width="11.42578125" style="3"/>
    <col min="13317" max="13317" width="13.42578125" style="3" customWidth="1"/>
    <col min="13318" max="13318" width="12.7109375" style="3" customWidth="1"/>
    <col min="13319" max="13319" width="14" style="3" customWidth="1"/>
    <col min="13320" max="13320" width="7.42578125" style="3" customWidth="1"/>
    <col min="13321" max="13568" width="11.42578125" style="3"/>
    <col min="13569" max="13569" width="15.85546875" style="3" customWidth="1"/>
    <col min="13570" max="13570" width="14.85546875" style="3" customWidth="1"/>
    <col min="13571" max="13571" width="13.28515625" style="3" customWidth="1"/>
    <col min="13572" max="13572" width="11.42578125" style="3"/>
    <col min="13573" max="13573" width="13.42578125" style="3" customWidth="1"/>
    <col min="13574" max="13574" width="12.7109375" style="3" customWidth="1"/>
    <col min="13575" max="13575" width="14" style="3" customWidth="1"/>
    <col min="13576" max="13576" width="7.42578125" style="3" customWidth="1"/>
    <col min="13577" max="13824" width="11.42578125" style="3"/>
    <col min="13825" max="13825" width="15.85546875" style="3" customWidth="1"/>
    <col min="13826" max="13826" width="14.85546875" style="3" customWidth="1"/>
    <col min="13827" max="13827" width="13.28515625" style="3" customWidth="1"/>
    <col min="13828" max="13828" width="11.42578125" style="3"/>
    <col min="13829" max="13829" width="13.42578125" style="3" customWidth="1"/>
    <col min="13830" max="13830" width="12.7109375" style="3" customWidth="1"/>
    <col min="13831" max="13831" width="14" style="3" customWidth="1"/>
    <col min="13832" max="13832" width="7.42578125" style="3" customWidth="1"/>
    <col min="13833" max="14080" width="11.42578125" style="3"/>
    <col min="14081" max="14081" width="15.85546875" style="3" customWidth="1"/>
    <col min="14082" max="14082" width="14.85546875" style="3" customWidth="1"/>
    <col min="14083" max="14083" width="13.28515625" style="3" customWidth="1"/>
    <col min="14084" max="14084" width="11.42578125" style="3"/>
    <col min="14085" max="14085" width="13.42578125" style="3" customWidth="1"/>
    <col min="14086" max="14086" width="12.7109375" style="3" customWidth="1"/>
    <col min="14087" max="14087" width="14" style="3" customWidth="1"/>
    <col min="14088" max="14088" width="7.42578125" style="3" customWidth="1"/>
    <col min="14089" max="14336" width="11.42578125" style="3"/>
    <col min="14337" max="14337" width="15.85546875" style="3" customWidth="1"/>
    <col min="14338" max="14338" width="14.85546875" style="3" customWidth="1"/>
    <col min="14339" max="14339" width="13.28515625" style="3" customWidth="1"/>
    <col min="14340" max="14340" width="11.42578125" style="3"/>
    <col min="14341" max="14341" width="13.42578125" style="3" customWidth="1"/>
    <col min="14342" max="14342" width="12.7109375" style="3" customWidth="1"/>
    <col min="14343" max="14343" width="14" style="3" customWidth="1"/>
    <col min="14344" max="14344" width="7.42578125" style="3" customWidth="1"/>
    <col min="14345" max="14592" width="11.42578125" style="3"/>
    <col min="14593" max="14593" width="15.85546875" style="3" customWidth="1"/>
    <col min="14594" max="14594" width="14.85546875" style="3" customWidth="1"/>
    <col min="14595" max="14595" width="13.28515625" style="3" customWidth="1"/>
    <col min="14596" max="14596" width="11.42578125" style="3"/>
    <col min="14597" max="14597" width="13.42578125" style="3" customWidth="1"/>
    <col min="14598" max="14598" width="12.7109375" style="3" customWidth="1"/>
    <col min="14599" max="14599" width="14" style="3" customWidth="1"/>
    <col min="14600" max="14600" width="7.42578125" style="3" customWidth="1"/>
    <col min="14601" max="14848" width="11.42578125" style="3"/>
    <col min="14849" max="14849" width="15.85546875" style="3" customWidth="1"/>
    <col min="14850" max="14850" width="14.85546875" style="3" customWidth="1"/>
    <col min="14851" max="14851" width="13.28515625" style="3" customWidth="1"/>
    <col min="14852" max="14852" width="11.42578125" style="3"/>
    <col min="14853" max="14853" width="13.42578125" style="3" customWidth="1"/>
    <col min="14854" max="14854" width="12.7109375" style="3" customWidth="1"/>
    <col min="14855" max="14855" width="14" style="3" customWidth="1"/>
    <col min="14856" max="14856" width="7.42578125" style="3" customWidth="1"/>
    <col min="14857" max="15104" width="11.42578125" style="3"/>
    <col min="15105" max="15105" width="15.85546875" style="3" customWidth="1"/>
    <col min="15106" max="15106" width="14.85546875" style="3" customWidth="1"/>
    <col min="15107" max="15107" width="13.28515625" style="3" customWidth="1"/>
    <col min="15108" max="15108" width="11.42578125" style="3"/>
    <col min="15109" max="15109" width="13.42578125" style="3" customWidth="1"/>
    <col min="15110" max="15110" width="12.7109375" style="3" customWidth="1"/>
    <col min="15111" max="15111" width="14" style="3" customWidth="1"/>
    <col min="15112" max="15112" width="7.42578125" style="3" customWidth="1"/>
    <col min="15113" max="15360" width="11.42578125" style="3"/>
    <col min="15361" max="15361" width="15.85546875" style="3" customWidth="1"/>
    <col min="15362" max="15362" width="14.85546875" style="3" customWidth="1"/>
    <col min="15363" max="15363" width="13.28515625" style="3" customWidth="1"/>
    <col min="15364" max="15364" width="11.42578125" style="3"/>
    <col min="15365" max="15365" width="13.42578125" style="3" customWidth="1"/>
    <col min="15366" max="15366" width="12.7109375" style="3" customWidth="1"/>
    <col min="15367" max="15367" width="14" style="3" customWidth="1"/>
    <col min="15368" max="15368" width="7.42578125" style="3" customWidth="1"/>
    <col min="15369" max="15616" width="11.42578125" style="3"/>
    <col min="15617" max="15617" width="15.85546875" style="3" customWidth="1"/>
    <col min="15618" max="15618" width="14.85546875" style="3" customWidth="1"/>
    <col min="15619" max="15619" width="13.28515625" style="3" customWidth="1"/>
    <col min="15620" max="15620" width="11.42578125" style="3"/>
    <col min="15621" max="15621" width="13.42578125" style="3" customWidth="1"/>
    <col min="15622" max="15622" width="12.7109375" style="3" customWidth="1"/>
    <col min="15623" max="15623" width="14" style="3" customWidth="1"/>
    <col min="15624" max="15624" width="7.42578125" style="3" customWidth="1"/>
    <col min="15625" max="15872" width="11.42578125" style="3"/>
    <col min="15873" max="15873" width="15.85546875" style="3" customWidth="1"/>
    <col min="15874" max="15874" width="14.85546875" style="3" customWidth="1"/>
    <col min="15875" max="15875" width="13.28515625" style="3" customWidth="1"/>
    <col min="15876" max="15876" width="11.42578125" style="3"/>
    <col min="15877" max="15877" width="13.42578125" style="3" customWidth="1"/>
    <col min="15878" max="15878" width="12.7109375" style="3" customWidth="1"/>
    <col min="15879" max="15879" width="14" style="3" customWidth="1"/>
    <col min="15880" max="15880" width="7.42578125" style="3" customWidth="1"/>
    <col min="15881" max="16128" width="11.42578125" style="3"/>
    <col min="16129" max="16129" width="15.85546875" style="3" customWidth="1"/>
    <col min="16130" max="16130" width="14.85546875" style="3" customWidth="1"/>
    <col min="16131" max="16131" width="13.28515625" style="3" customWidth="1"/>
    <col min="16132" max="16132" width="11.42578125" style="3"/>
    <col min="16133" max="16133" width="13.42578125" style="3" customWidth="1"/>
    <col min="16134" max="16134" width="12.7109375" style="3" customWidth="1"/>
    <col min="16135" max="16135" width="14" style="3" customWidth="1"/>
    <col min="16136" max="16136" width="7.42578125" style="3" customWidth="1"/>
    <col min="16137" max="16384" width="11.42578125" style="3"/>
  </cols>
  <sheetData>
    <row r="1" spans="1:21" ht="48" customHeight="1">
      <c r="A1" s="1346" t="str">
        <f>PPTO!D3</f>
        <v>PRESUPUESTO
MUNICIPIO EL BAGRE (ANTIOQUIA).</v>
      </c>
      <c r="B1" s="1347"/>
      <c r="C1" s="1347"/>
      <c r="D1" s="1347"/>
      <c r="E1" s="1347"/>
      <c r="F1" s="1347"/>
      <c r="G1" s="1348"/>
      <c r="H1" s="1"/>
      <c r="I1" s="2"/>
    </row>
    <row r="2" spans="1:21" ht="18" customHeight="1">
      <c r="A2" s="1362" t="s">
        <v>16</v>
      </c>
      <c r="B2" s="1363"/>
      <c r="C2" s="1363"/>
      <c r="D2" s="1363"/>
      <c r="E2" s="1363"/>
      <c r="F2" s="1363"/>
      <c r="G2" s="1364"/>
      <c r="H2" s="1"/>
      <c r="I2" s="2"/>
    </row>
    <row r="3" spans="1:21" ht="27" customHeight="1">
      <c r="A3" s="1367" t="str">
        <f>+PPTO!$D$5</f>
        <v>PROYECTO DE MEJORAMIENTO VIAL, ESPACIO PUBLICO Y OBRAS COMPLEMENTARIAS DE LA AVENIDA LA JUVENTUD Y TRAMOS ADYACENTES Y PRIORITARIOS DEL SECTOR URBANO EN EL MUNICIPIO EL BAGRE ANTIOQUIA.</v>
      </c>
      <c r="B3" s="1368"/>
      <c r="C3" s="1368"/>
      <c r="D3" s="1368"/>
      <c r="E3" s="1368"/>
      <c r="F3" s="1368"/>
      <c r="G3" s="1369"/>
      <c r="H3" s="1"/>
      <c r="I3" s="2"/>
    </row>
    <row r="4" spans="1:21" ht="30" customHeight="1">
      <c r="A4" s="1370"/>
      <c r="B4" s="1368"/>
      <c r="C4" s="1368"/>
      <c r="D4" s="1368"/>
      <c r="E4" s="1368"/>
      <c r="F4" s="1368"/>
      <c r="G4" s="1369"/>
      <c r="H4" s="1"/>
      <c r="I4" s="2"/>
    </row>
    <row r="5" spans="1:21" ht="6.75" customHeight="1">
      <c r="A5" s="222"/>
      <c r="B5" s="6"/>
      <c r="C5" s="24"/>
      <c r="D5" s="25"/>
      <c r="E5" s="6"/>
      <c r="F5" s="6"/>
      <c r="G5" s="223"/>
      <c r="H5" s="9"/>
    </row>
    <row r="6" spans="1:21" ht="52.5" customHeight="1">
      <c r="A6" s="368">
        <v>6.18</v>
      </c>
      <c r="B6" s="1349" t="str">
        <f>VLOOKUP(A6,PPTO!D9:I136,2,FALSE)</f>
        <v>Suministro e instalación Tuberia PVC U.M. RDE 21 Ø 4"</v>
      </c>
      <c r="C6" s="1350"/>
      <c r="D6" s="1350"/>
      <c r="E6" s="1351"/>
      <c r="F6" s="192" t="s">
        <v>118</v>
      </c>
      <c r="G6" s="248" t="str">
        <f>VLOOKUP(A6,PPTO!D9:I136,3,FALSE)</f>
        <v>m</v>
      </c>
      <c r="H6" s="9"/>
    </row>
    <row r="7" spans="1:21" ht="3.75" customHeight="1">
      <c r="A7" s="226"/>
      <c r="B7" s="4"/>
      <c r="C7" s="6"/>
      <c r="D7" s="4"/>
      <c r="E7" s="4"/>
      <c r="F7" s="4"/>
      <c r="G7" s="227"/>
      <c r="H7" s="9"/>
    </row>
    <row r="8" spans="1:21" ht="22.5" customHeight="1">
      <c r="A8" s="1354" t="s">
        <v>69</v>
      </c>
      <c r="B8" s="1355"/>
      <c r="C8" s="1355"/>
      <c r="D8" s="1355"/>
      <c r="E8" s="1355"/>
      <c r="F8" s="1355"/>
      <c r="G8" s="1356"/>
      <c r="H8" s="9"/>
    </row>
    <row r="9" spans="1:21" ht="4.5" customHeight="1">
      <c r="A9" s="226"/>
      <c r="B9" s="4"/>
      <c r="C9" s="6"/>
      <c r="D9" s="4"/>
      <c r="E9" s="4"/>
      <c r="F9" s="4"/>
      <c r="G9" s="227"/>
      <c r="H9" s="9"/>
      <c r="I9" s="5"/>
      <c r="J9" s="5"/>
      <c r="K9" s="5"/>
      <c r="L9" s="26"/>
      <c r="M9" s="5"/>
      <c r="N9" s="5"/>
      <c r="O9" s="5"/>
      <c r="P9" s="5"/>
    </row>
    <row r="10" spans="1:21">
      <c r="A10" s="1373" t="s">
        <v>17</v>
      </c>
      <c r="B10" s="1374"/>
      <c r="C10" s="1374"/>
      <c r="D10" s="353" t="s">
        <v>18</v>
      </c>
      <c r="E10" s="353" t="s">
        <v>19</v>
      </c>
      <c r="F10" s="353" t="s">
        <v>20</v>
      </c>
      <c r="G10" s="228" t="s">
        <v>21</v>
      </c>
      <c r="H10" s="27"/>
      <c r="I10" s="28"/>
      <c r="J10" s="29"/>
      <c r="K10" s="30"/>
      <c r="L10" s="30"/>
      <c r="M10" s="30"/>
      <c r="N10" s="30"/>
      <c r="O10" s="30"/>
      <c r="P10" s="5"/>
    </row>
    <row r="11" spans="1:21">
      <c r="A11" s="1352" t="s">
        <v>47</v>
      </c>
      <c r="B11" s="1353"/>
      <c r="C11" s="1353"/>
      <c r="D11" s="353"/>
      <c r="E11" s="83"/>
      <c r="F11" s="97"/>
      <c r="G11" s="229">
        <f>+G39*10%</f>
        <v>1697</v>
      </c>
      <c r="H11" s="9"/>
      <c r="I11" s="30"/>
      <c r="J11" s="31"/>
      <c r="K11" s="30"/>
      <c r="L11" s="30"/>
      <c r="M11" s="30"/>
      <c r="N11" s="30"/>
      <c r="O11" s="30"/>
      <c r="P11" s="5"/>
    </row>
    <row r="12" spans="1:21">
      <c r="A12" s="1371"/>
      <c r="B12" s="1372"/>
      <c r="C12" s="1372"/>
      <c r="D12" s="83"/>
      <c r="E12" s="83"/>
      <c r="F12" s="93"/>
      <c r="G12" s="229"/>
      <c r="H12" s="9"/>
      <c r="I12" s="16"/>
      <c r="J12" s="13"/>
      <c r="K12" s="8"/>
      <c r="L12" s="8"/>
      <c r="M12" s="8"/>
      <c r="N12" s="8"/>
      <c r="O12" s="8"/>
      <c r="P12" s="5"/>
    </row>
    <row r="13" spans="1:21">
      <c r="A13" s="1371"/>
      <c r="B13" s="1372"/>
      <c r="C13" s="1372"/>
      <c r="D13" s="83"/>
      <c r="E13" s="83"/>
      <c r="F13" s="93"/>
      <c r="G13" s="229"/>
      <c r="H13" s="9"/>
      <c r="I13" s="13"/>
      <c r="J13" s="13"/>
      <c r="K13" s="13"/>
      <c r="L13" s="13"/>
      <c r="M13" s="13"/>
      <c r="N13" s="13"/>
      <c r="O13" s="13"/>
      <c r="P13" s="5"/>
    </row>
    <row r="14" spans="1:21">
      <c r="A14" s="1371"/>
      <c r="B14" s="1372"/>
      <c r="C14" s="1372"/>
      <c r="D14" s="83"/>
      <c r="E14" s="83"/>
      <c r="F14" s="93"/>
      <c r="G14" s="229"/>
      <c r="H14" s="9"/>
      <c r="I14" s="8"/>
      <c r="J14" s="14"/>
      <c r="K14" s="32"/>
      <c r="L14" s="14"/>
      <c r="M14" s="15"/>
      <c r="N14" s="15"/>
      <c r="O14" s="19"/>
      <c r="P14" s="5"/>
    </row>
    <row r="15" spans="1:21">
      <c r="A15" s="1371"/>
      <c r="B15" s="1372"/>
      <c r="C15" s="1372"/>
      <c r="D15" s="83"/>
      <c r="E15" s="83"/>
      <c r="F15" s="98"/>
      <c r="G15" s="229"/>
      <c r="H15" s="9"/>
      <c r="I15" s="8"/>
      <c r="J15" s="33"/>
      <c r="K15" s="32"/>
      <c r="L15" s="14"/>
      <c r="M15" s="15"/>
      <c r="N15" s="15"/>
      <c r="O15" s="19"/>
      <c r="P15" s="5"/>
      <c r="Q15" s="5"/>
      <c r="R15" s="5"/>
      <c r="S15" s="5"/>
      <c r="T15" s="5"/>
      <c r="U15" s="5"/>
    </row>
    <row r="16" spans="1:21">
      <c r="A16" s="1371"/>
      <c r="B16" s="1372"/>
      <c r="C16" s="1372"/>
      <c r="D16" s="85" t="s">
        <v>37</v>
      </c>
      <c r="E16" s="50"/>
      <c r="F16" s="49"/>
      <c r="G16" s="230">
        <f>SUM(G11:G15)</f>
        <v>1697</v>
      </c>
      <c r="H16" s="9"/>
      <c r="I16" s="34"/>
      <c r="J16" s="34"/>
      <c r="K16" s="35"/>
      <c r="L16" s="36"/>
      <c r="M16" s="7"/>
      <c r="N16" s="7"/>
      <c r="O16" s="19"/>
      <c r="P16" s="5"/>
      <c r="Q16" s="5"/>
      <c r="R16" s="5"/>
      <c r="S16" s="5"/>
      <c r="T16" s="5"/>
      <c r="U16" s="5"/>
    </row>
    <row r="17" spans="1:21" ht="4.5" customHeight="1">
      <c r="A17" s="226"/>
      <c r="B17" s="4"/>
      <c r="C17" s="6"/>
      <c r="D17" s="4"/>
      <c r="E17" s="4"/>
      <c r="F17" s="4"/>
      <c r="G17" s="227"/>
      <c r="H17" s="9"/>
      <c r="I17" s="34"/>
      <c r="J17" s="34"/>
      <c r="K17" s="35"/>
      <c r="L17" s="36"/>
      <c r="M17" s="7"/>
      <c r="N17" s="7"/>
      <c r="O17" s="19"/>
      <c r="P17" s="5"/>
      <c r="Q17" s="5"/>
      <c r="R17" s="5"/>
      <c r="S17" s="5"/>
      <c r="T17" s="5"/>
      <c r="U17" s="5"/>
    </row>
    <row r="18" spans="1:21" ht="22.5" customHeight="1">
      <c r="A18" s="1354" t="s">
        <v>70</v>
      </c>
      <c r="B18" s="1355"/>
      <c r="C18" s="1355"/>
      <c r="D18" s="1355"/>
      <c r="E18" s="1355"/>
      <c r="F18" s="1355"/>
      <c r="G18" s="1356"/>
      <c r="H18" s="9"/>
    </row>
    <row r="19" spans="1:21" ht="4.5" customHeight="1">
      <c r="A19" s="226"/>
      <c r="B19" s="4"/>
      <c r="C19" s="6"/>
      <c r="D19" s="4"/>
      <c r="E19" s="4"/>
      <c r="F19" s="38"/>
      <c r="G19" s="227"/>
      <c r="H19" s="9"/>
      <c r="I19" s="34"/>
      <c r="J19" s="34"/>
      <c r="K19" s="35"/>
      <c r="L19" s="39"/>
      <c r="M19" s="7"/>
      <c r="N19" s="7"/>
      <c r="O19" s="8"/>
      <c r="P19" s="5"/>
      <c r="Q19" s="5"/>
      <c r="R19" s="5"/>
      <c r="S19" s="5"/>
      <c r="T19" s="5"/>
      <c r="U19" s="5"/>
    </row>
    <row r="20" spans="1:21">
      <c r="A20" s="1373" t="s">
        <v>17</v>
      </c>
      <c r="B20" s="1374"/>
      <c r="C20" s="1374"/>
      <c r="D20" s="353" t="s">
        <v>3</v>
      </c>
      <c r="E20" s="353" t="s">
        <v>4</v>
      </c>
      <c r="F20" s="353" t="s">
        <v>25</v>
      </c>
      <c r="G20" s="228" t="s">
        <v>21</v>
      </c>
      <c r="H20" s="27"/>
      <c r="I20" s="34"/>
      <c r="J20" s="34"/>
      <c r="K20" s="35"/>
      <c r="L20" s="39"/>
      <c r="M20" s="7"/>
      <c r="N20" s="7"/>
      <c r="O20" s="8"/>
      <c r="P20" s="5"/>
      <c r="Q20" s="5"/>
      <c r="R20" s="5"/>
      <c r="S20" s="5"/>
      <c r="T20" s="5"/>
      <c r="U20" s="5"/>
    </row>
    <row r="21" spans="1:21" ht="31.5" customHeight="1">
      <c r="A21" s="1441" t="str">
        <f>MID(I21,25,50)</f>
        <v xml:space="preserve"> Tuberia PVC U.M. RDE 21 Ø 4"</v>
      </c>
      <c r="B21" s="1442"/>
      <c r="C21" s="1443"/>
      <c r="D21" s="118" t="s">
        <v>119</v>
      </c>
      <c r="E21" s="119">
        <v>1</v>
      </c>
      <c r="F21" s="87">
        <f>398282/6*IPC</f>
        <v>68491</v>
      </c>
      <c r="G21" s="231">
        <f>ROUND(F21*E21,0)</f>
        <v>68491</v>
      </c>
      <c r="H21" s="9"/>
      <c r="I21" s="34" t="str">
        <f>B6</f>
        <v>Suministro e instalación Tuberia PVC U.M. RDE 21 Ø 4"</v>
      </c>
      <c r="J21" s="34"/>
      <c r="K21" s="35"/>
      <c r="L21" s="36"/>
      <c r="M21" s="7"/>
      <c r="N21" s="7"/>
      <c r="O21" s="19"/>
      <c r="P21" s="5"/>
      <c r="Q21" s="5"/>
      <c r="R21" s="5"/>
      <c r="S21" s="5"/>
      <c r="T21" s="5"/>
      <c r="U21" s="5"/>
    </row>
    <row r="22" spans="1:21">
      <c r="A22" s="1444"/>
      <c r="B22" s="1403"/>
      <c r="C22" s="1404"/>
      <c r="D22" s="116"/>
      <c r="E22" s="117"/>
      <c r="F22" s="91"/>
      <c r="G22" s="231"/>
      <c r="H22" s="9"/>
      <c r="I22" s="10"/>
      <c r="J22" s="10"/>
      <c r="K22" s="12"/>
      <c r="L22" s="39"/>
      <c r="M22" s="7"/>
      <c r="N22" s="7"/>
      <c r="O22" s="15"/>
      <c r="P22" s="5"/>
      <c r="Q22" s="5"/>
      <c r="R22" s="5"/>
      <c r="S22" s="5"/>
      <c r="T22" s="5"/>
      <c r="U22" s="5"/>
    </row>
    <row r="23" spans="1:21">
      <c r="A23" s="1386"/>
      <c r="B23" s="1353"/>
      <c r="C23" s="1353"/>
      <c r="D23" s="79"/>
      <c r="E23" s="82"/>
      <c r="F23" s="83"/>
      <c r="G23" s="67"/>
      <c r="H23" s="9"/>
      <c r="I23" s="10"/>
      <c r="J23" s="10"/>
      <c r="K23" s="12"/>
      <c r="L23" s="39"/>
      <c r="M23" s="7"/>
      <c r="N23" s="7"/>
      <c r="O23" s="15"/>
      <c r="P23" s="5"/>
      <c r="Q23" s="5"/>
      <c r="R23" s="5"/>
      <c r="S23" s="5"/>
      <c r="T23" s="5"/>
      <c r="U23" s="5"/>
    </row>
    <row r="24" spans="1:21">
      <c r="A24" s="1352"/>
      <c r="B24" s="1353"/>
      <c r="C24" s="1353"/>
      <c r="D24" s="81"/>
      <c r="E24" s="88"/>
      <c r="F24" s="78"/>
      <c r="G24" s="231"/>
      <c r="H24" s="9"/>
      <c r="I24" s="10"/>
      <c r="J24" s="40"/>
      <c r="K24" s="12"/>
      <c r="L24" s="13"/>
      <c r="M24" s="14"/>
      <c r="N24" s="14"/>
      <c r="O24" s="15"/>
      <c r="P24" s="5"/>
      <c r="Q24" s="5"/>
      <c r="R24" s="5"/>
      <c r="S24" s="5"/>
      <c r="T24" s="5"/>
      <c r="U24" s="5"/>
    </row>
    <row r="25" spans="1:21">
      <c r="A25" s="1352"/>
      <c r="B25" s="1353"/>
      <c r="C25" s="1353"/>
      <c r="D25" s="81"/>
      <c r="E25" s="82"/>
      <c r="F25" s="78"/>
      <c r="G25" s="231"/>
      <c r="H25" s="9"/>
      <c r="I25" s="10"/>
      <c r="J25" s="11"/>
      <c r="K25" s="12"/>
      <c r="L25" s="13"/>
      <c r="M25" s="14"/>
      <c r="N25" s="14"/>
      <c r="O25" s="15"/>
      <c r="P25" s="5"/>
      <c r="Q25" s="5"/>
      <c r="R25" s="5"/>
      <c r="S25" s="5"/>
      <c r="T25" s="5"/>
      <c r="U25" s="5"/>
    </row>
    <row r="26" spans="1:21">
      <c r="A26" s="1352"/>
      <c r="B26" s="1353"/>
      <c r="C26" s="1353"/>
      <c r="D26" s="79"/>
      <c r="E26" s="82"/>
      <c r="F26" s="78"/>
      <c r="G26" s="231"/>
      <c r="H26" s="9"/>
      <c r="I26" s="10"/>
      <c r="J26" s="11"/>
      <c r="K26" s="12"/>
      <c r="L26" s="13"/>
      <c r="M26" s="14"/>
      <c r="N26" s="14"/>
      <c r="O26" s="15"/>
      <c r="P26" s="5"/>
      <c r="Q26" s="5"/>
      <c r="R26" s="5"/>
      <c r="S26" s="5"/>
      <c r="T26" s="5"/>
      <c r="U26" s="5"/>
    </row>
    <row r="27" spans="1:21">
      <c r="A27" s="1352"/>
      <c r="B27" s="1353"/>
      <c r="C27" s="1353"/>
      <c r="D27" s="79"/>
      <c r="E27" s="82"/>
      <c r="F27" s="78"/>
      <c r="G27" s="231"/>
      <c r="H27" s="9"/>
      <c r="I27" s="10"/>
      <c r="J27" s="11"/>
      <c r="K27" s="12"/>
      <c r="L27" s="13"/>
      <c r="M27" s="14"/>
      <c r="N27" s="14"/>
      <c r="O27" s="15"/>
      <c r="P27" s="5"/>
      <c r="Q27" s="5"/>
      <c r="R27" s="5"/>
      <c r="S27" s="5"/>
      <c r="T27" s="5"/>
      <c r="U27" s="5"/>
    </row>
    <row r="28" spans="1:21">
      <c r="A28" s="1352"/>
      <c r="B28" s="1353"/>
      <c r="C28" s="1353"/>
      <c r="D28" s="79"/>
      <c r="E28" s="82"/>
      <c r="F28" s="83"/>
      <c r="G28" s="231"/>
      <c r="H28" s="9"/>
      <c r="I28" s="41"/>
      <c r="J28" s="41"/>
      <c r="K28" s="12"/>
      <c r="L28" s="13"/>
      <c r="M28" s="14"/>
      <c r="N28" s="14"/>
      <c r="O28" s="15"/>
      <c r="P28" s="5"/>
      <c r="Q28" s="5"/>
      <c r="R28" s="5"/>
      <c r="S28" s="5"/>
      <c r="T28" s="5"/>
      <c r="U28" s="5"/>
    </row>
    <row r="29" spans="1:21">
      <c r="A29" s="1352"/>
      <c r="B29" s="1353"/>
      <c r="C29" s="1353"/>
      <c r="D29" s="84"/>
      <c r="E29" s="84"/>
      <c r="F29" s="83"/>
      <c r="G29" s="231"/>
      <c r="H29" s="9"/>
      <c r="I29" s="42"/>
      <c r="J29" s="42"/>
      <c r="K29" s="42"/>
      <c r="L29" s="13"/>
      <c r="M29" s="14"/>
      <c r="N29" s="14"/>
      <c r="O29" s="15"/>
      <c r="P29" s="5"/>
      <c r="Q29" s="5"/>
      <c r="R29" s="5"/>
      <c r="S29" s="5"/>
      <c r="T29" s="5"/>
      <c r="U29" s="5"/>
    </row>
    <row r="30" spans="1:21">
      <c r="A30" s="1352"/>
      <c r="B30" s="1353"/>
      <c r="C30" s="1353"/>
      <c r="D30" s="85" t="s">
        <v>28</v>
      </c>
      <c r="E30" s="50"/>
      <c r="F30" s="49"/>
      <c r="G30" s="230">
        <f>SUM(G21:G29)</f>
        <v>68491</v>
      </c>
      <c r="H30" s="9"/>
      <c r="I30" s="8"/>
      <c r="J30" s="13"/>
      <c r="K30" s="8"/>
      <c r="L30" s="13"/>
      <c r="M30" s="14"/>
      <c r="N30" s="14"/>
      <c r="O30" s="15"/>
      <c r="P30" s="5"/>
    </row>
    <row r="31" spans="1:21" ht="3.75" customHeight="1">
      <c r="A31" s="226"/>
      <c r="B31" s="4"/>
      <c r="C31" s="6"/>
      <c r="D31" s="4"/>
      <c r="E31" s="4"/>
      <c r="F31" s="4"/>
      <c r="G31" s="227"/>
      <c r="H31" s="9"/>
      <c r="I31" s="8"/>
      <c r="J31" s="13"/>
      <c r="K31" s="18"/>
      <c r="L31" s="13"/>
      <c r="M31" s="33"/>
      <c r="N31" s="33"/>
      <c r="O31" s="15"/>
      <c r="P31" s="5"/>
    </row>
    <row r="32" spans="1:21" ht="22.5" customHeight="1">
      <c r="A32" s="1354" t="s">
        <v>71</v>
      </c>
      <c r="B32" s="1355"/>
      <c r="C32" s="1355"/>
      <c r="D32" s="1355"/>
      <c r="E32" s="1355"/>
      <c r="F32" s="1355"/>
      <c r="G32" s="1356"/>
      <c r="H32" s="9"/>
    </row>
    <row r="33" spans="1:16" ht="3.75" customHeight="1">
      <c r="A33" s="226"/>
      <c r="B33" s="4"/>
      <c r="C33" s="6"/>
      <c r="D33" s="4"/>
      <c r="E33" s="4"/>
      <c r="F33" s="4"/>
      <c r="G33" s="227"/>
      <c r="H33" s="9"/>
      <c r="I33" s="8"/>
      <c r="J33" s="13"/>
      <c r="K33" s="8"/>
      <c r="L33" s="8"/>
      <c r="M33" s="8"/>
      <c r="N33" s="8"/>
      <c r="O33" s="15"/>
      <c r="P33" s="5"/>
    </row>
    <row r="34" spans="1:16">
      <c r="A34" s="232" t="s">
        <v>5</v>
      </c>
      <c r="B34" s="60" t="s">
        <v>29</v>
      </c>
      <c r="C34" s="60" t="s">
        <v>30</v>
      </c>
      <c r="D34" s="60" t="s">
        <v>31</v>
      </c>
      <c r="E34" s="60" t="s">
        <v>32</v>
      </c>
      <c r="F34" s="60" t="s">
        <v>20</v>
      </c>
      <c r="G34" s="228" t="s">
        <v>33</v>
      </c>
      <c r="H34" s="27"/>
      <c r="I34" s="8"/>
      <c r="J34" s="13"/>
      <c r="K34" s="8"/>
      <c r="L34" s="8"/>
      <c r="M34" s="8"/>
      <c r="N34" s="8"/>
      <c r="O34" s="15"/>
      <c r="P34" s="5"/>
    </row>
    <row r="35" spans="1:16">
      <c r="A35" s="233" t="s">
        <v>41</v>
      </c>
      <c r="B35" s="63">
        <f>BOF</f>
        <v>51749</v>
      </c>
      <c r="C35" s="68">
        <f>ffpp</f>
        <v>0.64539999999999997</v>
      </c>
      <c r="D35" s="72">
        <v>1</v>
      </c>
      <c r="E35" s="66">
        <f>OF</f>
        <v>88696</v>
      </c>
      <c r="F35" s="65">
        <v>18</v>
      </c>
      <c r="G35" s="231">
        <f>ROUND(+D35*E35/F35,0)</f>
        <v>4928</v>
      </c>
      <c r="H35" s="9"/>
      <c r="I35" s="16"/>
      <c r="J35" s="13"/>
      <c r="K35" s="8"/>
      <c r="L35" s="8"/>
      <c r="M35" s="8"/>
      <c r="N35" s="8"/>
      <c r="O35" s="15"/>
      <c r="P35" s="5"/>
    </row>
    <row r="36" spans="1:16">
      <c r="A36" s="233" t="s">
        <v>38</v>
      </c>
      <c r="B36" s="63">
        <f>BOB</f>
        <v>41749</v>
      </c>
      <c r="C36" s="68">
        <f>ffpp</f>
        <v>0.64539999999999997</v>
      </c>
      <c r="D36" s="72">
        <v>3</v>
      </c>
      <c r="E36" s="66">
        <f>OB</f>
        <v>72242</v>
      </c>
      <c r="F36" s="65">
        <f>F35</f>
        <v>18</v>
      </c>
      <c r="G36" s="231">
        <f>ROUND(+D36*E36/F36,0)</f>
        <v>12040</v>
      </c>
      <c r="H36" s="9"/>
      <c r="I36" s="8"/>
      <c r="J36" s="8"/>
      <c r="K36" s="13"/>
      <c r="L36" s="13"/>
      <c r="M36" s="13"/>
      <c r="N36" s="13"/>
      <c r="O36" s="13"/>
      <c r="P36" s="5"/>
    </row>
    <row r="37" spans="1:16">
      <c r="A37" s="234"/>
      <c r="B37" s="50"/>
      <c r="C37" s="961"/>
      <c r="D37" s="50"/>
      <c r="E37" s="66"/>
      <c r="F37" s="65"/>
      <c r="G37" s="231"/>
      <c r="H37" s="9"/>
      <c r="I37" s="8"/>
      <c r="J37" s="13"/>
      <c r="K37" s="13"/>
      <c r="L37" s="13"/>
      <c r="M37" s="33"/>
      <c r="N37" s="33"/>
      <c r="O37" s="43"/>
      <c r="P37" s="5"/>
    </row>
    <row r="38" spans="1:16">
      <c r="A38" s="233"/>
      <c r="B38" s="65"/>
      <c r="C38" s="68"/>
      <c r="D38" s="65"/>
      <c r="E38" s="69"/>
      <c r="F38" s="69"/>
      <c r="G38" s="236"/>
      <c r="H38" s="9"/>
      <c r="I38" s="8"/>
      <c r="J38" s="13"/>
      <c r="K38" s="13"/>
      <c r="L38" s="13"/>
      <c r="M38" s="33"/>
      <c r="N38" s="33"/>
      <c r="O38" s="43"/>
      <c r="P38" s="5"/>
    </row>
    <row r="39" spans="1:16">
      <c r="A39" s="249"/>
      <c r="B39" s="71"/>
      <c r="C39" s="71"/>
      <c r="D39" s="71" t="s">
        <v>34</v>
      </c>
      <c r="E39" s="71"/>
      <c r="F39" s="71"/>
      <c r="G39" s="250">
        <f>SUM(G35:G38)</f>
        <v>16968</v>
      </c>
      <c r="H39" s="9"/>
      <c r="I39" s="8"/>
      <c r="J39" s="13"/>
      <c r="K39" s="13"/>
      <c r="L39" s="13"/>
      <c r="M39" s="14"/>
      <c r="N39" s="14"/>
      <c r="O39" s="15"/>
      <c r="P39" s="5"/>
    </row>
    <row r="40" spans="1:16">
      <c r="A40" s="226"/>
      <c r="B40" s="4"/>
      <c r="C40" s="6"/>
      <c r="D40" s="4"/>
      <c r="E40" s="4"/>
      <c r="F40" s="4"/>
      <c r="G40" s="227"/>
      <c r="H40" s="9"/>
      <c r="I40" s="8"/>
      <c r="J40" s="13"/>
      <c r="K40" s="13"/>
      <c r="L40" s="13"/>
      <c r="M40" s="14"/>
      <c r="N40" s="14"/>
      <c r="O40" s="19"/>
      <c r="P40" s="5"/>
    </row>
    <row r="41" spans="1:16">
      <c r="A41" s="226"/>
      <c r="B41" s="4"/>
      <c r="C41" s="6"/>
      <c r="D41" s="4"/>
      <c r="E41" s="4"/>
      <c r="F41" s="4"/>
      <c r="G41" s="227"/>
      <c r="H41" s="9"/>
      <c r="I41" s="8"/>
      <c r="J41" s="13"/>
      <c r="K41" s="13"/>
      <c r="L41" s="13"/>
      <c r="M41" s="17"/>
      <c r="N41" s="17"/>
      <c r="O41" s="37"/>
      <c r="P41" s="5"/>
    </row>
    <row r="42" spans="1:16" ht="14.25">
      <c r="A42" s="226"/>
      <c r="B42" s="4"/>
      <c r="C42" s="6"/>
      <c r="D42" s="1357" t="s">
        <v>35</v>
      </c>
      <c r="E42" s="1358"/>
      <c r="F42" s="1359"/>
      <c r="G42" s="239">
        <f>+G39+G30+G16</f>
        <v>87156</v>
      </c>
      <c r="H42" s="9"/>
      <c r="I42" s="48"/>
      <c r="J42" s="20"/>
      <c r="K42" s="8"/>
      <c r="L42" s="8"/>
      <c r="M42" s="8"/>
      <c r="N42" s="8"/>
      <c r="O42" s="8"/>
      <c r="P42" s="5"/>
    </row>
    <row r="43" spans="1:16" ht="14.25">
      <c r="A43" s="240"/>
      <c r="B43" s="57"/>
      <c r="C43" s="58"/>
      <c r="D43" s="99"/>
      <c r="E43" s="99"/>
      <c r="F43" s="99"/>
      <c r="G43" s="251"/>
      <c r="H43" s="9"/>
      <c r="I43" s="48"/>
      <c r="J43" s="20"/>
      <c r="K43" s="8"/>
      <c r="L43" s="8"/>
      <c r="M43" s="8"/>
      <c r="N43" s="8"/>
      <c r="O43" s="8"/>
      <c r="P43" s="5"/>
    </row>
    <row r="44" spans="1:16" ht="14.25">
      <c r="A44" s="374"/>
      <c r="B44" s="375"/>
      <c r="C44" s="375"/>
      <c r="D44" s="99"/>
      <c r="E44" s="99"/>
      <c r="F44" s="99"/>
      <c r="G44" s="251"/>
      <c r="H44" s="9"/>
      <c r="I44" s="48"/>
      <c r="J44" s="20"/>
      <c r="K44" s="8"/>
      <c r="L44" s="8"/>
      <c r="M44" s="8"/>
      <c r="N44" s="8"/>
      <c r="O44" s="8"/>
      <c r="P44" s="5"/>
    </row>
    <row r="45" spans="1:16" ht="14.25">
      <c r="A45" s="373"/>
      <c r="B45" s="376"/>
      <c r="C45" s="376"/>
      <c r="D45" s="99"/>
      <c r="E45" s="99"/>
      <c r="F45" s="99"/>
      <c r="G45" s="251"/>
      <c r="H45" s="9"/>
      <c r="I45" s="48"/>
      <c r="J45" s="20"/>
      <c r="K45" s="8"/>
      <c r="L45" s="8"/>
      <c r="M45" s="8"/>
      <c r="N45" s="8"/>
      <c r="O45" s="8"/>
      <c r="P45" s="5"/>
    </row>
    <row r="46" spans="1:16" ht="14.25">
      <c r="A46" s="373"/>
      <c r="B46" s="376"/>
      <c r="C46" s="376"/>
      <c r="D46" s="44"/>
      <c r="E46" s="45"/>
      <c r="F46" s="45"/>
      <c r="G46" s="251"/>
      <c r="H46" s="9"/>
      <c r="I46" s="8"/>
      <c r="J46" s="13"/>
      <c r="K46" s="8"/>
      <c r="L46" s="8"/>
      <c r="M46" s="8"/>
      <c r="N46" s="8"/>
      <c r="O46" s="8"/>
      <c r="P46" s="5"/>
    </row>
    <row r="47" spans="1:16" ht="15" thickBot="1">
      <c r="A47" s="242"/>
      <c r="B47" s="243"/>
      <c r="C47" s="244"/>
      <c r="D47" s="245"/>
      <c r="E47" s="246"/>
      <c r="F47" s="246"/>
      <c r="G47" s="247"/>
      <c r="H47" s="9"/>
      <c r="I47" s="8"/>
      <c r="J47" s="13"/>
      <c r="K47" s="8"/>
      <c r="L47" s="8"/>
      <c r="M47" s="8"/>
      <c r="N47" s="8"/>
      <c r="O47" s="8"/>
      <c r="P47" s="5"/>
    </row>
    <row r="48" spans="1:16">
      <c r="I48" s="5"/>
      <c r="J48" s="5"/>
      <c r="K48" s="5"/>
      <c r="L48" s="5"/>
      <c r="M48" s="5"/>
      <c r="N48" s="5"/>
      <c r="O48" s="5"/>
      <c r="P48" s="5"/>
    </row>
    <row r="49" spans="9:16">
      <c r="I49" s="5"/>
      <c r="J49" s="5"/>
      <c r="K49" s="5"/>
      <c r="L49" s="5"/>
      <c r="M49" s="5"/>
      <c r="N49" s="5"/>
      <c r="O49" s="5"/>
      <c r="P49" s="5"/>
    </row>
  </sheetData>
  <mergeCells count="26">
    <mergeCell ref="A10:C10"/>
    <mergeCell ref="A1:G1"/>
    <mergeCell ref="A2:G2"/>
    <mergeCell ref="A3:G4"/>
    <mergeCell ref="B6:E6"/>
    <mergeCell ref="A8:G8"/>
    <mergeCell ref="A24:C24"/>
    <mergeCell ref="A11:C11"/>
    <mergeCell ref="A12:C12"/>
    <mergeCell ref="A13:C13"/>
    <mergeCell ref="A14:C14"/>
    <mergeCell ref="A15:C15"/>
    <mergeCell ref="A16:C16"/>
    <mergeCell ref="A18:G18"/>
    <mergeCell ref="A20:C20"/>
    <mergeCell ref="A21:C21"/>
    <mergeCell ref="A22:C22"/>
    <mergeCell ref="A23:C23"/>
    <mergeCell ref="A32:G32"/>
    <mergeCell ref="D42:F42"/>
    <mergeCell ref="A25:C25"/>
    <mergeCell ref="A26:C26"/>
    <mergeCell ref="A27:C27"/>
    <mergeCell ref="A28:C28"/>
    <mergeCell ref="A29:C29"/>
    <mergeCell ref="A30:C30"/>
  </mergeCells>
  <printOptions horizontalCentered="1" verticalCentered="1"/>
  <pageMargins left="0.74803149606299213" right="0.74803149606299213" top="0" bottom="0.98425196850393704" header="0" footer="0"/>
  <pageSetup scale="90" orientation="portrait" r:id="rId1"/>
  <headerFooter alignWithMargins="0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73"/>
  <dimension ref="A1:U49"/>
  <sheetViews>
    <sheetView view="pageBreakPreview" topLeftCell="A11" zoomScaleNormal="100" zoomScaleSheetLayoutView="100" workbookViewId="0">
      <selection activeCell="F22" sqref="F22"/>
    </sheetView>
  </sheetViews>
  <sheetFormatPr baseColWidth="10" defaultColWidth="10.7109375" defaultRowHeight="12.75"/>
  <cols>
    <col min="1" max="1" width="15.85546875" style="3" customWidth="1"/>
    <col min="2" max="2" width="14.85546875" style="3" customWidth="1"/>
    <col min="3" max="3" width="13.28515625" style="3" customWidth="1"/>
    <col min="4" max="4" width="11.42578125" style="3"/>
    <col min="5" max="5" width="13.42578125" style="3" customWidth="1"/>
    <col min="6" max="6" width="12.7109375" style="3" customWidth="1"/>
    <col min="7" max="7" width="14" style="3" customWidth="1"/>
    <col min="8" max="8" width="7.42578125" style="3" customWidth="1"/>
    <col min="9" max="256" width="11.42578125" style="3"/>
    <col min="257" max="257" width="15.85546875" style="3" customWidth="1"/>
    <col min="258" max="258" width="14.85546875" style="3" customWidth="1"/>
    <col min="259" max="259" width="13.28515625" style="3" customWidth="1"/>
    <col min="260" max="260" width="11.42578125" style="3"/>
    <col min="261" max="261" width="13.42578125" style="3" customWidth="1"/>
    <col min="262" max="262" width="12.7109375" style="3" customWidth="1"/>
    <col min="263" max="263" width="14" style="3" customWidth="1"/>
    <col min="264" max="264" width="7.42578125" style="3" customWidth="1"/>
    <col min="265" max="512" width="11.42578125" style="3"/>
    <col min="513" max="513" width="15.85546875" style="3" customWidth="1"/>
    <col min="514" max="514" width="14.85546875" style="3" customWidth="1"/>
    <col min="515" max="515" width="13.28515625" style="3" customWidth="1"/>
    <col min="516" max="516" width="11.42578125" style="3"/>
    <col min="517" max="517" width="13.42578125" style="3" customWidth="1"/>
    <col min="518" max="518" width="12.7109375" style="3" customWidth="1"/>
    <col min="519" max="519" width="14" style="3" customWidth="1"/>
    <col min="520" max="520" width="7.42578125" style="3" customWidth="1"/>
    <col min="521" max="768" width="11.42578125" style="3"/>
    <col min="769" max="769" width="15.85546875" style="3" customWidth="1"/>
    <col min="770" max="770" width="14.85546875" style="3" customWidth="1"/>
    <col min="771" max="771" width="13.28515625" style="3" customWidth="1"/>
    <col min="772" max="772" width="11.42578125" style="3"/>
    <col min="773" max="773" width="13.42578125" style="3" customWidth="1"/>
    <col min="774" max="774" width="12.7109375" style="3" customWidth="1"/>
    <col min="775" max="775" width="14" style="3" customWidth="1"/>
    <col min="776" max="776" width="7.42578125" style="3" customWidth="1"/>
    <col min="777" max="1024" width="11.42578125" style="3"/>
    <col min="1025" max="1025" width="15.85546875" style="3" customWidth="1"/>
    <col min="1026" max="1026" width="14.85546875" style="3" customWidth="1"/>
    <col min="1027" max="1027" width="13.28515625" style="3" customWidth="1"/>
    <col min="1028" max="1028" width="11.42578125" style="3"/>
    <col min="1029" max="1029" width="13.42578125" style="3" customWidth="1"/>
    <col min="1030" max="1030" width="12.7109375" style="3" customWidth="1"/>
    <col min="1031" max="1031" width="14" style="3" customWidth="1"/>
    <col min="1032" max="1032" width="7.42578125" style="3" customWidth="1"/>
    <col min="1033" max="1280" width="11.42578125" style="3"/>
    <col min="1281" max="1281" width="15.85546875" style="3" customWidth="1"/>
    <col min="1282" max="1282" width="14.85546875" style="3" customWidth="1"/>
    <col min="1283" max="1283" width="13.28515625" style="3" customWidth="1"/>
    <col min="1284" max="1284" width="11.42578125" style="3"/>
    <col min="1285" max="1285" width="13.42578125" style="3" customWidth="1"/>
    <col min="1286" max="1286" width="12.7109375" style="3" customWidth="1"/>
    <col min="1287" max="1287" width="14" style="3" customWidth="1"/>
    <col min="1288" max="1288" width="7.42578125" style="3" customWidth="1"/>
    <col min="1289" max="1536" width="11.42578125" style="3"/>
    <col min="1537" max="1537" width="15.85546875" style="3" customWidth="1"/>
    <col min="1538" max="1538" width="14.85546875" style="3" customWidth="1"/>
    <col min="1539" max="1539" width="13.28515625" style="3" customWidth="1"/>
    <col min="1540" max="1540" width="11.42578125" style="3"/>
    <col min="1541" max="1541" width="13.42578125" style="3" customWidth="1"/>
    <col min="1542" max="1542" width="12.7109375" style="3" customWidth="1"/>
    <col min="1543" max="1543" width="14" style="3" customWidth="1"/>
    <col min="1544" max="1544" width="7.42578125" style="3" customWidth="1"/>
    <col min="1545" max="1792" width="11.42578125" style="3"/>
    <col min="1793" max="1793" width="15.85546875" style="3" customWidth="1"/>
    <col min="1794" max="1794" width="14.85546875" style="3" customWidth="1"/>
    <col min="1795" max="1795" width="13.28515625" style="3" customWidth="1"/>
    <col min="1796" max="1796" width="11.42578125" style="3"/>
    <col min="1797" max="1797" width="13.42578125" style="3" customWidth="1"/>
    <col min="1798" max="1798" width="12.7109375" style="3" customWidth="1"/>
    <col min="1799" max="1799" width="14" style="3" customWidth="1"/>
    <col min="1800" max="1800" width="7.42578125" style="3" customWidth="1"/>
    <col min="1801" max="2048" width="11.42578125" style="3"/>
    <col min="2049" max="2049" width="15.85546875" style="3" customWidth="1"/>
    <col min="2050" max="2050" width="14.85546875" style="3" customWidth="1"/>
    <col min="2051" max="2051" width="13.28515625" style="3" customWidth="1"/>
    <col min="2052" max="2052" width="11.42578125" style="3"/>
    <col min="2053" max="2053" width="13.42578125" style="3" customWidth="1"/>
    <col min="2054" max="2054" width="12.7109375" style="3" customWidth="1"/>
    <col min="2055" max="2055" width="14" style="3" customWidth="1"/>
    <col min="2056" max="2056" width="7.42578125" style="3" customWidth="1"/>
    <col min="2057" max="2304" width="11.42578125" style="3"/>
    <col min="2305" max="2305" width="15.85546875" style="3" customWidth="1"/>
    <col min="2306" max="2306" width="14.85546875" style="3" customWidth="1"/>
    <col min="2307" max="2307" width="13.28515625" style="3" customWidth="1"/>
    <col min="2308" max="2308" width="11.42578125" style="3"/>
    <col min="2309" max="2309" width="13.42578125" style="3" customWidth="1"/>
    <col min="2310" max="2310" width="12.7109375" style="3" customWidth="1"/>
    <col min="2311" max="2311" width="14" style="3" customWidth="1"/>
    <col min="2312" max="2312" width="7.42578125" style="3" customWidth="1"/>
    <col min="2313" max="2560" width="11.42578125" style="3"/>
    <col min="2561" max="2561" width="15.85546875" style="3" customWidth="1"/>
    <col min="2562" max="2562" width="14.85546875" style="3" customWidth="1"/>
    <col min="2563" max="2563" width="13.28515625" style="3" customWidth="1"/>
    <col min="2564" max="2564" width="11.42578125" style="3"/>
    <col min="2565" max="2565" width="13.42578125" style="3" customWidth="1"/>
    <col min="2566" max="2566" width="12.7109375" style="3" customWidth="1"/>
    <col min="2567" max="2567" width="14" style="3" customWidth="1"/>
    <col min="2568" max="2568" width="7.42578125" style="3" customWidth="1"/>
    <col min="2569" max="2816" width="11.42578125" style="3"/>
    <col min="2817" max="2817" width="15.85546875" style="3" customWidth="1"/>
    <col min="2818" max="2818" width="14.85546875" style="3" customWidth="1"/>
    <col min="2819" max="2819" width="13.28515625" style="3" customWidth="1"/>
    <col min="2820" max="2820" width="11.42578125" style="3"/>
    <col min="2821" max="2821" width="13.42578125" style="3" customWidth="1"/>
    <col min="2822" max="2822" width="12.7109375" style="3" customWidth="1"/>
    <col min="2823" max="2823" width="14" style="3" customWidth="1"/>
    <col min="2824" max="2824" width="7.42578125" style="3" customWidth="1"/>
    <col min="2825" max="3072" width="11.42578125" style="3"/>
    <col min="3073" max="3073" width="15.85546875" style="3" customWidth="1"/>
    <col min="3074" max="3074" width="14.85546875" style="3" customWidth="1"/>
    <col min="3075" max="3075" width="13.28515625" style="3" customWidth="1"/>
    <col min="3076" max="3076" width="11.42578125" style="3"/>
    <col min="3077" max="3077" width="13.42578125" style="3" customWidth="1"/>
    <col min="3078" max="3078" width="12.7109375" style="3" customWidth="1"/>
    <col min="3079" max="3079" width="14" style="3" customWidth="1"/>
    <col min="3080" max="3080" width="7.42578125" style="3" customWidth="1"/>
    <col min="3081" max="3328" width="11.42578125" style="3"/>
    <col min="3329" max="3329" width="15.85546875" style="3" customWidth="1"/>
    <col min="3330" max="3330" width="14.85546875" style="3" customWidth="1"/>
    <col min="3331" max="3331" width="13.28515625" style="3" customWidth="1"/>
    <col min="3332" max="3332" width="11.42578125" style="3"/>
    <col min="3333" max="3333" width="13.42578125" style="3" customWidth="1"/>
    <col min="3334" max="3334" width="12.7109375" style="3" customWidth="1"/>
    <col min="3335" max="3335" width="14" style="3" customWidth="1"/>
    <col min="3336" max="3336" width="7.42578125" style="3" customWidth="1"/>
    <col min="3337" max="3584" width="11.42578125" style="3"/>
    <col min="3585" max="3585" width="15.85546875" style="3" customWidth="1"/>
    <col min="3586" max="3586" width="14.85546875" style="3" customWidth="1"/>
    <col min="3587" max="3587" width="13.28515625" style="3" customWidth="1"/>
    <col min="3588" max="3588" width="11.42578125" style="3"/>
    <col min="3589" max="3589" width="13.42578125" style="3" customWidth="1"/>
    <col min="3590" max="3590" width="12.7109375" style="3" customWidth="1"/>
    <col min="3591" max="3591" width="14" style="3" customWidth="1"/>
    <col min="3592" max="3592" width="7.42578125" style="3" customWidth="1"/>
    <col min="3593" max="3840" width="11.42578125" style="3"/>
    <col min="3841" max="3841" width="15.85546875" style="3" customWidth="1"/>
    <col min="3842" max="3842" width="14.85546875" style="3" customWidth="1"/>
    <col min="3843" max="3843" width="13.28515625" style="3" customWidth="1"/>
    <col min="3844" max="3844" width="11.42578125" style="3"/>
    <col min="3845" max="3845" width="13.42578125" style="3" customWidth="1"/>
    <col min="3846" max="3846" width="12.7109375" style="3" customWidth="1"/>
    <col min="3847" max="3847" width="14" style="3" customWidth="1"/>
    <col min="3848" max="3848" width="7.42578125" style="3" customWidth="1"/>
    <col min="3849" max="4096" width="11.42578125" style="3"/>
    <col min="4097" max="4097" width="15.85546875" style="3" customWidth="1"/>
    <col min="4098" max="4098" width="14.85546875" style="3" customWidth="1"/>
    <col min="4099" max="4099" width="13.28515625" style="3" customWidth="1"/>
    <col min="4100" max="4100" width="11.42578125" style="3"/>
    <col min="4101" max="4101" width="13.42578125" style="3" customWidth="1"/>
    <col min="4102" max="4102" width="12.7109375" style="3" customWidth="1"/>
    <col min="4103" max="4103" width="14" style="3" customWidth="1"/>
    <col min="4104" max="4104" width="7.42578125" style="3" customWidth="1"/>
    <col min="4105" max="4352" width="11.42578125" style="3"/>
    <col min="4353" max="4353" width="15.85546875" style="3" customWidth="1"/>
    <col min="4354" max="4354" width="14.85546875" style="3" customWidth="1"/>
    <col min="4355" max="4355" width="13.28515625" style="3" customWidth="1"/>
    <col min="4356" max="4356" width="11.42578125" style="3"/>
    <col min="4357" max="4357" width="13.42578125" style="3" customWidth="1"/>
    <col min="4358" max="4358" width="12.7109375" style="3" customWidth="1"/>
    <col min="4359" max="4359" width="14" style="3" customWidth="1"/>
    <col min="4360" max="4360" width="7.42578125" style="3" customWidth="1"/>
    <col min="4361" max="4608" width="11.42578125" style="3"/>
    <col min="4609" max="4609" width="15.85546875" style="3" customWidth="1"/>
    <col min="4610" max="4610" width="14.85546875" style="3" customWidth="1"/>
    <col min="4611" max="4611" width="13.28515625" style="3" customWidth="1"/>
    <col min="4612" max="4612" width="11.42578125" style="3"/>
    <col min="4613" max="4613" width="13.42578125" style="3" customWidth="1"/>
    <col min="4614" max="4614" width="12.7109375" style="3" customWidth="1"/>
    <col min="4615" max="4615" width="14" style="3" customWidth="1"/>
    <col min="4616" max="4616" width="7.42578125" style="3" customWidth="1"/>
    <col min="4617" max="4864" width="11.42578125" style="3"/>
    <col min="4865" max="4865" width="15.85546875" style="3" customWidth="1"/>
    <col min="4866" max="4866" width="14.85546875" style="3" customWidth="1"/>
    <col min="4867" max="4867" width="13.28515625" style="3" customWidth="1"/>
    <col min="4868" max="4868" width="11.42578125" style="3"/>
    <col min="4869" max="4869" width="13.42578125" style="3" customWidth="1"/>
    <col min="4870" max="4870" width="12.7109375" style="3" customWidth="1"/>
    <col min="4871" max="4871" width="14" style="3" customWidth="1"/>
    <col min="4872" max="4872" width="7.42578125" style="3" customWidth="1"/>
    <col min="4873" max="5120" width="11.42578125" style="3"/>
    <col min="5121" max="5121" width="15.85546875" style="3" customWidth="1"/>
    <col min="5122" max="5122" width="14.85546875" style="3" customWidth="1"/>
    <col min="5123" max="5123" width="13.28515625" style="3" customWidth="1"/>
    <col min="5124" max="5124" width="11.42578125" style="3"/>
    <col min="5125" max="5125" width="13.42578125" style="3" customWidth="1"/>
    <col min="5126" max="5126" width="12.7109375" style="3" customWidth="1"/>
    <col min="5127" max="5127" width="14" style="3" customWidth="1"/>
    <col min="5128" max="5128" width="7.42578125" style="3" customWidth="1"/>
    <col min="5129" max="5376" width="11.42578125" style="3"/>
    <col min="5377" max="5377" width="15.85546875" style="3" customWidth="1"/>
    <col min="5378" max="5378" width="14.85546875" style="3" customWidth="1"/>
    <col min="5379" max="5379" width="13.28515625" style="3" customWidth="1"/>
    <col min="5380" max="5380" width="11.42578125" style="3"/>
    <col min="5381" max="5381" width="13.42578125" style="3" customWidth="1"/>
    <col min="5382" max="5382" width="12.7109375" style="3" customWidth="1"/>
    <col min="5383" max="5383" width="14" style="3" customWidth="1"/>
    <col min="5384" max="5384" width="7.42578125" style="3" customWidth="1"/>
    <col min="5385" max="5632" width="11.42578125" style="3"/>
    <col min="5633" max="5633" width="15.85546875" style="3" customWidth="1"/>
    <col min="5634" max="5634" width="14.85546875" style="3" customWidth="1"/>
    <col min="5635" max="5635" width="13.28515625" style="3" customWidth="1"/>
    <col min="5636" max="5636" width="11.42578125" style="3"/>
    <col min="5637" max="5637" width="13.42578125" style="3" customWidth="1"/>
    <col min="5638" max="5638" width="12.7109375" style="3" customWidth="1"/>
    <col min="5639" max="5639" width="14" style="3" customWidth="1"/>
    <col min="5640" max="5640" width="7.42578125" style="3" customWidth="1"/>
    <col min="5641" max="5888" width="11.42578125" style="3"/>
    <col min="5889" max="5889" width="15.85546875" style="3" customWidth="1"/>
    <col min="5890" max="5890" width="14.85546875" style="3" customWidth="1"/>
    <col min="5891" max="5891" width="13.28515625" style="3" customWidth="1"/>
    <col min="5892" max="5892" width="11.42578125" style="3"/>
    <col min="5893" max="5893" width="13.42578125" style="3" customWidth="1"/>
    <col min="5894" max="5894" width="12.7109375" style="3" customWidth="1"/>
    <col min="5895" max="5895" width="14" style="3" customWidth="1"/>
    <col min="5896" max="5896" width="7.42578125" style="3" customWidth="1"/>
    <col min="5897" max="6144" width="11.42578125" style="3"/>
    <col min="6145" max="6145" width="15.85546875" style="3" customWidth="1"/>
    <col min="6146" max="6146" width="14.85546875" style="3" customWidth="1"/>
    <col min="6147" max="6147" width="13.28515625" style="3" customWidth="1"/>
    <col min="6148" max="6148" width="11.42578125" style="3"/>
    <col min="6149" max="6149" width="13.42578125" style="3" customWidth="1"/>
    <col min="6150" max="6150" width="12.7109375" style="3" customWidth="1"/>
    <col min="6151" max="6151" width="14" style="3" customWidth="1"/>
    <col min="6152" max="6152" width="7.42578125" style="3" customWidth="1"/>
    <col min="6153" max="6400" width="11.42578125" style="3"/>
    <col min="6401" max="6401" width="15.85546875" style="3" customWidth="1"/>
    <col min="6402" max="6402" width="14.85546875" style="3" customWidth="1"/>
    <col min="6403" max="6403" width="13.28515625" style="3" customWidth="1"/>
    <col min="6404" max="6404" width="11.42578125" style="3"/>
    <col min="6405" max="6405" width="13.42578125" style="3" customWidth="1"/>
    <col min="6406" max="6406" width="12.7109375" style="3" customWidth="1"/>
    <col min="6407" max="6407" width="14" style="3" customWidth="1"/>
    <col min="6408" max="6408" width="7.42578125" style="3" customWidth="1"/>
    <col min="6409" max="6656" width="11.42578125" style="3"/>
    <col min="6657" max="6657" width="15.85546875" style="3" customWidth="1"/>
    <col min="6658" max="6658" width="14.85546875" style="3" customWidth="1"/>
    <col min="6659" max="6659" width="13.28515625" style="3" customWidth="1"/>
    <col min="6660" max="6660" width="11.42578125" style="3"/>
    <col min="6661" max="6661" width="13.42578125" style="3" customWidth="1"/>
    <col min="6662" max="6662" width="12.7109375" style="3" customWidth="1"/>
    <col min="6663" max="6663" width="14" style="3" customWidth="1"/>
    <col min="6664" max="6664" width="7.42578125" style="3" customWidth="1"/>
    <col min="6665" max="6912" width="11.42578125" style="3"/>
    <col min="6913" max="6913" width="15.85546875" style="3" customWidth="1"/>
    <col min="6914" max="6914" width="14.85546875" style="3" customWidth="1"/>
    <col min="6915" max="6915" width="13.28515625" style="3" customWidth="1"/>
    <col min="6916" max="6916" width="11.42578125" style="3"/>
    <col min="6917" max="6917" width="13.42578125" style="3" customWidth="1"/>
    <col min="6918" max="6918" width="12.7109375" style="3" customWidth="1"/>
    <col min="6919" max="6919" width="14" style="3" customWidth="1"/>
    <col min="6920" max="6920" width="7.42578125" style="3" customWidth="1"/>
    <col min="6921" max="7168" width="11.42578125" style="3"/>
    <col min="7169" max="7169" width="15.85546875" style="3" customWidth="1"/>
    <col min="7170" max="7170" width="14.85546875" style="3" customWidth="1"/>
    <col min="7171" max="7171" width="13.28515625" style="3" customWidth="1"/>
    <col min="7172" max="7172" width="11.42578125" style="3"/>
    <col min="7173" max="7173" width="13.42578125" style="3" customWidth="1"/>
    <col min="7174" max="7174" width="12.7109375" style="3" customWidth="1"/>
    <col min="7175" max="7175" width="14" style="3" customWidth="1"/>
    <col min="7176" max="7176" width="7.42578125" style="3" customWidth="1"/>
    <col min="7177" max="7424" width="11.42578125" style="3"/>
    <col min="7425" max="7425" width="15.85546875" style="3" customWidth="1"/>
    <col min="7426" max="7426" width="14.85546875" style="3" customWidth="1"/>
    <col min="7427" max="7427" width="13.28515625" style="3" customWidth="1"/>
    <col min="7428" max="7428" width="11.42578125" style="3"/>
    <col min="7429" max="7429" width="13.42578125" style="3" customWidth="1"/>
    <col min="7430" max="7430" width="12.7109375" style="3" customWidth="1"/>
    <col min="7431" max="7431" width="14" style="3" customWidth="1"/>
    <col min="7432" max="7432" width="7.42578125" style="3" customWidth="1"/>
    <col min="7433" max="7680" width="11.42578125" style="3"/>
    <col min="7681" max="7681" width="15.85546875" style="3" customWidth="1"/>
    <col min="7682" max="7682" width="14.85546875" style="3" customWidth="1"/>
    <col min="7683" max="7683" width="13.28515625" style="3" customWidth="1"/>
    <col min="7684" max="7684" width="11.42578125" style="3"/>
    <col min="7685" max="7685" width="13.42578125" style="3" customWidth="1"/>
    <col min="7686" max="7686" width="12.7109375" style="3" customWidth="1"/>
    <col min="7687" max="7687" width="14" style="3" customWidth="1"/>
    <col min="7688" max="7688" width="7.42578125" style="3" customWidth="1"/>
    <col min="7689" max="7936" width="11.42578125" style="3"/>
    <col min="7937" max="7937" width="15.85546875" style="3" customWidth="1"/>
    <col min="7938" max="7938" width="14.85546875" style="3" customWidth="1"/>
    <col min="7939" max="7939" width="13.28515625" style="3" customWidth="1"/>
    <col min="7940" max="7940" width="11.42578125" style="3"/>
    <col min="7941" max="7941" width="13.42578125" style="3" customWidth="1"/>
    <col min="7942" max="7942" width="12.7109375" style="3" customWidth="1"/>
    <col min="7943" max="7943" width="14" style="3" customWidth="1"/>
    <col min="7944" max="7944" width="7.42578125" style="3" customWidth="1"/>
    <col min="7945" max="8192" width="11.42578125" style="3"/>
    <col min="8193" max="8193" width="15.85546875" style="3" customWidth="1"/>
    <col min="8194" max="8194" width="14.85546875" style="3" customWidth="1"/>
    <col min="8195" max="8195" width="13.28515625" style="3" customWidth="1"/>
    <col min="8196" max="8196" width="11.42578125" style="3"/>
    <col min="8197" max="8197" width="13.42578125" style="3" customWidth="1"/>
    <col min="8198" max="8198" width="12.7109375" style="3" customWidth="1"/>
    <col min="8199" max="8199" width="14" style="3" customWidth="1"/>
    <col min="8200" max="8200" width="7.42578125" style="3" customWidth="1"/>
    <col min="8201" max="8448" width="11.42578125" style="3"/>
    <col min="8449" max="8449" width="15.85546875" style="3" customWidth="1"/>
    <col min="8450" max="8450" width="14.85546875" style="3" customWidth="1"/>
    <col min="8451" max="8451" width="13.28515625" style="3" customWidth="1"/>
    <col min="8452" max="8452" width="11.42578125" style="3"/>
    <col min="8453" max="8453" width="13.42578125" style="3" customWidth="1"/>
    <col min="8454" max="8454" width="12.7109375" style="3" customWidth="1"/>
    <col min="8455" max="8455" width="14" style="3" customWidth="1"/>
    <col min="8456" max="8456" width="7.42578125" style="3" customWidth="1"/>
    <col min="8457" max="8704" width="11.42578125" style="3"/>
    <col min="8705" max="8705" width="15.85546875" style="3" customWidth="1"/>
    <col min="8706" max="8706" width="14.85546875" style="3" customWidth="1"/>
    <col min="8707" max="8707" width="13.28515625" style="3" customWidth="1"/>
    <col min="8708" max="8708" width="11.42578125" style="3"/>
    <col min="8709" max="8709" width="13.42578125" style="3" customWidth="1"/>
    <col min="8710" max="8710" width="12.7109375" style="3" customWidth="1"/>
    <col min="8711" max="8711" width="14" style="3" customWidth="1"/>
    <col min="8712" max="8712" width="7.42578125" style="3" customWidth="1"/>
    <col min="8713" max="8960" width="11.42578125" style="3"/>
    <col min="8961" max="8961" width="15.85546875" style="3" customWidth="1"/>
    <col min="8962" max="8962" width="14.85546875" style="3" customWidth="1"/>
    <col min="8963" max="8963" width="13.28515625" style="3" customWidth="1"/>
    <col min="8964" max="8964" width="11.42578125" style="3"/>
    <col min="8965" max="8965" width="13.42578125" style="3" customWidth="1"/>
    <col min="8966" max="8966" width="12.7109375" style="3" customWidth="1"/>
    <col min="8967" max="8967" width="14" style="3" customWidth="1"/>
    <col min="8968" max="8968" width="7.42578125" style="3" customWidth="1"/>
    <col min="8969" max="9216" width="11.42578125" style="3"/>
    <col min="9217" max="9217" width="15.85546875" style="3" customWidth="1"/>
    <col min="9218" max="9218" width="14.85546875" style="3" customWidth="1"/>
    <col min="9219" max="9219" width="13.28515625" style="3" customWidth="1"/>
    <col min="9220" max="9220" width="11.42578125" style="3"/>
    <col min="9221" max="9221" width="13.42578125" style="3" customWidth="1"/>
    <col min="9222" max="9222" width="12.7109375" style="3" customWidth="1"/>
    <col min="9223" max="9223" width="14" style="3" customWidth="1"/>
    <col min="9224" max="9224" width="7.42578125" style="3" customWidth="1"/>
    <col min="9225" max="9472" width="11.42578125" style="3"/>
    <col min="9473" max="9473" width="15.85546875" style="3" customWidth="1"/>
    <col min="9474" max="9474" width="14.85546875" style="3" customWidth="1"/>
    <col min="9475" max="9475" width="13.28515625" style="3" customWidth="1"/>
    <col min="9476" max="9476" width="11.42578125" style="3"/>
    <col min="9477" max="9477" width="13.42578125" style="3" customWidth="1"/>
    <col min="9478" max="9478" width="12.7109375" style="3" customWidth="1"/>
    <col min="9479" max="9479" width="14" style="3" customWidth="1"/>
    <col min="9480" max="9480" width="7.42578125" style="3" customWidth="1"/>
    <col min="9481" max="9728" width="11.42578125" style="3"/>
    <col min="9729" max="9729" width="15.85546875" style="3" customWidth="1"/>
    <col min="9730" max="9730" width="14.85546875" style="3" customWidth="1"/>
    <col min="9731" max="9731" width="13.28515625" style="3" customWidth="1"/>
    <col min="9732" max="9732" width="11.42578125" style="3"/>
    <col min="9733" max="9733" width="13.42578125" style="3" customWidth="1"/>
    <col min="9734" max="9734" width="12.7109375" style="3" customWidth="1"/>
    <col min="9735" max="9735" width="14" style="3" customWidth="1"/>
    <col min="9736" max="9736" width="7.42578125" style="3" customWidth="1"/>
    <col min="9737" max="9984" width="11.42578125" style="3"/>
    <col min="9985" max="9985" width="15.85546875" style="3" customWidth="1"/>
    <col min="9986" max="9986" width="14.85546875" style="3" customWidth="1"/>
    <col min="9987" max="9987" width="13.28515625" style="3" customWidth="1"/>
    <col min="9988" max="9988" width="11.42578125" style="3"/>
    <col min="9989" max="9989" width="13.42578125" style="3" customWidth="1"/>
    <col min="9990" max="9990" width="12.7109375" style="3" customWidth="1"/>
    <col min="9991" max="9991" width="14" style="3" customWidth="1"/>
    <col min="9992" max="9992" width="7.42578125" style="3" customWidth="1"/>
    <col min="9993" max="10240" width="11.42578125" style="3"/>
    <col min="10241" max="10241" width="15.85546875" style="3" customWidth="1"/>
    <col min="10242" max="10242" width="14.85546875" style="3" customWidth="1"/>
    <col min="10243" max="10243" width="13.28515625" style="3" customWidth="1"/>
    <col min="10244" max="10244" width="11.42578125" style="3"/>
    <col min="10245" max="10245" width="13.42578125" style="3" customWidth="1"/>
    <col min="10246" max="10246" width="12.7109375" style="3" customWidth="1"/>
    <col min="10247" max="10247" width="14" style="3" customWidth="1"/>
    <col min="10248" max="10248" width="7.42578125" style="3" customWidth="1"/>
    <col min="10249" max="10496" width="11.42578125" style="3"/>
    <col min="10497" max="10497" width="15.85546875" style="3" customWidth="1"/>
    <col min="10498" max="10498" width="14.85546875" style="3" customWidth="1"/>
    <col min="10499" max="10499" width="13.28515625" style="3" customWidth="1"/>
    <col min="10500" max="10500" width="11.42578125" style="3"/>
    <col min="10501" max="10501" width="13.42578125" style="3" customWidth="1"/>
    <col min="10502" max="10502" width="12.7109375" style="3" customWidth="1"/>
    <col min="10503" max="10503" width="14" style="3" customWidth="1"/>
    <col min="10504" max="10504" width="7.42578125" style="3" customWidth="1"/>
    <col min="10505" max="10752" width="11.42578125" style="3"/>
    <col min="10753" max="10753" width="15.85546875" style="3" customWidth="1"/>
    <col min="10754" max="10754" width="14.85546875" style="3" customWidth="1"/>
    <col min="10755" max="10755" width="13.28515625" style="3" customWidth="1"/>
    <col min="10756" max="10756" width="11.42578125" style="3"/>
    <col min="10757" max="10757" width="13.42578125" style="3" customWidth="1"/>
    <col min="10758" max="10758" width="12.7109375" style="3" customWidth="1"/>
    <col min="10759" max="10759" width="14" style="3" customWidth="1"/>
    <col min="10760" max="10760" width="7.42578125" style="3" customWidth="1"/>
    <col min="10761" max="11008" width="11.42578125" style="3"/>
    <col min="11009" max="11009" width="15.85546875" style="3" customWidth="1"/>
    <col min="11010" max="11010" width="14.85546875" style="3" customWidth="1"/>
    <col min="11011" max="11011" width="13.28515625" style="3" customWidth="1"/>
    <col min="11012" max="11012" width="11.42578125" style="3"/>
    <col min="11013" max="11013" width="13.42578125" style="3" customWidth="1"/>
    <col min="11014" max="11014" width="12.7109375" style="3" customWidth="1"/>
    <col min="11015" max="11015" width="14" style="3" customWidth="1"/>
    <col min="11016" max="11016" width="7.42578125" style="3" customWidth="1"/>
    <col min="11017" max="11264" width="11.42578125" style="3"/>
    <col min="11265" max="11265" width="15.85546875" style="3" customWidth="1"/>
    <col min="11266" max="11266" width="14.85546875" style="3" customWidth="1"/>
    <col min="11267" max="11267" width="13.28515625" style="3" customWidth="1"/>
    <col min="11268" max="11268" width="11.42578125" style="3"/>
    <col min="11269" max="11269" width="13.42578125" style="3" customWidth="1"/>
    <col min="11270" max="11270" width="12.7109375" style="3" customWidth="1"/>
    <col min="11271" max="11271" width="14" style="3" customWidth="1"/>
    <col min="11272" max="11272" width="7.42578125" style="3" customWidth="1"/>
    <col min="11273" max="11520" width="11.42578125" style="3"/>
    <col min="11521" max="11521" width="15.85546875" style="3" customWidth="1"/>
    <col min="11522" max="11522" width="14.85546875" style="3" customWidth="1"/>
    <col min="11523" max="11523" width="13.28515625" style="3" customWidth="1"/>
    <col min="11524" max="11524" width="11.42578125" style="3"/>
    <col min="11525" max="11525" width="13.42578125" style="3" customWidth="1"/>
    <col min="11526" max="11526" width="12.7109375" style="3" customWidth="1"/>
    <col min="11527" max="11527" width="14" style="3" customWidth="1"/>
    <col min="11528" max="11528" width="7.42578125" style="3" customWidth="1"/>
    <col min="11529" max="11776" width="11.42578125" style="3"/>
    <col min="11777" max="11777" width="15.85546875" style="3" customWidth="1"/>
    <col min="11778" max="11778" width="14.85546875" style="3" customWidth="1"/>
    <col min="11779" max="11779" width="13.28515625" style="3" customWidth="1"/>
    <col min="11780" max="11780" width="11.42578125" style="3"/>
    <col min="11781" max="11781" width="13.42578125" style="3" customWidth="1"/>
    <col min="11782" max="11782" width="12.7109375" style="3" customWidth="1"/>
    <col min="11783" max="11783" width="14" style="3" customWidth="1"/>
    <col min="11784" max="11784" width="7.42578125" style="3" customWidth="1"/>
    <col min="11785" max="12032" width="11.42578125" style="3"/>
    <col min="12033" max="12033" width="15.85546875" style="3" customWidth="1"/>
    <col min="12034" max="12034" width="14.85546875" style="3" customWidth="1"/>
    <col min="12035" max="12035" width="13.28515625" style="3" customWidth="1"/>
    <col min="12036" max="12036" width="11.42578125" style="3"/>
    <col min="12037" max="12037" width="13.42578125" style="3" customWidth="1"/>
    <col min="12038" max="12038" width="12.7109375" style="3" customWidth="1"/>
    <col min="12039" max="12039" width="14" style="3" customWidth="1"/>
    <col min="12040" max="12040" width="7.42578125" style="3" customWidth="1"/>
    <col min="12041" max="12288" width="11.42578125" style="3"/>
    <col min="12289" max="12289" width="15.85546875" style="3" customWidth="1"/>
    <col min="12290" max="12290" width="14.85546875" style="3" customWidth="1"/>
    <col min="12291" max="12291" width="13.28515625" style="3" customWidth="1"/>
    <col min="12292" max="12292" width="11.42578125" style="3"/>
    <col min="12293" max="12293" width="13.42578125" style="3" customWidth="1"/>
    <col min="12294" max="12294" width="12.7109375" style="3" customWidth="1"/>
    <col min="12295" max="12295" width="14" style="3" customWidth="1"/>
    <col min="12296" max="12296" width="7.42578125" style="3" customWidth="1"/>
    <col min="12297" max="12544" width="11.42578125" style="3"/>
    <col min="12545" max="12545" width="15.85546875" style="3" customWidth="1"/>
    <col min="12546" max="12546" width="14.85546875" style="3" customWidth="1"/>
    <col min="12547" max="12547" width="13.28515625" style="3" customWidth="1"/>
    <col min="12548" max="12548" width="11.42578125" style="3"/>
    <col min="12549" max="12549" width="13.42578125" style="3" customWidth="1"/>
    <col min="12550" max="12550" width="12.7109375" style="3" customWidth="1"/>
    <col min="12551" max="12551" width="14" style="3" customWidth="1"/>
    <col min="12552" max="12552" width="7.42578125" style="3" customWidth="1"/>
    <col min="12553" max="12800" width="11.42578125" style="3"/>
    <col min="12801" max="12801" width="15.85546875" style="3" customWidth="1"/>
    <col min="12802" max="12802" width="14.85546875" style="3" customWidth="1"/>
    <col min="12803" max="12803" width="13.28515625" style="3" customWidth="1"/>
    <col min="12804" max="12804" width="11.42578125" style="3"/>
    <col min="12805" max="12805" width="13.42578125" style="3" customWidth="1"/>
    <col min="12806" max="12806" width="12.7109375" style="3" customWidth="1"/>
    <col min="12807" max="12807" width="14" style="3" customWidth="1"/>
    <col min="12808" max="12808" width="7.42578125" style="3" customWidth="1"/>
    <col min="12809" max="13056" width="11.42578125" style="3"/>
    <col min="13057" max="13057" width="15.85546875" style="3" customWidth="1"/>
    <col min="13058" max="13058" width="14.85546875" style="3" customWidth="1"/>
    <col min="13059" max="13059" width="13.28515625" style="3" customWidth="1"/>
    <col min="13060" max="13060" width="11.42578125" style="3"/>
    <col min="13061" max="13061" width="13.42578125" style="3" customWidth="1"/>
    <col min="13062" max="13062" width="12.7109375" style="3" customWidth="1"/>
    <col min="13063" max="13063" width="14" style="3" customWidth="1"/>
    <col min="13064" max="13064" width="7.42578125" style="3" customWidth="1"/>
    <col min="13065" max="13312" width="11.42578125" style="3"/>
    <col min="13313" max="13313" width="15.85546875" style="3" customWidth="1"/>
    <col min="13314" max="13314" width="14.85546875" style="3" customWidth="1"/>
    <col min="13315" max="13315" width="13.28515625" style="3" customWidth="1"/>
    <col min="13316" max="13316" width="11.42578125" style="3"/>
    <col min="13317" max="13317" width="13.42578125" style="3" customWidth="1"/>
    <col min="13318" max="13318" width="12.7109375" style="3" customWidth="1"/>
    <col min="13319" max="13319" width="14" style="3" customWidth="1"/>
    <col min="13320" max="13320" width="7.42578125" style="3" customWidth="1"/>
    <col min="13321" max="13568" width="11.42578125" style="3"/>
    <col min="13569" max="13569" width="15.85546875" style="3" customWidth="1"/>
    <col min="13570" max="13570" width="14.85546875" style="3" customWidth="1"/>
    <col min="13571" max="13571" width="13.28515625" style="3" customWidth="1"/>
    <col min="13572" max="13572" width="11.42578125" style="3"/>
    <col min="13573" max="13573" width="13.42578125" style="3" customWidth="1"/>
    <col min="13574" max="13574" width="12.7109375" style="3" customWidth="1"/>
    <col min="13575" max="13575" width="14" style="3" customWidth="1"/>
    <col min="13576" max="13576" width="7.42578125" style="3" customWidth="1"/>
    <col min="13577" max="13824" width="11.42578125" style="3"/>
    <col min="13825" max="13825" width="15.85546875" style="3" customWidth="1"/>
    <col min="13826" max="13826" width="14.85546875" style="3" customWidth="1"/>
    <col min="13827" max="13827" width="13.28515625" style="3" customWidth="1"/>
    <col min="13828" max="13828" width="11.42578125" style="3"/>
    <col min="13829" max="13829" width="13.42578125" style="3" customWidth="1"/>
    <col min="13830" max="13830" width="12.7109375" style="3" customWidth="1"/>
    <col min="13831" max="13831" width="14" style="3" customWidth="1"/>
    <col min="13832" max="13832" width="7.42578125" style="3" customWidth="1"/>
    <col min="13833" max="14080" width="11.42578125" style="3"/>
    <col min="14081" max="14081" width="15.85546875" style="3" customWidth="1"/>
    <col min="14082" max="14082" width="14.85546875" style="3" customWidth="1"/>
    <col min="14083" max="14083" width="13.28515625" style="3" customWidth="1"/>
    <col min="14084" max="14084" width="11.42578125" style="3"/>
    <col min="14085" max="14085" width="13.42578125" style="3" customWidth="1"/>
    <col min="14086" max="14086" width="12.7109375" style="3" customWidth="1"/>
    <col min="14087" max="14087" width="14" style="3" customWidth="1"/>
    <col min="14088" max="14088" width="7.42578125" style="3" customWidth="1"/>
    <col min="14089" max="14336" width="11.42578125" style="3"/>
    <col min="14337" max="14337" width="15.85546875" style="3" customWidth="1"/>
    <col min="14338" max="14338" width="14.85546875" style="3" customWidth="1"/>
    <col min="14339" max="14339" width="13.28515625" style="3" customWidth="1"/>
    <col min="14340" max="14340" width="11.42578125" style="3"/>
    <col min="14341" max="14341" width="13.42578125" style="3" customWidth="1"/>
    <col min="14342" max="14342" width="12.7109375" style="3" customWidth="1"/>
    <col min="14343" max="14343" width="14" style="3" customWidth="1"/>
    <col min="14344" max="14344" width="7.42578125" style="3" customWidth="1"/>
    <col min="14345" max="14592" width="11.42578125" style="3"/>
    <col min="14593" max="14593" width="15.85546875" style="3" customWidth="1"/>
    <col min="14594" max="14594" width="14.85546875" style="3" customWidth="1"/>
    <col min="14595" max="14595" width="13.28515625" style="3" customWidth="1"/>
    <col min="14596" max="14596" width="11.42578125" style="3"/>
    <col min="14597" max="14597" width="13.42578125" style="3" customWidth="1"/>
    <col min="14598" max="14598" width="12.7109375" style="3" customWidth="1"/>
    <col min="14599" max="14599" width="14" style="3" customWidth="1"/>
    <col min="14600" max="14600" width="7.42578125" style="3" customWidth="1"/>
    <col min="14601" max="14848" width="11.42578125" style="3"/>
    <col min="14849" max="14849" width="15.85546875" style="3" customWidth="1"/>
    <col min="14850" max="14850" width="14.85546875" style="3" customWidth="1"/>
    <col min="14851" max="14851" width="13.28515625" style="3" customWidth="1"/>
    <col min="14852" max="14852" width="11.42578125" style="3"/>
    <col min="14853" max="14853" width="13.42578125" style="3" customWidth="1"/>
    <col min="14854" max="14854" width="12.7109375" style="3" customWidth="1"/>
    <col min="14855" max="14855" width="14" style="3" customWidth="1"/>
    <col min="14856" max="14856" width="7.42578125" style="3" customWidth="1"/>
    <col min="14857" max="15104" width="11.42578125" style="3"/>
    <col min="15105" max="15105" width="15.85546875" style="3" customWidth="1"/>
    <col min="15106" max="15106" width="14.85546875" style="3" customWidth="1"/>
    <col min="15107" max="15107" width="13.28515625" style="3" customWidth="1"/>
    <col min="15108" max="15108" width="11.42578125" style="3"/>
    <col min="15109" max="15109" width="13.42578125" style="3" customWidth="1"/>
    <col min="15110" max="15110" width="12.7109375" style="3" customWidth="1"/>
    <col min="15111" max="15111" width="14" style="3" customWidth="1"/>
    <col min="15112" max="15112" width="7.42578125" style="3" customWidth="1"/>
    <col min="15113" max="15360" width="11.42578125" style="3"/>
    <col min="15361" max="15361" width="15.85546875" style="3" customWidth="1"/>
    <col min="15362" max="15362" width="14.85546875" style="3" customWidth="1"/>
    <col min="15363" max="15363" width="13.28515625" style="3" customWidth="1"/>
    <col min="15364" max="15364" width="11.42578125" style="3"/>
    <col min="15365" max="15365" width="13.42578125" style="3" customWidth="1"/>
    <col min="15366" max="15366" width="12.7109375" style="3" customWidth="1"/>
    <col min="15367" max="15367" width="14" style="3" customWidth="1"/>
    <col min="15368" max="15368" width="7.42578125" style="3" customWidth="1"/>
    <col min="15369" max="15616" width="11.42578125" style="3"/>
    <col min="15617" max="15617" width="15.85546875" style="3" customWidth="1"/>
    <col min="15618" max="15618" width="14.85546875" style="3" customWidth="1"/>
    <col min="15619" max="15619" width="13.28515625" style="3" customWidth="1"/>
    <col min="15620" max="15620" width="11.42578125" style="3"/>
    <col min="15621" max="15621" width="13.42578125" style="3" customWidth="1"/>
    <col min="15622" max="15622" width="12.7109375" style="3" customWidth="1"/>
    <col min="15623" max="15623" width="14" style="3" customWidth="1"/>
    <col min="15624" max="15624" width="7.42578125" style="3" customWidth="1"/>
    <col min="15625" max="15872" width="11.42578125" style="3"/>
    <col min="15873" max="15873" width="15.85546875" style="3" customWidth="1"/>
    <col min="15874" max="15874" width="14.85546875" style="3" customWidth="1"/>
    <col min="15875" max="15875" width="13.28515625" style="3" customWidth="1"/>
    <col min="15876" max="15876" width="11.42578125" style="3"/>
    <col min="15877" max="15877" width="13.42578125" style="3" customWidth="1"/>
    <col min="15878" max="15878" width="12.7109375" style="3" customWidth="1"/>
    <col min="15879" max="15879" width="14" style="3" customWidth="1"/>
    <col min="15880" max="15880" width="7.42578125" style="3" customWidth="1"/>
    <col min="15881" max="16128" width="11.42578125" style="3"/>
    <col min="16129" max="16129" width="15.85546875" style="3" customWidth="1"/>
    <col min="16130" max="16130" width="14.85546875" style="3" customWidth="1"/>
    <col min="16131" max="16131" width="13.28515625" style="3" customWidth="1"/>
    <col min="16132" max="16132" width="11.42578125" style="3"/>
    <col min="16133" max="16133" width="13.42578125" style="3" customWidth="1"/>
    <col min="16134" max="16134" width="12.7109375" style="3" customWidth="1"/>
    <col min="16135" max="16135" width="14" style="3" customWidth="1"/>
    <col min="16136" max="16136" width="7.42578125" style="3" customWidth="1"/>
    <col min="16137" max="16384" width="11.42578125" style="3"/>
  </cols>
  <sheetData>
    <row r="1" spans="1:21" ht="48" customHeight="1">
      <c r="A1" s="1346" t="str">
        <f>PPTO!D3</f>
        <v>PRESUPUESTO
MUNICIPIO EL BAGRE (ANTIOQUIA).</v>
      </c>
      <c r="B1" s="1347"/>
      <c r="C1" s="1347"/>
      <c r="D1" s="1347"/>
      <c r="E1" s="1347"/>
      <c r="F1" s="1347"/>
      <c r="G1" s="1348"/>
      <c r="H1" s="1"/>
      <c r="I1" s="2"/>
    </row>
    <row r="2" spans="1:21" ht="18" customHeight="1">
      <c r="A2" s="1362" t="s">
        <v>16</v>
      </c>
      <c r="B2" s="1363"/>
      <c r="C2" s="1363"/>
      <c r="D2" s="1363"/>
      <c r="E2" s="1363"/>
      <c r="F2" s="1363"/>
      <c r="G2" s="1364"/>
      <c r="H2" s="1"/>
      <c r="I2" s="2"/>
    </row>
    <row r="3" spans="1:21" ht="27" customHeight="1">
      <c r="A3" s="1367" t="str">
        <f>+PPTO!$D$5</f>
        <v>PROYECTO DE MEJORAMIENTO VIAL, ESPACIO PUBLICO Y OBRAS COMPLEMENTARIAS DE LA AVENIDA LA JUVENTUD Y TRAMOS ADYACENTES Y PRIORITARIOS DEL SECTOR URBANO EN EL MUNICIPIO EL BAGRE ANTIOQUIA.</v>
      </c>
      <c r="B3" s="1368"/>
      <c r="C3" s="1368"/>
      <c r="D3" s="1368"/>
      <c r="E3" s="1368"/>
      <c r="F3" s="1368"/>
      <c r="G3" s="1369"/>
      <c r="H3" s="1"/>
      <c r="I3" s="2"/>
    </row>
    <row r="4" spans="1:21" ht="30" customHeight="1">
      <c r="A4" s="1370"/>
      <c r="B4" s="1368"/>
      <c r="C4" s="1368"/>
      <c r="D4" s="1368"/>
      <c r="E4" s="1368"/>
      <c r="F4" s="1368"/>
      <c r="G4" s="1369"/>
      <c r="H4" s="1"/>
      <c r="I4" s="2"/>
    </row>
    <row r="5" spans="1:21" ht="6.75" customHeight="1">
      <c r="A5" s="222"/>
      <c r="B5" s="6"/>
      <c r="C5" s="24"/>
      <c r="D5" s="25"/>
      <c r="E5" s="6"/>
      <c r="F5" s="6"/>
      <c r="G5" s="223"/>
      <c r="H5" s="9"/>
    </row>
    <row r="6" spans="1:21" ht="52.5" customHeight="1">
      <c r="A6" s="368">
        <v>6.19</v>
      </c>
      <c r="B6" s="1349" t="str">
        <f>VLOOKUP(A6,PPTO!D9:I136,2,FALSE)</f>
        <v>Suministro e instalación Tuberia PVC U.M. RDE 21 Ø 6"</v>
      </c>
      <c r="C6" s="1350"/>
      <c r="D6" s="1350"/>
      <c r="E6" s="1351"/>
      <c r="F6" s="192" t="s">
        <v>118</v>
      </c>
      <c r="G6" s="248" t="str">
        <f>VLOOKUP(A6,PPTO!D9:I136,3,FALSE)</f>
        <v>m</v>
      </c>
      <c r="H6" s="9"/>
    </row>
    <row r="7" spans="1:21" ht="3.75" customHeight="1">
      <c r="A7" s="226"/>
      <c r="B7" s="4"/>
      <c r="C7" s="6"/>
      <c r="D7" s="4"/>
      <c r="E7" s="4"/>
      <c r="F7" s="4"/>
      <c r="G7" s="227"/>
      <c r="H7" s="9"/>
    </row>
    <row r="8" spans="1:21" ht="22.5" customHeight="1">
      <c r="A8" s="1354" t="s">
        <v>69</v>
      </c>
      <c r="B8" s="1355"/>
      <c r="C8" s="1355"/>
      <c r="D8" s="1355"/>
      <c r="E8" s="1355"/>
      <c r="F8" s="1355"/>
      <c r="G8" s="1356"/>
      <c r="H8" s="9"/>
    </row>
    <row r="9" spans="1:21" ht="4.5" customHeight="1">
      <c r="A9" s="226"/>
      <c r="B9" s="4"/>
      <c r="C9" s="6"/>
      <c r="D9" s="4"/>
      <c r="E9" s="4"/>
      <c r="F9" s="4"/>
      <c r="G9" s="227"/>
      <c r="H9" s="9"/>
      <c r="I9" s="5"/>
      <c r="J9" s="5"/>
      <c r="K9" s="5"/>
      <c r="L9" s="26"/>
      <c r="M9" s="5"/>
      <c r="N9" s="5"/>
      <c r="O9" s="5"/>
      <c r="P9" s="5"/>
    </row>
    <row r="10" spans="1:21">
      <c r="A10" s="1373" t="s">
        <v>17</v>
      </c>
      <c r="B10" s="1374"/>
      <c r="C10" s="1374"/>
      <c r="D10" s="353" t="s">
        <v>18</v>
      </c>
      <c r="E10" s="353" t="s">
        <v>19</v>
      </c>
      <c r="F10" s="353" t="s">
        <v>20</v>
      </c>
      <c r="G10" s="228" t="s">
        <v>21</v>
      </c>
      <c r="H10" s="27"/>
      <c r="I10" s="28"/>
      <c r="J10" s="29"/>
      <c r="K10" s="30"/>
      <c r="L10" s="30"/>
      <c r="M10" s="30"/>
      <c r="N10" s="30"/>
      <c r="O10" s="30"/>
      <c r="P10" s="5"/>
    </row>
    <row r="11" spans="1:21">
      <c r="A11" s="1352" t="s">
        <v>47</v>
      </c>
      <c r="B11" s="1353"/>
      <c r="C11" s="1353"/>
      <c r="D11" s="353"/>
      <c r="E11" s="83"/>
      <c r="F11" s="97"/>
      <c r="G11" s="229">
        <f>+G39*10%</f>
        <v>1697</v>
      </c>
      <c r="H11" s="9"/>
      <c r="I11" s="30"/>
      <c r="J11" s="31"/>
      <c r="K11" s="30"/>
      <c r="L11" s="30"/>
      <c r="M11" s="30"/>
      <c r="N11" s="30"/>
      <c r="O11" s="30"/>
      <c r="P11" s="5"/>
    </row>
    <row r="12" spans="1:21">
      <c r="A12" s="1371"/>
      <c r="B12" s="1372"/>
      <c r="C12" s="1372"/>
      <c r="D12" s="83"/>
      <c r="E12" s="83"/>
      <c r="F12" s="93"/>
      <c r="G12" s="229"/>
      <c r="H12" s="9"/>
      <c r="I12" s="16"/>
      <c r="J12" s="13"/>
      <c r="K12" s="8"/>
      <c r="L12" s="8"/>
      <c r="M12" s="8"/>
      <c r="N12" s="8"/>
      <c r="O12" s="8"/>
      <c r="P12" s="5"/>
    </row>
    <row r="13" spans="1:21">
      <c r="A13" s="1371"/>
      <c r="B13" s="1372"/>
      <c r="C13" s="1372"/>
      <c r="D13" s="83"/>
      <c r="E13" s="83"/>
      <c r="F13" s="93"/>
      <c r="G13" s="229"/>
      <c r="H13" s="9"/>
      <c r="I13" s="13"/>
      <c r="J13" s="13"/>
      <c r="K13" s="13"/>
      <c r="L13" s="13"/>
      <c r="M13" s="13"/>
      <c r="N13" s="13"/>
      <c r="O13" s="13"/>
      <c r="P13" s="5"/>
    </row>
    <row r="14" spans="1:21">
      <c r="A14" s="1371"/>
      <c r="B14" s="1372"/>
      <c r="C14" s="1372"/>
      <c r="D14" s="83"/>
      <c r="E14" s="83"/>
      <c r="F14" s="93"/>
      <c r="G14" s="229"/>
      <c r="H14" s="9"/>
      <c r="I14" s="8"/>
      <c r="J14" s="14"/>
      <c r="K14" s="32"/>
      <c r="L14" s="14"/>
      <c r="M14" s="15"/>
      <c r="N14" s="15"/>
      <c r="O14" s="19"/>
      <c r="P14" s="5"/>
    </row>
    <row r="15" spans="1:21">
      <c r="A15" s="1371"/>
      <c r="B15" s="1372"/>
      <c r="C15" s="1372"/>
      <c r="D15" s="83"/>
      <c r="E15" s="83"/>
      <c r="F15" s="98"/>
      <c r="G15" s="229"/>
      <c r="H15" s="9"/>
      <c r="I15" s="8"/>
      <c r="J15" s="33"/>
      <c r="K15" s="32"/>
      <c r="L15" s="14"/>
      <c r="M15" s="15"/>
      <c r="N15" s="15"/>
      <c r="O15" s="19"/>
      <c r="P15" s="5"/>
      <c r="Q15" s="5"/>
      <c r="R15" s="5"/>
      <c r="S15" s="5"/>
      <c r="T15" s="5"/>
      <c r="U15" s="5"/>
    </row>
    <row r="16" spans="1:21">
      <c r="A16" s="1371"/>
      <c r="B16" s="1372"/>
      <c r="C16" s="1372"/>
      <c r="D16" s="85" t="s">
        <v>37</v>
      </c>
      <c r="E16" s="50"/>
      <c r="F16" s="49"/>
      <c r="G16" s="230">
        <f>SUM(G11:G15)</f>
        <v>1697</v>
      </c>
      <c r="H16" s="9"/>
      <c r="I16" s="34"/>
      <c r="J16" s="34"/>
      <c r="K16" s="35"/>
      <c r="L16" s="36"/>
      <c r="M16" s="7"/>
      <c r="N16" s="7"/>
      <c r="O16" s="19"/>
      <c r="P16" s="5"/>
      <c r="Q16" s="5"/>
      <c r="R16" s="5"/>
      <c r="S16" s="5"/>
      <c r="T16" s="5"/>
      <c r="U16" s="5"/>
    </row>
    <row r="17" spans="1:21" ht="4.5" customHeight="1">
      <c r="A17" s="226"/>
      <c r="B17" s="4"/>
      <c r="C17" s="6"/>
      <c r="D17" s="4"/>
      <c r="E17" s="4"/>
      <c r="F17" s="4"/>
      <c r="G17" s="227"/>
      <c r="H17" s="9"/>
      <c r="I17" s="34"/>
      <c r="J17" s="34"/>
      <c r="K17" s="35"/>
      <c r="L17" s="36"/>
      <c r="M17" s="7"/>
      <c r="N17" s="7"/>
      <c r="O17" s="19"/>
      <c r="P17" s="5"/>
      <c r="Q17" s="5"/>
      <c r="R17" s="5"/>
      <c r="S17" s="5"/>
      <c r="T17" s="5"/>
      <c r="U17" s="5"/>
    </row>
    <row r="18" spans="1:21" ht="22.5" customHeight="1">
      <c r="A18" s="1354" t="s">
        <v>70</v>
      </c>
      <c r="B18" s="1355"/>
      <c r="C18" s="1355"/>
      <c r="D18" s="1355"/>
      <c r="E18" s="1355"/>
      <c r="F18" s="1355"/>
      <c r="G18" s="1356"/>
      <c r="H18" s="9"/>
    </row>
    <row r="19" spans="1:21" ht="4.5" customHeight="1">
      <c r="A19" s="226"/>
      <c r="B19" s="4"/>
      <c r="C19" s="6"/>
      <c r="D19" s="4"/>
      <c r="E19" s="4"/>
      <c r="F19" s="38"/>
      <c r="G19" s="227"/>
      <c r="H19" s="9"/>
      <c r="I19" s="34"/>
      <c r="J19" s="34"/>
      <c r="K19" s="35"/>
      <c r="L19" s="39"/>
      <c r="M19" s="7"/>
      <c r="N19" s="7"/>
      <c r="O19" s="8"/>
      <c r="P19" s="5"/>
      <c r="Q19" s="5"/>
      <c r="R19" s="5"/>
      <c r="S19" s="5"/>
      <c r="T19" s="5"/>
      <c r="U19" s="5"/>
    </row>
    <row r="20" spans="1:21">
      <c r="A20" s="1373" t="s">
        <v>17</v>
      </c>
      <c r="B20" s="1374"/>
      <c r="C20" s="1374"/>
      <c r="D20" s="353" t="s">
        <v>3</v>
      </c>
      <c r="E20" s="353" t="s">
        <v>4</v>
      </c>
      <c r="F20" s="353" t="s">
        <v>25</v>
      </c>
      <c r="G20" s="228" t="s">
        <v>21</v>
      </c>
      <c r="H20" s="27"/>
      <c r="I20" s="34"/>
      <c r="J20" s="34"/>
      <c r="K20" s="35"/>
      <c r="L20" s="39"/>
      <c r="M20" s="7"/>
      <c r="N20" s="7"/>
      <c r="O20" s="8"/>
      <c r="P20" s="5"/>
      <c r="Q20" s="5"/>
      <c r="R20" s="5"/>
      <c r="S20" s="5"/>
      <c r="T20" s="5"/>
      <c r="U20" s="5"/>
    </row>
    <row r="21" spans="1:21" ht="31.5" customHeight="1">
      <c r="A21" s="1441" t="str">
        <f>MID(I21,25,50)</f>
        <v xml:space="preserve"> Tuberia PVC U.M. RDE 21 Ø 6"</v>
      </c>
      <c r="B21" s="1442"/>
      <c r="C21" s="1443"/>
      <c r="D21" s="118" t="s">
        <v>119</v>
      </c>
      <c r="E21" s="119">
        <v>1</v>
      </c>
      <c r="F21" s="87">
        <f>887461/6*IPC</f>
        <v>152614</v>
      </c>
      <c r="G21" s="231">
        <f>ROUND(F21*E21,0)</f>
        <v>152614</v>
      </c>
      <c r="H21" s="9"/>
      <c r="I21" s="34" t="str">
        <f>B6</f>
        <v>Suministro e instalación Tuberia PVC U.M. RDE 21 Ø 6"</v>
      </c>
      <c r="J21" s="34"/>
      <c r="K21" s="35"/>
      <c r="L21" s="36"/>
      <c r="M21" s="7"/>
      <c r="N21" s="7"/>
      <c r="O21" s="19"/>
      <c r="P21" s="5"/>
      <c r="Q21" s="5"/>
      <c r="R21" s="5"/>
      <c r="S21" s="5"/>
      <c r="T21" s="5"/>
      <c r="U21" s="5"/>
    </row>
    <row r="22" spans="1:21" ht="27.75" customHeight="1">
      <c r="A22" s="1444"/>
      <c r="B22" s="1403"/>
      <c r="C22" s="1404"/>
      <c r="D22" s="116"/>
      <c r="E22" s="117"/>
      <c r="F22" s="91"/>
      <c r="G22" s="231"/>
      <c r="H22" s="9"/>
      <c r="I22" s="10"/>
      <c r="J22" s="10"/>
      <c r="K22" s="12"/>
      <c r="L22" s="39"/>
      <c r="M22" s="7"/>
      <c r="N22" s="7"/>
      <c r="O22" s="15"/>
      <c r="P22" s="5"/>
      <c r="Q22" s="5"/>
      <c r="R22" s="5"/>
      <c r="S22" s="5"/>
      <c r="T22" s="5"/>
      <c r="U22" s="5"/>
    </row>
    <row r="23" spans="1:21">
      <c r="A23" s="1386"/>
      <c r="B23" s="1353"/>
      <c r="C23" s="1353"/>
      <c r="D23" s="79"/>
      <c r="E23" s="82"/>
      <c r="F23" s="83"/>
      <c r="G23" s="67"/>
      <c r="H23" s="9"/>
      <c r="I23" s="10"/>
      <c r="J23" s="10"/>
      <c r="K23" s="12"/>
      <c r="L23" s="39"/>
      <c r="M23" s="7"/>
      <c r="N23" s="7"/>
      <c r="O23" s="15"/>
      <c r="P23" s="5"/>
      <c r="Q23" s="5"/>
      <c r="R23" s="5"/>
      <c r="S23" s="5"/>
      <c r="T23" s="5"/>
      <c r="U23" s="5"/>
    </row>
    <row r="24" spans="1:21">
      <c r="A24" s="1352"/>
      <c r="B24" s="1353"/>
      <c r="C24" s="1353"/>
      <c r="D24" s="81"/>
      <c r="E24" s="88"/>
      <c r="F24" s="78"/>
      <c r="G24" s="231"/>
      <c r="H24" s="9"/>
      <c r="I24" s="10"/>
      <c r="J24" s="40"/>
      <c r="K24" s="12"/>
      <c r="L24" s="13"/>
      <c r="M24" s="14"/>
      <c r="N24" s="14"/>
      <c r="O24" s="15"/>
      <c r="P24" s="5"/>
      <c r="Q24" s="5"/>
      <c r="R24" s="5"/>
      <c r="S24" s="5"/>
      <c r="T24" s="5"/>
      <c r="U24" s="5"/>
    </row>
    <row r="25" spans="1:21">
      <c r="A25" s="1352"/>
      <c r="B25" s="1353"/>
      <c r="C25" s="1353"/>
      <c r="D25" s="81"/>
      <c r="E25" s="82"/>
      <c r="F25" s="78"/>
      <c r="G25" s="231"/>
      <c r="H25" s="9"/>
      <c r="I25" s="10"/>
      <c r="J25" s="11"/>
      <c r="K25" s="12"/>
      <c r="L25" s="13"/>
      <c r="M25" s="14"/>
      <c r="N25" s="14"/>
      <c r="O25" s="15"/>
      <c r="P25" s="5"/>
      <c r="Q25" s="5"/>
      <c r="R25" s="5"/>
      <c r="S25" s="5"/>
      <c r="T25" s="5"/>
      <c r="U25" s="5"/>
    </row>
    <row r="26" spans="1:21">
      <c r="A26" s="1352"/>
      <c r="B26" s="1353"/>
      <c r="C26" s="1353"/>
      <c r="D26" s="79"/>
      <c r="E26" s="82"/>
      <c r="F26" s="78"/>
      <c r="G26" s="231"/>
      <c r="H26" s="9"/>
      <c r="I26" s="10"/>
      <c r="J26" s="11"/>
      <c r="K26" s="12"/>
      <c r="L26" s="13"/>
      <c r="M26" s="14"/>
      <c r="N26" s="14"/>
      <c r="O26" s="15"/>
      <c r="P26" s="5"/>
      <c r="Q26" s="5"/>
      <c r="R26" s="5"/>
      <c r="S26" s="5"/>
      <c r="T26" s="5"/>
      <c r="U26" s="5"/>
    </row>
    <row r="27" spans="1:21">
      <c r="A27" s="1352"/>
      <c r="B27" s="1353"/>
      <c r="C27" s="1353"/>
      <c r="D27" s="79"/>
      <c r="E27" s="82"/>
      <c r="F27" s="78"/>
      <c r="G27" s="231"/>
      <c r="H27" s="9"/>
      <c r="I27" s="10"/>
      <c r="J27" s="11"/>
      <c r="K27" s="12"/>
      <c r="L27" s="13"/>
      <c r="M27" s="14"/>
      <c r="N27" s="14"/>
      <c r="O27" s="15"/>
      <c r="P27" s="5"/>
      <c r="Q27" s="5"/>
      <c r="R27" s="5"/>
      <c r="S27" s="5"/>
      <c r="T27" s="5"/>
      <c r="U27" s="5"/>
    </row>
    <row r="28" spans="1:21">
      <c r="A28" s="1352"/>
      <c r="B28" s="1353"/>
      <c r="C28" s="1353"/>
      <c r="D28" s="79"/>
      <c r="E28" s="82"/>
      <c r="F28" s="83"/>
      <c r="G28" s="231"/>
      <c r="H28" s="9"/>
      <c r="I28" s="41"/>
      <c r="J28" s="41"/>
      <c r="K28" s="12"/>
      <c r="L28" s="13"/>
      <c r="M28" s="14"/>
      <c r="N28" s="14"/>
      <c r="O28" s="15"/>
      <c r="P28" s="5"/>
      <c r="Q28" s="5"/>
      <c r="R28" s="5"/>
      <c r="S28" s="5"/>
      <c r="T28" s="5"/>
      <c r="U28" s="5"/>
    </row>
    <row r="29" spans="1:21">
      <c r="A29" s="1352"/>
      <c r="B29" s="1353"/>
      <c r="C29" s="1353"/>
      <c r="D29" s="84"/>
      <c r="E29" s="84"/>
      <c r="F29" s="83"/>
      <c r="G29" s="231"/>
      <c r="H29" s="9"/>
      <c r="I29" s="42"/>
      <c r="J29" s="42"/>
      <c r="K29" s="42"/>
      <c r="L29" s="13"/>
      <c r="M29" s="14"/>
      <c r="N29" s="14"/>
      <c r="O29" s="15"/>
      <c r="P29" s="5"/>
      <c r="Q29" s="5"/>
      <c r="R29" s="5"/>
      <c r="S29" s="5"/>
      <c r="T29" s="5"/>
      <c r="U29" s="5"/>
    </row>
    <row r="30" spans="1:21">
      <c r="A30" s="1352"/>
      <c r="B30" s="1353"/>
      <c r="C30" s="1353"/>
      <c r="D30" s="85" t="s">
        <v>28</v>
      </c>
      <c r="E30" s="50"/>
      <c r="F30" s="49"/>
      <c r="G30" s="230">
        <f>SUM(G21:G29)</f>
        <v>152614</v>
      </c>
      <c r="H30" s="9"/>
      <c r="I30" s="8"/>
      <c r="J30" s="13"/>
      <c r="K30" s="8"/>
      <c r="L30" s="13"/>
      <c r="M30" s="14"/>
      <c r="N30" s="14"/>
      <c r="O30" s="15"/>
      <c r="P30" s="5"/>
    </row>
    <row r="31" spans="1:21" ht="3.75" customHeight="1">
      <c r="A31" s="226"/>
      <c r="B31" s="4"/>
      <c r="C31" s="6"/>
      <c r="D31" s="4"/>
      <c r="E31" s="4"/>
      <c r="F31" s="4"/>
      <c r="G31" s="227"/>
      <c r="H31" s="9"/>
      <c r="I31" s="8"/>
      <c r="J31" s="13"/>
      <c r="K31" s="18"/>
      <c r="L31" s="13"/>
      <c r="M31" s="33"/>
      <c r="N31" s="33"/>
      <c r="O31" s="15"/>
      <c r="P31" s="5"/>
    </row>
    <row r="32" spans="1:21" ht="22.5" customHeight="1">
      <c r="A32" s="1354" t="s">
        <v>71</v>
      </c>
      <c r="B32" s="1355"/>
      <c r="C32" s="1355"/>
      <c r="D32" s="1355"/>
      <c r="E32" s="1355"/>
      <c r="F32" s="1355"/>
      <c r="G32" s="1356"/>
      <c r="H32" s="9"/>
    </row>
    <row r="33" spans="1:16" ht="3.75" customHeight="1">
      <c r="A33" s="226"/>
      <c r="B33" s="4"/>
      <c r="C33" s="6"/>
      <c r="D33" s="4"/>
      <c r="E33" s="4"/>
      <c r="F33" s="4"/>
      <c r="G33" s="227"/>
      <c r="H33" s="9"/>
      <c r="I33" s="8"/>
      <c r="J33" s="13"/>
      <c r="K33" s="8"/>
      <c r="L33" s="8"/>
      <c r="M33" s="8"/>
      <c r="N33" s="8"/>
      <c r="O33" s="15"/>
      <c r="P33" s="5"/>
    </row>
    <row r="34" spans="1:16">
      <c r="A34" s="232" t="s">
        <v>5</v>
      </c>
      <c r="B34" s="60" t="s">
        <v>29</v>
      </c>
      <c r="C34" s="60" t="s">
        <v>30</v>
      </c>
      <c r="D34" s="60" t="s">
        <v>31</v>
      </c>
      <c r="E34" s="60" t="s">
        <v>32</v>
      </c>
      <c r="F34" s="60" t="s">
        <v>20</v>
      </c>
      <c r="G34" s="228" t="s">
        <v>33</v>
      </c>
      <c r="H34" s="27"/>
      <c r="I34" s="8"/>
      <c r="J34" s="13"/>
      <c r="K34" s="8"/>
      <c r="L34" s="8"/>
      <c r="M34" s="8"/>
      <c r="N34" s="8"/>
      <c r="O34" s="15"/>
      <c r="P34" s="5"/>
    </row>
    <row r="35" spans="1:16">
      <c r="A35" s="233" t="s">
        <v>41</v>
      </c>
      <c r="B35" s="63">
        <f>BOF</f>
        <v>51749</v>
      </c>
      <c r="C35" s="68">
        <f>ffpp</f>
        <v>0.64539999999999997</v>
      </c>
      <c r="D35" s="72">
        <v>1</v>
      </c>
      <c r="E35" s="66">
        <f>OF</f>
        <v>88696</v>
      </c>
      <c r="F35" s="65">
        <v>18</v>
      </c>
      <c r="G35" s="231">
        <f>ROUND(+D35*E35/F35,0)</f>
        <v>4928</v>
      </c>
      <c r="H35" s="9"/>
      <c r="I35" s="16"/>
      <c r="J35" s="13"/>
      <c r="K35" s="8"/>
      <c r="L35" s="8"/>
      <c r="M35" s="8"/>
      <c r="N35" s="8"/>
      <c r="O35" s="15"/>
      <c r="P35" s="5"/>
    </row>
    <row r="36" spans="1:16">
      <c r="A36" s="233" t="s">
        <v>38</v>
      </c>
      <c r="B36" s="63">
        <f>BOB</f>
        <v>41749</v>
      </c>
      <c r="C36" s="68">
        <f>ffpp</f>
        <v>0.64539999999999997</v>
      </c>
      <c r="D36" s="72">
        <v>3</v>
      </c>
      <c r="E36" s="66">
        <f>OB</f>
        <v>72242</v>
      </c>
      <c r="F36" s="65">
        <f>F35</f>
        <v>18</v>
      </c>
      <c r="G36" s="231">
        <f>ROUND(+D36*E36/F36,0)</f>
        <v>12040</v>
      </c>
      <c r="H36" s="9"/>
      <c r="I36" s="8"/>
      <c r="J36" s="8"/>
      <c r="K36" s="13"/>
      <c r="L36" s="13"/>
      <c r="M36" s="13"/>
      <c r="N36" s="13"/>
      <c r="O36" s="13"/>
      <c r="P36" s="5"/>
    </row>
    <row r="37" spans="1:16">
      <c r="A37" s="234"/>
      <c r="B37" s="50"/>
      <c r="C37" s="961"/>
      <c r="D37" s="50"/>
      <c r="E37" s="66"/>
      <c r="F37" s="65"/>
      <c r="G37" s="231"/>
      <c r="H37" s="9"/>
      <c r="I37" s="8"/>
      <c r="J37" s="13"/>
      <c r="K37" s="13"/>
      <c r="L37" s="13"/>
      <c r="M37" s="33"/>
      <c r="N37" s="33"/>
      <c r="O37" s="43"/>
      <c r="P37" s="5"/>
    </row>
    <row r="38" spans="1:16">
      <c r="A38" s="233"/>
      <c r="B38" s="65"/>
      <c r="C38" s="68"/>
      <c r="D38" s="65"/>
      <c r="E38" s="69"/>
      <c r="F38" s="69"/>
      <c r="G38" s="236"/>
      <c r="H38" s="9"/>
      <c r="I38" s="8"/>
      <c r="J38" s="13"/>
      <c r="K38" s="13"/>
      <c r="L38" s="13"/>
      <c r="M38" s="33"/>
      <c r="N38" s="33"/>
      <c r="O38" s="43"/>
      <c r="P38" s="5"/>
    </row>
    <row r="39" spans="1:16">
      <c r="A39" s="249"/>
      <c r="B39" s="71"/>
      <c r="C39" s="71"/>
      <c r="D39" s="71" t="s">
        <v>34</v>
      </c>
      <c r="E39" s="71"/>
      <c r="F39" s="71"/>
      <c r="G39" s="250">
        <f>SUM(G35:G38)</f>
        <v>16968</v>
      </c>
      <c r="H39" s="9"/>
      <c r="I39" s="8"/>
      <c r="J39" s="13"/>
      <c r="K39" s="13"/>
      <c r="L39" s="13"/>
      <c r="M39" s="14"/>
      <c r="N39" s="14"/>
      <c r="O39" s="15"/>
      <c r="P39" s="5"/>
    </row>
    <row r="40" spans="1:16">
      <c r="A40" s="226"/>
      <c r="B40" s="4"/>
      <c r="C40" s="6"/>
      <c r="D40" s="4"/>
      <c r="E40" s="4"/>
      <c r="F40" s="4"/>
      <c r="G40" s="227"/>
      <c r="H40" s="9"/>
      <c r="I40" s="8"/>
      <c r="J40" s="13"/>
      <c r="K40" s="13"/>
      <c r="L40" s="13"/>
      <c r="M40" s="14"/>
      <c r="N40" s="14"/>
      <c r="O40" s="19"/>
      <c r="P40" s="5"/>
    </row>
    <row r="41" spans="1:16">
      <c r="A41" s="226"/>
      <c r="B41" s="4"/>
      <c r="C41" s="6"/>
      <c r="D41" s="4"/>
      <c r="E41" s="4"/>
      <c r="F41" s="4"/>
      <c r="G41" s="227"/>
      <c r="H41" s="9"/>
      <c r="I41" s="8"/>
      <c r="J41" s="13"/>
      <c r="K41" s="13"/>
      <c r="L41" s="13"/>
      <c r="M41" s="17"/>
      <c r="N41" s="17"/>
      <c r="O41" s="37"/>
      <c r="P41" s="5"/>
    </row>
    <row r="42" spans="1:16" ht="14.25">
      <c r="A42" s="226"/>
      <c r="B42" s="4"/>
      <c r="C42" s="6"/>
      <c r="D42" s="1357" t="s">
        <v>35</v>
      </c>
      <c r="E42" s="1358"/>
      <c r="F42" s="1359"/>
      <c r="G42" s="239">
        <f>+G39+G30+G16</f>
        <v>171279</v>
      </c>
      <c r="H42" s="9"/>
      <c r="I42" s="48"/>
      <c r="J42" s="20"/>
      <c r="K42" s="8"/>
      <c r="L42" s="8"/>
      <c r="M42" s="8"/>
      <c r="N42" s="8"/>
      <c r="O42" s="8"/>
      <c r="P42" s="5"/>
    </row>
    <row r="43" spans="1:16" ht="14.25">
      <c r="A43" s="240"/>
      <c r="B43" s="57"/>
      <c r="C43" s="58"/>
      <c r="D43" s="99"/>
      <c r="E43" s="99"/>
      <c r="F43" s="99"/>
      <c r="G43" s="251"/>
      <c r="H43" s="9"/>
      <c r="I43" s="48"/>
      <c r="J43" s="20"/>
      <c r="K43" s="8"/>
      <c r="L43" s="8"/>
      <c r="M43" s="8"/>
      <c r="N43" s="8"/>
      <c r="O43" s="8"/>
      <c r="P43" s="5"/>
    </row>
    <row r="44" spans="1:16" ht="14.25">
      <c r="A44" s="374"/>
      <c r="B44" s="375"/>
      <c r="C44" s="375"/>
      <c r="D44" s="99"/>
      <c r="E44" s="99"/>
      <c r="F44" s="99"/>
      <c r="G44" s="251"/>
      <c r="H44" s="9"/>
      <c r="I44" s="48"/>
      <c r="J44" s="20"/>
      <c r="K44" s="8"/>
      <c r="L44" s="8"/>
      <c r="M44" s="8"/>
      <c r="N44" s="8"/>
      <c r="O44" s="8"/>
      <c r="P44" s="5"/>
    </row>
    <row r="45" spans="1:16" ht="14.25">
      <c r="A45" s="373"/>
      <c r="B45" s="376"/>
      <c r="C45" s="376"/>
      <c r="D45" s="99"/>
      <c r="E45" s="99"/>
      <c r="F45" s="99"/>
      <c r="G45" s="251"/>
      <c r="H45" s="9"/>
      <c r="I45" s="48"/>
      <c r="J45" s="20"/>
      <c r="K45" s="8"/>
      <c r="L45" s="8"/>
      <c r="M45" s="8"/>
      <c r="N45" s="8"/>
      <c r="O45" s="8"/>
      <c r="P45" s="5"/>
    </row>
    <row r="46" spans="1:16" ht="14.25">
      <c r="A46" s="373"/>
      <c r="B46" s="376"/>
      <c r="C46" s="376"/>
      <c r="D46" s="44"/>
      <c r="E46" s="45"/>
      <c r="F46" s="45"/>
      <c r="G46" s="251"/>
      <c r="H46" s="9"/>
      <c r="I46" s="8"/>
      <c r="J46" s="13"/>
      <c r="K46" s="8"/>
      <c r="L46" s="8"/>
      <c r="M46" s="8"/>
      <c r="N46" s="8"/>
      <c r="O46" s="8"/>
      <c r="P46" s="5"/>
    </row>
    <row r="47" spans="1:16" ht="15" thickBot="1">
      <c r="A47" s="242"/>
      <c r="B47" s="243"/>
      <c r="C47" s="244"/>
      <c r="D47" s="245"/>
      <c r="E47" s="246"/>
      <c r="F47" s="246"/>
      <c r="G47" s="247"/>
      <c r="H47" s="9"/>
      <c r="I47" s="8"/>
      <c r="J47" s="13"/>
      <c r="K47" s="8"/>
      <c r="L47" s="8"/>
      <c r="M47" s="8"/>
      <c r="N47" s="8"/>
      <c r="O47" s="8"/>
      <c r="P47" s="5"/>
    </row>
    <row r="48" spans="1:16">
      <c r="I48" s="5"/>
      <c r="J48" s="5"/>
      <c r="K48" s="5"/>
      <c r="L48" s="5"/>
      <c r="M48" s="5"/>
      <c r="N48" s="5"/>
      <c r="O48" s="5"/>
      <c r="P48" s="5"/>
    </row>
    <row r="49" spans="9:16">
      <c r="I49" s="5"/>
      <c r="J49" s="5"/>
      <c r="K49" s="5"/>
      <c r="L49" s="5"/>
      <c r="M49" s="5"/>
      <c r="N49" s="5"/>
      <c r="O49" s="5"/>
      <c r="P49" s="5"/>
    </row>
  </sheetData>
  <mergeCells count="26">
    <mergeCell ref="A10:C10"/>
    <mergeCell ref="A1:G1"/>
    <mergeCell ref="A2:G2"/>
    <mergeCell ref="A3:G4"/>
    <mergeCell ref="B6:E6"/>
    <mergeCell ref="A8:G8"/>
    <mergeCell ref="A24:C24"/>
    <mergeCell ref="A11:C11"/>
    <mergeCell ref="A12:C12"/>
    <mergeCell ref="A13:C13"/>
    <mergeCell ref="A14:C14"/>
    <mergeCell ref="A15:C15"/>
    <mergeCell ref="A16:C16"/>
    <mergeCell ref="A18:G18"/>
    <mergeCell ref="A20:C20"/>
    <mergeCell ref="A21:C21"/>
    <mergeCell ref="A22:C22"/>
    <mergeCell ref="A23:C23"/>
    <mergeCell ref="A32:G32"/>
    <mergeCell ref="D42:F42"/>
    <mergeCell ref="A25:C25"/>
    <mergeCell ref="A26:C26"/>
    <mergeCell ref="A27:C27"/>
    <mergeCell ref="A28:C28"/>
    <mergeCell ref="A29:C29"/>
    <mergeCell ref="A30:C30"/>
  </mergeCells>
  <printOptions horizontalCentered="1" verticalCentered="1"/>
  <pageMargins left="0.74803149606299213" right="0.74803149606299213" top="0" bottom="0.98425196850393704" header="0" footer="0"/>
  <pageSetup scale="90" orientation="portrait" r:id="rId1"/>
  <headerFooter alignWithMargins="0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74"/>
  <dimension ref="A1:U49"/>
  <sheetViews>
    <sheetView view="pageBreakPreview" topLeftCell="A16" zoomScaleNormal="100" zoomScaleSheetLayoutView="100" workbookViewId="0">
      <selection activeCell="F22" sqref="F22"/>
    </sheetView>
  </sheetViews>
  <sheetFormatPr baseColWidth="10" defaultColWidth="10.7109375" defaultRowHeight="12.75"/>
  <cols>
    <col min="1" max="1" width="15.85546875" style="3" customWidth="1"/>
    <col min="2" max="2" width="14.85546875" style="3" customWidth="1"/>
    <col min="3" max="3" width="13.28515625" style="3" customWidth="1"/>
    <col min="4" max="4" width="11.42578125" style="3"/>
    <col min="5" max="5" width="13.42578125" style="3" customWidth="1"/>
    <col min="6" max="6" width="12.7109375" style="3" customWidth="1"/>
    <col min="7" max="7" width="14" style="3" customWidth="1"/>
    <col min="8" max="8" width="7.42578125" style="3" customWidth="1"/>
    <col min="9" max="256" width="11.42578125" style="3"/>
    <col min="257" max="257" width="15.85546875" style="3" customWidth="1"/>
    <col min="258" max="258" width="14.85546875" style="3" customWidth="1"/>
    <col min="259" max="259" width="13.28515625" style="3" customWidth="1"/>
    <col min="260" max="260" width="11.42578125" style="3"/>
    <col min="261" max="261" width="13.42578125" style="3" customWidth="1"/>
    <col min="262" max="262" width="12.7109375" style="3" customWidth="1"/>
    <col min="263" max="263" width="14" style="3" customWidth="1"/>
    <col min="264" max="264" width="7.42578125" style="3" customWidth="1"/>
    <col min="265" max="512" width="11.42578125" style="3"/>
    <col min="513" max="513" width="15.85546875" style="3" customWidth="1"/>
    <col min="514" max="514" width="14.85546875" style="3" customWidth="1"/>
    <col min="515" max="515" width="13.28515625" style="3" customWidth="1"/>
    <col min="516" max="516" width="11.42578125" style="3"/>
    <col min="517" max="517" width="13.42578125" style="3" customWidth="1"/>
    <col min="518" max="518" width="12.7109375" style="3" customWidth="1"/>
    <col min="519" max="519" width="14" style="3" customWidth="1"/>
    <col min="520" max="520" width="7.42578125" style="3" customWidth="1"/>
    <col min="521" max="768" width="11.42578125" style="3"/>
    <col min="769" max="769" width="15.85546875" style="3" customWidth="1"/>
    <col min="770" max="770" width="14.85546875" style="3" customWidth="1"/>
    <col min="771" max="771" width="13.28515625" style="3" customWidth="1"/>
    <col min="772" max="772" width="11.42578125" style="3"/>
    <col min="773" max="773" width="13.42578125" style="3" customWidth="1"/>
    <col min="774" max="774" width="12.7109375" style="3" customWidth="1"/>
    <col min="775" max="775" width="14" style="3" customWidth="1"/>
    <col min="776" max="776" width="7.42578125" style="3" customWidth="1"/>
    <col min="777" max="1024" width="11.42578125" style="3"/>
    <col min="1025" max="1025" width="15.85546875" style="3" customWidth="1"/>
    <col min="1026" max="1026" width="14.85546875" style="3" customWidth="1"/>
    <col min="1027" max="1027" width="13.28515625" style="3" customWidth="1"/>
    <col min="1028" max="1028" width="11.42578125" style="3"/>
    <col min="1029" max="1029" width="13.42578125" style="3" customWidth="1"/>
    <col min="1030" max="1030" width="12.7109375" style="3" customWidth="1"/>
    <col min="1031" max="1031" width="14" style="3" customWidth="1"/>
    <col min="1032" max="1032" width="7.42578125" style="3" customWidth="1"/>
    <col min="1033" max="1280" width="11.42578125" style="3"/>
    <col min="1281" max="1281" width="15.85546875" style="3" customWidth="1"/>
    <col min="1282" max="1282" width="14.85546875" style="3" customWidth="1"/>
    <col min="1283" max="1283" width="13.28515625" style="3" customWidth="1"/>
    <col min="1284" max="1284" width="11.42578125" style="3"/>
    <col min="1285" max="1285" width="13.42578125" style="3" customWidth="1"/>
    <col min="1286" max="1286" width="12.7109375" style="3" customWidth="1"/>
    <col min="1287" max="1287" width="14" style="3" customWidth="1"/>
    <col min="1288" max="1288" width="7.42578125" style="3" customWidth="1"/>
    <col min="1289" max="1536" width="11.42578125" style="3"/>
    <col min="1537" max="1537" width="15.85546875" style="3" customWidth="1"/>
    <col min="1538" max="1538" width="14.85546875" style="3" customWidth="1"/>
    <col min="1539" max="1539" width="13.28515625" style="3" customWidth="1"/>
    <col min="1540" max="1540" width="11.42578125" style="3"/>
    <col min="1541" max="1541" width="13.42578125" style="3" customWidth="1"/>
    <col min="1542" max="1542" width="12.7109375" style="3" customWidth="1"/>
    <col min="1543" max="1543" width="14" style="3" customWidth="1"/>
    <col min="1544" max="1544" width="7.42578125" style="3" customWidth="1"/>
    <col min="1545" max="1792" width="11.42578125" style="3"/>
    <col min="1793" max="1793" width="15.85546875" style="3" customWidth="1"/>
    <col min="1794" max="1794" width="14.85546875" style="3" customWidth="1"/>
    <col min="1795" max="1795" width="13.28515625" style="3" customWidth="1"/>
    <col min="1796" max="1796" width="11.42578125" style="3"/>
    <col min="1797" max="1797" width="13.42578125" style="3" customWidth="1"/>
    <col min="1798" max="1798" width="12.7109375" style="3" customWidth="1"/>
    <col min="1799" max="1799" width="14" style="3" customWidth="1"/>
    <col min="1800" max="1800" width="7.42578125" style="3" customWidth="1"/>
    <col min="1801" max="2048" width="11.42578125" style="3"/>
    <col min="2049" max="2049" width="15.85546875" style="3" customWidth="1"/>
    <col min="2050" max="2050" width="14.85546875" style="3" customWidth="1"/>
    <col min="2051" max="2051" width="13.28515625" style="3" customWidth="1"/>
    <col min="2052" max="2052" width="11.42578125" style="3"/>
    <col min="2053" max="2053" width="13.42578125" style="3" customWidth="1"/>
    <col min="2054" max="2054" width="12.7109375" style="3" customWidth="1"/>
    <col min="2055" max="2055" width="14" style="3" customWidth="1"/>
    <col min="2056" max="2056" width="7.42578125" style="3" customWidth="1"/>
    <col min="2057" max="2304" width="11.42578125" style="3"/>
    <col min="2305" max="2305" width="15.85546875" style="3" customWidth="1"/>
    <col min="2306" max="2306" width="14.85546875" style="3" customWidth="1"/>
    <col min="2307" max="2307" width="13.28515625" style="3" customWidth="1"/>
    <col min="2308" max="2308" width="11.42578125" style="3"/>
    <col min="2309" max="2309" width="13.42578125" style="3" customWidth="1"/>
    <col min="2310" max="2310" width="12.7109375" style="3" customWidth="1"/>
    <col min="2311" max="2311" width="14" style="3" customWidth="1"/>
    <col min="2312" max="2312" width="7.42578125" style="3" customWidth="1"/>
    <col min="2313" max="2560" width="11.42578125" style="3"/>
    <col min="2561" max="2561" width="15.85546875" style="3" customWidth="1"/>
    <col min="2562" max="2562" width="14.85546875" style="3" customWidth="1"/>
    <col min="2563" max="2563" width="13.28515625" style="3" customWidth="1"/>
    <col min="2564" max="2564" width="11.42578125" style="3"/>
    <col min="2565" max="2565" width="13.42578125" style="3" customWidth="1"/>
    <col min="2566" max="2566" width="12.7109375" style="3" customWidth="1"/>
    <col min="2567" max="2567" width="14" style="3" customWidth="1"/>
    <col min="2568" max="2568" width="7.42578125" style="3" customWidth="1"/>
    <col min="2569" max="2816" width="11.42578125" style="3"/>
    <col min="2817" max="2817" width="15.85546875" style="3" customWidth="1"/>
    <col min="2818" max="2818" width="14.85546875" style="3" customWidth="1"/>
    <col min="2819" max="2819" width="13.28515625" style="3" customWidth="1"/>
    <col min="2820" max="2820" width="11.42578125" style="3"/>
    <col min="2821" max="2821" width="13.42578125" style="3" customWidth="1"/>
    <col min="2822" max="2822" width="12.7109375" style="3" customWidth="1"/>
    <col min="2823" max="2823" width="14" style="3" customWidth="1"/>
    <col min="2824" max="2824" width="7.42578125" style="3" customWidth="1"/>
    <col min="2825" max="3072" width="11.42578125" style="3"/>
    <col min="3073" max="3073" width="15.85546875" style="3" customWidth="1"/>
    <col min="3074" max="3074" width="14.85546875" style="3" customWidth="1"/>
    <col min="3075" max="3075" width="13.28515625" style="3" customWidth="1"/>
    <col min="3076" max="3076" width="11.42578125" style="3"/>
    <col min="3077" max="3077" width="13.42578125" style="3" customWidth="1"/>
    <col min="3078" max="3078" width="12.7109375" style="3" customWidth="1"/>
    <col min="3079" max="3079" width="14" style="3" customWidth="1"/>
    <col min="3080" max="3080" width="7.42578125" style="3" customWidth="1"/>
    <col min="3081" max="3328" width="11.42578125" style="3"/>
    <col min="3329" max="3329" width="15.85546875" style="3" customWidth="1"/>
    <col min="3330" max="3330" width="14.85546875" style="3" customWidth="1"/>
    <col min="3331" max="3331" width="13.28515625" style="3" customWidth="1"/>
    <col min="3332" max="3332" width="11.42578125" style="3"/>
    <col min="3333" max="3333" width="13.42578125" style="3" customWidth="1"/>
    <col min="3334" max="3334" width="12.7109375" style="3" customWidth="1"/>
    <col min="3335" max="3335" width="14" style="3" customWidth="1"/>
    <col min="3336" max="3336" width="7.42578125" style="3" customWidth="1"/>
    <col min="3337" max="3584" width="11.42578125" style="3"/>
    <col min="3585" max="3585" width="15.85546875" style="3" customWidth="1"/>
    <col min="3586" max="3586" width="14.85546875" style="3" customWidth="1"/>
    <col min="3587" max="3587" width="13.28515625" style="3" customWidth="1"/>
    <col min="3588" max="3588" width="11.42578125" style="3"/>
    <col min="3589" max="3589" width="13.42578125" style="3" customWidth="1"/>
    <col min="3590" max="3590" width="12.7109375" style="3" customWidth="1"/>
    <col min="3591" max="3591" width="14" style="3" customWidth="1"/>
    <col min="3592" max="3592" width="7.42578125" style="3" customWidth="1"/>
    <col min="3593" max="3840" width="11.42578125" style="3"/>
    <col min="3841" max="3841" width="15.85546875" style="3" customWidth="1"/>
    <col min="3842" max="3842" width="14.85546875" style="3" customWidth="1"/>
    <col min="3843" max="3843" width="13.28515625" style="3" customWidth="1"/>
    <col min="3844" max="3844" width="11.42578125" style="3"/>
    <col min="3845" max="3845" width="13.42578125" style="3" customWidth="1"/>
    <col min="3846" max="3846" width="12.7109375" style="3" customWidth="1"/>
    <col min="3847" max="3847" width="14" style="3" customWidth="1"/>
    <col min="3848" max="3848" width="7.42578125" style="3" customWidth="1"/>
    <col min="3849" max="4096" width="11.42578125" style="3"/>
    <col min="4097" max="4097" width="15.85546875" style="3" customWidth="1"/>
    <col min="4098" max="4098" width="14.85546875" style="3" customWidth="1"/>
    <col min="4099" max="4099" width="13.28515625" style="3" customWidth="1"/>
    <col min="4100" max="4100" width="11.42578125" style="3"/>
    <col min="4101" max="4101" width="13.42578125" style="3" customWidth="1"/>
    <col min="4102" max="4102" width="12.7109375" style="3" customWidth="1"/>
    <col min="4103" max="4103" width="14" style="3" customWidth="1"/>
    <col min="4104" max="4104" width="7.42578125" style="3" customWidth="1"/>
    <col min="4105" max="4352" width="11.42578125" style="3"/>
    <col min="4353" max="4353" width="15.85546875" style="3" customWidth="1"/>
    <col min="4354" max="4354" width="14.85546875" style="3" customWidth="1"/>
    <col min="4355" max="4355" width="13.28515625" style="3" customWidth="1"/>
    <col min="4356" max="4356" width="11.42578125" style="3"/>
    <col min="4357" max="4357" width="13.42578125" style="3" customWidth="1"/>
    <col min="4358" max="4358" width="12.7109375" style="3" customWidth="1"/>
    <col min="4359" max="4359" width="14" style="3" customWidth="1"/>
    <col min="4360" max="4360" width="7.42578125" style="3" customWidth="1"/>
    <col min="4361" max="4608" width="11.42578125" style="3"/>
    <col min="4609" max="4609" width="15.85546875" style="3" customWidth="1"/>
    <col min="4610" max="4610" width="14.85546875" style="3" customWidth="1"/>
    <col min="4611" max="4611" width="13.28515625" style="3" customWidth="1"/>
    <col min="4612" max="4612" width="11.42578125" style="3"/>
    <col min="4613" max="4613" width="13.42578125" style="3" customWidth="1"/>
    <col min="4614" max="4614" width="12.7109375" style="3" customWidth="1"/>
    <col min="4615" max="4615" width="14" style="3" customWidth="1"/>
    <col min="4616" max="4616" width="7.42578125" style="3" customWidth="1"/>
    <col min="4617" max="4864" width="11.42578125" style="3"/>
    <col min="4865" max="4865" width="15.85546875" style="3" customWidth="1"/>
    <col min="4866" max="4866" width="14.85546875" style="3" customWidth="1"/>
    <col min="4867" max="4867" width="13.28515625" style="3" customWidth="1"/>
    <col min="4868" max="4868" width="11.42578125" style="3"/>
    <col min="4869" max="4869" width="13.42578125" style="3" customWidth="1"/>
    <col min="4870" max="4870" width="12.7109375" style="3" customWidth="1"/>
    <col min="4871" max="4871" width="14" style="3" customWidth="1"/>
    <col min="4872" max="4872" width="7.42578125" style="3" customWidth="1"/>
    <col min="4873" max="5120" width="11.42578125" style="3"/>
    <col min="5121" max="5121" width="15.85546875" style="3" customWidth="1"/>
    <col min="5122" max="5122" width="14.85546875" style="3" customWidth="1"/>
    <col min="5123" max="5123" width="13.28515625" style="3" customWidth="1"/>
    <col min="5124" max="5124" width="11.42578125" style="3"/>
    <col min="5125" max="5125" width="13.42578125" style="3" customWidth="1"/>
    <col min="5126" max="5126" width="12.7109375" style="3" customWidth="1"/>
    <col min="5127" max="5127" width="14" style="3" customWidth="1"/>
    <col min="5128" max="5128" width="7.42578125" style="3" customWidth="1"/>
    <col min="5129" max="5376" width="11.42578125" style="3"/>
    <col min="5377" max="5377" width="15.85546875" style="3" customWidth="1"/>
    <col min="5378" max="5378" width="14.85546875" style="3" customWidth="1"/>
    <col min="5379" max="5379" width="13.28515625" style="3" customWidth="1"/>
    <col min="5380" max="5380" width="11.42578125" style="3"/>
    <col min="5381" max="5381" width="13.42578125" style="3" customWidth="1"/>
    <col min="5382" max="5382" width="12.7109375" style="3" customWidth="1"/>
    <col min="5383" max="5383" width="14" style="3" customWidth="1"/>
    <col min="5384" max="5384" width="7.42578125" style="3" customWidth="1"/>
    <col min="5385" max="5632" width="11.42578125" style="3"/>
    <col min="5633" max="5633" width="15.85546875" style="3" customWidth="1"/>
    <col min="5634" max="5634" width="14.85546875" style="3" customWidth="1"/>
    <col min="5635" max="5635" width="13.28515625" style="3" customWidth="1"/>
    <col min="5636" max="5636" width="11.42578125" style="3"/>
    <col min="5637" max="5637" width="13.42578125" style="3" customWidth="1"/>
    <col min="5638" max="5638" width="12.7109375" style="3" customWidth="1"/>
    <col min="5639" max="5639" width="14" style="3" customWidth="1"/>
    <col min="5640" max="5640" width="7.42578125" style="3" customWidth="1"/>
    <col min="5641" max="5888" width="11.42578125" style="3"/>
    <col min="5889" max="5889" width="15.85546875" style="3" customWidth="1"/>
    <col min="5890" max="5890" width="14.85546875" style="3" customWidth="1"/>
    <col min="5891" max="5891" width="13.28515625" style="3" customWidth="1"/>
    <col min="5892" max="5892" width="11.42578125" style="3"/>
    <col min="5893" max="5893" width="13.42578125" style="3" customWidth="1"/>
    <col min="5894" max="5894" width="12.7109375" style="3" customWidth="1"/>
    <col min="5895" max="5895" width="14" style="3" customWidth="1"/>
    <col min="5896" max="5896" width="7.42578125" style="3" customWidth="1"/>
    <col min="5897" max="6144" width="11.42578125" style="3"/>
    <col min="6145" max="6145" width="15.85546875" style="3" customWidth="1"/>
    <col min="6146" max="6146" width="14.85546875" style="3" customWidth="1"/>
    <col min="6147" max="6147" width="13.28515625" style="3" customWidth="1"/>
    <col min="6148" max="6148" width="11.42578125" style="3"/>
    <col min="6149" max="6149" width="13.42578125" style="3" customWidth="1"/>
    <col min="6150" max="6150" width="12.7109375" style="3" customWidth="1"/>
    <col min="6151" max="6151" width="14" style="3" customWidth="1"/>
    <col min="6152" max="6152" width="7.42578125" style="3" customWidth="1"/>
    <col min="6153" max="6400" width="11.42578125" style="3"/>
    <col min="6401" max="6401" width="15.85546875" style="3" customWidth="1"/>
    <col min="6402" max="6402" width="14.85546875" style="3" customWidth="1"/>
    <col min="6403" max="6403" width="13.28515625" style="3" customWidth="1"/>
    <col min="6404" max="6404" width="11.42578125" style="3"/>
    <col min="6405" max="6405" width="13.42578125" style="3" customWidth="1"/>
    <col min="6406" max="6406" width="12.7109375" style="3" customWidth="1"/>
    <col min="6407" max="6407" width="14" style="3" customWidth="1"/>
    <col min="6408" max="6408" width="7.42578125" style="3" customWidth="1"/>
    <col min="6409" max="6656" width="11.42578125" style="3"/>
    <col min="6657" max="6657" width="15.85546875" style="3" customWidth="1"/>
    <col min="6658" max="6658" width="14.85546875" style="3" customWidth="1"/>
    <col min="6659" max="6659" width="13.28515625" style="3" customWidth="1"/>
    <col min="6660" max="6660" width="11.42578125" style="3"/>
    <col min="6661" max="6661" width="13.42578125" style="3" customWidth="1"/>
    <col min="6662" max="6662" width="12.7109375" style="3" customWidth="1"/>
    <col min="6663" max="6663" width="14" style="3" customWidth="1"/>
    <col min="6664" max="6664" width="7.42578125" style="3" customWidth="1"/>
    <col min="6665" max="6912" width="11.42578125" style="3"/>
    <col min="6913" max="6913" width="15.85546875" style="3" customWidth="1"/>
    <col min="6914" max="6914" width="14.85546875" style="3" customWidth="1"/>
    <col min="6915" max="6915" width="13.28515625" style="3" customWidth="1"/>
    <col min="6916" max="6916" width="11.42578125" style="3"/>
    <col min="6917" max="6917" width="13.42578125" style="3" customWidth="1"/>
    <col min="6918" max="6918" width="12.7109375" style="3" customWidth="1"/>
    <col min="6919" max="6919" width="14" style="3" customWidth="1"/>
    <col min="6920" max="6920" width="7.42578125" style="3" customWidth="1"/>
    <col min="6921" max="7168" width="11.42578125" style="3"/>
    <col min="7169" max="7169" width="15.85546875" style="3" customWidth="1"/>
    <col min="7170" max="7170" width="14.85546875" style="3" customWidth="1"/>
    <col min="7171" max="7171" width="13.28515625" style="3" customWidth="1"/>
    <col min="7172" max="7172" width="11.42578125" style="3"/>
    <col min="7173" max="7173" width="13.42578125" style="3" customWidth="1"/>
    <col min="7174" max="7174" width="12.7109375" style="3" customWidth="1"/>
    <col min="7175" max="7175" width="14" style="3" customWidth="1"/>
    <col min="7176" max="7176" width="7.42578125" style="3" customWidth="1"/>
    <col min="7177" max="7424" width="11.42578125" style="3"/>
    <col min="7425" max="7425" width="15.85546875" style="3" customWidth="1"/>
    <col min="7426" max="7426" width="14.85546875" style="3" customWidth="1"/>
    <col min="7427" max="7427" width="13.28515625" style="3" customWidth="1"/>
    <col min="7428" max="7428" width="11.42578125" style="3"/>
    <col min="7429" max="7429" width="13.42578125" style="3" customWidth="1"/>
    <col min="7430" max="7430" width="12.7109375" style="3" customWidth="1"/>
    <col min="7431" max="7431" width="14" style="3" customWidth="1"/>
    <col min="7432" max="7432" width="7.42578125" style="3" customWidth="1"/>
    <col min="7433" max="7680" width="11.42578125" style="3"/>
    <col min="7681" max="7681" width="15.85546875" style="3" customWidth="1"/>
    <col min="7682" max="7682" width="14.85546875" style="3" customWidth="1"/>
    <col min="7683" max="7683" width="13.28515625" style="3" customWidth="1"/>
    <col min="7684" max="7684" width="11.42578125" style="3"/>
    <col min="7685" max="7685" width="13.42578125" style="3" customWidth="1"/>
    <col min="7686" max="7686" width="12.7109375" style="3" customWidth="1"/>
    <col min="7687" max="7687" width="14" style="3" customWidth="1"/>
    <col min="7688" max="7688" width="7.42578125" style="3" customWidth="1"/>
    <col min="7689" max="7936" width="11.42578125" style="3"/>
    <col min="7937" max="7937" width="15.85546875" style="3" customWidth="1"/>
    <col min="7938" max="7938" width="14.85546875" style="3" customWidth="1"/>
    <col min="7939" max="7939" width="13.28515625" style="3" customWidth="1"/>
    <col min="7940" max="7940" width="11.42578125" style="3"/>
    <col min="7941" max="7941" width="13.42578125" style="3" customWidth="1"/>
    <col min="7942" max="7942" width="12.7109375" style="3" customWidth="1"/>
    <col min="7943" max="7943" width="14" style="3" customWidth="1"/>
    <col min="7944" max="7944" width="7.42578125" style="3" customWidth="1"/>
    <col min="7945" max="8192" width="11.42578125" style="3"/>
    <col min="8193" max="8193" width="15.85546875" style="3" customWidth="1"/>
    <col min="8194" max="8194" width="14.85546875" style="3" customWidth="1"/>
    <col min="8195" max="8195" width="13.28515625" style="3" customWidth="1"/>
    <col min="8196" max="8196" width="11.42578125" style="3"/>
    <col min="8197" max="8197" width="13.42578125" style="3" customWidth="1"/>
    <col min="8198" max="8198" width="12.7109375" style="3" customWidth="1"/>
    <col min="8199" max="8199" width="14" style="3" customWidth="1"/>
    <col min="8200" max="8200" width="7.42578125" style="3" customWidth="1"/>
    <col min="8201" max="8448" width="11.42578125" style="3"/>
    <col min="8449" max="8449" width="15.85546875" style="3" customWidth="1"/>
    <col min="8450" max="8450" width="14.85546875" style="3" customWidth="1"/>
    <col min="8451" max="8451" width="13.28515625" style="3" customWidth="1"/>
    <col min="8452" max="8452" width="11.42578125" style="3"/>
    <col min="8453" max="8453" width="13.42578125" style="3" customWidth="1"/>
    <col min="8454" max="8454" width="12.7109375" style="3" customWidth="1"/>
    <col min="8455" max="8455" width="14" style="3" customWidth="1"/>
    <col min="8456" max="8456" width="7.42578125" style="3" customWidth="1"/>
    <col min="8457" max="8704" width="11.42578125" style="3"/>
    <col min="8705" max="8705" width="15.85546875" style="3" customWidth="1"/>
    <col min="8706" max="8706" width="14.85546875" style="3" customWidth="1"/>
    <col min="8707" max="8707" width="13.28515625" style="3" customWidth="1"/>
    <col min="8708" max="8708" width="11.42578125" style="3"/>
    <col min="8709" max="8709" width="13.42578125" style="3" customWidth="1"/>
    <col min="8710" max="8710" width="12.7109375" style="3" customWidth="1"/>
    <col min="8711" max="8711" width="14" style="3" customWidth="1"/>
    <col min="8712" max="8712" width="7.42578125" style="3" customWidth="1"/>
    <col min="8713" max="8960" width="11.42578125" style="3"/>
    <col min="8961" max="8961" width="15.85546875" style="3" customWidth="1"/>
    <col min="8962" max="8962" width="14.85546875" style="3" customWidth="1"/>
    <col min="8963" max="8963" width="13.28515625" style="3" customWidth="1"/>
    <col min="8964" max="8964" width="11.42578125" style="3"/>
    <col min="8965" max="8965" width="13.42578125" style="3" customWidth="1"/>
    <col min="8966" max="8966" width="12.7109375" style="3" customWidth="1"/>
    <col min="8967" max="8967" width="14" style="3" customWidth="1"/>
    <col min="8968" max="8968" width="7.42578125" style="3" customWidth="1"/>
    <col min="8969" max="9216" width="11.42578125" style="3"/>
    <col min="9217" max="9217" width="15.85546875" style="3" customWidth="1"/>
    <col min="9218" max="9218" width="14.85546875" style="3" customWidth="1"/>
    <col min="9219" max="9219" width="13.28515625" style="3" customWidth="1"/>
    <col min="9220" max="9220" width="11.42578125" style="3"/>
    <col min="9221" max="9221" width="13.42578125" style="3" customWidth="1"/>
    <col min="9222" max="9222" width="12.7109375" style="3" customWidth="1"/>
    <col min="9223" max="9223" width="14" style="3" customWidth="1"/>
    <col min="9224" max="9224" width="7.42578125" style="3" customWidth="1"/>
    <col min="9225" max="9472" width="11.42578125" style="3"/>
    <col min="9473" max="9473" width="15.85546875" style="3" customWidth="1"/>
    <col min="9474" max="9474" width="14.85546875" style="3" customWidth="1"/>
    <col min="9475" max="9475" width="13.28515625" style="3" customWidth="1"/>
    <col min="9476" max="9476" width="11.42578125" style="3"/>
    <col min="9477" max="9477" width="13.42578125" style="3" customWidth="1"/>
    <col min="9478" max="9478" width="12.7109375" style="3" customWidth="1"/>
    <col min="9479" max="9479" width="14" style="3" customWidth="1"/>
    <col min="9480" max="9480" width="7.42578125" style="3" customWidth="1"/>
    <col min="9481" max="9728" width="11.42578125" style="3"/>
    <col min="9729" max="9729" width="15.85546875" style="3" customWidth="1"/>
    <col min="9730" max="9730" width="14.85546875" style="3" customWidth="1"/>
    <col min="9731" max="9731" width="13.28515625" style="3" customWidth="1"/>
    <col min="9732" max="9732" width="11.42578125" style="3"/>
    <col min="9733" max="9733" width="13.42578125" style="3" customWidth="1"/>
    <col min="9734" max="9734" width="12.7109375" style="3" customWidth="1"/>
    <col min="9735" max="9735" width="14" style="3" customWidth="1"/>
    <col min="9736" max="9736" width="7.42578125" style="3" customWidth="1"/>
    <col min="9737" max="9984" width="11.42578125" style="3"/>
    <col min="9985" max="9985" width="15.85546875" style="3" customWidth="1"/>
    <col min="9986" max="9986" width="14.85546875" style="3" customWidth="1"/>
    <col min="9987" max="9987" width="13.28515625" style="3" customWidth="1"/>
    <col min="9988" max="9988" width="11.42578125" style="3"/>
    <col min="9989" max="9989" width="13.42578125" style="3" customWidth="1"/>
    <col min="9990" max="9990" width="12.7109375" style="3" customWidth="1"/>
    <col min="9991" max="9991" width="14" style="3" customWidth="1"/>
    <col min="9992" max="9992" width="7.42578125" style="3" customWidth="1"/>
    <col min="9993" max="10240" width="11.42578125" style="3"/>
    <col min="10241" max="10241" width="15.85546875" style="3" customWidth="1"/>
    <col min="10242" max="10242" width="14.85546875" style="3" customWidth="1"/>
    <col min="10243" max="10243" width="13.28515625" style="3" customWidth="1"/>
    <col min="10244" max="10244" width="11.42578125" style="3"/>
    <col min="10245" max="10245" width="13.42578125" style="3" customWidth="1"/>
    <col min="10246" max="10246" width="12.7109375" style="3" customWidth="1"/>
    <col min="10247" max="10247" width="14" style="3" customWidth="1"/>
    <col min="10248" max="10248" width="7.42578125" style="3" customWidth="1"/>
    <col min="10249" max="10496" width="11.42578125" style="3"/>
    <col min="10497" max="10497" width="15.85546875" style="3" customWidth="1"/>
    <col min="10498" max="10498" width="14.85546875" style="3" customWidth="1"/>
    <col min="10499" max="10499" width="13.28515625" style="3" customWidth="1"/>
    <col min="10500" max="10500" width="11.42578125" style="3"/>
    <col min="10501" max="10501" width="13.42578125" style="3" customWidth="1"/>
    <col min="10502" max="10502" width="12.7109375" style="3" customWidth="1"/>
    <col min="10503" max="10503" width="14" style="3" customWidth="1"/>
    <col min="10504" max="10504" width="7.42578125" style="3" customWidth="1"/>
    <col min="10505" max="10752" width="11.42578125" style="3"/>
    <col min="10753" max="10753" width="15.85546875" style="3" customWidth="1"/>
    <col min="10754" max="10754" width="14.85546875" style="3" customWidth="1"/>
    <col min="10755" max="10755" width="13.28515625" style="3" customWidth="1"/>
    <col min="10756" max="10756" width="11.42578125" style="3"/>
    <col min="10757" max="10757" width="13.42578125" style="3" customWidth="1"/>
    <col min="10758" max="10758" width="12.7109375" style="3" customWidth="1"/>
    <col min="10759" max="10759" width="14" style="3" customWidth="1"/>
    <col min="10760" max="10760" width="7.42578125" style="3" customWidth="1"/>
    <col min="10761" max="11008" width="11.42578125" style="3"/>
    <col min="11009" max="11009" width="15.85546875" style="3" customWidth="1"/>
    <col min="11010" max="11010" width="14.85546875" style="3" customWidth="1"/>
    <col min="11011" max="11011" width="13.28515625" style="3" customWidth="1"/>
    <col min="11012" max="11012" width="11.42578125" style="3"/>
    <col min="11013" max="11013" width="13.42578125" style="3" customWidth="1"/>
    <col min="11014" max="11014" width="12.7109375" style="3" customWidth="1"/>
    <col min="11015" max="11015" width="14" style="3" customWidth="1"/>
    <col min="11016" max="11016" width="7.42578125" style="3" customWidth="1"/>
    <col min="11017" max="11264" width="11.42578125" style="3"/>
    <col min="11265" max="11265" width="15.85546875" style="3" customWidth="1"/>
    <col min="11266" max="11266" width="14.85546875" style="3" customWidth="1"/>
    <col min="11267" max="11267" width="13.28515625" style="3" customWidth="1"/>
    <col min="11268" max="11268" width="11.42578125" style="3"/>
    <col min="11269" max="11269" width="13.42578125" style="3" customWidth="1"/>
    <col min="11270" max="11270" width="12.7109375" style="3" customWidth="1"/>
    <col min="11271" max="11271" width="14" style="3" customWidth="1"/>
    <col min="11272" max="11272" width="7.42578125" style="3" customWidth="1"/>
    <col min="11273" max="11520" width="11.42578125" style="3"/>
    <col min="11521" max="11521" width="15.85546875" style="3" customWidth="1"/>
    <col min="11522" max="11522" width="14.85546875" style="3" customWidth="1"/>
    <col min="11523" max="11523" width="13.28515625" style="3" customWidth="1"/>
    <col min="11524" max="11524" width="11.42578125" style="3"/>
    <col min="11525" max="11525" width="13.42578125" style="3" customWidth="1"/>
    <col min="11526" max="11526" width="12.7109375" style="3" customWidth="1"/>
    <col min="11527" max="11527" width="14" style="3" customWidth="1"/>
    <col min="11528" max="11528" width="7.42578125" style="3" customWidth="1"/>
    <col min="11529" max="11776" width="11.42578125" style="3"/>
    <col min="11777" max="11777" width="15.85546875" style="3" customWidth="1"/>
    <col min="11778" max="11778" width="14.85546875" style="3" customWidth="1"/>
    <col min="11779" max="11779" width="13.28515625" style="3" customWidth="1"/>
    <col min="11780" max="11780" width="11.42578125" style="3"/>
    <col min="11781" max="11781" width="13.42578125" style="3" customWidth="1"/>
    <col min="11782" max="11782" width="12.7109375" style="3" customWidth="1"/>
    <col min="11783" max="11783" width="14" style="3" customWidth="1"/>
    <col min="11784" max="11784" width="7.42578125" style="3" customWidth="1"/>
    <col min="11785" max="12032" width="11.42578125" style="3"/>
    <col min="12033" max="12033" width="15.85546875" style="3" customWidth="1"/>
    <col min="12034" max="12034" width="14.85546875" style="3" customWidth="1"/>
    <col min="12035" max="12035" width="13.28515625" style="3" customWidth="1"/>
    <col min="12036" max="12036" width="11.42578125" style="3"/>
    <col min="12037" max="12037" width="13.42578125" style="3" customWidth="1"/>
    <col min="12038" max="12038" width="12.7109375" style="3" customWidth="1"/>
    <col min="12039" max="12039" width="14" style="3" customWidth="1"/>
    <col min="12040" max="12040" width="7.42578125" style="3" customWidth="1"/>
    <col min="12041" max="12288" width="11.42578125" style="3"/>
    <col min="12289" max="12289" width="15.85546875" style="3" customWidth="1"/>
    <col min="12290" max="12290" width="14.85546875" style="3" customWidth="1"/>
    <col min="12291" max="12291" width="13.28515625" style="3" customWidth="1"/>
    <col min="12292" max="12292" width="11.42578125" style="3"/>
    <col min="12293" max="12293" width="13.42578125" style="3" customWidth="1"/>
    <col min="12294" max="12294" width="12.7109375" style="3" customWidth="1"/>
    <col min="12295" max="12295" width="14" style="3" customWidth="1"/>
    <col min="12296" max="12296" width="7.42578125" style="3" customWidth="1"/>
    <col min="12297" max="12544" width="11.42578125" style="3"/>
    <col min="12545" max="12545" width="15.85546875" style="3" customWidth="1"/>
    <col min="12546" max="12546" width="14.85546875" style="3" customWidth="1"/>
    <col min="12547" max="12547" width="13.28515625" style="3" customWidth="1"/>
    <col min="12548" max="12548" width="11.42578125" style="3"/>
    <col min="12549" max="12549" width="13.42578125" style="3" customWidth="1"/>
    <col min="12550" max="12550" width="12.7109375" style="3" customWidth="1"/>
    <col min="12551" max="12551" width="14" style="3" customWidth="1"/>
    <col min="12552" max="12552" width="7.42578125" style="3" customWidth="1"/>
    <col min="12553" max="12800" width="11.42578125" style="3"/>
    <col min="12801" max="12801" width="15.85546875" style="3" customWidth="1"/>
    <col min="12802" max="12802" width="14.85546875" style="3" customWidth="1"/>
    <col min="12803" max="12803" width="13.28515625" style="3" customWidth="1"/>
    <col min="12804" max="12804" width="11.42578125" style="3"/>
    <col min="12805" max="12805" width="13.42578125" style="3" customWidth="1"/>
    <col min="12806" max="12806" width="12.7109375" style="3" customWidth="1"/>
    <col min="12807" max="12807" width="14" style="3" customWidth="1"/>
    <col min="12808" max="12808" width="7.42578125" style="3" customWidth="1"/>
    <col min="12809" max="13056" width="11.42578125" style="3"/>
    <col min="13057" max="13057" width="15.85546875" style="3" customWidth="1"/>
    <col min="13058" max="13058" width="14.85546875" style="3" customWidth="1"/>
    <col min="13059" max="13059" width="13.28515625" style="3" customWidth="1"/>
    <col min="13060" max="13060" width="11.42578125" style="3"/>
    <col min="13061" max="13061" width="13.42578125" style="3" customWidth="1"/>
    <col min="13062" max="13062" width="12.7109375" style="3" customWidth="1"/>
    <col min="13063" max="13063" width="14" style="3" customWidth="1"/>
    <col min="13064" max="13064" width="7.42578125" style="3" customWidth="1"/>
    <col min="13065" max="13312" width="11.42578125" style="3"/>
    <col min="13313" max="13313" width="15.85546875" style="3" customWidth="1"/>
    <col min="13314" max="13314" width="14.85546875" style="3" customWidth="1"/>
    <col min="13315" max="13315" width="13.28515625" style="3" customWidth="1"/>
    <col min="13316" max="13316" width="11.42578125" style="3"/>
    <col min="13317" max="13317" width="13.42578125" style="3" customWidth="1"/>
    <col min="13318" max="13318" width="12.7109375" style="3" customWidth="1"/>
    <col min="13319" max="13319" width="14" style="3" customWidth="1"/>
    <col min="13320" max="13320" width="7.42578125" style="3" customWidth="1"/>
    <col min="13321" max="13568" width="11.42578125" style="3"/>
    <col min="13569" max="13569" width="15.85546875" style="3" customWidth="1"/>
    <col min="13570" max="13570" width="14.85546875" style="3" customWidth="1"/>
    <col min="13571" max="13571" width="13.28515625" style="3" customWidth="1"/>
    <col min="13572" max="13572" width="11.42578125" style="3"/>
    <col min="13573" max="13573" width="13.42578125" style="3" customWidth="1"/>
    <col min="13574" max="13574" width="12.7109375" style="3" customWidth="1"/>
    <col min="13575" max="13575" width="14" style="3" customWidth="1"/>
    <col min="13576" max="13576" width="7.42578125" style="3" customWidth="1"/>
    <col min="13577" max="13824" width="11.42578125" style="3"/>
    <col min="13825" max="13825" width="15.85546875" style="3" customWidth="1"/>
    <col min="13826" max="13826" width="14.85546875" style="3" customWidth="1"/>
    <col min="13827" max="13827" width="13.28515625" style="3" customWidth="1"/>
    <col min="13828" max="13828" width="11.42578125" style="3"/>
    <col min="13829" max="13829" width="13.42578125" style="3" customWidth="1"/>
    <col min="13830" max="13830" width="12.7109375" style="3" customWidth="1"/>
    <col min="13831" max="13831" width="14" style="3" customWidth="1"/>
    <col min="13832" max="13832" width="7.42578125" style="3" customWidth="1"/>
    <col min="13833" max="14080" width="11.42578125" style="3"/>
    <col min="14081" max="14081" width="15.85546875" style="3" customWidth="1"/>
    <col min="14082" max="14082" width="14.85546875" style="3" customWidth="1"/>
    <col min="14083" max="14083" width="13.28515625" style="3" customWidth="1"/>
    <col min="14084" max="14084" width="11.42578125" style="3"/>
    <col min="14085" max="14085" width="13.42578125" style="3" customWidth="1"/>
    <col min="14086" max="14086" width="12.7109375" style="3" customWidth="1"/>
    <col min="14087" max="14087" width="14" style="3" customWidth="1"/>
    <col min="14088" max="14088" width="7.42578125" style="3" customWidth="1"/>
    <col min="14089" max="14336" width="11.42578125" style="3"/>
    <col min="14337" max="14337" width="15.85546875" style="3" customWidth="1"/>
    <col min="14338" max="14338" width="14.85546875" style="3" customWidth="1"/>
    <col min="14339" max="14339" width="13.28515625" style="3" customWidth="1"/>
    <col min="14340" max="14340" width="11.42578125" style="3"/>
    <col min="14341" max="14341" width="13.42578125" style="3" customWidth="1"/>
    <col min="14342" max="14342" width="12.7109375" style="3" customWidth="1"/>
    <col min="14343" max="14343" width="14" style="3" customWidth="1"/>
    <col min="14344" max="14344" width="7.42578125" style="3" customWidth="1"/>
    <col min="14345" max="14592" width="11.42578125" style="3"/>
    <col min="14593" max="14593" width="15.85546875" style="3" customWidth="1"/>
    <col min="14594" max="14594" width="14.85546875" style="3" customWidth="1"/>
    <col min="14595" max="14595" width="13.28515625" style="3" customWidth="1"/>
    <col min="14596" max="14596" width="11.42578125" style="3"/>
    <col min="14597" max="14597" width="13.42578125" style="3" customWidth="1"/>
    <col min="14598" max="14598" width="12.7109375" style="3" customWidth="1"/>
    <col min="14599" max="14599" width="14" style="3" customWidth="1"/>
    <col min="14600" max="14600" width="7.42578125" style="3" customWidth="1"/>
    <col min="14601" max="14848" width="11.42578125" style="3"/>
    <col min="14849" max="14849" width="15.85546875" style="3" customWidth="1"/>
    <col min="14850" max="14850" width="14.85546875" style="3" customWidth="1"/>
    <col min="14851" max="14851" width="13.28515625" style="3" customWidth="1"/>
    <col min="14852" max="14852" width="11.42578125" style="3"/>
    <col min="14853" max="14853" width="13.42578125" style="3" customWidth="1"/>
    <col min="14854" max="14854" width="12.7109375" style="3" customWidth="1"/>
    <col min="14855" max="14855" width="14" style="3" customWidth="1"/>
    <col min="14856" max="14856" width="7.42578125" style="3" customWidth="1"/>
    <col min="14857" max="15104" width="11.42578125" style="3"/>
    <col min="15105" max="15105" width="15.85546875" style="3" customWidth="1"/>
    <col min="15106" max="15106" width="14.85546875" style="3" customWidth="1"/>
    <col min="15107" max="15107" width="13.28515625" style="3" customWidth="1"/>
    <col min="15108" max="15108" width="11.42578125" style="3"/>
    <col min="15109" max="15109" width="13.42578125" style="3" customWidth="1"/>
    <col min="15110" max="15110" width="12.7109375" style="3" customWidth="1"/>
    <col min="15111" max="15111" width="14" style="3" customWidth="1"/>
    <col min="15112" max="15112" width="7.42578125" style="3" customWidth="1"/>
    <col min="15113" max="15360" width="11.42578125" style="3"/>
    <col min="15361" max="15361" width="15.85546875" style="3" customWidth="1"/>
    <col min="15362" max="15362" width="14.85546875" style="3" customWidth="1"/>
    <col min="15363" max="15363" width="13.28515625" style="3" customWidth="1"/>
    <col min="15364" max="15364" width="11.42578125" style="3"/>
    <col min="15365" max="15365" width="13.42578125" style="3" customWidth="1"/>
    <col min="15366" max="15366" width="12.7109375" style="3" customWidth="1"/>
    <col min="15367" max="15367" width="14" style="3" customWidth="1"/>
    <col min="15368" max="15368" width="7.42578125" style="3" customWidth="1"/>
    <col min="15369" max="15616" width="11.42578125" style="3"/>
    <col min="15617" max="15617" width="15.85546875" style="3" customWidth="1"/>
    <col min="15618" max="15618" width="14.85546875" style="3" customWidth="1"/>
    <col min="15619" max="15619" width="13.28515625" style="3" customWidth="1"/>
    <col min="15620" max="15620" width="11.42578125" style="3"/>
    <col min="15621" max="15621" width="13.42578125" style="3" customWidth="1"/>
    <col min="15622" max="15622" width="12.7109375" style="3" customWidth="1"/>
    <col min="15623" max="15623" width="14" style="3" customWidth="1"/>
    <col min="15624" max="15624" width="7.42578125" style="3" customWidth="1"/>
    <col min="15625" max="15872" width="11.42578125" style="3"/>
    <col min="15873" max="15873" width="15.85546875" style="3" customWidth="1"/>
    <col min="15874" max="15874" width="14.85546875" style="3" customWidth="1"/>
    <col min="15875" max="15875" width="13.28515625" style="3" customWidth="1"/>
    <col min="15876" max="15876" width="11.42578125" style="3"/>
    <col min="15877" max="15877" width="13.42578125" style="3" customWidth="1"/>
    <col min="15878" max="15878" width="12.7109375" style="3" customWidth="1"/>
    <col min="15879" max="15879" width="14" style="3" customWidth="1"/>
    <col min="15880" max="15880" width="7.42578125" style="3" customWidth="1"/>
    <col min="15881" max="16128" width="11.42578125" style="3"/>
    <col min="16129" max="16129" width="15.85546875" style="3" customWidth="1"/>
    <col min="16130" max="16130" width="14.85546875" style="3" customWidth="1"/>
    <col min="16131" max="16131" width="13.28515625" style="3" customWidth="1"/>
    <col min="16132" max="16132" width="11.42578125" style="3"/>
    <col min="16133" max="16133" width="13.42578125" style="3" customWidth="1"/>
    <col min="16134" max="16134" width="12.7109375" style="3" customWidth="1"/>
    <col min="16135" max="16135" width="14" style="3" customWidth="1"/>
    <col min="16136" max="16136" width="7.42578125" style="3" customWidth="1"/>
    <col min="16137" max="16384" width="11.42578125" style="3"/>
  </cols>
  <sheetData>
    <row r="1" spans="1:21" ht="48" customHeight="1">
      <c r="A1" s="1346" t="str">
        <f>PPTO!D3</f>
        <v>PRESUPUESTO
MUNICIPIO EL BAGRE (ANTIOQUIA).</v>
      </c>
      <c r="B1" s="1347"/>
      <c r="C1" s="1347"/>
      <c r="D1" s="1347"/>
      <c r="E1" s="1347"/>
      <c r="F1" s="1347"/>
      <c r="G1" s="1348"/>
      <c r="H1" s="1"/>
      <c r="I1" s="2"/>
    </row>
    <row r="2" spans="1:21" ht="18" customHeight="1">
      <c r="A2" s="1362" t="s">
        <v>16</v>
      </c>
      <c r="B2" s="1363"/>
      <c r="C2" s="1363"/>
      <c r="D2" s="1363"/>
      <c r="E2" s="1363"/>
      <c r="F2" s="1363"/>
      <c r="G2" s="1364"/>
      <c r="H2" s="1"/>
      <c r="I2" s="2"/>
    </row>
    <row r="3" spans="1:21" ht="27" customHeight="1">
      <c r="A3" s="1367" t="str">
        <f>+PPTO!$D$5</f>
        <v>PROYECTO DE MEJORAMIENTO VIAL, ESPACIO PUBLICO Y OBRAS COMPLEMENTARIAS DE LA AVENIDA LA JUVENTUD Y TRAMOS ADYACENTES Y PRIORITARIOS DEL SECTOR URBANO EN EL MUNICIPIO EL BAGRE ANTIOQUIA.</v>
      </c>
      <c r="B3" s="1368"/>
      <c r="C3" s="1368"/>
      <c r="D3" s="1368"/>
      <c r="E3" s="1368"/>
      <c r="F3" s="1368"/>
      <c r="G3" s="1369"/>
      <c r="H3" s="1"/>
      <c r="I3" s="2"/>
    </row>
    <row r="4" spans="1:21" ht="30" customHeight="1">
      <c r="A4" s="1370"/>
      <c r="B4" s="1368"/>
      <c r="C4" s="1368"/>
      <c r="D4" s="1368"/>
      <c r="E4" s="1368"/>
      <c r="F4" s="1368"/>
      <c r="G4" s="1369"/>
      <c r="H4" s="1"/>
      <c r="I4" s="2"/>
    </row>
    <row r="5" spans="1:21" ht="6.75" customHeight="1">
      <c r="A5" s="222"/>
      <c r="B5" s="6"/>
      <c r="C5" s="24"/>
      <c r="D5" s="25"/>
      <c r="E5" s="6"/>
      <c r="F5" s="6"/>
      <c r="G5" s="223"/>
      <c r="H5" s="9"/>
    </row>
    <row r="6" spans="1:21" ht="52.5" customHeight="1">
      <c r="A6" s="371" t="s">
        <v>304</v>
      </c>
      <c r="B6" s="1349" t="e">
        <f>VLOOKUP(A6,PPTO!D9:I136,2,FALSE)</f>
        <v>#N/A</v>
      </c>
      <c r="C6" s="1350"/>
      <c r="D6" s="1350"/>
      <c r="E6" s="1351"/>
      <c r="F6" s="192" t="s">
        <v>118</v>
      </c>
      <c r="G6" s="248" t="e">
        <f>VLOOKUP(A6,PPTO!D9:I136,3,FALSE)</f>
        <v>#N/A</v>
      </c>
      <c r="H6" s="9"/>
    </row>
    <row r="7" spans="1:21" ht="3.75" customHeight="1">
      <c r="A7" s="226"/>
      <c r="B7" s="4"/>
      <c r="C7" s="6"/>
      <c r="D7" s="4"/>
      <c r="E7" s="4"/>
      <c r="F7" s="4"/>
      <c r="G7" s="227"/>
      <c r="H7" s="9"/>
    </row>
    <row r="8" spans="1:21" ht="22.5" customHeight="1">
      <c r="A8" s="1354" t="s">
        <v>69</v>
      </c>
      <c r="B8" s="1355"/>
      <c r="C8" s="1355"/>
      <c r="D8" s="1355"/>
      <c r="E8" s="1355"/>
      <c r="F8" s="1355"/>
      <c r="G8" s="1356"/>
      <c r="H8" s="9"/>
    </row>
    <row r="9" spans="1:21" ht="4.5" customHeight="1">
      <c r="A9" s="226"/>
      <c r="B9" s="4"/>
      <c r="C9" s="6"/>
      <c r="D9" s="4"/>
      <c r="E9" s="4"/>
      <c r="F9" s="4"/>
      <c r="G9" s="227"/>
      <c r="H9" s="9"/>
      <c r="I9" s="5"/>
      <c r="J9" s="5"/>
      <c r="K9" s="5"/>
      <c r="L9" s="26"/>
      <c r="M9" s="5"/>
      <c r="N9" s="5"/>
      <c r="O9" s="5"/>
      <c r="P9" s="5"/>
    </row>
    <row r="10" spans="1:21">
      <c r="A10" s="1373" t="s">
        <v>17</v>
      </c>
      <c r="B10" s="1374"/>
      <c r="C10" s="1374"/>
      <c r="D10" s="353" t="s">
        <v>18</v>
      </c>
      <c r="E10" s="353" t="s">
        <v>19</v>
      </c>
      <c r="F10" s="353" t="s">
        <v>20</v>
      </c>
      <c r="G10" s="228" t="s">
        <v>21</v>
      </c>
      <c r="H10" s="27"/>
      <c r="I10" s="28"/>
      <c r="J10" s="29"/>
      <c r="K10" s="30"/>
      <c r="L10" s="30"/>
      <c r="M10" s="30"/>
      <c r="N10" s="30"/>
      <c r="O10" s="30"/>
      <c r="P10" s="5"/>
    </row>
    <row r="11" spans="1:21">
      <c r="A11" s="1352" t="s">
        <v>47</v>
      </c>
      <c r="B11" s="1353"/>
      <c r="C11" s="1353"/>
      <c r="D11" s="353"/>
      <c r="E11" s="83"/>
      <c r="F11" s="97"/>
      <c r="G11" s="229">
        <f>+G39*10%</f>
        <v>2545</v>
      </c>
      <c r="H11" s="9"/>
      <c r="I11" s="30"/>
      <c r="J11" s="31"/>
      <c r="K11" s="30"/>
      <c r="L11" s="30"/>
      <c r="M11" s="30"/>
      <c r="N11" s="30"/>
      <c r="O11" s="30"/>
      <c r="P11" s="5"/>
    </row>
    <row r="12" spans="1:21">
      <c r="A12" s="1371"/>
      <c r="B12" s="1372"/>
      <c r="C12" s="1372"/>
      <c r="D12" s="83"/>
      <c r="E12" s="83"/>
      <c r="F12" s="93"/>
      <c r="G12" s="229"/>
      <c r="H12" s="9"/>
      <c r="I12" s="16"/>
      <c r="J12" s="13"/>
      <c r="K12" s="8"/>
      <c r="L12" s="8"/>
      <c r="M12" s="8"/>
      <c r="N12" s="8"/>
      <c r="O12" s="8"/>
      <c r="P12" s="5"/>
    </row>
    <row r="13" spans="1:21">
      <c r="A13" s="1371"/>
      <c r="B13" s="1372"/>
      <c r="C13" s="1372"/>
      <c r="D13" s="83"/>
      <c r="E13" s="83"/>
      <c r="F13" s="93"/>
      <c r="G13" s="229"/>
      <c r="H13" s="9"/>
      <c r="I13" s="13"/>
      <c r="J13" s="13"/>
      <c r="K13" s="13"/>
      <c r="L13" s="13"/>
      <c r="M13" s="13"/>
      <c r="N13" s="13"/>
      <c r="O13" s="13"/>
      <c r="P13" s="5"/>
    </row>
    <row r="14" spans="1:21">
      <c r="A14" s="1371"/>
      <c r="B14" s="1372"/>
      <c r="C14" s="1372"/>
      <c r="D14" s="83"/>
      <c r="E14" s="83"/>
      <c r="F14" s="93"/>
      <c r="G14" s="229"/>
      <c r="H14" s="9"/>
      <c r="I14" s="8"/>
      <c r="J14" s="14"/>
      <c r="K14" s="32"/>
      <c r="L14" s="14"/>
      <c r="M14" s="15"/>
      <c r="N14" s="15"/>
      <c r="O14" s="19"/>
      <c r="P14" s="5"/>
    </row>
    <row r="15" spans="1:21">
      <c r="A15" s="1371"/>
      <c r="B15" s="1372"/>
      <c r="C15" s="1372"/>
      <c r="D15" s="83"/>
      <c r="E15" s="83"/>
      <c r="F15" s="98"/>
      <c r="G15" s="229"/>
      <c r="H15" s="9"/>
      <c r="I15" s="8"/>
      <c r="J15" s="33"/>
      <c r="K15" s="32"/>
      <c r="L15" s="14"/>
      <c r="M15" s="15"/>
      <c r="N15" s="15"/>
      <c r="O15" s="19"/>
      <c r="P15" s="5"/>
      <c r="Q15" s="5"/>
      <c r="R15" s="5"/>
      <c r="S15" s="5"/>
      <c r="T15" s="5"/>
      <c r="U15" s="5"/>
    </row>
    <row r="16" spans="1:21">
      <c r="A16" s="1371"/>
      <c r="B16" s="1372"/>
      <c r="C16" s="1372"/>
      <c r="D16" s="85" t="s">
        <v>37</v>
      </c>
      <c r="E16" s="50"/>
      <c r="F16" s="49"/>
      <c r="G16" s="230">
        <f>SUM(G11:G15)</f>
        <v>2545</v>
      </c>
      <c r="H16" s="9"/>
      <c r="I16" s="34"/>
      <c r="J16" s="34"/>
      <c r="K16" s="35"/>
      <c r="L16" s="36"/>
      <c r="M16" s="7"/>
      <c r="N16" s="7"/>
      <c r="O16" s="19"/>
      <c r="P16" s="5"/>
      <c r="Q16" s="5"/>
      <c r="R16" s="5"/>
      <c r="S16" s="5"/>
      <c r="T16" s="5"/>
      <c r="U16" s="5"/>
    </row>
    <row r="17" spans="1:21" ht="4.5" customHeight="1">
      <c r="A17" s="226"/>
      <c r="B17" s="4"/>
      <c r="C17" s="6"/>
      <c r="D17" s="4"/>
      <c r="E17" s="4"/>
      <c r="F17" s="4"/>
      <c r="G17" s="227"/>
      <c r="H17" s="9"/>
      <c r="I17" s="34"/>
      <c r="J17" s="34"/>
      <c r="K17" s="35"/>
      <c r="L17" s="36"/>
      <c r="M17" s="7"/>
      <c r="N17" s="7"/>
      <c r="O17" s="19"/>
      <c r="P17" s="5"/>
      <c r="Q17" s="5"/>
      <c r="R17" s="5"/>
      <c r="S17" s="5"/>
      <c r="T17" s="5"/>
      <c r="U17" s="5"/>
    </row>
    <row r="18" spans="1:21" ht="22.5" customHeight="1">
      <c r="A18" s="1354" t="s">
        <v>70</v>
      </c>
      <c r="B18" s="1355"/>
      <c r="C18" s="1355"/>
      <c r="D18" s="1355"/>
      <c r="E18" s="1355"/>
      <c r="F18" s="1355"/>
      <c r="G18" s="1356"/>
      <c r="H18" s="9"/>
    </row>
    <row r="19" spans="1:21" ht="4.5" customHeight="1">
      <c r="A19" s="226"/>
      <c r="B19" s="4"/>
      <c r="C19" s="6"/>
      <c r="D19" s="4"/>
      <c r="E19" s="4"/>
      <c r="F19" s="38"/>
      <c r="G19" s="227"/>
      <c r="H19" s="9"/>
      <c r="I19" s="34"/>
      <c r="J19" s="34"/>
      <c r="K19" s="35"/>
      <c r="L19" s="39"/>
      <c r="M19" s="7"/>
      <c r="N19" s="7"/>
      <c r="O19" s="8"/>
      <c r="P19" s="5"/>
      <c r="Q19" s="5"/>
      <c r="R19" s="5"/>
      <c r="S19" s="5"/>
      <c r="T19" s="5"/>
      <c r="U19" s="5"/>
    </row>
    <row r="20" spans="1:21">
      <c r="A20" s="1373" t="s">
        <v>17</v>
      </c>
      <c r="B20" s="1374"/>
      <c r="C20" s="1374"/>
      <c r="D20" s="353" t="s">
        <v>3</v>
      </c>
      <c r="E20" s="353" t="s">
        <v>4</v>
      </c>
      <c r="F20" s="353" t="s">
        <v>25</v>
      </c>
      <c r="G20" s="228" t="s">
        <v>21</v>
      </c>
      <c r="H20" s="27"/>
      <c r="I20" s="34"/>
      <c r="J20" s="34"/>
      <c r="K20" s="35"/>
      <c r="L20" s="39"/>
      <c r="M20" s="7"/>
      <c r="N20" s="7"/>
      <c r="O20" s="8"/>
      <c r="P20" s="5"/>
      <c r="Q20" s="5"/>
      <c r="R20" s="5"/>
      <c r="S20" s="5"/>
      <c r="T20" s="5"/>
      <c r="U20" s="5"/>
    </row>
    <row r="21" spans="1:21" ht="31.5" customHeight="1">
      <c r="A21" s="1441" t="e">
        <f>MID(I21,25,50)</f>
        <v>#N/A</v>
      </c>
      <c r="B21" s="1442"/>
      <c r="C21" s="1443"/>
      <c r="D21" s="118" t="s">
        <v>119</v>
      </c>
      <c r="E21" s="119">
        <v>1</v>
      </c>
      <c r="F21" s="87">
        <f>1485961/6*IPC</f>
        <v>255536</v>
      </c>
      <c r="G21" s="231">
        <f>ROUND(F21*E21,0)</f>
        <v>255536</v>
      </c>
      <c r="H21" s="9"/>
      <c r="I21" s="34" t="e">
        <f>B6</f>
        <v>#N/A</v>
      </c>
      <c r="J21" s="34"/>
      <c r="K21" s="35"/>
      <c r="L21" s="36"/>
      <c r="M21" s="7"/>
      <c r="N21" s="7"/>
      <c r="O21" s="19"/>
      <c r="P21" s="5"/>
      <c r="Q21" s="5"/>
      <c r="R21" s="5"/>
      <c r="S21" s="5"/>
      <c r="T21" s="5"/>
      <c r="U21" s="5"/>
    </row>
    <row r="22" spans="1:21" ht="27.75" customHeight="1">
      <c r="A22" s="1444"/>
      <c r="B22" s="1403"/>
      <c r="C22" s="1404"/>
      <c r="D22" s="116"/>
      <c r="E22" s="117"/>
      <c r="F22" s="91"/>
      <c r="G22" s="231"/>
      <c r="H22" s="9"/>
      <c r="I22" s="10"/>
      <c r="J22" s="10"/>
      <c r="K22" s="12"/>
      <c r="L22" s="39"/>
      <c r="M22" s="7"/>
      <c r="N22" s="7"/>
      <c r="O22" s="15"/>
      <c r="P22" s="5"/>
      <c r="Q22" s="5"/>
      <c r="R22" s="5"/>
      <c r="S22" s="5"/>
      <c r="T22" s="5"/>
      <c r="U22" s="5"/>
    </row>
    <row r="23" spans="1:21">
      <c r="A23" s="1386"/>
      <c r="B23" s="1353"/>
      <c r="C23" s="1353"/>
      <c r="D23" s="79"/>
      <c r="E23" s="82"/>
      <c r="F23" s="83"/>
      <c r="G23" s="67"/>
      <c r="H23" s="9"/>
      <c r="I23" s="10"/>
      <c r="J23" s="10"/>
      <c r="K23" s="12"/>
      <c r="L23" s="39"/>
      <c r="M23" s="7"/>
      <c r="N23" s="7"/>
      <c r="O23" s="15"/>
      <c r="P23" s="5"/>
      <c r="Q23" s="5"/>
      <c r="R23" s="5"/>
      <c r="S23" s="5"/>
      <c r="T23" s="5"/>
      <c r="U23" s="5"/>
    </row>
    <row r="24" spans="1:21">
      <c r="A24" s="1352"/>
      <c r="B24" s="1353"/>
      <c r="C24" s="1353"/>
      <c r="D24" s="81"/>
      <c r="E24" s="88"/>
      <c r="F24" s="78"/>
      <c r="G24" s="231"/>
      <c r="H24" s="9"/>
      <c r="I24" s="10"/>
      <c r="J24" s="40"/>
      <c r="K24" s="12"/>
      <c r="L24" s="13"/>
      <c r="M24" s="14"/>
      <c r="N24" s="14"/>
      <c r="O24" s="15"/>
      <c r="P24" s="5"/>
      <c r="Q24" s="5"/>
      <c r="R24" s="5"/>
      <c r="S24" s="5"/>
      <c r="T24" s="5"/>
      <c r="U24" s="5"/>
    </row>
    <row r="25" spans="1:21">
      <c r="A25" s="1352"/>
      <c r="B25" s="1353"/>
      <c r="C25" s="1353"/>
      <c r="D25" s="81"/>
      <c r="E25" s="82"/>
      <c r="F25" s="78"/>
      <c r="G25" s="231"/>
      <c r="H25" s="9"/>
      <c r="I25" s="10"/>
      <c r="J25" s="11"/>
      <c r="K25" s="12"/>
      <c r="L25" s="13"/>
      <c r="M25" s="14"/>
      <c r="N25" s="14"/>
      <c r="O25" s="15"/>
      <c r="P25" s="5"/>
      <c r="Q25" s="5"/>
      <c r="R25" s="5"/>
      <c r="S25" s="5"/>
      <c r="T25" s="5"/>
      <c r="U25" s="5"/>
    </row>
    <row r="26" spans="1:21">
      <c r="A26" s="1352"/>
      <c r="B26" s="1353"/>
      <c r="C26" s="1353"/>
      <c r="D26" s="79"/>
      <c r="E26" s="82"/>
      <c r="F26" s="78"/>
      <c r="G26" s="231"/>
      <c r="H26" s="9"/>
      <c r="I26" s="10"/>
      <c r="J26" s="11"/>
      <c r="K26" s="12"/>
      <c r="L26" s="13"/>
      <c r="M26" s="14"/>
      <c r="N26" s="14"/>
      <c r="O26" s="15"/>
      <c r="P26" s="5"/>
      <c r="Q26" s="5"/>
      <c r="R26" s="5"/>
      <c r="S26" s="5"/>
      <c r="T26" s="5"/>
      <c r="U26" s="5"/>
    </row>
    <row r="27" spans="1:21">
      <c r="A27" s="1352"/>
      <c r="B27" s="1353"/>
      <c r="C27" s="1353"/>
      <c r="D27" s="79"/>
      <c r="E27" s="82"/>
      <c r="F27" s="78"/>
      <c r="G27" s="231"/>
      <c r="H27" s="9"/>
      <c r="I27" s="10"/>
      <c r="J27" s="11"/>
      <c r="K27" s="12"/>
      <c r="L27" s="13"/>
      <c r="M27" s="14"/>
      <c r="N27" s="14"/>
      <c r="O27" s="15"/>
      <c r="P27" s="5"/>
      <c r="Q27" s="5"/>
      <c r="R27" s="5"/>
      <c r="S27" s="5"/>
      <c r="T27" s="5"/>
      <c r="U27" s="5"/>
    </row>
    <row r="28" spans="1:21">
      <c r="A28" s="1352"/>
      <c r="B28" s="1353"/>
      <c r="C28" s="1353"/>
      <c r="D28" s="79"/>
      <c r="E28" s="82"/>
      <c r="F28" s="83"/>
      <c r="G28" s="231"/>
      <c r="H28" s="9"/>
      <c r="I28" s="41"/>
      <c r="J28" s="41"/>
      <c r="K28" s="12"/>
      <c r="L28" s="13"/>
      <c r="M28" s="14"/>
      <c r="N28" s="14"/>
      <c r="O28" s="15"/>
      <c r="P28" s="5"/>
      <c r="Q28" s="5"/>
      <c r="R28" s="5"/>
      <c r="S28" s="5"/>
      <c r="T28" s="5"/>
      <c r="U28" s="5"/>
    </row>
    <row r="29" spans="1:21">
      <c r="A29" s="1352"/>
      <c r="B29" s="1353"/>
      <c r="C29" s="1353"/>
      <c r="D29" s="84"/>
      <c r="E29" s="84"/>
      <c r="F29" s="83"/>
      <c r="G29" s="231"/>
      <c r="H29" s="9"/>
      <c r="I29" s="42"/>
      <c r="J29" s="42"/>
      <c r="K29" s="42"/>
      <c r="L29" s="13"/>
      <c r="M29" s="14"/>
      <c r="N29" s="14"/>
      <c r="O29" s="15"/>
      <c r="P29" s="5"/>
      <c r="Q29" s="5"/>
      <c r="R29" s="5"/>
      <c r="S29" s="5"/>
      <c r="T29" s="5"/>
      <c r="U29" s="5"/>
    </row>
    <row r="30" spans="1:21">
      <c r="A30" s="1352"/>
      <c r="B30" s="1353"/>
      <c r="C30" s="1353"/>
      <c r="D30" s="85" t="s">
        <v>28</v>
      </c>
      <c r="E30" s="50"/>
      <c r="F30" s="49"/>
      <c r="G30" s="230">
        <f>SUM(G21:G29)</f>
        <v>255536</v>
      </c>
      <c r="H30" s="9"/>
      <c r="I30" s="8"/>
      <c r="J30" s="13"/>
      <c r="K30" s="8"/>
      <c r="L30" s="13"/>
      <c r="M30" s="14"/>
      <c r="N30" s="14"/>
      <c r="O30" s="15"/>
      <c r="P30" s="5"/>
    </row>
    <row r="31" spans="1:21" ht="3.75" customHeight="1">
      <c r="A31" s="226"/>
      <c r="B31" s="4"/>
      <c r="C31" s="6"/>
      <c r="D31" s="4"/>
      <c r="E31" s="4"/>
      <c r="F31" s="4"/>
      <c r="G31" s="227"/>
      <c r="H31" s="9"/>
      <c r="I31" s="8"/>
      <c r="J31" s="13"/>
      <c r="K31" s="18"/>
      <c r="L31" s="13"/>
      <c r="M31" s="33"/>
      <c r="N31" s="33"/>
      <c r="O31" s="15"/>
      <c r="P31" s="5"/>
    </row>
    <row r="32" spans="1:21" ht="22.5" customHeight="1">
      <c r="A32" s="1354" t="s">
        <v>71</v>
      </c>
      <c r="B32" s="1355"/>
      <c r="C32" s="1355"/>
      <c r="D32" s="1355"/>
      <c r="E32" s="1355"/>
      <c r="F32" s="1355"/>
      <c r="G32" s="1356"/>
      <c r="H32" s="9"/>
    </row>
    <row r="33" spans="1:16" ht="3.75" customHeight="1">
      <c r="A33" s="226"/>
      <c r="B33" s="4"/>
      <c r="C33" s="6"/>
      <c r="D33" s="4"/>
      <c r="E33" s="4"/>
      <c r="F33" s="4"/>
      <c r="G33" s="227"/>
      <c r="H33" s="9"/>
      <c r="I33" s="8"/>
      <c r="J33" s="13"/>
      <c r="K33" s="8"/>
      <c r="L33" s="8"/>
      <c r="M33" s="8"/>
      <c r="N33" s="8"/>
      <c r="O33" s="15"/>
      <c r="P33" s="5"/>
    </row>
    <row r="34" spans="1:16">
      <c r="A34" s="232" t="s">
        <v>5</v>
      </c>
      <c r="B34" s="60" t="s">
        <v>29</v>
      </c>
      <c r="C34" s="60" t="s">
        <v>30</v>
      </c>
      <c r="D34" s="60" t="s">
        <v>31</v>
      </c>
      <c r="E34" s="60" t="s">
        <v>32</v>
      </c>
      <c r="F34" s="60" t="s">
        <v>20</v>
      </c>
      <c r="G34" s="228" t="s">
        <v>33</v>
      </c>
      <c r="H34" s="27"/>
      <c r="I34" s="8"/>
      <c r="J34" s="13"/>
      <c r="K34" s="8"/>
      <c r="L34" s="8"/>
      <c r="M34" s="8"/>
      <c r="N34" s="8"/>
      <c r="O34" s="15"/>
      <c r="P34" s="5"/>
    </row>
    <row r="35" spans="1:16">
      <c r="A35" s="233" t="s">
        <v>41</v>
      </c>
      <c r="B35" s="63">
        <f>BOF</f>
        <v>51749</v>
      </c>
      <c r="C35" s="68">
        <f>ffpp</f>
        <v>0.64539999999999997</v>
      </c>
      <c r="D35" s="72">
        <v>1</v>
      </c>
      <c r="E35" s="66">
        <f>OF</f>
        <v>88696</v>
      </c>
      <c r="F35" s="65">
        <v>12</v>
      </c>
      <c r="G35" s="231">
        <f>ROUND(+D35*E35/F35,0)</f>
        <v>7391</v>
      </c>
      <c r="H35" s="9"/>
      <c r="I35" s="16"/>
      <c r="J35" s="13"/>
      <c r="K35" s="8"/>
      <c r="L35" s="8"/>
      <c r="M35" s="8"/>
      <c r="N35" s="8"/>
      <c r="O35" s="15"/>
      <c r="P35" s="5"/>
    </row>
    <row r="36" spans="1:16">
      <c r="A36" s="233" t="s">
        <v>38</v>
      </c>
      <c r="B36" s="63">
        <f>BOB</f>
        <v>41749</v>
      </c>
      <c r="C36" s="68">
        <f>ffpp</f>
        <v>0.64539999999999997</v>
      </c>
      <c r="D36" s="72">
        <v>3</v>
      </c>
      <c r="E36" s="66">
        <f>OB</f>
        <v>72242</v>
      </c>
      <c r="F36" s="65">
        <f>F35</f>
        <v>12</v>
      </c>
      <c r="G36" s="231">
        <f>ROUND(+D36*E36/F36,0)</f>
        <v>18061</v>
      </c>
      <c r="H36" s="9"/>
      <c r="I36" s="8"/>
      <c r="J36" s="8"/>
      <c r="K36" s="13"/>
      <c r="L36" s="13"/>
      <c r="M36" s="13"/>
      <c r="N36" s="13"/>
      <c r="O36" s="13"/>
      <c r="P36" s="5"/>
    </row>
    <row r="37" spans="1:16">
      <c r="A37" s="234"/>
      <c r="B37" s="50"/>
      <c r="C37" s="961"/>
      <c r="D37" s="50"/>
      <c r="E37" s="66"/>
      <c r="F37" s="65"/>
      <c r="G37" s="231"/>
      <c r="H37" s="9"/>
      <c r="I37" s="8"/>
      <c r="J37" s="13"/>
      <c r="K37" s="13"/>
      <c r="L37" s="13"/>
      <c r="M37" s="33"/>
      <c r="N37" s="33"/>
      <c r="O37" s="43"/>
      <c r="P37" s="5"/>
    </row>
    <row r="38" spans="1:16">
      <c r="A38" s="233"/>
      <c r="B38" s="65"/>
      <c r="C38" s="68"/>
      <c r="D38" s="65"/>
      <c r="E38" s="69"/>
      <c r="F38" s="69"/>
      <c r="G38" s="236"/>
      <c r="H38" s="9"/>
      <c r="I38" s="8"/>
      <c r="J38" s="13"/>
      <c r="K38" s="13"/>
      <c r="L38" s="13"/>
      <c r="M38" s="33"/>
      <c r="N38" s="33"/>
      <c r="O38" s="43"/>
      <c r="P38" s="5"/>
    </row>
    <row r="39" spans="1:16">
      <c r="A39" s="249"/>
      <c r="B39" s="71"/>
      <c r="C39" s="71"/>
      <c r="D39" s="71" t="s">
        <v>34</v>
      </c>
      <c r="E39" s="71"/>
      <c r="F39" s="71"/>
      <c r="G39" s="250">
        <f>SUM(G35:G38)</f>
        <v>25452</v>
      </c>
      <c r="H39" s="9"/>
      <c r="I39" s="8"/>
      <c r="J39" s="13"/>
      <c r="K39" s="13"/>
      <c r="L39" s="13"/>
      <c r="M39" s="14"/>
      <c r="N39" s="14"/>
      <c r="O39" s="15"/>
      <c r="P39" s="5"/>
    </row>
    <row r="40" spans="1:16">
      <c r="A40" s="226"/>
      <c r="B40" s="4"/>
      <c r="C40" s="6"/>
      <c r="D40" s="4"/>
      <c r="E40" s="4"/>
      <c r="F40" s="4"/>
      <c r="G40" s="227"/>
      <c r="H40" s="9"/>
      <c r="I40" s="8"/>
      <c r="J40" s="13"/>
      <c r="K40" s="13"/>
      <c r="L40" s="13"/>
      <c r="M40" s="14"/>
      <c r="N40" s="14"/>
      <c r="O40" s="19"/>
      <c r="P40" s="5"/>
    </row>
    <row r="41" spans="1:16">
      <c r="A41" s="226"/>
      <c r="B41" s="4"/>
      <c r="C41" s="6"/>
      <c r="D41" s="4"/>
      <c r="E41" s="4"/>
      <c r="F41" s="4"/>
      <c r="G41" s="227"/>
      <c r="H41" s="9"/>
      <c r="I41" s="8"/>
      <c r="J41" s="13"/>
      <c r="K41" s="13"/>
      <c r="L41" s="13"/>
      <c r="M41" s="17"/>
      <c r="N41" s="17"/>
      <c r="O41" s="37"/>
      <c r="P41" s="5"/>
    </row>
    <row r="42" spans="1:16" ht="14.25">
      <c r="A42" s="226"/>
      <c r="B42" s="4"/>
      <c r="C42" s="6"/>
      <c r="D42" s="1357" t="s">
        <v>35</v>
      </c>
      <c r="E42" s="1358"/>
      <c r="F42" s="1359"/>
      <c r="G42" s="239">
        <f>+G39+G30+G16</f>
        <v>283533</v>
      </c>
      <c r="H42" s="9"/>
      <c r="I42" s="48"/>
      <c r="J42" s="20"/>
      <c r="K42" s="8"/>
      <c r="L42" s="8"/>
      <c r="M42" s="8"/>
      <c r="N42" s="8"/>
      <c r="O42" s="8"/>
      <c r="P42" s="5"/>
    </row>
    <row r="43" spans="1:16" ht="14.25">
      <c r="A43" s="240"/>
      <c r="B43" s="57"/>
      <c r="C43" s="58"/>
      <c r="D43" s="99"/>
      <c r="E43" s="99"/>
      <c r="F43" s="99"/>
      <c r="G43" s="251"/>
      <c r="H43" s="9"/>
      <c r="I43" s="48"/>
      <c r="J43" s="20"/>
      <c r="K43" s="8"/>
      <c r="L43" s="8"/>
      <c r="M43" s="8"/>
      <c r="N43" s="8"/>
      <c r="O43" s="8"/>
      <c r="P43" s="5"/>
    </row>
    <row r="44" spans="1:16" ht="14.25">
      <c r="A44" s="374"/>
      <c r="B44" s="375"/>
      <c r="C44" s="375"/>
      <c r="D44" s="99"/>
      <c r="E44" s="99"/>
      <c r="F44" s="99"/>
      <c r="G44" s="251"/>
      <c r="H44" s="9"/>
      <c r="I44" s="48"/>
      <c r="J44" s="20"/>
      <c r="K44" s="8"/>
      <c r="L44" s="8"/>
      <c r="M44" s="8"/>
      <c r="N44" s="8"/>
      <c r="O44" s="8"/>
      <c r="P44" s="5"/>
    </row>
    <row r="45" spans="1:16" ht="14.25">
      <c r="A45" s="373"/>
      <c r="B45" s="376"/>
      <c r="C45" s="376"/>
      <c r="D45" s="99"/>
      <c r="E45" s="99"/>
      <c r="F45" s="99"/>
      <c r="G45" s="251"/>
      <c r="H45" s="9"/>
      <c r="I45" s="48"/>
      <c r="J45" s="20"/>
      <c r="K45" s="8"/>
      <c r="L45" s="8"/>
      <c r="M45" s="8"/>
      <c r="N45" s="8"/>
      <c r="O45" s="8"/>
      <c r="P45" s="5"/>
    </row>
    <row r="46" spans="1:16" ht="14.25">
      <c r="A46" s="373"/>
      <c r="B46" s="376"/>
      <c r="C46" s="376"/>
      <c r="D46" s="44"/>
      <c r="E46" s="45"/>
      <c r="F46" s="45"/>
      <c r="G46" s="251"/>
      <c r="H46" s="9"/>
      <c r="I46" s="8"/>
      <c r="J46" s="13"/>
      <c r="K46" s="8"/>
      <c r="L46" s="8"/>
      <c r="M46" s="8"/>
      <c r="N46" s="8"/>
      <c r="O46" s="8"/>
      <c r="P46" s="5"/>
    </row>
    <row r="47" spans="1:16" ht="15" thickBot="1">
      <c r="A47" s="242"/>
      <c r="B47" s="243"/>
      <c r="C47" s="244"/>
      <c r="D47" s="245"/>
      <c r="E47" s="246"/>
      <c r="F47" s="246"/>
      <c r="G47" s="247"/>
      <c r="H47" s="9"/>
      <c r="I47" s="8"/>
      <c r="J47" s="13"/>
      <c r="K47" s="8"/>
      <c r="L47" s="8"/>
      <c r="M47" s="8"/>
      <c r="N47" s="8"/>
      <c r="O47" s="8"/>
      <c r="P47" s="5"/>
    </row>
    <row r="48" spans="1:16">
      <c r="I48" s="5"/>
      <c r="J48" s="5"/>
      <c r="K48" s="5"/>
      <c r="L48" s="5"/>
      <c r="M48" s="5"/>
      <c r="N48" s="5"/>
      <c r="O48" s="5"/>
      <c r="P48" s="5"/>
    </row>
    <row r="49" spans="9:16">
      <c r="I49" s="5"/>
      <c r="J49" s="5"/>
      <c r="K49" s="5"/>
      <c r="L49" s="5"/>
      <c r="M49" s="5"/>
      <c r="N49" s="5"/>
      <c r="O49" s="5"/>
      <c r="P49" s="5"/>
    </row>
  </sheetData>
  <mergeCells count="26">
    <mergeCell ref="A10:C10"/>
    <mergeCell ref="A1:G1"/>
    <mergeCell ref="A2:G2"/>
    <mergeCell ref="A3:G4"/>
    <mergeCell ref="B6:E6"/>
    <mergeCell ref="A8:G8"/>
    <mergeCell ref="A24:C24"/>
    <mergeCell ref="A11:C11"/>
    <mergeCell ref="A12:C12"/>
    <mergeCell ref="A13:C13"/>
    <mergeCell ref="A14:C14"/>
    <mergeCell ref="A15:C15"/>
    <mergeCell ref="A16:C16"/>
    <mergeCell ref="A18:G18"/>
    <mergeCell ref="A20:C20"/>
    <mergeCell ref="A21:C21"/>
    <mergeCell ref="A22:C22"/>
    <mergeCell ref="A23:C23"/>
    <mergeCell ref="A32:G32"/>
    <mergeCell ref="D42:F42"/>
    <mergeCell ref="A25:C25"/>
    <mergeCell ref="A26:C26"/>
    <mergeCell ref="A27:C27"/>
    <mergeCell ref="A28:C28"/>
    <mergeCell ref="A29:C29"/>
    <mergeCell ref="A30:C30"/>
  </mergeCells>
  <printOptions horizontalCentered="1" verticalCentered="1"/>
  <pageMargins left="0.74803149606299213" right="0.74803149606299213" top="0" bottom="0.98425196850393704" header="0" footer="0"/>
  <pageSetup scale="90" orientation="portrait" r:id="rId1"/>
  <headerFooter alignWithMargins="0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75"/>
  <dimension ref="A1:U49"/>
  <sheetViews>
    <sheetView view="pageBreakPreview" topLeftCell="A4" zoomScaleNormal="100" zoomScaleSheetLayoutView="100" workbookViewId="0">
      <selection activeCell="F22" sqref="F22"/>
    </sheetView>
  </sheetViews>
  <sheetFormatPr baseColWidth="10" defaultColWidth="10.7109375" defaultRowHeight="12.75"/>
  <cols>
    <col min="1" max="1" width="15.85546875" style="3" customWidth="1"/>
    <col min="2" max="2" width="14.85546875" style="3" customWidth="1"/>
    <col min="3" max="3" width="13.28515625" style="3" customWidth="1"/>
    <col min="4" max="4" width="11.42578125" style="3"/>
    <col min="5" max="5" width="13.42578125" style="3" customWidth="1"/>
    <col min="6" max="6" width="12.7109375" style="3" customWidth="1"/>
    <col min="7" max="7" width="14" style="3" customWidth="1"/>
    <col min="8" max="8" width="7.42578125" style="3" customWidth="1"/>
    <col min="9" max="256" width="11.42578125" style="3"/>
    <col min="257" max="257" width="15.85546875" style="3" customWidth="1"/>
    <col min="258" max="258" width="14.85546875" style="3" customWidth="1"/>
    <col min="259" max="259" width="13.28515625" style="3" customWidth="1"/>
    <col min="260" max="260" width="11.42578125" style="3"/>
    <col min="261" max="261" width="13.42578125" style="3" customWidth="1"/>
    <col min="262" max="262" width="12.7109375" style="3" customWidth="1"/>
    <col min="263" max="263" width="14" style="3" customWidth="1"/>
    <col min="264" max="264" width="7.42578125" style="3" customWidth="1"/>
    <col min="265" max="512" width="11.42578125" style="3"/>
    <col min="513" max="513" width="15.85546875" style="3" customWidth="1"/>
    <col min="514" max="514" width="14.85546875" style="3" customWidth="1"/>
    <col min="515" max="515" width="13.28515625" style="3" customWidth="1"/>
    <col min="516" max="516" width="11.42578125" style="3"/>
    <col min="517" max="517" width="13.42578125" style="3" customWidth="1"/>
    <col min="518" max="518" width="12.7109375" style="3" customWidth="1"/>
    <col min="519" max="519" width="14" style="3" customWidth="1"/>
    <col min="520" max="520" width="7.42578125" style="3" customWidth="1"/>
    <col min="521" max="768" width="11.42578125" style="3"/>
    <col min="769" max="769" width="15.85546875" style="3" customWidth="1"/>
    <col min="770" max="770" width="14.85546875" style="3" customWidth="1"/>
    <col min="771" max="771" width="13.28515625" style="3" customWidth="1"/>
    <col min="772" max="772" width="11.42578125" style="3"/>
    <col min="773" max="773" width="13.42578125" style="3" customWidth="1"/>
    <col min="774" max="774" width="12.7109375" style="3" customWidth="1"/>
    <col min="775" max="775" width="14" style="3" customWidth="1"/>
    <col min="776" max="776" width="7.42578125" style="3" customWidth="1"/>
    <col min="777" max="1024" width="11.42578125" style="3"/>
    <col min="1025" max="1025" width="15.85546875" style="3" customWidth="1"/>
    <col min="1026" max="1026" width="14.85546875" style="3" customWidth="1"/>
    <col min="1027" max="1027" width="13.28515625" style="3" customWidth="1"/>
    <col min="1028" max="1028" width="11.42578125" style="3"/>
    <col min="1029" max="1029" width="13.42578125" style="3" customWidth="1"/>
    <col min="1030" max="1030" width="12.7109375" style="3" customWidth="1"/>
    <col min="1031" max="1031" width="14" style="3" customWidth="1"/>
    <col min="1032" max="1032" width="7.42578125" style="3" customWidth="1"/>
    <col min="1033" max="1280" width="11.42578125" style="3"/>
    <col min="1281" max="1281" width="15.85546875" style="3" customWidth="1"/>
    <col min="1282" max="1282" width="14.85546875" style="3" customWidth="1"/>
    <col min="1283" max="1283" width="13.28515625" style="3" customWidth="1"/>
    <col min="1284" max="1284" width="11.42578125" style="3"/>
    <col min="1285" max="1285" width="13.42578125" style="3" customWidth="1"/>
    <col min="1286" max="1286" width="12.7109375" style="3" customWidth="1"/>
    <col min="1287" max="1287" width="14" style="3" customWidth="1"/>
    <col min="1288" max="1288" width="7.42578125" style="3" customWidth="1"/>
    <col min="1289" max="1536" width="11.42578125" style="3"/>
    <col min="1537" max="1537" width="15.85546875" style="3" customWidth="1"/>
    <col min="1538" max="1538" width="14.85546875" style="3" customWidth="1"/>
    <col min="1539" max="1539" width="13.28515625" style="3" customWidth="1"/>
    <col min="1540" max="1540" width="11.42578125" style="3"/>
    <col min="1541" max="1541" width="13.42578125" style="3" customWidth="1"/>
    <col min="1542" max="1542" width="12.7109375" style="3" customWidth="1"/>
    <col min="1543" max="1543" width="14" style="3" customWidth="1"/>
    <col min="1544" max="1544" width="7.42578125" style="3" customWidth="1"/>
    <col min="1545" max="1792" width="11.42578125" style="3"/>
    <col min="1793" max="1793" width="15.85546875" style="3" customWidth="1"/>
    <col min="1794" max="1794" width="14.85546875" style="3" customWidth="1"/>
    <col min="1795" max="1795" width="13.28515625" style="3" customWidth="1"/>
    <col min="1796" max="1796" width="11.42578125" style="3"/>
    <col min="1797" max="1797" width="13.42578125" style="3" customWidth="1"/>
    <col min="1798" max="1798" width="12.7109375" style="3" customWidth="1"/>
    <col min="1799" max="1799" width="14" style="3" customWidth="1"/>
    <col min="1800" max="1800" width="7.42578125" style="3" customWidth="1"/>
    <col min="1801" max="2048" width="11.42578125" style="3"/>
    <col min="2049" max="2049" width="15.85546875" style="3" customWidth="1"/>
    <col min="2050" max="2050" width="14.85546875" style="3" customWidth="1"/>
    <col min="2051" max="2051" width="13.28515625" style="3" customWidth="1"/>
    <col min="2052" max="2052" width="11.42578125" style="3"/>
    <col min="2053" max="2053" width="13.42578125" style="3" customWidth="1"/>
    <col min="2054" max="2054" width="12.7109375" style="3" customWidth="1"/>
    <col min="2055" max="2055" width="14" style="3" customWidth="1"/>
    <col min="2056" max="2056" width="7.42578125" style="3" customWidth="1"/>
    <col min="2057" max="2304" width="11.42578125" style="3"/>
    <col min="2305" max="2305" width="15.85546875" style="3" customWidth="1"/>
    <col min="2306" max="2306" width="14.85546875" style="3" customWidth="1"/>
    <col min="2307" max="2307" width="13.28515625" style="3" customWidth="1"/>
    <col min="2308" max="2308" width="11.42578125" style="3"/>
    <col min="2309" max="2309" width="13.42578125" style="3" customWidth="1"/>
    <col min="2310" max="2310" width="12.7109375" style="3" customWidth="1"/>
    <col min="2311" max="2311" width="14" style="3" customWidth="1"/>
    <col min="2312" max="2312" width="7.42578125" style="3" customWidth="1"/>
    <col min="2313" max="2560" width="11.42578125" style="3"/>
    <col min="2561" max="2561" width="15.85546875" style="3" customWidth="1"/>
    <col min="2562" max="2562" width="14.85546875" style="3" customWidth="1"/>
    <col min="2563" max="2563" width="13.28515625" style="3" customWidth="1"/>
    <col min="2564" max="2564" width="11.42578125" style="3"/>
    <col min="2565" max="2565" width="13.42578125" style="3" customWidth="1"/>
    <col min="2566" max="2566" width="12.7109375" style="3" customWidth="1"/>
    <col min="2567" max="2567" width="14" style="3" customWidth="1"/>
    <col min="2568" max="2568" width="7.42578125" style="3" customWidth="1"/>
    <col min="2569" max="2816" width="11.42578125" style="3"/>
    <col min="2817" max="2817" width="15.85546875" style="3" customWidth="1"/>
    <col min="2818" max="2818" width="14.85546875" style="3" customWidth="1"/>
    <col min="2819" max="2819" width="13.28515625" style="3" customWidth="1"/>
    <col min="2820" max="2820" width="11.42578125" style="3"/>
    <col min="2821" max="2821" width="13.42578125" style="3" customWidth="1"/>
    <col min="2822" max="2822" width="12.7109375" style="3" customWidth="1"/>
    <col min="2823" max="2823" width="14" style="3" customWidth="1"/>
    <col min="2824" max="2824" width="7.42578125" style="3" customWidth="1"/>
    <col min="2825" max="3072" width="11.42578125" style="3"/>
    <col min="3073" max="3073" width="15.85546875" style="3" customWidth="1"/>
    <col min="3074" max="3074" width="14.85546875" style="3" customWidth="1"/>
    <col min="3075" max="3075" width="13.28515625" style="3" customWidth="1"/>
    <col min="3076" max="3076" width="11.42578125" style="3"/>
    <col min="3077" max="3077" width="13.42578125" style="3" customWidth="1"/>
    <col min="3078" max="3078" width="12.7109375" style="3" customWidth="1"/>
    <col min="3079" max="3079" width="14" style="3" customWidth="1"/>
    <col min="3080" max="3080" width="7.42578125" style="3" customWidth="1"/>
    <col min="3081" max="3328" width="11.42578125" style="3"/>
    <col min="3329" max="3329" width="15.85546875" style="3" customWidth="1"/>
    <col min="3330" max="3330" width="14.85546875" style="3" customWidth="1"/>
    <col min="3331" max="3331" width="13.28515625" style="3" customWidth="1"/>
    <col min="3332" max="3332" width="11.42578125" style="3"/>
    <col min="3333" max="3333" width="13.42578125" style="3" customWidth="1"/>
    <col min="3334" max="3334" width="12.7109375" style="3" customWidth="1"/>
    <col min="3335" max="3335" width="14" style="3" customWidth="1"/>
    <col min="3336" max="3336" width="7.42578125" style="3" customWidth="1"/>
    <col min="3337" max="3584" width="11.42578125" style="3"/>
    <col min="3585" max="3585" width="15.85546875" style="3" customWidth="1"/>
    <col min="3586" max="3586" width="14.85546875" style="3" customWidth="1"/>
    <col min="3587" max="3587" width="13.28515625" style="3" customWidth="1"/>
    <col min="3588" max="3588" width="11.42578125" style="3"/>
    <col min="3589" max="3589" width="13.42578125" style="3" customWidth="1"/>
    <col min="3590" max="3590" width="12.7109375" style="3" customWidth="1"/>
    <col min="3591" max="3591" width="14" style="3" customWidth="1"/>
    <col min="3592" max="3592" width="7.42578125" style="3" customWidth="1"/>
    <col min="3593" max="3840" width="11.42578125" style="3"/>
    <col min="3841" max="3841" width="15.85546875" style="3" customWidth="1"/>
    <col min="3842" max="3842" width="14.85546875" style="3" customWidth="1"/>
    <col min="3843" max="3843" width="13.28515625" style="3" customWidth="1"/>
    <col min="3844" max="3844" width="11.42578125" style="3"/>
    <col min="3845" max="3845" width="13.42578125" style="3" customWidth="1"/>
    <col min="3846" max="3846" width="12.7109375" style="3" customWidth="1"/>
    <col min="3847" max="3847" width="14" style="3" customWidth="1"/>
    <col min="3848" max="3848" width="7.42578125" style="3" customWidth="1"/>
    <col min="3849" max="4096" width="11.42578125" style="3"/>
    <col min="4097" max="4097" width="15.85546875" style="3" customWidth="1"/>
    <col min="4098" max="4098" width="14.85546875" style="3" customWidth="1"/>
    <col min="4099" max="4099" width="13.28515625" style="3" customWidth="1"/>
    <col min="4100" max="4100" width="11.42578125" style="3"/>
    <col min="4101" max="4101" width="13.42578125" style="3" customWidth="1"/>
    <col min="4102" max="4102" width="12.7109375" style="3" customWidth="1"/>
    <col min="4103" max="4103" width="14" style="3" customWidth="1"/>
    <col min="4104" max="4104" width="7.42578125" style="3" customWidth="1"/>
    <col min="4105" max="4352" width="11.42578125" style="3"/>
    <col min="4353" max="4353" width="15.85546875" style="3" customWidth="1"/>
    <col min="4354" max="4354" width="14.85546875" style="3" customWidth="1"/>
    <col min="4355" max="4355" width="13.28515625" style="3" customWidth="1"/>
    <col min="4356" max="4356" width="11.42578125" style="3"/>
    <col min="4357" max="4357" width="13.42578125" style="3" customWidth="1"/>
    <col min="4358" max="4358" width="12.7109375" style="3" customWidth="1"/>
    <col min="4359" max="4359" width="14" style="3" customWidth="1"/>
    <col min="4360" max="4360" width="7.42578125" style="3" customWidth="1"/>
    <col min="4361" max="4608" width="11.42578125" style="3"/>
    <col min="4609" max="4609" width="15.85546875" style="3" customWidth="1"/>
    <col min="4610" max="4610" width="14.85546875" style="3" customWidth="1"/>
    <col min="4611" max="4611" width="13.28515625" style="3" customWidth="1"/>
    <col min="4612" max="4612" width="11.42578125" style="3"/>
    <col min="4613" max="4613" width="13.42578125" style="3" customWidth="1"/>
    <col min="4614" max="4614" width="12.7109375" style="3" customWidth="1"/>
    <col min="4615" max="4615" width="14" style="3" customWidth="1"/>
    <col min="4616" max="4616" width="7.42578125" style="3" customWidth="1"/>
    <col min="4617" max="4864" width="11.42578125" style="3"/>
    <col min="4865" max="4865" width="15.85546875" style="3" customWidth="1"/>
    <col min="4866" max="4866" width="14.85546875" style="3" customWidth="1"/>
    <col min="4867" max="4867" width="13.28515625" style="3" customWidth="1"/>
    <col min="4868" max="4868" width="11.42578125" style="3"/>
    <col min="4869" max="4869" width="13.42578125" style="3" customWidth="1"/>
    <col min="4870" max="4870" width="12.7109375" style="3" customWidth="1"/>
    <col min="4871" max="4871" width="14" style="3" customWidth="1"/>
    <col min="4872" max="4872" width="7.42578125" style="3" customWidth="1"/>
    <col min="4873" max="5120" width="11.42578125" style="3"/>
    <col min="5121" max="5121" width="15.85546875" style="3" customWidth="1"/>
    <col min="5122" max="5122" width="14.85546875" style="3" customWidth="1"/>
    <col min="5123" max="5123" width="13.28515625" style="3" customWidth="1"/>
    <col min="5124" max="5124" width="11.42578125" style="3"/>
    <col min="5125" max="5125" width="13.42578125" style="3" customWidth="1"/>
    <col min="5126" max="5126" width="12.7109375" style="3" customWidth="1"/>
    <col min="5127" max="5127" width="14" style="3" customWidth="1"/>
    <col min="5128" max="5128" width="7.42578125" style="3" customWidth="1"/>
    <col min="5129" max="5376" width="11.42578125" style="3"/>
    <col min="5377" max="5377" width="15.85546875" style="3" customWidth="1"/>
    <col min="5378" max="5378" width="14.85546875" style="3" customWidth="1"/>
    <col min="5379" max="5379" width="13.28515625" style="3" customWidth="1"/>
    <col min="5380" max="5380" width="11.42578125" style="3"/>
    <col min="5381" max="5381" width="13.42578125" style="3" customWidth="1"/>
    <col min="5382" max="5382" width="12.7109375" style="3" customWidth="1"/>
    <col min="5383" max="5383" width="14" style="3" customWidth="1"/>
    <col min="5384" max="5384" width="7.42578125" style="3" customWidth="1"/>
    <col min="5385" max="5632" width="11.42578125" style="3"/>
    <col min="5633" max="5633" width="15.85546875" style="3" customWidth="1"/>
    <col min="5634" max="5634" width="14.85546875" style="3" customWidth="1"/>
    <col min="5635" max="5635" width="13.28515625" style="3" customWidth="1"/>
    <col min="5636" max="5636" width="11.42578125" style="3"/>
    <col min="5637" max="5637" width="13.42578125" style="3" customWidth="1"/>
    <col min="5638" max="5638" width="12.7109375" style="3" customWidth="1"/>
    <col min="5639" max="5639" width="14" style="3" customWidth="1"/>
    <col min="5640" max="5640" width="7.42578125" style="3" customWidth="1"/>
    <col min="5641" max="5888" width="11.42578125" style="3"/>
    <col min="5889" max="5889" width="15.85546875" style="3" customWidth="1"/>
    <col min="5890" max="5890" width="14.85546875" style="3" customWidth="1"/>
    <col min="5891" max="5891" width="13.28515625" style="3" customWidth="1"/>
    <col min="5892" max="5892" width="11.42578125" style="3"/>
    <col min="5893" max="5893" width="13.42578125" style="3" customWidth="1"/>
    <col min="5894" max="5894" width="12.7109375" style="3" customWidth="1"/>
    <col min="5895" max="5895" width="14" style="3" customWidth="1"/>
    <col min="5896" max="5896" width="7.42578125" style="3" customWidth="1"/>
    <col min="5897" max="6144" width="11.42578125" style="3"/>
    <col min="6145" max="6145" width="15.85546875" style="3" customWidth="1"/>
    <col min="6146" max="6146" width="14.85546875" style="3" customWidth="1"/>
    <col min="6147" max="6147" width="13.28515625" style="3" customWidth="1"/>
    <col min="6148" max="6148" width="11.42578125" style="3"/>
    <col min="6149" max="6149" width="13.42578125" style="3" customWidth="1"/>
    <col min="6150" max="6150" width="12.7109375" style="3" customWidth="1"/>
    <col min="6151" max="6151" width="14" style="3" customWidth="1"/>
    <col min="6152" max="6152" width="7.42578125" style="3" customWidth="1"/>
    <col min="6153" max="6400" width="11.42578125" style="3"/>
    <col min="6401" max="6401" width="15.85546875" style="3" customWidth="1"/>
    <col min="6402" max="6402" width="14.85546875" style="3" customWidth="1"/>
    <col min="6403" max="6403" width="13.28515625" style="3" customWidth="1"/>
    <col min="6404" max="6404" width="11.42578125" style="3"/>
    <col min="6405" max="6405" width="13.42578125" style="3" customWidth="1"/>
    <col min="6406" max="6406" width="12.7109375" style="3" customWidth="1"/>
    <col min="6407" max="6407" width="14" style="3" customWidth="1"/>
    <col min="6408" max="6408" width="7.42578125" style="3" customWidth="1"/>
    <col min="6409" max="6656" width="11.42578125" style="3"/>
    <col min="6657" max="6657" width="15.85546875" style="3" customWidth="1"/>
    <col min="6658" max="6658" width="14.85546875" style="3" customWidth="1"/>
    <col min="6659" max="6659" width="13.28515625" style="3" customWidth="1"/>
    <col min="6660" max="6660" width="11.42578125" style="3"/>
    <col min="6661" max="6661" width="13.42578125" style="3" customWidth="1"/>
    <col min="6662" max="6662" width="12.7109375" style="3" customWidth="1"/>
    <col min="6663" max="6663" width="14" style="3" customWidth="1"/>
    <col min="6664" max="6664" width="7.42578125" style="3" customWidth="1"/>
    <col min="6665" max="6912" width="11.42578125" style="3"/>
    <col min="6913" max="6913" width="15.85546875" style="3" customWidth="1"/>
    <col min="6914" max="6914" width="14.85546875" style="3" customWidth="1"/>
    <col min="6915" max="6915" width="13.28515625" style="3" customWidth="1"/>
    <col min="6916" max="6916" width="11.42578125" style="3"/>
    <col min="6917" max="6917" width="13.42578125" style="3" customWidth="1"/>
    <col min="6918" max="6918" width="12.7109375" style="3" customWidth="1"/>
    <col min="6919" max="6919" width="14" style="3" customWidth="1"/>
    <col min="6920" max="6920" width="7.42578125" style="3" customWidth="1"/>
    <col min="6921" max="7168" width="11.42578125" style="3"/>
    <col min="7169" max="7169" width="15.85546875" style="3" customWidth="1"/>
    <col min="7170" max="7170" width="14.85546875" style="3" customWidth="1"/>
    <col min="7171" max="7171" width="13.28515625" style="3" customWidth="1"/>
    <col min="7172" max="7172" width="11.42578125" style="3"/>
    <col min="7173" max="7173" width="13.42578125" style="3" customWidth="1"/>
    <col min="7174" max="7174" width="12.7109375" style="3" customWidth="1"/>
    <col min="7175" max="7175" width="14" style="3" customWidth="1"/>
    <col min="7176" max="7176" width="7.42578125" style="3" customWidth="1"/>
    <col min="7177" max="7424" width="11.42578125" style="3"/>
    <col min="7425" max="7425" width="15.85546875" style="3" customWidth="1"/>
    <col min="7426" max="7426" width="14.85546875" style="3" customWidth="1"/>
    <col min="7427" max="7427" width="13.28515625" style="3" customWidth="1"/>
    <col min="7428" max="7428" width="11.42578125" style="3"/>
    <col min="7429" max="7429" width="13.42578125" style="3" customWidth="1"/>
    <col min="7430" max="7430" width="12.7109375" style="3" customWidth="1"/>
    <col min="7431" max="7431" width="14" style="3" customWidth="1"/>
    <col min="7432" max="7432" width="7.42578125" style="3" customWidth="1"/>
    <col min="7433" max="7680" width="11.42578125" style="3"/>
    <col min="7681" max="7681" width="15.85546875" style="3" customWidth="1"/>
    <col min="7682" max="7682" width="14.85546875" style="3" customWidth="1"/>
    <col min="7683" max="7683" width="13.28515625" style="3" customWidth="1"/>
    <col min="7684" max="7684" width="11.42578125" style="3"/>
    <col min="7685" max="7685" width="13.42578125" style="3" customWidth="1"/>
    <col min="7686" max="7686" width="12.7109375" style="3" customWidth="1"/>
    <col min="7687" max="7687" width="14" style="3" customWidth="1"/>
    <col min="7688" max="7688" width="7.42578125" style="3" customWidth="1"/>
    <col min="7689" max="7936" width="11.42578125" style="3"/>
    <col min="7937" max="7937" width="15.85546875" style="3" customWidth="1"/>
    <col min="7938" max="7938" width="14.85546875" style="3" customWidth="1"/>
    <col min="7939" max="7939" width="13.28515625" style="3" customWidth="1"/>
    <col min="7940" max="7940" width="11.42578125" style="3"/>
    <col min="7941" max="7941" width="13.42578125" style="3" customWidth="1"/>
    <col min="7942" max="7942" width="12.7109375" style="3" customWidth="1"/>
    <col min="7943" max="7943" width="14" style="3" customWidth="1"/>
    <col min="7944" max="7944" width="7.42578125" style="3" customWidth="1"/>
    <col min="7945" max="8192" width="11.42578125" style="3"/>
    <col min="8193" max="8193" width="15.85546875" style="3" customWidth="1"/>
    <col min="8194" max="8194" width="14.85546875" style="3" customWidth="1"/>
    <col min="8195" max="8195" width="13.28515625" style="3" customWidth="1"/>
    <col min="8196" max="8196" width="11.42578125" style="3"/>
    <col min="8197" max="8197" width="13.42578125" style="3" customWidth="1"/>
    <col min="8198" max="8198" width="12.7109375" style="3" customWidth="1"/>
    <col min="8199" max="8199" width="14" style="3" customWidth="1"/>
    <col min="8200" max="8200" width="7.42578125" style="3" customWidth="1"/>
    <col min="8201" max="8448" width="11.42578125" style="3"/>
    <col min="8449" max="8449" width="15.85546875" style="3" customWidth="1"/>
    <col min="8450" max="8450" width="14.85546875" style="3" customWidth="1"/>
    <col min="8451" max="8451" width="13.28515625" style="3" customWidth="1"/>
    <col min="8452" max="8452" width="11.42578125" style="3"/>
    <col min="8453" max="8453" width="13.42578125" style="3" customWidth="1"/>
    <col min="8454" max="8454" width="12.7109375" style="3" customWidth="1"/>
    <col min="8455" max="8455" width="14" style="3" customWidth="1"/>
    <col min="8456" max="8456" width="7.42578125" style="3" customWidth="1"/>
    <col min="8457" max="8704" width="11.42578125" style="3"/>
    <col min="8705" max="8705" width="15.85546875" style="3" customWidth="1"/>
    <col min="8706" max="8706" width="14.85546875" style="3" customWidth="1"/>
    <col min="8707" max="8707" width="13.28515625" style="3" customWidth="1"/>
    <col min="8708" max="8708" width="11.42578125" style="3"/>
    <col min="8709" max="8709" width="13.42578125" style="3" customWidth="1"/>
    <col min="8710" max="8710" width="12.7109375" style="3" customWidth="1"/>
    <col min="8711" max="8711" width="14" style="3" customWidth="1"/>
    <col min="8712" max="8712" width="7.42578125" style="3" customWidth="1"/>
    <col min="8713" max="8960" width="11.42578125" style="3"/>
    <col min="8961" max="8961" width="15.85546875" style="3" customWidth="1"/>
    <col min="8962" max="8962" width="14.85546875" style="3" customWidth="1"/>
    <col min="8963" max="8963" width="13.28515625" style="3" customWidth="1"/>
    <col min="8964" max="8964" width="11.42578125" style="3"/>
    <col min="8965" max="8965" width="13.42578125" style="3" customWidth="1"/>
    <col min="8966" max="8966" width="12.7109375" style="3" customWidth="1"/>
    <col min="8967" max="8967" width="14" style="3" customWidth="1"/>
    <col min="8968" max="8968" width="7.42578125" style="3" customWidth="1"/>
    <col min="8969" max="9216" width="11.42578125" style="3"/>
    <col min="9217" max="9217" width="15.85546875" style="3" customWidth="1"/>
    <col min="9218" max="9218" width="14.85546875" style="3" customWidth="1"/>
    <col min="9219" max="9219" width="13.28515625" style="3" customWidth="1"/>
    <col min="9220" max="9220" width="11.42578125" style="3"/>
    <col min="9221" max="9221" width="13.42578125" style="3" customWidth="1"/>
    <col min="9222" max="9222" width="12.7109375" style="3" customWidth="1"/>
    <col min="9223" max="9223" width="14" style="3" customWidth="1"/>
    <col min="9224" max="9224" width="7.42578125" style="3" customWidth="1"/>
    <col min="9225" max="9472" width="11.42578125" style="3"/>
    <col min="9473" max="9473" width="15.85546875" style="3" customWidth="1"/>
    <col min="9474" max="9474" width="14.85546875" style="3" customWidth="1"/>
    <col min="9475" max="9475" width="13.28515625" style="3" customWidth="1"/>
    <col min="9476" max="9476" width="11.42578125" style="3"/>
    <col min="9477" max="9477" width="13.42578125" style="3" customWidth="1"/>
    <col min="9478" max="9478" width="12.7109375" style="3" customWidth="1"/>
    <col min="9479" max="9479" width="14" style="3" customWidth="1"/>
    <col min="9480" max="9480" width="7.42578125" style="3" customWidth="1"/>
    <col min="9481" max="9728" width="11.42578125" style="3"/>
    <col min="9729" max="9729" width="15.85546875" style="3" customWidth="1"/>
    <col min="9730" max="9730" width="14.85546875" style="3" customWidth="1"/>
    <col min="9731" max="9731" width="13.28515625" style="3" customWidth="1"/>
    <col min="9732" max="9732" width="11.42578125" style="3"/>
    <col min="9733" max="9733" width="13.42578125" style="3" customWidth="1"/>
    <col min="9734" max="9734" width="12.7109375" style="3" customWidth="1"/>
    <col min="9735" max="9735" width="14" style="3" customWidth="1"/>
    <col min="9736" max="9736" width="7.42578125" style="3" customWidth="1"/>
    <col min="9737" max="9984" width="11.42578125" style="3"/>
    <col min="9985" max="9985" width="15.85546875" style="3" customWidth="1"/>
    <col min="9986" max="9986" width="14.85546875" style="3" customWidth="1"/>
    <col min="9987" max="9987" width="13.28515625" style="3" customWidth="1"/>
    <col min="9988" max="9988" width="11.42578125" style="3"/>
    <col min="9989" max="9989" width="13.42578125" style="3" customWidth="1"/>
    <col min="9990" max="9990" width="12.7109375" style="3" customWidth="1"/>
    <col min="9991" max="9991" width="14" style="3" customWidth="1"/>
    <col min="9992" max="9992" width="7.42578125" style="3" customWidth="1"/>
    <col min="9993" max="10240" width="11.42578125" style="3"/>
    <col min="10241" max="10241" width="15.85546875" style="3" customWidth="1"/>
    <col min="10242" max="10242" width="14.85546875" style="3" customWidth="1"/>
    <col min="10243" max="10243" width="13.28515625" style="3" customWidth="1"/>
    <col min="10244" max="10244" width="11.42578125" style="3"/>
    <col min="10245" max="10245" width="13.42578125" style="3" customWidth="1"/>
    <col min="10246" max="10246" width="12.7109375" style="3" customWidth="1"/>
    <col min="10247" max="10247" width="14" style="3" customWidth="1"/>
    <col min="10248" max="10248" width="7.42578125" style="3" customWidth="1"/>
    <col min="10249" max="10496" width="11.42578125" style="3"/>
    <col min="10497" max="10497" width="15.85546875" style="3" customWidth="1"/>
    <col min="10498" max="10498" width="14.85546875" style="3" customWidth="1"/>
    <col min="10499" max="10499" width="13.28515625" style="3" customWidth="1"/>
    <col min="10500" max="10500" width="11.42578125" style="3"/>
    <col min="10501" max="10501" width="13.42578125" style="3" customWidth="1"/>
    <col min="10502" max="10502" width="12.7109375" style="3" customWidth="1"/>
    <col min="10503" max="10503" width="14" style="3" customWidth="1"/>
    <col min="10504" max="10504" width="7.42578125" style="3" customWidth="1"/>
    <col min="10505" max="10752" width="11.42578125" style="3"/>
    <col min="10753" max="10753" width="15.85546875" style="3" customWidth="1"/>
    <col min="10754" max="10754" width="14.85546875" style="3" customWidth="1"/>
    <col min="10755" max="10755" width="13.28515625" style="3" customWidth="1"/>
    <col min="10756" max="10756" width="11.42578125" style="3"/>
    <col min="10757" max="10757" width="13.42578125" style="3" customWidth="1"/>
    <col min="10758" max="10758" width="12.7109375" style="3" customWidth="1"/>
    <col min="10759" max="10759" width="14" style="3" customWidth="1"/>
    <col min="10760" max="10760" width="7.42578125" style="3" customWidth="1"/>
    <col min="10761" max="11008" width="11.42578125" style="3"/>
    <col min="11009" max="11009" width="15.85546875" style="3" customWidth="1"/>
    <col min="11010" max="11010" width="14.85546875" style="3" customWidth="1"/>
    <col min="11011" max="11011" width="13.28515625" style="3" customWidth="1"/>
    <col min="11012" max="11012" width="11.42578125" style="3"/>
    <col min="11013" max="11013" width="13.42578125" style="3" customWidth="1"/>
    <col min="11014" max="11014" width="12.7109375" style="3" customWidth="1"/>
    <col min="11015" max="11015" width="14" style="3" customWidth="1"/>
    <col min="11016" max="11016" width="7.42578125" style="3" customWidth="1"/>
    <col min="11017" max="11264" width="11.42578125" style="3"/>
    <col min="11265" max="11265" width="15.85546875" style="3" customWidth="1"/>
    <col min="11266" max="11266" width="14.85546875" style="3" customWidth="1"/>
    <col min="11267" max="11267" width="13.28515625" style="3" customWidth="1"/>
    <col min="11268" max="11268" width="11.42578125" style="3"/>
    <col min="11269" max="11269" width="13.42578125" style="3" customWidth="1"/>
    <col min="11270" max="11270" width="12.7109375" style="3" customWidth="1"/>
    <col min="11271" max="11271" width="14" style="3" customWidth="1"/>
    <col min="11272" max="11272" width="7.42578125" style="3" customWidth="1"/>
    <col min="11273" max="11520" width="11.42578125" style="3"/>
    <col min="11521" max="11521" width="15.85546875" style="3" customWidth="1"/>
    <col min="11522" max="11522" width="14.85546875" style="3" customWidth="1"/>
    <col min="11523" max="11523" width="13.28515625" style="3" customWidth="1"/>
    <col min="11524" max="11524" width="11.42578125" style="3"/>
    <col min="11525" max="11525" width="13.42578125" style="3" customWidth="1"/>
    <col min="11526" max="11526" width="12.7109375" style="3" customWidth="1"/>
    <col min="11527" max="11527" width="14" style="3" customWidth="1"/>
    <col min="11528" max="11528" width="7.42578125" style="3" customWidth="1"/>
    <col min="11529" max="11776" width="11.42578125" style="3"/>
    <col min="11777" max="11777" width="15.85546875" style="3" customWidth="1"/>
    <col min="11778" max="11778" width="14.85546875" style="3" customWidth="1"/>
    <col min="11779" max="11779" width="13.28515625" style="3" customWidth="1"/>
    <col min="11780" max="11780" width="11.42578125" style="3"/>
    <col min="11781" max="11781" width="13.42578125" style="3" customWidth="1"/>
    <col min="11782" max="11782" width="12.7109375" style="3" customWidth="1"/>
    <col min="11783" max="11783" width="14" style="3" customWidth="1"/>
    <col min="11784" max="11784" width="7.42578125" style="3" customWidth="1"/>
    <col min="11785" max="12032" width="11.42578125" style="3"/>
    <col min="12033" max="12033" width="15.85546875" style="3" customWidth="1"/>
    <col min="12034" max="12034" width="14.85546875" style="3" customWidth="1"/>
    <col min="12035" max="12035" width="13.28515625" style="3" customWidth="1"/>
    <col min="12036" max="12036" width="11.42578125" style="3"/>
    <col min="12037" max="12037" width="13.42578125" style="3" customWidth="1"/>
    <col min="12038" max="12038" width="12.7109375" style="3" customWidth="1"/>
    <col min="12039" max="12039" width="14" style="3" customWidth="1"/>
    <col min="12040" max="12040" width="7.42578125" style="3" customWidth="1"/>
    <col min="12041" max="12288" width="11.42578125" style="3"/>
    <col min="12289" max="12289" width="15.85546875" style="3" customWidth="1"/>
    <col min="12290" max="12290" width="14.85546875" style="3" customWidth="1"/>
    <col min="12291" max="12291" width="13.28515625" style="3" customWidth="1"/>
    <col min="12292" max="12292" width="11.42578125" style="3"/>
    <col min="12293" max="12293" width="13.42578125" style="3" customWidth="1"/>
    <col min="12294" max="12294" width="12.7109375" style="3" customWidth="1"/>
    <col min="12295" max="12295" width="14" style="3" customWidth="1"/>
    <col min="12296" max="12296" width="7.42578125" style="3" customWidth="1"/>
    <col min="12297" max="12544" width="11.42578125" style="3"/>
    <col min="12545" max="12545" width="15.85546875" style="3" customWidth="1"/>
    <col min="12546" max="12546" width="14.85546875" style="3" customWidth="1"/>
    <col min="12547" max="12547" width="13.28515625" style="3" customWidth="1"/>
    <col min="12548" max="12548" width="11.42578125" style="3"/>
    <col min="12549" max="12549" width="13.42578125" style="3" customWidth="1"/>
    <col min="12550" max="12550" width="12.7109375" style="3" customWidth="1"/>
    <col min="12551" max="12551" width="14" style="3" customWidth="1"/>
    <col min="12552" max="12552" width="7.42578125" style="3" customWidth="1"/>
    <col min="12553" max="12800" width="11.42578125" style="3"/>
    <col min="12801" max="12801" width="15.85546875" style="3" customWidth="1"/>
    <col min="12802" max="12802" width="14.85546875" style="3" customWidth="1"/>
    <col min="12803" max="12803" width="13.28515625" style="3" customWidth="1"/>
    <col min="12804" max="12804" width="11.42578125" style="3"/>
    <col min="12805" max="12805" width="13.42578125" style="3" customWidth="1"/>
    <col min="12806" max="12806" width="12.7109375" style="3" customWidth="1"/>
    <col min="12807" max="12807" width="14" style="3" customWidth="1"/>
    <col min="12808" max="12808" width="7.42578125" style="3" customWidth="1"/>
    <col min="12809" max="13056" width="11.42578125" style="3"/>
    <col min="13057" max="13057" width="15.85546875" style="3" customWidth="1"/>
    <col min="13058" max="13058" width="14.85546875" style="3" customWidth="1"/>
    <col min="13059" max="13059" width="13.28515625" style="3" customWidth="1"/>
    <col min="13060" max="13060" width="11.42578125" style="3"/>
    <col min="13061" max="13061" width="13.42578125" style="3" customWidth="1"/>
    <col min="13062" max="13062" width="12.7109375" style="3" customWidth="1"/>
    <col min="13063" max="13063" width="14" style="3" customWidth="1"/>
    <col min="13064" max="13064" width="7.42578125" style="3" customWidth="1"/>
    <col min="13065" max="13312" width="11.42578125" style="3"/>
    <col min="13313" max="13313" width="15.85546875" style="3" customWidth="1"/>
    <col min="13314" max="13314" width="14.85546875" style="3" customWidth="1"/>
    <col min="13315" max="13315" width="13.28515625" style="3" customWidth="1"/>
    <col min="13316" max="13316" width="11.42578125" style="3"/>
    <col min="13317" max="13317" width="13.42578125" style="3" customWidth="1"/>
    <col min="13318" max="13318" width="12.7109375" style="3" customWidth="1"/>
    <col min="13319" max="13319" width="14" style="3" customWidth="1"/>
    <col min="13320" max="13320" width="7.42578125" style="3" customWidth="1"/>
    <col min="13321" max="13568" width="11.42578125" style="3"/>
    <col min="13569" max="13569" width="15.85546875" style="3" customWidth="1"/>
    <col min="13570" max="13570" width="14.85546875" style="3" customWidth="1"/>
    <col min="13571" max="13571" width="13.28515625" style="3" customWidth="1"/>
    <col min="13572" max="13572" width="11.42578125" style="3"/>
    <col min="13573" max="13573" width="13.42578125" style="3" customWidth="1"/>
    <col min="13574" max="13574" width="12.7109375" style="3" customWidth="1"/>
    <col min="13575" max="13575" width="14" style="3" customWidth="1"/>
    <col min="13576" max="13576" width="7.42578125" style="3" customWidth="1"/>
    <col min="13577" max="13824" width="11.42578125" style="3"/>
    <col min="13825" max="13825" width="15.85546875" style="3" customWidth="1"/>
    <col min="13826" max="13826" width="14.85546875" style="3" customWidth="1"/>
    <col min="13827" max="13827" width="13.28515625" style="3" customWidth="1"/>
    <col min="13828" max="13828" width="11.42578125" style="3"/>
    <col min="13829" max="13829" width="13.42578125" style="3" customWidth="1"/>
    <col min="13830" max="13830" width="12.7109375" style="3" customWidth="1"/>
    <col min="13831" max="13831" width="14" style="3" customWidth="1"/>
    <col min="13832" max="13832" width="7.42578125" style="3" customWidth="1"/>
    <col min="13833" max="14080" width="11.42578125" style="3"/>
    <col min="14081" max="14081" width="15.85546875" style="3" customWidth="1"/>
    <col min="14082" max="14082" width="14.85546875" style="3" customWidth="1"/>
    <col min="14083" max="14083" width="13.28515625" style="3" customWidth="1"/>
    <col min="14084" max="14084" width="11.42578125" style="3"/>
    <col min="14085" max="14085" width="13.42578125" style="3" customWidth="1"/>
    <col min="14086" max="14086" width="12.7109375" style="3" customWidth="1"/>
    <col min="14087" max="14087" width="14" style="3" customWidth="1"/>
    <col min="14088" max="14088" width="7.42578125" style="3" customWidth="1"/>
    <col min="14089" max="14336" width="11.42578125" style="3"/>
    <col min="14337" max="14337" width="15.85546875" style="3" customWidth="1"/>
    <col min="14338" max="14338" width="14.85546875" style="3" customWidth="1"/>
    <col min="14339" max="14339" width="13.28515625" style="3" customWidth="1"/>
    <col min="14340" max="14340" width="11.42578125" style="3"/>
    <col min="14341" max="14341" width="13.42578125" style="3" customWidth="1"/>
    <col min="14342" max="14342" width="12.7109375" style="3" customWidth="1"/>
    <col min="14343" max="14343" width="14" style="3" customWidth="1"/>
    <col min="14344" max="14344" width="7.42578125" style="3" customWidth="1"/>
    <col min="14345" max="14592" width="11.42578125" style="3"/>
    <col min="14593" max="14593" width="15.85546875" style="3" customWidth="1"/>
    <col min="14594" max="14594" width="14.85546875" style="3" customWidth="1"/>
    <col min="14595" max="14595" width="13.28515625" style="3" customWidth="1"/>
    <col min="14596" max="14596" width="11.42578125" style="3"/>
    <col min="14597" max="14597" width="13.42578125" style="3" customWidth="1"/>
    <col min="14598" max="14598" width="12.7109375" style="3" customWidth="1"/>
    <col min="14599" max="14599" width="14" style="3" customWidth="1"/>
    <col min="14600" max="14600" width="7.42578125" style="3" customWidth="1"/>
    <col min="14601" max="14848" width="11.42578125" style="3"/>
    <col min="14849" max="14849" width="15.85546875" style="3" customWidth="1"/>
    <col min="14850" max="14850" width="14.85546875" style="3" customWidth="1"/>
    <col min="14851" max="14851" width="13.28515625" style="3" customWidth="1"/>
    <col min="14852" max="14852" width="11.42578125" style="3"/>
    <col min="14853" max="14853" width="13.42578125" style="3" customWidth="1"/>
    <col min="14854" max="14854" width="12.7109375" style="3" customWidth="1"/>
    <col min="14855" max="14855" width="14" style="3" customWidth="1"/>
    <col min="14856" max="14856" width="7.42578125" style="3" customWidth="1"/>
    <col min="14857" max="15104" width="11.42578125" style="3"/>
    <col min="15105" max="15105" width="15.85546875" style="3" customWidth="1"/>
    <col min="15106" max="15106" width="14.85546875" style="3" customWidth="1"/>
    <col min="15107" max="15107" width="13.28515625" style="3" customWidth="1"/>
    <col min="15108" max="15108" width="11.42578125" style="3"/>
    <col min="15109" max="15109" width="13.42578125" style="3" customWidth="1"/>
    <col min="15110" max="15110" width="12.7109375" style="3" customWidth="1"/>
    <col min="15111" max="15111" width="14" style="3" customWidth="1"/>
    <col min="15112" max="15112" width="7.42578125" style="3" customWidth="1"/>
    <col min="15113" max="15360" width="11.42578125" style="3"/>
    <col min="15361" max="15361" width="15.85546875" style="3" customWidth="1"/>
    <col min="15362" max="15362" width="14.85546875" style="3" customWidth="1"/>
    <col min="15363" max="15363" width="13.28515625" style="3" customWidth="1"/>
    <col min="15364" max="15364" width="11.42578125" style="3"/>
    <col min="15365" max="15365" width="13.42578125" style="3" customWidth="1"/>
    <col min="15366" max="15366" width="12.7109375" style="3" customWidth="1"/>
    <col min="15367" max="15367" width="14" style="3" customWidth="1"/>
    <col min="15368" max="15368" width="7.42578125" style="3" customWidth="1"/>
    <col min="15369" max="15616" width="11.42578125" style="3"/>
    <col min="15617" max="15617" width="15.85546875" style="3" customWidth="1"/>
    <col min="15618" max="15618" width="14.85546875" style="3" customWidth="1"/>
    <col min="15619" max="15619" width="13.28515625" style="3" customWidth="1"/>
    <col min="15620" max="15620" width="11.42578125" style="3"/>
    <col min="15621" max="15621" width="13.42578125" style="3" customWidth="1"/>
    <col min="15622" max="15622" width="12.7109375" style="3" customWidth="1"/>
    <col min="15623" max="15623" width="14" style="3" customWidth="1"/>
    <col min="15624" max="15624" width="7.42578125" style="3" customWidth="1"/>
    <col min="15625" max="15872" width="11.42578125" style="3"/>
    <col min="15873" max="15873" width="15.85546875" style="3" customWidth="1"/>
    <col min="15874" max="15874" width="14.85546875" style="3" customWidth="1"/>
    <col min="15875" max="15875" width="13.28515625" style="3" customWidth="1"/>
    <col min="15876" max="15876" width="11.42578125" style="3"/>
    <col min="15877" max="15877" width="13.42578125" style="3" customWidth="1"/>
    <col min="15878" max="15878" width="12.7109375" style="3" customWidth="1"/>
    <col min="15879" max="15879" width="14" style="3" customWidth="1"/>
    <col min="15880" max="15880" width="7.42578125" style="3" customWidth="1"/>
    <col min="15881" max="16128" width="11.42578125" style="3"/>
    <col min="16129" max="16129" width="15.85546875" style="3" customWidth="1"/>
    <col min="16130" max="16130" width="14.85546875" style="3" customWidth="1"/>
    <col min="16131" max="16131" width="13.28515625" style="3" customWidth="1"/>
    <col min="16132" max="16132" width="11.42578125" style="3"/>
    <col min="16133" max="16133" width="13.42578125" style="3" customWidth="1"/>
    <col min="16134" max="16134" width="12.7109375" style="3" customWidth="1"/>
    <col min="16135" max="16135" width="14" style="3" customWidth="1"/>
    <col min="16136" max="16136" width="7.42578125" style="3" customWidth="1"/>
    <col min="16137" max="16384" width="11.42578125" style="3"/>
  </cols>
  <sheetData>
    <row r="1" spans="1:21" ht="48" customHeight="1">
      <c r="A1" s="1346" t="str">
        <f>PPTO!D3</f>
        <v>PRESUPUESTO
MUNICIPIO EL BAGRE (ANTIOQUIA).</v>
      </c>
      <c r="B1" s="1347"/>
      <c r="C1" s="1347"/>
      <c r="D1" s="1347"/>
      <c r="E1" s="1347"/>
      <c r="F1" s="1347"/>
      <c r="G1" s="1348"/>
      <c r="H1" s="1"/>
      <c r="I1" s="2"/>
    </row>
    <row r="2" spans="1:21" ht="18" customHeight="1">
      <c r="A2" s="1362" t="s">
        <v>16</v>
      </c>
      <c r="B2" s="1363"/>
      <c r="C2" s="1363"/>
      <c r="D2" s="1363"/>
      <c r="E2" s="1363"/>
      <c r="F2" s="1363"/>
      <c r="G2" s="1364"/>
      <c r="H2" s="1"/>
      <c r="I2" s="2"/>
    </row>
    <row r="3" spans="1:21" ht="27" customHeight="1">
      <c r="A3" s="1367" t="str">
        <f>+PPTO!$D$5</f>
        <v>PROYECTO DE MEJORAMIENTO VIAL, ESPACIO PUBLICO Y OBRAS COMPLEMENTARIAS DE LA AVENIDA LA JUVENTUD Y TRAMOS ADYACENTES Y PRIORITARIOS DEL SECTOR URBANO EN EL MUNICIPIO EL BAGRE ANTIOQUIA.</v>
      </c>
      <c r="B3" s="1368"/>
      <c r="C3" s="1368"/>
      <c r="D3" s="1368"/>
      <c r="E3" s="1368"/>
      <c r="F3" s="1368"/>
      <c r="G3" s="1369"/>
      <c r="H3" s="1"/>
      <c r="I3" s="2"/>
    </row>
    <row r="4" spans="1:21" ht="30" customHeight="1">
      <c r="A4" s="1370"/>
      <c r="B4" s="1368"/>
      <c r="C4" s="1368"/>
      <c r="D4" s="1368"/>
      <c r="E4" s="1368"/>
      <c r="F4" s="1368"/>
      <c r="G4" s="1369"/>
      <c r="H4" s="1"/>
      <c r="I4" s="2"/>
    </row>
    <row r="5" spans="1:21" ht="6.75" customHeight="1">
      <c r="A5" s="222"/>
      <c r="B5" s="6"/>
      <c r="C5" s="24"/>
      <c r="D5" s="25"/>
      <c r="E5" s="6"/>
      <c r="F5" s="6"/>
      <c r="G5" s="223"/>
      <c r="H5" s="9"/>
    </row>
    <row r="6" spans="1:21" ht="52.5" customHeight="1">
      <c r="A6" s="368">
        <v>6.21</v>
      </c>
      <c r="B6" s="1349" t="str">
        <f>VLOOKUP(A6,PPTO!D9:I136,2,FALSE)</f>
        <v>Suministro e instalación Tuberia PVC U.M. RDE 21 Ø 18"</v>
      </c>
      <c r="C6" s="1350"/>
      <c r="D6" s="1350"/>
      <c r="E6" s="1351"/>
      <c r="F6" s="192" t="s">
        <v>118</v>
      </c>
      <c r="G6" s="248" t="str">
        <f>VLOOKUP(A6,PPTO!D9:I136,3,FALSE)</f>
        <v>und</v>
      </c>
      <c r="H6" s="9"/>
    </row>
    <row r="7" spans="1:21" ht="3.75" customHeight="1">
      <c r="A7" s="226"/>
      <c r="B7" s="4"/>
      <c r="C7" s="6"/>
      <c r="D7" s="4"/>
      <c r="E7" s="4"/>
      <c r="F7" s="4"/>
      <c r="G7" s="227"/>
      <c r="H7" s="9"/>
    </row>
    <row r="8" spans="1:21" ht="22.5" customHeight="1">
      <c r="A8" s="1354" t="s">
        <v>69</v>
      </c>
      <c r="B8" s="1355"/>
      <c r="C8" s="1355"/>
      <c r="D8" s="1355"/>
      <c r="E8" s="1355"/>
      <c r="F8" s="1355"/>
      <c r="G8" s="1356"/>
      <c r="H8" s="9"/>
    </row>
    <row r="9" spans="1:21" ht="4.5" customHeight="1">
      <c r="A9" s="226"/>
      <c r="B9" s="4"/>
      <c r="C9" s="6"/>
      <c r="D9" s="4"/>
      <c r="E9" s="4"/>
      <c r="F9" s="4"/>
      <c r="G9" s="227"/>
      <c r="H9" s="9"/>
      <c r="I9" s="5"/>
      <c r="J9" s="5"/>
      <c r="K9" s="5"/>
      <c r="L9" s="26"/>
      <c r="M9" s="5"/>
      <c r="N9" s="5"/>
      <c r="O9" s="5"/>
      <c r="P9" s="5"/>
    </row>
    <row r="10" spans="1:21">
      <c r="A10" s="1373" t="s">
        <v>17</v>
      </c>
      <c r="B10" s="1374"/>
      <c r="C10" s="1374"/>
      <c r="D10" s="353" t="s">
        <v>18</v>
      </c>
      <c r="E10" s="353" t="s">
        <v>19</v>
      </c>
      <c r="F10" s="353" t="s">
        <v>20</v>
      </c>
      <c r="G10" s="228" t="s">
        <v>21</v>
      </c>
      <c r="H10" s="27"/>
      <c r="I10" s="28"/>
      <c r="J10" s="29"/>
      <c r="K10" s="30"/>
      <c r="L10" s="30"/>
      <c r="M10" s="30"/>
      <c r="N10" s="30"/>
      <c r="O10" s="30"/>
      <c r="P10" s="5"/>
    </row>
    <row r="11" spans="1:21">
      <c r="A11" s="1352" t="s">
        <v>47</v>
      </c>
      <c r="B11" s="1353"/>
      <c r="C11" s="1353"/>
      <c r="D11" s="353"/>
      <c r="E11" s="83"/>
      <c r="F11" s="97"/>
      <c r="G11" s="229">
        <f>+G39*10%</f>
        <v>2545</v>
      </c>
      <c r="H11" s="9"/>
      <c r="I11" s="30"/>
      <c r="J11" s="31"/>
      <c r="K11" s="30"/>
      <c r="L11" s="30"/>
      <c r="M11" s="30"/>
      <c r="N11" s="30"/>
      <c r="O11" s="30"/>
      <c r="P11" s="5"/>
    </row>
    <row r="12" spans="1:21">
      <c r="A12" s="1371"/>
      <c r="B12" s="1372"/>
      <c r="C12" s="1372"/>
      <c r="D12" s="83"/>
      <c r="E12" s="83"/>
      <c r="F12" s="93"/>
      <c r="G12" s="229"/>
      <c r="H12" s="9"/>
      <c r="I12" s="16"/>
      <c r="J12" s="13"/>
      <c r="K12" s="8"/>
      <c r="L12" s="8"/>
      <c r="M12" s="8"/>
      <c r="N12" s="8"/>
      <c r="O12" s="8"/>
      <c r="P12" s="5"/>
    </row>
    <row r="13" spans="1:21">
      <c r="A13" s="1371"/>
      <c r="B13" s="1372"/>
      <c r="C13" s="1372"/>
      <c r="D13" s="83"/>
      <c r="E13" s="83"/>
      <c r="F13" s="93"/>
      <c r="G13" s="229"/>
      <c r="H13" s="9"/>
      <c r="I13" s="13"/>
      <c r="J13" s="13"/>
      <c r="K13" s="13"/>
      <c r="L13" s="13"/>
      <c r="M13" s="13"/>
      <c r="N13" s="13"/>
      <c r="O13" s="13"/>
      <c r="P13" s="5"/>
    </row>
    <row r="14" spans="1:21">
      <c r="A14" s="1371"/>
      <c r="B14" s="1372"/>
      <c r="C14" s="1372"/>
      <c r="D14" s="83"/>
      <c r="E14" s="83"/>
      <c r="F14" s="93"/>
      <c r="G14" s="229"/>
      <c r="H14" s="9"/>
      <c r="I14" s="8"/>
      <c r="J14" s="14"/>
      <c r="K14" s="32"/>
      <c r="L14" s="14"/>
      <c r="M14" s="15"/>
      <c r="N14" s="15"/>
      <c r="O14" s="19"/>
      <c r="P14" s="5"/>
    </row>
    <row r="15" spans="1:21">
      <c r="A15" s="1371"/>
      <c r="B15" s="1372"/>
      <c r="C15" s="1372"/>
      <c r="D15" s="83"/>
      <c r="E15" s="83"/>
      <c r="F15" s="98"/>
      <c r="G15" s="229"/>
      <c r="H15" s="9"/>
      <c r="I15" s="8"/>
      <c r="J15" s="33"/>
      <c r="K15" s="32"/>
      <c r="L15" s="14"/>
      <c r="M15" s="15"/>
      <c r="N15" s="15"/>
      <c r="O15" s="19"/>
      <c r="P15" s="5"/>
      <c r="Q15" s="5"/>
      <c r="R15" s="5"/>
      <c r="S15" s="5"/>
      <c r="T15" s="5"/>
      <c r="U15" s="5"/>
    </row>
    <row r="16" spans="1:21">
      <c r="A16" s="1371"/>
      <c r="B16" s="1372"/>
      <c r="C16" s="1372"/>
      <c r="D16" s="85" t="s">
        <v>37</v>
      </c>
      <c r="E16" s="50"/>
      <c r="F16" s="49"/>
      <c r="G16" s="230">
        <f>SUM(G11:G15)</f>
        <v>2545</v>
      </c>
      <c r="H16" s="9"/>
      <c r="I16" s="34"/>
      <c r="J16" s="34"/>
      <c r="K16" s="35"/>
      <c r="L16" s="36"/>
      <c r="M16" s="7"/>
      <c r="N16" s="7"/>
      <c r="O16" s="19"/>
      <c r="P16" s="5"/>
      <c r="Q16" s="5"/>
      <c r="R16" s="5"/>
      <c r="S16" s="5"/>
      <c r="T16" s="5"/>
      <c r="U16" s="5"/>
    </row>
    <row r="17" spans="1:21" ht="4.5" customHeight="1">
      <c r="A17" s="226"/>
      <c r="B17" s="4"/>
      <c r="C17" s="6"/>
      <c r="D17" s="4"/>
      <c r="E17" s="4"/>
      <c r="F17" s="4"/>
      <c r="G17" s="227"/>
      <c r="H17" s="9"/>
      <c r="I17" s="34"/>
      <c r="J17" s="34"/>
      <c r="K17" s="35"/>
      <c r="L17" s="36"/>
      <c r="M17" s="7"/>
      <c r="N17" s="7"/>
      <c r="O17" s="19"/>
      <c r="P17" s="5"/>
      <c r="Q17" s="5"/>
      <c r="R17" s="5"/>
      <c r="S17" s="5"/>
      <c r="T17" s="5"/>
      <c r="U17" s="5"/>
    </row>
    <row r="18" spans="1:21" ht="22.5" customHeight="1">
      <c r="A18" s="1354" t="s">
        <v>70</v>
      </c>
      <c r="B18" s="1355"/>
      <c r="C18" s="1355"/>
      <c r="D18" s="1355"/>
      <c r="E18" s="1355"/>
      <c r="F18" s="1355"/>
      <c r="G18" s="1356"/>
      <c r="H18" s="9"/>
    </row>
    <row r="19" spans="1:21" ht="4.5" customHeight="1">
      <c r="A19" s="226"/>
      <c r="B19" s="4"/>
      <c r="C19" s="6"/>
      <c r="D19" s="4"/>
      <c r="E19" s="4"/>
      <c r="F19" s="38"/>
      <c r="G19" s="227"/>
      <c r="H19" s="9"/>
      <c r="I19" s="34"/>
      <c r="J19" s="34"/>
      <c r="K19" s="35"/>
      <c r="L19" s="39"/>
      <c r="M19" s="7"/>
      <c r="N19" s="7"/>
      <c r="O19" s="8"/>
      <c r="P19" s="5"/>
      <c r="Q19" s="5"/>
      <c r="R19" s="5"/>
      <c r="S19" s="5"/>
      <c r="T19" s="5"/>
      <c r="U19" s="5"/>
    </row>
    <row r="20" spans="1:21">
      <c r="A20" s="1373" t="s">
        <v>17</v>
      </c>
      <c r="B20" s="1374"/>
      <c r="C20" s="1374"/>
      <c r="D20" s="353" t="s">
        <v>3</v>
      </c>
      <c r="E20" s="353" t="s">
        <v>4</v>
      </c>
      <c r="F20" s="353" t="s">
        <v>25</v>
      </c>
      <c r="G20" s="228" t="s">
        <v>21</v>
      </c>
      <c r="H20" s="27"/>
      <c r="I20" s="34"/>
      <c r="J20" s="34"/>
      <c r="K20" s="35"/>
      <c r="L20" s="39"/>
      <c r="M20" s="7"/>
      <c r="N20" s="7"/>
      <c r="O20" s="8"/>
      <c r="P20" s="5"/>
      <c r="Q20" s="5"/>
      <c r="R20" s="5"/>
      <c r="S20" s="5"/>
      <c r="T20" s="5"/>
      <c r="U20" s="5"/>
    </row>
    <row r="21" spans="1:21" ht="31.5" customHeight="1">
      <c r="A21" s="1441" t="str">
        <f>MID(I21,25,50)</f>
        <v xml:space="preserve"> Tuberia PVC U.M. RDE 21 Ø 18"</v>
      </c>
      <c r="B21" s="1442"/>
      <c r="C21" s="1443"/>
      <c r="D21" s="118" t="s">
        <v>119</v>
      </c>
      <c r="E21" s="119">
        <v>1</v>
      </c>
      <c r="F21" s="87">
        <f>4276615/6*IPC</f>
        <v>735435</v>
      </c>
      <c r="G21" s="231">
        <f>ROUND(F21*E21,0)</f>
        <v>735435</v>
      </c>
      <c r="H21" s="9"/>
      <c r="I21" s="34" t="str">
        <f>B6</f>
        <v>Suministro e instalación Tuberia PVC U.M. RDE 21 Ø 18"</v>
      </c>
      <c r="J21" s="34"/>
      <c r="K21" s="35"/>
      <c r="L21" s="36"/>
      <c r="M21" s="7"/>
      <c r="N21" s="7"/>
      <c r="O21" s="19"/>
      <c r="P21" s="5"/>
      <c r="Q21" s="5"/>
      <c r="R21" s="5"/>
      <c r="S21" s="5"/>
      <c r="T21" s="5"/>
      <c r="U21" s="5"/>
    </row>
    <row r="22" spans="1:21" ht="27.75" customHeight="1">
      <c r="A22" s="1444"/>
      <c r="B22" s="1403"/>
      <c r="C22" s="1404"/>
      <c r="D22" s="116"/>
      <c r="E22" s="117"/>
      <c r="F22" s="91"/>
      <c r="G22" s="231"/>
      <c r="H22" s="9"/>
      <c r="I22" s="10"/>
      <c r="J22" s="10"/>
      <c r="K22" s="12"/>
      <c r="L22" s="39"/>
      <c r="M22" s="7"/>
      <c r="N22" s="7"/>
      <c r="O22" s="15"/>
      <c r="P22" s="5"/>
      <c r="Q22" s="5"/>
      <c r="R22" s="5"/>
      <c r="S22" s="5"/>
      <c r="T22" s="5"/>
      <c r="U22" s="5"/>
    </row>
    <row r="23" spans="1:21">
      <c r="A23" s="1386"/>
      <c r="B23" s="1353"/>
      <c r="C23" s="1353"/>
      <c r="D23" s="79"/>
      <c r="E23" s="82"/>
      <c r="F23" s="83"/>
      <c r="G23" s="67"/>
      <c r="H23" s="9"/>
      <c r="I23" s="10"/>
      <c r="J23" s="10"/>
      <c r="K23" s="12"/>
      <c r="L23" s="39"/>
      <c r="M23" s="7"/>
      <c r="N23" s="7"/>
      <c r="O23" s="15"/>
      <c r="P23" s="5"/>
      <c r="Q23" s="5"/>
      <c r="R23" s="5"/>
      <c r="S23" s="5"/>
      <c r="T23" s="5"/>
      <c r="U23" s="5"/>
    </row>
    <row r="24" spans="1:21">
      <c r="A24" s="1352"/>
      <c r="B24" s="1353"/>
      <c r="C24" s="1353"/>
      <c r="D24" s="81"/>
      <c r="E24" s="88"/>
      <c r="F24" s="78"/>
      <c r="G24" s="231"/>
      <c r="H24" s="9"/>
      <c r="I24" s="10"/>
      <c r="J24" s="40"/>
      <c r="K24" s="12"/>
      <c r="L24" s="13"/>
      <c r="M24" s="14"/>
      <c r="N24" s="14"/>
      <c r="O24" s="15"/>
      <c r="P24" s="5"/>
      <c r="Q24" s="5"/>
      <c r="R24" s="5"/>
      <c r="S24" s="5"/>
      <c r="T24" s="5"/>
      <c r="U24" s="5"/>
    </row>
    <row r="25" spans="1:21">
      <c r="A25" s="1352"/>
      <c r="B25" s="1353"/>
      <c r="C25" s="1353"/>
      <c r="D25" s="81"/>
      <c r="E25" s="82"/>
      <c r="F25" s="78"/>
      <c r="G25" s="231"/>
      <c r="H25" s="9"/>
      <c r="I25" s="10"/>
      <c r="J25" s="11"/>
      <c r="K25" s="12"/>
      <c r="L25" s="13"/>
      <c r="M25" s="14"/>
      <c r="N25" s="14"/>
      <c r="O25" s="15"/>
      <c r="P25" s="5"/>
      <c r="Q25" s="5"/>
      <c r="R25" s="5"/>
      <c r="S25" s="5"/>
      <c r="T25" s="5"/>
      <c r="U25" s="5"/>
    </row>
    <row r="26" spans="1:21">
      <c r="A26" s="1352"/>
      <c r="B26" s="1353"/>
      <c r="C26" s="1353"/>
      <c r="D26" s="79"/>
      <c r="E26" s="82"/>
      <c r="F26" s="78"/>
      <c r="G26" s="231"/>
      <c r="H26" s="9"/>
      <c r="I26" s="10"/>
      <c r="J26" s="11"/>
      <c r="K26" s="12"/>
      <c r="L26" s="13"/>
      <c r="M26" s="14"/>
      <c r="N26" s="14"/>
      <c r="O26" s="15"/>
      <c r="P26" s="5"/>
      <c r="Q26" s="5"/>
      <c r="R26" s="5"/>
      <c r="S26" s="5"/>
      <c r="T26" s="5"/>
      <c r="U26" s="5"/>
    </row>
    <row r="27" spans="1:21">
      <c r="A27" s="1352"/>
      <c r="B27" s="1353"/>
      <c r="C27" s="1353"/>
      <c r="D27" s="79"/>
      <c r="E27" s="82"/>
      <c r="F27" s="78"/>
      <c r="G27" s="231"/>
      <c r="H27" s="9"/>
      <c r="I27" s="10"/>
      <c r="J27" s="11"/>
      <c r="K27" s="12"/>
      <c r="L27" s="13"/>
      <c r="M27" s="14"/>
      <c r="N27" s="14"/>
      <c r="O27" s="15"/>
      <c r="P27" s="5"/>
      <c r="Q27" s="5"/>
      <c r="R27" s="5"/>
      <c r="S27" s="5"/>
      <c r="T27" s="5"/>
      <c r="U27" s="5"/>
    </row>
    <row r="28" spans="1:21">
      <c r="A28" s="1352"/>
      <c r="B28" s="1353"/>
      <c r="C28" s="1353"/>
      <c r="D28" s="79"/>
      <c r="E28" s="82"/>
      <c r="F28" s="83"/>
      <c r="G28" s="231"/>
      <c r="H28" s="9"/>
      <c r="I28" s="41"/>
      <c r="J28" s="41"/>
      <c r="K28" s="12"/>
      <c r="L28" s="13"/>
      <c r="M28" s="14"/>
      <c r="N28" s="14"/>
      <c r="O28" s="15"/>
      <c r="P28" s="5"/>
      <c r="Q28" s="5"/>
      <c r="R28" s="5"/>
      <c r="S28" s="5"/>
      <c r="T28" s="5"/>
      <c r="U28" s="5"/>
    </row>
    <row r="29" spans="1:21">
      <c r="A29" s="1352"/>
      <c r="B29" s="1353"/>
      <c r="C29" s="1353"/>
      <c r="D29" s="84"/>
      <c r="E29" s="84"/>
      <c r="F29" s="83"/>
      <c r="G29" s="231"/>
      <c r="H29" s="9"/>
      <c r="I29" s="42"/>
      <c r="J29" s="42"/>
      <c r="K29" s="42"/>
      <c r="L29" s="13"/>
      <c r="M29" s="14"/>
      <c r="N29" s="14"/>
      <c r="O29" s="15"/>
      <c r="P29" s="5"/>
      <c r="Q29" s="5"/>
      <c r="R29" s="5"/>
      <c r="S29" s="5"/>
      <c r="T29" s="5"/>
      <c r="U29" s="5"/>
    </row>
    <row r="30" spans="1:21">
      <c r="A30" s="1352"/>
      <c r="B30" s="1353"/>
      <c r="C30" s="1353"/>
      <c r="D30" s="85" t="s">
        <v>28</v>
      </c>
      <c r="E30" s="50"/>
      <c r="F30" s="49"/>
      <c r="G30" s="230">
        <f>SUM(G21:G29)</f>
        <v>735435</v>
      </c>
      <c r="H30" s="9"/>
      <c r="I30" s="8"/>
      <c r="J30" s="13"/>
      <c r="K30" s="8"/>
      <c r="L30" s="13"/>
      <c r="M30" s="14"/>
      <c r="N30" s="14"/>
      <c r="O30" s="15"/>
      <c r="P30" s="5"/>
    </row>
    <row r="31" spans="1:21" ht="3.75" customHeight="1">
      <c r="A31" s="226"/>
      <c r="B31" s="4"/>
      <c r="C31" s="6"/>
      <c r="D31" s="4"/>
      <c r="E31" s="4"/>
      <c r="F31" s="4"/>
      <c r="G31" s="227"/>
      <c r="H31" s="9"/>
      <c r="I31" s="8"/>
      <c r="J31" s="13"/>
      <c r="K31" s="18"/>
      <c r="L31" s="13"/>
      <c r="M31" s="33"/>
      <c r="N31" s="33"/>
      <c r="O31" s="15"/>
      <c r="P31" s="5"/>
    </row>
    <row r="32" spans="1:21" ht="22.5" customHeight="1">
      <c r="A32" s="1354" t="s">
        <v>71</v>
      </c>
      <c r="B32" s="1355"/>
      <c r="C32" s="1355"/>
      <c r="D32" s="1355"/>
      <c r="E32" s="1355"/>
      <c r="F32" s="1355"/>
      <c r="G32" s="1356"/>
      <c r="H32" s="9"/>
    </row>
    <row r="33" spans="1:16" ht="3.75" customHeight="1">
      <c r="A33" s="226"/>
      <c r="B33" s="4"/>
      <c r="C33" s="6"/>
      <c r="D33" s="4"/>
      <c r="E33" s="4"/>
      <c r="F33" s="4"/>
      <c r="G33" s="227"/>
      <c r="H33" s="9"/>
      <c r="I33" s="8"/>
      <c r="J33" s="13"/>
      <c r="K33" s="8"/>
      <c r="L33" s="8"/>
      <c r="M33" s="8"/>
      <c r="N33" s="8"/>
      <c r="O33" s="15"/>
      <c r="P33" s="5"/>
    </row>
    <row r="34" spans="1:16">
      <c r="A34" s="232" t="s">
        <v>5</v>
      </c>
      <c r="B34" s="60" t="s">
        <v>29</v>
      </c>
      <c r="C34" s="60" t="s">
        <v>30</v>
      </c>
      <c r="D34" s="60" t="s">
        <v>31</v>
      </c>
      <c r="E34" s="60" t="s">
        <v>32</v>
      </c>
      <c r="F34" s="60" t="s">
        <v>20</v>
      </c>
      <c r="G34" s="228" t="s">
        <v>33</v>
      </c>
      <c r="H34" s="27"/>
      <c r="I34" s="8"/>
      <c r="J34" s="13"/>
      <c r="K34" s="8"/>
      <c r="L34" s="8"/>
      <c r="M34" s="8"/>
      <c r="N34" s="8"/>
      <c r="O34" s="15"/>
      <c r="P34" s="5"/>
    </row>
    <row r="35" spans="1:16">
      <c r="A35" s="233" t="s">
        <v>41</v>
      </c>
      <c r="B35" s="63">
        <f>BOF</f>
        <v>51749</v>
      </c>
      <c r="C35" s="68">
        <f>ffpp</f>
        <v>0.64539999999999997</v>
      </c>
      <c r="D35" s="72">
        <v>2</v>
      </c>
      <c r="E35" s="66">
        <f>OF</f>
        <v>88696</v>
      </c>
      <c r="F35" s="65">
        <v>24</v>
      </c>
      <c r="G35" s="231">
        <f>ROUND(+D35*E35/F35,0)</f>
        <v>7391</v>
      </c>
      <c r="H35" s="9"/>
      <c r="I35" s="16"/>
      <c r="J35" s="13"/>
      <c r="K35" s="8"/>
      <c r="L35" s="8"/>
      <c r="M35" s="8"/>
      <c r="N35" s="8"/>
      <c r="O35" s="15"/>
      <c r="P35" s="5"/>
    </row>
    <row r="36" spans="1:16">
      <c r="A36" s="233" t="s">
        <v>38</v>
      </c>
      <c r="B36" s="63">
        <f>BOB</f>
        <v>41749</v>
      </c>
      <c r="C36" s="68">
        <f>ffpp</f>
        <v>0.64539999999999997</v>
      </c>
      <c r="D36" s="72">
        <v>6</v>
      </c>
      <c r="E36" s="66">
        <f>OB</f>
        <v>72242</v>
      </c>
      <c r="F36" s="65">
        <f>F35</f>
        <v>24</v>
      </c>
      <c r="G36" s="231">
        <f>ROUND(+D36*E36/F36,0)</f>
        <v>18061</v>
      </c>
      <c r="H36" s="9"/>
      <c r="I36" s="8"/>
      <c r="J36" s="8"/>
      <c r="K36" s="13"/>
      <c r="L36" s="13"/>
      <c r="M36" s="13"/>
      <c r="N36" s="13"/>
      <c r="O36" s="13"/>
      <c r="P36" s="5"/>
    </row>
    <row r="37" spans="1:16">
      <c r="A37" s="234"/>
      <c r="B37" s="50"/>
      <c r="C37" s="961"/>
      <c r="D37" s="50"/>
      <c r="E37" s="66"/>
      <c r="F37" s="65"/>
      <c r="G37" s="231"/>
      <c r="H37" s="9"/>
      <c r="I37" s="8"/>
      <c r="J37" s="13"/>
      <c r="K37" s="13"/>
      <c r="L37" s="13"/>
      <c r="M37" s="33"/>
      <c r="N37" s="33"/>
      <c r="O37" s="43"/>
      <c r="P37" s="5"/>
    </row>
    <row r="38" spans="1:16">
      <c r="A38" s="233"/>
      <c r="B38" s="65"/>
      <c r="C38" s="68"/>
      <c r="D38" s="65"/>
      <c r="E38" s="69"/>
      <c r="F38" s="69"/>
      <c r="G38" s="236"/>
      <c r="H38" s="9"/>
      <c r="I38" s="8"/>
      <c r="J38" s="13"/>
      <c r="K38" s="13"/>
      <c r="L38" s="13"/>
      <c r="M38" s="33"/>
      <c r="N38" s="33"/>
      <c r="O38" s="43"/>
      <c r="P38" s="5"/>
    </row>
    <row r="39" spans="1:16">
      <c r="A39" s="249"/>
      <c r="B39" s="71"/>
      <c r="C39" s="71"/>
      <c r="D39" s="71" t="s">
        <v>34</v>
      </c>
      <c r="E39" s="71"/>
      <c r="F39" s="71"/>
      <c r="G39" s="250">
        <f>SUM(G35:G38)</f>
        <v>25452</v>
      </c>
      <c r="H39" s="9"/>
      <c r="I39" s="8"/>
      <c r="J39" s="13"/>
      <c r="K39" s="13"/>
      <c r="L39" s="13"/>
      <c r="M39" s="14"/>
      <c r="N39" s="14"/>
      <c r="O39" s="15"/>
      <c r="P39" s="5"/>
    </row>
    <row r="40" spans="1:16">
      <c r="A40" s="226"/>
      <c r="B40" s="4"/>
      <c r="C40" s="6"/>
      <c r="D40" s="4"/>
      <c r="E40" s="4"/>
      <c r="F40" s="4"/>
      <c r="G40" s="227"/>
      <c r="H40" s="9"/>
      <c r="I40" s="8"/>
      <c r="J40" s="13"/>
      <c r="K40" s="13"/>
      <c r="L40" s="13"/>
      <c r="M40" s="14"/>
      <c r="N40" s="14"/>
      <c r="O40" s="19"/>
      <c r="P40" s="5"/>
    </row>
    <row r="41" spans="1:16">
      <c r="A41" s="226"/>
      <c r="B41" s="4"/>
      <c r="C41" s="6"/>
      <c r="D41" s="4"/>
      <c r="E41" s="4"/>
      <c r="F41" s="4"/>
      <c r="G41" s="227"/>
      <c r="H41" s="9"/>
      <c r="I41" s="8"/>
      <c r="J41" s="13"/>
      <c r="K41" s="13"/>
      <c r="L41" s="13"/>
      <c r="M41" s="17"/>
      <c r="N41" s="17"/>
      <c r="O41" s="37"/>
      <c r="P41" s="5"/>
    </row>
    <row r="42" spans="1:16" ht="14.25">
      <c r="A42" s="226"/>
      <c r="B42" s="4"/>
      <c r="C42" s="6"/>
      <c r="D42" s="1357" t="s">
        <v>35</v>
      </c>
      <c r="E42" s="1358"/>
      <c r="F42" s="1359"/>
      <c r="G42" s="239">
        <f>+G39+G30+G16</f>
        <v>763432</v>
      </c>
      <c r="H42" s="9"/>
      <c r="I42" s="48"/>
      <c r="J42" s="20"/>
      <c r="K42" s="8"/>
      <c r="L42" s="8"/>
      <c r="M42" s="8"/>
      <c r="N42" s="8"/>
      <c r="O42" s="8"/>
      <c r="P42" s="5"/>
    </row>
    <row r="43" spans="1:16" ht="14.25">
      <c r="A43" s="240"/>
      <c r="B43" s="57"/>
      <c r="C43" s="58"/>
      <c r="D43" s="99"/>
      <c r="E43" s="99"/>
      <c r="F43" s="99"/>
      <c r="G43" s="251"/>
      <c r="H43" s="9"/>
      <c r="I43" s="48"/>
      <c r="J43" s="20"/>
      <c r="K43" s="8"/>
      <c r="L43" s="8"/>
      <c r="M43" s="8"/>
      <c r="N43" s="8"/>
      <c r="O43" s="8"/>
      <c r="P43" s="5"/>
    </row>
    <row r="44" spans="1:16" ht="14.25">
      <c r="A44" s="374"/>
      <c r="B44" s="375"/>
      <c r="C44" s="375"/>
      <c r="D44" s="99"/>
      <c r="E44" s="99"/>
      <c r="F44" s="99"/>
      <c r="G44" s="251"/>
      <c r="H44" s="9"/>
      <c r="I44" s="48"/>
      <c r="J44" s="20"/>
      <c r="K44" s="8"/>
      <c r="L44" s="8"/>
      <c r="M44" s="8"/>
      <c r="N44" s="8"/>
      <c r="O44" s="8"/>
      <c r="P44" s="5"/>
    </row>
    <row r="45" spans="1:16" ht="14.25">
      <c r="A45" s="373"/>
      <c r="B45" s="376"/>
      <c r="C45" s="376"/>
      <c r="D45" s="99"/>
      <c r="E45" s="99"/>
      <c r="F45" s="99"/>
      <c r="G45" s="251"/>
      <c r="H45" s="9"/>
      <c r="I45" s="48"/>
      <c r="J45" s="20"/>
      <c r="K45" s="8"/>
      <c r="L45" s="8"/>
      <c r="M45" s="8"/>
      <c r="N45" s="8"/>
      <c r="O45" s="8"/>
      <c r="P45" s="5"/>
    </row>
    <row r="46" spans="1:16" ht="14.25">
      <c r="A46" s="373"/>
      <c r="B46" s="376"/>
      <c r="C46" s="376"/>
      <c r="D46" s="44"/>
      <c r="E46" s="45"/>
      <c r="F46" s="45"/>
      <c r="G46" s="251"/>
      <c r="H46" s="9"/>
      <c r="I46" s="8"/>
      <c r="J46" s="13"/>
      <c r="K46" s="8"/>
      <c r="L46" s="8"/>
      <c r="M46" s="8"/>
      <c r="N46" s="8"/>
      <c r="O46" s="8"/>
      <c r="P46" s="5"/>
    </row>
    <row r="47" spans="1:16" ht="15" thickBot="1">
      <c r="A47" s="242"/>
      <c r="B47" s="243"/>
      <c r="C47" s="244"/>
      <c r="D47" s="245"/>
      <c r="E47" s="246"/>
      <c r="F47" s="246"/>
      <c r="G47" s="247"/>
      <c r="H47" s="9"/>
      <c r="I47" s="8"/>
      <c r="J47" s="13"/>
      <c r="K47" s="8"/>
      <c r="L47" s="8"/>
      <c r="M47" s="8"/>
      <c r="N47" s="8"/>
      <c r="O47" s="8"/>
      <c r="P47" s="5"/>
    </row>
    <row r="48" spans="1:16">
      <c r="I48" s="5"/>
      <c r="J48" s="5"/>
      <c r="K48" s="5"/>
      <c r="L48" s="5"/>
      <c r="M48" s="5"/>
      <c r="N48" s="5"/>
      <c r="O48" s="5"/>
      <c r="P48" s="5"/>
    </row>
    <row r="49" spans="9:16">
      <c r="I49" s="5"/>
      <c r="J49" s="5"/>
      <c r="K49" s="5"/>
      <c r="L49" s="5"/>
      <c r="M49" s="5"/>
      <c r="N49" s="5"/>
      <c r="O49" s="5"/>
      <c r="P49" s="5"/>
    </row>
  </sheetData>
  <mergeCells count="26">
    <mergeCell ref="A10:C10"/>
    <mergeCell ref="A1:G1"/>
    <mergeCell ref="A2:G2"/>
    <mergeCell ref="A3:G4"/>
    <mergeCell ref="B6:E6"/>
    <mergeCell ref="A8:G8"/>
    <mergeCell ref="A24:C24"/>
    <mergeCell ref="A11:C11"/>
    <mergeCell ref="A12:C12"/>
    <mergeCell ref="A13:C13"/>
    <mergeCell ref="A14:C14"/>
    <mergeCell ref="A15:C15"/>
    <mergeCell ref="A16:C16"/>
    <mergeCell ref="A18:G18"/>
    <mergeCell ref="A20:C20"/>
    <mergeCell ref="A21:C21"/>
    <mergeCell ref="A22:C22"/>
    <mergeCell ref="A23:C23"/>
    <mergeCell ref="A32:G32"/>
    <mergeCell ref="D42:F42"/>
    <mergeCell ref="A25:C25"/>
    <mergeCell ref="A26:C26"/>
    <mergeCell ref="A27:C27"/>
    <mergeCell ref="A28:C28"/>
    <mergeCell ref="A29:C29"/>
    <mergeCell ref="A30:C30"/>
  </mergeCells>
  <printOptions horizontalCentered="1" verticalCentered="1"/>
  <pageMargins left="0.74803149606299213" right="0.74803149606299213" top="0" bottom="0.98425196850393704" header="0" footer="0"/>
  <pageSetup scale="90" orientation="portrait" r:id="rId1"/>
  <headerFooter alignWithMargins="0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76"/>
  <dimension ref="A1:U49"/>
  <sheetViews>
    <sheetView view="pageBreakPreview" topLeftCell="A4" zoomScaleNormal="100" zoomScaleSheetLayoutView="100" workbookViewId="0">
      <selection activeCell="F22" sqref="F22"/>
    </sheetView>
  </sheetViews>
  <sheetFormatPr baseColWidth="10" defaultColWidth="10.7109375" defaultRowHeight="12.75"/>
  <cols>
    <col min="1" max="1" width="15.85546875" style="3" customWidth="1"/>
    <col min="2" max="2" width="14.85546875" style="3" customWidth="1"/>
    <col min="3" max="3" width="13.28515625" style="3" customWidth="1"/>
    <col min="4" max="4" width="11.42578125" style="3"/>
    <col min="5" max="5" width="13.42578125" style="3" customWidth="1"/>
    <col min="6" max="6" width="12.7109375" style="3" customWidth="1"/>
    <col min="7" max="7" width="14" style="3" customWidth="1"/>
    <col min="8" max="8" width="7.42578125" style="3" customWidth="1"/>
    <col min="9" max="256" width="11.42578125" style="3"/>
    <col min="257" max="257" width="15.85546875" style="3" customWidth="1"/>
    <col min="258" max="258" width="14.85546875" style="3" customWidth="1"/>
    <col min="259" max="259" width="13.28515625" style="3" customWidth="1"/>
    <col min="260" max="260" width="11.42578125" style="3"/>
    <col min="261" max="261" width="13.42578125" style="3" customWidth="1"/>
    <col min="262" max="262" width="12.7109375" style="3" customWidth="1"/>
    <col min="263" max="263" width="14" style="3" customWidth="1"/>
    <col min="264" max="264" width="7.42578125" style="3" customWidth="1"/>
    <col min="265" max="512" width="11.42578125" style="3"/>
    <col min="513" max="513" width="15.85546875" style="3" customWidth="1"/>
    <col min="514" max="514" width="14.85546875" style="3" customWidth="1"/>
    <col min="515" max="515" width="13.28515625" style="3" customWidth="1"/>
    <col min="516" max="516" width="11.42578125" style="3"/>
    <col min="517" max="517" width="13.42578125" style="3" customWidth="1"/>
    <col min="518" max="518" width="12.7109375" style="3" customWidth="1"/>
    <col min="519" max="519" width="14" style="3" customWidth="1"/>
    <col min="520" max="520" width="7.42578125" style="3" customWidth="1"/>
    <col min="521" max="768" width="11.42578125" style="3"/>
    <col min="769" max="769" width="15.85546875" style="3" customWidth="1"/>
    <col min="770" max="770" width="14.85546875" style="3" customWidth="1"/>
    <col min="771" max="771" width="13.28515625" style="3" customWidth="1"/>
    <col min="772" max="772" width="11.42578125" style="3"/>
    <col min="773" max="773" width="13.42578125" style="3" customWidth="1"/>
    <col min="774" max="774" width="12.7109375" style="3" customWidth="1"/>
    <col min="775" max="775" width="14" style="3" customWidth="1"/>
    <col min="776" max="776" width="7.42578125" style="3" customWidth="1"/>
    <col min="777" max="1024" width="11.42578125" style="3"/>
    <col min="1025" max="1025" width="15.85546875" style="3" customWidth="1"/>
    <col min="1026" max="1026" width="14.85546875" style="3" customWidth="1"/>
    <col min="1027" max="1027" width="13.28515625" style="3" customWidth="1"/>
    <col min="1028" max="1028" width="11.42578125" style="3"/>
    <col min="1029" max="1029" width="13.42578125" style="3" customWidth="1"/>
    <col min="1030" max="1030" width="12.7109375" style="3" customWidth="1"/>
    <col min="1031" max="1031" width="14" style="3" customWidth="1"/>
    <col min="1032" max="1032" width="7.42578125" style="3" customWidth="1"/>
    <col min="1033" max="1280" width="11.42578125" style="3"/>
    <col min="1281" max="1281" width="15.85546875" style="3" customWidth="1"/>
    <col min="1282" max="1282" width="14.85546875" style="3" customWidth="1"/>
    <col min="1283" max="1283" width="13.28515625" style="3" customWidth="1"/>
    <col min="1284" max="1284" width="11.42578125" style="3"/>
    <col min="1285" max="1285" width="13.42578125" style="3" customWidth="1"/>
    <col min="1286" max="1286" width="12.7109375" style="3" customWidth="1"/>
    <col min="1287" max="1287" width="14" style="3" customWidth="1"/>
    <col min="1288" max="1288" width="7.42578125" style="3" customWidth="1"/>
    <col min="1289" max="1536" width="11.42578125" style="3"/>
    <col min="1537" max="1537" width="15.85546875" style="3" customWidth="1"/>
    <col min="1538" max="1538" width="14.85546875" style="3" customWidth="1"/>
    <col min="1539" max="1539" width="13.28515625" style="3" customWidth="1"/>
    <col min="1540" max="1540" width="11.42578125" style="3"/>
    <col min="1541" max="1541" width="13.42578125" style="3" customWidth="1"/>
    <col min="1542" max="1542" width="12.7109375" style="3" customWidth="1"/>
    <col min="1543" max="1543" width="14" style="3" customWidth="1"/>
    <col min="1544" max="1544" width="7.42578125" style="3" customWidth="1"/>
    <col min="1545" max="1792" width="11.42578125" style="3"/>
    <col min="1793" max="1793" width="15.85546875" style="3" customWidth="1"/>
    <col min="1794" max="1794" width="14.85546875" style="3" customWidth="1"/>
    <col min="1795" max="1795" width="13.28515625" style="3" customWidth="1"/>
    <col min="1796" max="1796" width="11.42578125" style="3"/>
    <col min="1797" max="1797" width="13.42578125" style="3" customWidth="1"/>
    <col min="1798" max="1798" width="12.7109375" style="3" customWidth="1"/>
    <col min="1799" max="1799" width="14" style="3" customWidth="1"/>
    <col min="1800" max="1800" width="7.42578125" style="3" customWidth="1"/>
    <col min="1801" max="2048" width="11.42578125" style="3"/>
    <col min="2049" max="2049" width="15.85546875" style="3" customWidth="1"/>
    <col min="2050" max="2050" width="14.85546875" style="3" customWidth="1"/>
    <col min="2051" max="2051" width="13.28515625" style="3" customWidth="1"/>
    <col min="2052" max="2052" width="11.42578125" style="3"/>
    <col min="2053" max="2053" width="13.42578125" style="3" customWidth="1"/>
    <col min="2054" max="2054" width="12.7109375" style="3" customWidth="1"/>
    <col min="2055" max="2055" width="14" style="3" customWidth="1"/>
    <col min="2056" max="2056" width="7.42578125" style="3" customWidth="1"/>
    <col min="2057" max="2304" width="11.42578125" style="3"/>
    <col min="2305" max="2305" width="15.85546875" style="3" customWidth="1"/>
    <col min="2306" max="2306" width="14.85546875" style="3" customWidth="1"/>
    <col min="2307" max="2307" width="13.28515625" style="3" customWidth="1"/>
    <col min="2308" max="2308" width="11.42578125" style="3"/>
    <col min="2309" max="2309" width="13.42578125" style="3" customWidth="1"/>
    <col min="2310" max="2310" width="12.7109375" style="3" customWidth="1"/>
    <col min="2311" max="2311" width="14" style="3" customWidth="1"/>
    <col min="2312" max="2312" width="7.42578125" style="3" customWidth="1"/>
    <col min="2313" max="2560" width="11.42578125" style="3"/>
    <col min="2561" max="2561" width="15.85546875" style="3" customWidth="1"/>
    <col min="2562" max="2562" width="14.85546875" style="3" customWidth="1"/>
    <col min="2563" max="2563" width="13.28515625" style="3" customWidth="1"/>
    <col min="2564" max="2564" width="11.42578125" style="3"/>
    <col min="2565" max="2565" width="13.42578125" style="3" customWidth="1"/>
    <col min="2566" max="2566" width="12.7109375" style="3" customWidth="1"/>
    <col min="2567" max="2567" width="14" style="3" customWidth="1"/>
    <col min="2568" max="2568" width="7.42578125" style="3" customWidth="1"/>
    <col min="2569" max="2816" width="11.42578125" style="3"/>
    <col min="2817" max="2817" width="15.85546875" style="3" customWidth="1"/>
    <col min="2818" max="2818" width="14.85546875" style="3" customWidth="1"/>
    <col min="2819" max="2819" width="13.28515625" style="3" customWidth="1"/>
    <col min="2820" max="2820" width="11.42578125" style="3"/>
    <col min="2821" max="2821" width="13.42578125" style="3" customWidth="1"/>
    <col min="2822" max="2822" width="12.7109375" style="3" customWidth="1"/>
    <col min="2823" max="2823" width="14" style="3" customWidth="1"/>
    <col min="2824" max="2824" width="7.42578125" style="3" customWidth="1"/>
    <col min="2825" max="3072" width="11.42578125" style="3"/>
    <col min="3073" max="3073" width="15.85546875" style="3" customWidth="1"/>
    <col min="3074" max="3074" width="14.85546875" style="3" customWidth="1"/>
    <col min="3075" max="3075" width="13.28515625" style="3" customWidth="1"/>
    <col min="3076" max="3076" width="11.42578125" style="3"/>
    <col min="3077" max="3077" width="13.42578125" style="3" customWidth="1"/>
    <col min="3078" max="3078" width="12.7109375" style="3" customWidth="1"/>
    <col min="3079" max="3079" width="14" style="3" customWidth="1"/>
    <col min="3080" max="3080" width="7.42578125" style="3" customWidth="1"/>
    <col min="3081" max="3328" width="11.42578125" style="3"/>
    <col min="3329" max="3329" width="15.85546875" style="3" customWidth="1"/>
    <col min="3330" max="3330" width="14.85546875" style="3" customWidth="1"/>
    <col min="3331" max="3331" width="13.28515625" style="3" customWidth="1"/>
    <col min="3332" max="3332" width="11.42578125" style="3"/>
    <col min="3333" max="3333" width="13.42578125" style="3" customWidth="1"/>
    <col min="3334" max="3334" width="12.7109375" style="3" customWidth="1"/>
    <col min="3335" max="3335" width="14" style="3" customWidth="1"/>
    <col min="3336" max="3336" width="7.42578125" style="3" customWidth="1"/>
    <col min="3337" max="3584" width="11.42578125" style="3"/>
    <col min="3585" max="3585" width="15.85546875" style="3" customWidth="1"/>
    <col min="3586" max="3586" width="14.85546875" style="3" customWidth="1"/>
    <col min="3587" max="3587" width="13.28515625" style="3" customWidth="1"/>
    <col min="3588" max="3588" width="11.42578125" style="3"/>
    <col min="3589" max="3589" width="13.42578125" style="3" customWidth="1"/>
    <col min="3590" max="3590" width="12.7109375" style="3" customWidth="1"/>
    <col min="3591" max="3591" width="14" style="3" customWidth="1"/>
    <col min="3592" max="3592" width="7.42578125" style="3" customWidth="1"/>
    <col min="3593" max="3840" width="11.42578125" style="3"/>
    <col min="3841" max="3841" width="15.85546875" style="3" customWidth="1"/>
    <col min="3842" max="3842" width="14.85546875" style="3" customWidth="1"/>
    <col min="3843" max="3843" width="13.28515625" style="3" customWidth="1"/>
    <col min="3844" max="3844" width="11.42578125" style="3"/>
    <col min="3845" max="3845" width="13.42578125" style="3" customWidth="1"/>
    <col min="3846" max="3846" width="12.7109375" style="3" customWidth="1"/>
    <col min="3847" max="3847" width="14" style="3" customWidth="1"/>
    <col min="3848" max="3848" width="7.42578125" style="3" customWidth="1"/>
    <col min="3849" max="4096" width="11.42578125" style="3"/>
    <col min="4097" max="4097" width="15.85546875" style="3" customWidth="1"/>
    <col min="4098" max="4098" width="14.85546875" style="3" customWidth="1"/>
    <col min="4099" max="4099" width="13.28515625" style="3" customWidth="1"/>
    <col min="4100" max="4100" width="11.42578125" style="3"/>
    <col min="4101" max="4101" width="13.42578125" style="3" customWidth="1"/>
    <col min="4102" max="4102" width="12.7109375" style="3" customWidth="1"/>
    <col min="4103" max="4103" width="14" style="3" customWidth="1"/>
    <col min="4104" max="4104" width="7.42578125" style="3" customWidth="1"/>
    <col min="4105" max="4352" width="11.42578125" style="3"/>
    <col min="4353" max="4353" width="15.85546875" style="3" customWidth="1"/>
    <col min="4354" max="4354" width="14.85546875" style="3" customWidth="1"/>
    <col min="4355" max="4355" width="13.28515625" style="3" customWidth="1"/>
    <col min="4356" max="4356" width="11.42578125" style="3"/>
    <col min="4357" max="4357" width="13.42578125" style="3" customWidth="1"/>
    <col min="4358" max="4358" width="12.7109375" style="3" customWidth="1"/>
    <col min="4359" max="4359" width="14" style="3" customWidth="1"/>
    <col min="4360" max="4360" width="7.42578125" style="3" customWidth="1"/>
    <col min="4361" max="4608" width="11.42578125" style="3"/>
    <col min="4609" max="4609" width="15.85546875" style="3" customWidth="1"/>
    <col min="4610" max="4610" width="14.85546875" style="3" customWidth="1"/>
    <col min="4611" max="4611" width="13.28515625" style="3" customWidth="1"/>
    <col min="4612" max="4612" width="11.42578125" style="3"/>
    <col min="4613" max="4613" width="13.42578125" style="3" customWidth="1"/>
    <col min="4614" max="4614" width="12.7109375" style="3" customWidth="1"/>
    <col min="4615" max="4615" width="14" style="3" customWidth="1"/>
    <col min="4616" max="4616" width="7.42578125" style="3" customWidth="1"/>
    <col min="4617" max="4864" width="11.42578125" style="3"/>
    <col min="4865" max="4865" width="15.85546875" style="3" customWidth="1"/>
    <col min="4866" max="4866" width="14.85546875" style="3" customWidth="1"/>
    <col min="4867" max="4867" width="13.28515625" style="3" customWidth="1"/>
    <col min="4868" max="4868" width="11.42578125" style="3"/>
    <col min="4869" max="4869" width="13.42578125" style="3" customWidth="1"/>
    <col min="4870" max="4870" width="12.7109375" style="3" customWidth="1"/>
    <col min="4871" max="4871" width="14" style="3" customWidth="1"/>
    <col min="4872" max="4872" width="7.42578125" style="3" customWidth="1"/>
    <col min="4873" max="5120" width="11.42578125" style="3"/>
    <col min="5121" max="5121" width="15.85546875" style="3" customWidth="1"/>
    <col min="5122" max="5122" width="14.85546875" style="3" customWidth="1"/>
    <col min="5123" max="5123" width="13.28515625" style="3" customWidth="1"/>
    <col min="5124" max="5124" width="11.42578125" style="3"/>
    <col min="5125" max="5125" width="13.42578125" style="3" customWidth="1"/>
    <col min="5126" max="5126" width="12.7109375" style="3" customWidth="1"/>
    <col min="5127" max="5127" width="14" style="3" customWidth="1"/>
    <col min="5128" max="5128" width="7.42578125" style="3" customWidth="1"/>
    <col min="5129" max="5376" width="11.42578125" style="3"/>
    <col min="5377" max="5377" width="15.85546875" style="3" customWidth="1"/>
    <col min="5378" max="5378" width="14.85546875" style="3" customWidth="1"/>
    <col min="5379" max="5379" width="13.28515625" style="3" customWidth="1"/>
    <col min="5380" max="5380" width="11.42578125" style="3"/>
    <col min="5381" max="5381" width="13.42578125" style="3" customWidth="1"/>
    <col min="5382" max="5382" width="12.7109375" style="3" customWidth="1"/>
    <col min="5383" max="5383" width="14" style="3" customWidth="1"/>
    <col min="5384" max="5384" width="7.42578125" style="3" customWidth="1"/>
    <col min="5385" max="5632" width="11.42578125" style="3"/>
    <col min="5633" max="5633" width="15.85546875" style="3" customWidth="1"/>
    <col min="5634" max="5634" width="14.85546875" style="3" customWidth="1"/>
    <col min="5635" max="5635" width="13.28515625" style="3" customWidth="1"/>
    <col min="5636" max="5636" width="11.42578125" style="3"/>
    <col min="5637" max="5637" width="13.42578125" style="3" customWidth="1"/>
    <col min="5638" max="5638" width="12.7109375" style="3" customWidth="1"/>
    <col min="5639" max="5639" width="14" style="3" customWidth="1"/>
    <col min="5640" max="5640" width="7.42578125" style="3" customWidth="1"/>
    <col min="5641" max="5888" width="11.42578125" style="3"/>
    <col min="5889" max="5889" width="15.85546875" style="3" customWidth="1"/>
    <col min="5890" max="5890" width="14.85546875" style="3" customWidth="1"/>
    <col min="5891" max="5891" width="13.28515625" style="3" customWidth="1"/>
    <col min="5892" max="5892" width="11.42578125" style="3"/>
    <col min="5893" max="5893" width="13.42578125" style="3" customWidth="1"/>
    <col min="5894" max="5894" width="12.7109375" style="3" customWidth="1"/>
    <col min="5895" max="5895" width="14" style="3" customWidth="1"/>
    <col min="5896" max="5896" width="7.42578125" style="3" customWidth="1"/>
    <col min="5897" max="6144" width="11.42578125" style="3"/>
    <col min="6145" max="6145" width="15.85546875" style="3" customWidth="1"/>
    <col min="6146" max="6146" width="14.85546875" style="3" customWidth="1"/>
    <col min="6147" max="6147" width="13.28515625" style="3" customWidth="1"/>
    <col min="6148" max="6148" width="11.42578125" style="3"/>
    <col min="6149" max="6149" width="13.42578125" style="3" customWidth="1"/>
    <col min="6150" max="6150" width="12.7109375" style="3" customWidth="1"/>
    <col min="6151" max="6151" width="14" style="3" customWidth="1"/>
    <col min="6152" max="6152" width="7.42578125" style="3" customWidth="1"/>
    <col min="6153" max="6400" width="11.42578125" style="3"/>
    <col min="6401" max="6401" width="15.85546875" style="3" customWidth="1"/>
    <col min="6402" max="6402" width="14.85546875" style="3" customWidth="1"/>
    <col min="6403" max="6403" width="13.28515625" style="3" customWidth="1"/>
    <col min="6404" max="6404" width="11.42578125" style="3"/>
    <col min="6405" max="6405" width="13.42578125" style="3" customWidth="1"/>
    <col min="6406" max="6406" width="12.7109375" style="3" customWidth="1"/>
    <col min="6407" max="6407" width="14" style="3" customWidth="1"/>
    <col min="6408" max="6408" width="7.42578125" style="3" customWidth="1"/>
    <col min="6409" max="6656" width="11.42578125" style="3"/>
    <col min="6657" max="6657" width="15.85546875" style="3" customWidth="1"/>
    <col min="6658" max="6658" width="14.85546875" style="3" customWidth="1"/>
    <col min="6659" max="6659" width="13.28515625" style="3" customWidth="1"/>
    <col min="6660" max="6660" width="11.42578125" style="3"/>
    <col min="6661" max="6661" width="13.42578125" style="3" customWidth="1"/>
    <col min="6662" max="6662" width="12.7109375" style="3" customWidth="1"/>
    <col min="6663" max="6663" width="14" style="3" customWidth="1"/>
    <col min="6664" max="6664" width="7.42578125" style="3" customWidth="1"/>
    <col min="6665" max="6912" width="11.42578125" style="3"/>
    <col min="6913" max="6913" width="15.85546875" style="3" customWidth="1"/>
    <col min="6914" max="6914" width="14.85546875" style="3" customWidth="1"/>
    <col min="6915" max="6915" width="13.28515625" style="3" customWidth="1"/>
    <col min="6916" max="6916" width="11.42578125" style="3"/>
    <col min="6917" max="6917" width="13.42578125" style="3" customWidth="1"/>
    <col min="6918" max="6918" width="12.7109375" style="3" customWidth="1"/>
    <col min="6919" max="6919" width="14" style="3" customWidth="1"/>
    <col min="6920" max="6920" width="7.42578125" style="3" customWidth="1"/>
    <col min="6921" max="7168" width="11.42578125" style="3"/>
    <col min="7169" max="7169" width="15.85546875" style="3" customWidth="1"/>
    <col min="7170" max="7170" width="14.85546875" style="3" customWidth="1"/>
    <col min="7171" max="7171" width="13.28515625" style="3" customWidth="1"/>
    <col min="7172" max="7172" width="11.42578125" style="3"/>
    <col min="7173" max="7173" width="13.42578125" style="3" customWidth="1"/>
    <col min="7174" max="7174" width="12.7109375" style="3" customWidth="1"/>
    <col min="7175" max="7175" width="14" style="3" customWidth="1"/>
    <col min="7176" max="7176" width="7.42578125" style="3" customWidth="1"/>
    <col min="7177" max="7424" width="11.42578125" style="3"/>
    <col min="7425" max="7425" width="15.85546875" style="3" customWidth="1"/>
    <col min="7426" max="7426" width="14.85546875" style="3" customWidth="1"/>
    <col min="7427" max="7427" width="13.28515625" style="3" customWidth="1"/>
    <col min="7428" max="7428" width="11.42578125" style="3"/>
    <col min="7429" max="7429" width="13.42578125" style="3" customWidth="1"/>
    <col min="7430" max="7430" width="12.7109375" style="3" customWidth="1"/>
    <col min="7431" max="7431" width="14" style="3" customWidth="1"/>
    <col min="7432" max="7432" width="7.42578125" style="3" customWidth="1"/>
    <col min="7433" max="7680" width="11.42578125" style="3"/>
    <col min="7681" max="7681" width="15.85546875" style="3" customWidth="1"/>
    <col min="7682" max="7682" width="14.85546875" style="3" customWidth="1"/>
    <col min="7683" max="7683" width="13.28515625" style="3" customWidth="1"/>
    <col min="7684" max="7684" width="11.42578125" style="3"/>
    <col min="7685" max="7685" width="13.42578125" style="3" customWidth="1"/>
    <col min="7686" max="7686" width="12.7109375" style="3" customWidth="1"/>
    <col min="7687" max="7687" width="14" style="3" customWidth="1"/>
    <col min="7688" max="7688" width="7.42578125" style="3" customWidth="1"/>
    <col min="7689" max="7936" width="11.42578125" style="3"/>
    <col min="7937" max="7937" width="15.85546875" style="3" customWidth="1"/>
    <col min="7938" max="7938" width="14.85546875" style="3" customWidth="1"/>
    <col min="7939" max="7939" width="13.28515625" style="3" customWidth="1"/>
    <col min="7940" max="7940" width="11.42578125" style="3"/>
    <col min="7941" max="7941" width="13.42578125" style="3" customWidth="1"/>
    <col min="7942" max="7942" width="12.7109375" style="3" customWidth="1"/>
    <col min="7943" max="7943" width="14" style="3" customWidth="1"/>
    <col min="7944" max="7944" width="7.42578125" style="3" customWidth="1"/>
    <col min="7945" max="8192" width="11.42578125" style="3"/>
    <col min="8193" max="8193" width="15.85546875" style="3" customWidth="1"/>
    <col min="8194" max="8194" width="14.85546875" style="3" customWidth="1"/>
    <col min="8195" max="8195" width="13.28515625" style="3" customWidth="1"/>
    <col min="8196" max="8196" width="11.42578125" style="3"/>
    <col min="8197" max="8197" width="13.42578125" style="3" customWidth="1"/>
    <col min="8198" max="8198" width="12.7109375" style="3" customWidth="1"/>
    <col min="8199" max="8199" width="14" style="3" customWidth="1"/>
    <col min="8200" max="8200" width="7.42578125" style="3" customWidth="1"/>
    <col min="8201" max="8448" width="11.42578125" style="3"/>
    <col min="8449" max="8449" width="15.85546875" style="3" customWidth="1"/>
    <col min="8450" max="8450" width="14.85546875" style="3" customWidth="1"/>
    <col min="8451" max="8451" width="13.28515625" style="3" customWidth="1"/>
    <col min="8452" max="8452" width="11.42578125" style="3"/>
    <col min="8453" max="8453" width="13.42578125" style="3" customWidth="1"/>
    <col min="8454" max="8454" width="12.7109375" style="3" customWidth="1"/>
    <col min="8455" max="8455" width="14" style="3" customWidth="1"/>
    <col min="8456" max="8456" width="7.42578125" style="3" customWidth="1"/>
    <col min="8457" max="8704" width="11.42578125" style="3"/>
    <col min="8705" max="8705" width="15.85546875" style="3" customWidth="1"/>
    <col min="8706" max="8706" width="14.85546875" style="3" customWidth="1"/>
    <col min="8707" max="8707" width="13.28515625" style="3" customWidth="1"/>
    <col min="8708" max="8708" width="11.42578125" style="3"/>
    <col min="8709" max="8709" width="13.42578125" style="3" customWidth="1"/>
    <col min="8710" max="8710" width="12.7109375" style="3" customWidth="1"/>
    <col min="8711" max="8711" width="14" style="3" customWidth="1"/>
    <col min="8712" max="8712" width="7.42578125" style="3" customWidth="1"/>
    <col min="8713" max="8960" width="11.42578125" style="3"/>
    <col min="8961" max="8961" width="15.85546875" style="3" customWidth="1"/>
    <col min="8962" max="8962" width="14.85546875" style="3" customWidth="1"/>
    <col min="8963" max="8963" width="13.28515625" style="3" customWidth="1"/>
    <col min="8964" max="8964" width="11.42578125" style="3"/>
    <col min="8965" max="8965" width="13.42578125" style="3" customWidth="1"/>
    <col min="8966" max="8966" width="12.7109375" style="3" customWidth="1"/>
    <col min="8967" max="8967" width="14" style="3" customWidth="1"/>
    <col min="8968" max="8968" width="7.42578125" style="3" customWidth="1"/>
    <col min="8969" max="9216" width="11.42578125" style="3"/>
    <col min="9217" max="9217" width="15.85546875" style="3" customWidth="1"/>
    <col min="9218" max="9218" width="14.85546875" style="3" customWidth="1"/>
    <col min="9219" max="9219" width="13.28515625" style="3" customWidth="1"/>
    <col min="9220" max="9220" width="11.42578125" style="3"/>
    <col min="9221" max="9221" width="13.42578125" style="3" customWidth="1"/>
    <col min="9222" max="9222" width="12.7109375" style="3" customWidth="1"/>
    <col min="9223" max="9223" width="14" style="3" customWidth="1"/>
    <col min="9224" max="9224" width="7.42578125" style="3" customWidth="1"/>
    <col min="9225" max="9472" width="11.42578125" style="3"/>
    <col min="9473" max="9473" width="15.85546875" style="3" customWidth="1"/>
    <col min="9474" max="9474" width="14.85546875" style="3" customWidth="1"/>
    <col min="9475" max="9475" width="13.28515625" style="3" customWidth="1"/>
    <col min="9476" max="9476" width="11.42578125" style="3"/>
    <col min="9477" max="9477" width="13.42578125" style="3" customWidth="1"/>
    <col min="9478" max="9478" width="12.7109375" style="3" customWidth="1"/>
    <col min="9479" max="9479" width="14" style="3" customWidth="1"/>
    <col min="9480" max="9480" width="7.42578125" style="3" customWidth="1"/>
    <col min="9481" max="9728" width="11.42578125" style="3"/>
    <col min="9729" max="9729" width="15.85546875" style="3" customWidth="1"/>
    <col min="9730" max="9730" width="14.85546875" style="3" customWidth="1"/>
    <col min="9731" max="9731" width="13.28515625" style="3" customWidth="1"/>
    <col min="9732" max="9732" width="11.42578125" style="3"/>
    <col min="9733" max="9733" width="13.42578125" style="3" customWidth="1"/>
    <col min="9734" max="9734" width="12.7109375" style="3" customWidth="1"/>
    <col min="9735" max="9735" width="14" style="3" customWidth="1"/>
    <col min="9736" max="9736" width="7.42578125" style="3" customWidth="1"/>
    <col min="9737" max="9984" width="11.42578125" style="3"/>
    <col min="9985" max="9985" width="15.85546875" style="3" customWidth="1"/>
    <col min="9986" max="9986" width="14.85546875" style="3" customWidth="1"/>
    <col min="9987" max="9987" width="13.28515625" style="3" customWidth="1"/>
    <col min="9988" max="9988" width="11.42578125" style="3"/>
    <col min="9989" max="9989" width="13.42578125" style="3" customWidth="1"/>
    <col min="9990" max="9990" width="12.7109375" style="3" customWidth="1"/>
    <col min="9991" max="9991" width="14" style="3" customWidth="1"/>
    <col min="9992" max="9992" width="7.42578125" style="3" customWidth="1"/>
    <col min="9993" max="10240" width="11.42578125" style="3"/>
    <col min="10241" max="10241" width="15.85546875" style="3" customWidth="1"/>
    <col min="10242" max="10242" width="14.85546875" style="3" customWidth="1"/>
    <col min="10243" max="10243" width="13.28515625" style="3" customWidth="1"/>
    <col min="10244" max="10244" width="11.42578125" style="3"/>
    <col min="10245" max="10245" width="13.42578125" style="3" customWidth="1"/>
    <col min="10246" max="10246" width="12.7109375" style="3" customWidth="1"/>
    <col min="10247" max="10247" width="14" style="3" customWidth="1"/>
    <col min="10248" max="10248" width="7.42578125" style="3" customWidth="1"/>
    <col min="10249" max="10496" width="11.42578125" style="3"/>
    <col min="10497" max="10497" width="15.85546875" style="3" customWidth="1"/>
    <col min="10498" max="10498" width="14.85546875" style="3" customWidth="1"/>
    <col min="10499" max="10499" width="13.28515625" style="3" customWidth="1"/>
    <col min="10500" max="10500" width="11.42578125" style="3"/>
    <col min="10501" max="10501" width="13.42578125" style="3" customWidth="1"/>
    <col min="10502" max="10502" width="12.7109375" style="3" customWidth="1"/>
    <col min="10503" max="10503" width="14" style="3" customWidth="1"/>
    <col min="10504" max="10504" width="7.42578125" style="3" customWidth="1"/>
    <col min="10505" max="10752" width="11.42578125" style="3"/>
    <col min="10753" max="10753" width="15.85546875" style="3" customWidth="1"/>
    <col min="10754" max="10754" width="14.85546875" style="3" customWidth="1"/>
    <col min="10755" max="10755" width="13.28515625" style="3" customWidth="1"/>
    <col min="10756" max="10756" width="11.42578125" style="3"/>
    <col min="10757" max="10757" width="13.42578125" style="3" customWidth="1"/>
    <col min="10758" max="10758" width="12.7109375" style="3" customWidth="1"/>
    <col min="10759" max="10759" width="14" style="3" customWidth="1"/>
    <col min="10760" max="10760" width="7.42578125" style="3" customWidth="1"/>
    <col min="10761" max="11008" width="11.42578125" style="3"/>
    <col min="11009" max="11009" width="15.85546875" style="3" customWidth="1"/>
    <col min="11010" max="11010" width="14.85546875" style="3" customWidth="1"/>
    <col min="11011" max="11011" width="13.28515625" style="3" customWidth="1"/>
    <col min="11012" max="11012" width="11.42578125" style="3"/>
    <col min="11013" max="11013" width="13.42578125" style="3" customWidth="1"/>
    <col min="11014" max="11014" width="12.7109375" style="3" customWidth="1"/>
    <col min="11015" max="11015" width="14" style="3" customWidth="1"/>
    <col min="11016" max="11016" width="7.42578125" style="3" customWidth="1"/>
    <col min="11017" max="11264" width="11.42578125" style="3"/>
    <col min="11265" max="11265" width="15.85546875" style="3" customWidth="1"/>
    <col min="11266" max="11266" width="14.85546875" style="3" customWidth="1"/>
    <col min="11267" max="11267" width="13.28515625" style="3" customWidth="1"/>
    <col min="11268" max="11268" width="11.42578125" style="3"/>
    <col min="11269" max="11269" width="13.42578125" style="3" customWidth="1"/>
    <col min="11270" max="11270" width="12.7109375" style="3" customWidth="1"/>
    <col min="11271" max="11271" width="14" style="3" customWidth="1"/>
    <col min="11272" max="11272" width="7.42578125" style="3" customWidth="1"/>
    <col min="11273" max="11520" width="11.42578125" style="3"/>
    <col min="11521" max="11521" width="15.85546875" style="3" customWidth="1"/>
    <col min="11522" max="11522" width="14.85546875" style="3" customWidth="1"/>
    <col min="11523" max="11523" width="13.28515625" style="3" customWidth="1"/>
    <col min="11524" max="11524" width="11.42578125" style="3"/>
    <col min="11525" max="11525" width="13.42578125" style="3" customWidth="1"/>
    <col min="11526" max="11526" width="12.7109375" style="3" customWidth="1"/>
    <col min="11527" max="11527" width="14" style="3" customWidth="1"/>
    <col min="11528" max="11528" width="7.42578125" style="3" customWidth="1"/>
    <col min="11529" max="11776" width="11.42578125" style="3"/>
    <col min="11777" max="11777" width="15.85546875" style="3" customWidth="1"/>
    <col min="11778" max="11778" width="14.85546875" style="3" customWidth="1"/>
    <col min="11779" max="11779" width="13.28515625" style="3" customWidth="1"/>
    <col min="11780" max="11780" width="11.42578125" style="3"/>
    <col min="11781" max="11781" width="13.42578125" style="3" customWidth="1"/>
    <col min="11782" max="11782" width="12.7109375" style="3" customWidth="1"/>
    <col min="11783" max="11783" width="14" style="3" customWidth="1"/>
    <col min="11784" max="11784" width="7.42578125" style="3" customWidth="1"/>
    <col min="11785" max="12032" width="11.42578125" style="3"/>
    <col min="12033" max="12033" width="15.85546875" style="3" customWidth="1"/>
    <col min="12034" max="12034" width="14.85546875" style="3" customWidth="1"/>
    <col min="12035" max="12035" width="13.28515625" style="3" customWidth="1"/>
    <col min="12036" max="12036" width="11.42578125" style="3"/>
    <col min="12037" max="12037" width="13.42578125" style="3" customWidth="1"/>
    <col min="12038" max="12038" width="12.7109375" style="3" customWidth="1"/>
    <col min="12039" max="12039" width="14" style="3" customWidth="1"/>
    <col min="12040" max="12040" width="7.42578125" style="3" customWidth="1"/>
    <col min="12041" max="12288" width="11.42578125" style="3"/>
    <col min="12289" max="12289" width="15.85546875" style="3" customWidth="1"/>
    <col min="12290" max="12290" width="14.85546875" style="3" customWidth="1"/>
    <col min="12291" max="12291" width="13.28515625" style="3" customWidth="1"/>
    <col min="12292" max="12292" width="11.42578125" style="3"/>
    <col min="12293" max="12293" width="13.42578125" style="3" customWidth="1"/>
    <col min="12294" max="12294" width="12.7109375" style="3" customWidth="1"/>
    <col min="12295" max="12295" width="14" style="3" customWidth="1"/>
    <col min="12296" max="12296" width="7.42578125" style="3" customWidth="1"/>
    <col min="12297" max="12544" width="11.42578125" style="3"/>
    <col min="12545" max="12545" width="15.85546875" style="3" customWidth="1"/>
    <col min="12546" max="12546" width="14.85546875" style="3" customWidth="1"/>
    <col min="12547" max="12547" width="13.28515625" style="3" customWidth="1"/>
    <col min="12548" max="12548" width="11.42578125" style="3"/>
    <col min="12549" max="12549" width="13.42578125" style="3" customWidth="1"/>
    <col min="12550" max="12550" width="12.7109375" style="3" customWidth="1"/>
    <col min="12551" max="12551" width="14" style="3" customWidth="1"/>
    <col min="12552" max="12552" width="7.42578125" style="3" customWidth="1"/>
    <col min="12553" max="12800" width="11.42578125" style="3"/>
    <col min="12801" max="12801" width="15.85546875" style="3" customWidth="1"/>
    <col min="12802" max="12802" width="14.85546875" style="3" customWidth="1"/>
    <col min="12803" max="12803" width="13.28515625" style="3" customWidth="1"/>
    <col min="12804" max="12804" width="11.42578125" style="3"/>
    <col min="12805" max="12805" width="13.42578125" style="3" customWidth="1"/>
    <col min="12806" max="12806" width="12.7109375" style="3" customWidth="1"/>
    <col min="12807" max="12807" width="14" style="3" customWidth="1"/>
    <col min="12808" max="12808" width="7.42578125" style="3" customWidth="1"/>
    <col min="12809" max="13056" width="11.42578125" style="3"/>
    <col min="13057" max="13057" width="15.85546875" style="3" customWidth="1"/>
    <col min="13058" max="13058" width="14.85546875" style="3" customWidth="1"/>
    <col min="13059" max="13059" width="13.28515625" style="3" customWidth="1"/>
    <col min="13060" max="13060" width="11.42578125" style="3"/>
    <col min="13061" max="13061" width="13.42578125" style="3" customWidth="1"/>
    <col min="13062" max="13062" width="12.7109375" style="3" customWidth="1"/>
    <col min="13063" max="13063" width="14" style="3" customWidth="1"/>
    <col min="13064" max="13064" width="7.42578125" style="3" customWidth="1"/>
    <col min="13065" max="13312" width="11.42578125" style="3"/>
    <col min="13313" max="13313" width="15.85546875" style="3" customWidth="1"/>
    <col min="13314" max="13314" width="14.85546875" style="3" customWidth="1"/>
    <col min="13315" max="13315" width="13.28515625" style="3" customWidth="1"/>
    <col min="13316" max="13316" width="11.42578125" style="3"/>
    <col min="13317" max="13317" width="13.42578125" style="3" customWidth="1"/>
    <col min="13318" max="13318" width="12.7109375" style="3" customWidth="1"/>
    <col min="13319" max="13319" width="14" style="3" customWidth="1"/>
    <col min="13320" max="13320" width="7.42578125" style="3" customWidth="1"/>
    <col min="13321" max="13568" width="11.42578125" style="3"/>
    <col min="13569" max="13569" width="15.85546875" style="3" customWidth="1"/>
    <col min="13570" max="13570" width="14.85546875" style="3" customWidth="1"/>
    <col min="13571" max="13571" width="13.28515625" style="3" customWidth="1"/>
    <col min="13572" max="13572" width="11.42578125" style="3"/>
    <col min="13573" max="13573" width="13.42578125" style="3" customWidth="1"/>
    <col min="13574" max="13574" width="12.7109375" style="3" customWidth="1"/>
    <col min="13575" max="13575" width="14" style="3" customWidth="1"/>
    <col min="13576" max="13576" width="7.42578125" style="3" customWidth="1"/>
    <col min="13577" max="13824" width="11.42578125" style="3"/>
    <col min="13825" max="13825" width="15.85546875" style="3" customWidth="1"/>
    <col min="13826" max="13826" width="14.85546875" style="3" customWidth="1"/>
    <col min="13827" max="13827" width="13.28515625" style="3" customWidth="1"/>
    <col min="13828" max="13828" width="11.42578125" style="3"/>
    <col min="13829" max="13829" width="13.42578125" style="3" customWidth="1"/>
    <col min="13830" max="13830" width="12.7109375" style="3" customWidth="1"/>
    <col min="13831" max="13831" width="14" style="3" customWidth="1"/>
    <col min="13832" max="13832" width="7.42578125" style="3" customWidth="1"/>
    <col min="13833" max="14080" width="11.42578125" style="3"/>
    <col min="14081" max="14081" width="15.85546875" style="3" customWidth="1"/>
    <col min="14082" max="14082" width="14.85546875" style="3" customWidth="1"/>
    <col min="14083" max="14083" width="13.28515625" style="3" customWidth="1"/>
    <col min="14084" max="14084" width="11.42578125" style="3"/>
    <col min="14085" max="14085" width="13.42578125" style="3" customWidth="1"/>
    <col min="14086" max="14086" width="12.7109375" style="3" customWidth="1"/>
    <col min="14087" max="14087" width="14" style="3" customWidth="1"/>
    <col min="14088" max="14088" width="7.42578125" style="3" customWidth="1"/>
    <col min="14089" max="14336" width="11.42578125" style="3"/>
    <col min="14337" max="14337" width="15.85546875" style="3" customWidth="1"/>
    <col min="14338" max="14338" width="14.85546875" style="3" customWidth="1"/>
    <col min="14339" max="14339" width="13.28515625" style="3" customWidth="1"/>
    <col min="14340" max="14340" width="11.42578125" style="3"/>
    <col min="14341" max="14341" width="13.42578125" style="3" customWidth="1"/>
    <col min="14342" max="14342" width="12.7109375" style="3" customWidth="1"/>
    <col min="14343" max="14343" width="14" style="3" customWidth="1"/>
    <col min="14344" max="14344" width="7.42578125" style="3" customWidth="1"/>
    <col min="14345" max="14592" width="11.42578125" style="3"/>
    <col min="14593" max="14593" width="15.85546875" style="3" customWidth="1"/>
    <col min="14594" max="14594" width="14.85546875" style="3" customWidth="1"/>
    <col min="14595" max="14595" width="13.28515625" style="3" customWidth="1"/>
    <col min="14596" max="14596" width="11.42578125" style="3"/>
    <col min="14597" max="14597" width="13.42578125" style="3" customWidth="1"/>
    <col min="14598" max="14598" width="12.7109375" style="3" customWidth="1"/>
    <col min="14599" max="14599" width="14" style="3" customWidth="1"/>
    <col min="14600" max="14600" width="7.42578125" style="3" customWidth="1"/>
    <col min="14601" max="14848" width="11.42578125" style="3"/>
    <col min="14849" max="14849" width="15.85546875" style="3" customWidth="1"/>
    <col min="14850" max="14850" width="14.85546875" style="3" customWidth="1"/>
    <col min="14851" max="14851" width="13.28515625" style="3" customWidth="1"/>
    <col min="14852" max="14852" width="11.42578125" style="3"/>
    <col min="14853" max="14853" width="13.42578125" style="3" customWidth="1"/>
    <col min="14854" max="14854" width="12.7109375" style="3" customWidth="1"/>
    <col min="14855" max="14855" width="14" style="3" customWidth="1"/>
    <col min="14856" max="14856" width="7.42578125" style="3" customWidth="1"/>
    <col min="14857" max="15104" width="11.42578125" style="3"/>
    <col min="15105" max="15105" width="15.85546875" style="3" customWidth="1"/>
    <col min="15106" max="15106" width="14.85546875" style="3" customWidth="1"/>
    <col min="15107" max="15107" width="13.28515625" style="3" customWidth="1"/>
    <col min="15108" max="15108" width="11.42578125" style="3"/>
    <col min="15109" max="15109" width="13.42578125" style="3" customWidth="1"/>
    <col min="15110" max="15110" width="12.7109375" style="3" customWidth="1"/>
    <col min="15111" max="15111" width="14" style="3" customWidth="1"/>
    <col min="15112" max="15112" width="7.42578125" style="3" customWidth="1"/>
    <col min="15113" max="15360" width="11.42578125" style="3"/>
    <col min="15361" max="15361" width="15.85546875" style="3" customWidth="1"/>
    <col min="15362" max="15362" width="14.85546875" style="3" customWidth="1"/>
    <col min="15363" max="15363" width="13.28515625" style="3" customWidth="1"/>
    <col min="15364" max="15364" width="11.42578125" style="3"/>
    <col min="15365" max="15365" width="13.42578125" style="3" customWidth="1"/>
    <col min="15366" max="15366" width="12.7109375" style="3" customWidth="1"/>
    <col min="15367" max="15367" width="14" style="3" customWidth="1"/>
    <col min="15368" max="15368" width="7.42578125" style="3" customWidth="1"/>
    <col min="15369" max="15616" width="11.42578125" style="3"/>
    <col min="15617" max="15617" width="15.85546875" style="3" customWidth="1"/>
    <col min="15618" max="15618" width="14.85546875" style="3" customWidth="1"/>
    <col min="15619" max="15619" width="13.28515625" style="3" customWidth="1"/>
    <col min="15620" max="15620" width="11.42578125" style="3"/>
    <col min="15621" max="15621" width="13.42578125" style="3" customWidth="1"/>
    <col min="15622" max="15622" width="12.7109375" style="3" customWidth="1"/>
    <col min="15623" max="15623" width="14" style="3" customWidth="1"/>
    <col min="15624" max="15624" width="7.42578125" style="3" customWidth="1"/>
    <col min="15625" max="15872" width="11.42578125" style="3"/>
    <col min="15873" max="15873" width="15.85546875" style="3" customWidth="1"/>
    <col min="15874" max="15874" width="14.85546875" style="3" customWidth="1"/>
    <col min="15875" max="15875" width="13.28515625" style="3" customWidth="1"/>
    <col min="15876" max="15876" width="11.42578125" style="3"/>
    <col min="15877" max="15877" width="13.42578125" style="3" customWidth="1"/>
    <col min="15878" max="15878" width="12.7109375" style="3" customWidth="1"/>
    <col min="15879" max="15879" width="14" style="3" customWidth="1"/>
    <col min="15880" max="15880" width="7.42578125" style="3" customWidth="1"/>
    <col min="15881" max="16128" width="11.42578125" style="3"/>
    <col min="16129" max="16129" width="15.85546875" style="3" customWidth="1"/>
    <col min="16130" max="16130" width="14.85546875" style="3" customWidth="1"/>
    <col min="16131" max="16131" width="13.28515625" style="3" customWidth="1"/>
    <col min="16132" max="16132" width="11.42578125" style="3"/>
    <col min="16133" max="16133" width="13.42578125" style="3" customWidth="1"/>
    <col min="16134" max="16134" width="12.7109375" style="3" customWidth="1"/>
    <col min="16135" max="16135" width="14" style="3" customWidth="1"/>
    <col min="16136" max="16136" width="7.42578125" style="3" customWidth="1"/>
    <col min="16137" max="16384" width="11.42578125" style="3"/>
  </cols>
  <sheetData>
    <row r="1" spans="1:21" ht="20.25">
      <c r="A1" s="1346" t="str">
        <f>PPTO!D3</f>
        <v>PRESUPUESTO
MUNICIPIO EL BAGRE (ANTIOQUIA).</v>
      </c>
      <c r="B1" s="1347"/>
      <c r="C1" s="1347"/>
      <c r="D1" s="1347"/>
      <c r="E1" s="1347"/>
      <c r="F1" s="1347"/>
      <c r="G1" s="1348"/>
      <c r="H1" s="1"/>
      <c r="I1" s="2"/>
    </row>
    <row r="2" spans="1:21" ht="18" customHeight="1">
      <c r="A2" s="1362" t="s">
        <v>16</v>
      </c>
      <c r="B2" s="1363"/>
      <c r="C2" s="1363"/>
      <c r="D2" s="1363"/>
      <c r="E2" s="1363"/>
      <c r="F2" s="1363"/>
      <c r="G2" s="1364"/>
      <c r="H2" s="1"/>
      <c r="I2" s="2"/>
    </row>
    <row r="3" spans="1:21" ht="27" customHeight="1">
      <c r="A3" s="1367" t="str">
        <f>+PPTO!$D$5</f>
        <v>PROYECTO DE MEJORAMIENTO VIAL, ESPACIO PUBLICO Y OBRAS COMPLEMENTARIAS DE LA AVENIDA LA JUVENTUD Y TRAMOS ADYACENTES Y PRIORITARIOS DEL SECTOR URBANO EN EL MUNICIPIO EL BAGRE ANTIOQUIA.</v>
      </c>
      <c r="B3" s="1368"/>
      <c r="C3" s="1368"/>
      <c r="D3" s="1368"/>
      <c r="E3" s="1368"/>
      <c r="F3" s="1368"/>
      <c r="G3" s="1369"/>
      <c r="H3" s="1"/>
      <c r="I3" s="2"/>
    </row>
    <row r="4" spans="1:21" ht="14.25" customHeight="1">
      <c r="A4" s="1370"/>
      <c r="B4" s="1368"/>
      <c r="C4" s="1368"/>
      <c r="D4" s="1368"/>
      <c r="E4" s="1368"/>
      <c r="F4" s="1368"/>
      <c r="G4" s="1369"/>
      <c r="H4" s="1"/>
      <c r="I4" s="2"/>
    </row>
    <row r="5" spans="1:21" ht="6.75" customHeight="1">
      <c r="A5" s="222"/>
      <c r="B5" s="6"/>
      <c r="C5" s="24"/>
      <c r="D5" s="25"/>
      <c r="E5" s="6"/>
      <c r="F5" s="6"/>
      <c r="G5" s="223"/>
      <c r="H5" s="9"/>
    </row>
    <row r="6" spans="1:21">
      <c r="A6" s="368">
        <v>6.22</v>
      </c>
      <c r="B6" s="1349" t="str">
        <f>VLOOKUP(A6,PPTO!D9:I136,2,FALSE)</f>
        <v>Suministro e instalación Tee 3" x 3" PVC  ó Similar</v>
      </c>
      <c r="C6" s="1350"/>
      <c r="D6" s="1350"/>
      <c r="E6" s="1351"/>
      <c r="F6" s="192" t="s">
        <v>118</v>
      </c>
      <c r="G6" s="248" t="str">
        <f>VLOOKUP(A6,PPTO!D9:I136,3,FALSE)</f>
        <v>und</v>
      </c>
      <c r="H6" s="9"/>
    </row>
    <row r="7" spans="1:21" ht="3.75" customHeight="1">
      <c r="A7" s="226"/>
      <c r="B7" s="4"/>
      <c r="C7" s="6"/>
      <c r="D7" s="4"/>
      <c r="E7" s="4"/>
      <c r="F7" s="4"/>
      <c r="G7" s="227"/>
      <c r="H7" s="9"/>
    </row>
    <row r="8" spans="1:21" ht="22.5" customHeight="1">
      <c r="A8" s="1354" t="s">
        <v>69</v>
      </c>
      <c r="B8" s="1355"/>
      <c r="C8" s="1355"/>
      <c r="D8" s="1355"/>
      <c r="E8" s="1355"/>
      <c r="F8" s="1355"/>
      <c r="G8" s="1356"/>
      <c r="H8" s="9"/>
    </row>
    <row r="9" spans="1:21" ht="4.5" customHeight="1">
      <c r="A9" s="226"/>
      <c r="B9" s="4"/>
      <c r="C9" s="6"/>
      <c r="D9" s="4"/>
      <c r="E9" s="4"/>
      <c r="F9" s="4"/>
      <c r="G9" s="227"/>
      <c r="H9" s="9"/>
      <c r="I9" s="5"/>
      <c r="J9" s="5"/>
      <c r="K9" s="5"/>
      <c r="L9" s="26"/>
      <c r="M9" s="5"/>
      <c r="N9" s="5"/>
      <c r="O9" s="5"/>
      <c r="P9" s="5"/>
    </row>
    <row r="10" spans="1:21">
      <c r="A10" s="1373" t="s">
        <v>17</v>
      </c>
      <c r="B10" s="1374"/>
      <c r="C10" s="1374"/>
      <c r="D10" s="353" t="s">
        <v>18</v>
      </c>
      <c r="E10" s="353" t="s">
        <v>19</v>
      </c>
      <c r="F10" s="353" t="s">
        <v>20</v>
      </c>
      <c r="G10" s="228" t="s">
        <v>21</v>
      </c>
      <c r="H10" s="27"/>
      <c r="I10" s="28"/>
      <c r="J10" s="29"/>
      <c r="K10" s="30"/>
      <c r="L10" s="30"/>
      <c r="M10" s="30"/>
      <c r="N10" s="30"/>
      <c r="O10" s="30"/>
      <c r="P10" s="5"/>
    </row>
    <row r="11" spans="1:21">
      <c r="A11" s="1352" t="s">
        <v>994</v>
      </c>
      <c r="B11" s="1353"/>
      <c r="C11" s="1353"/>
      <c r="D11" s="353"/>
      <c r="E11" s="83"/>
      <c r="F11" s="97"/>
      <c r="G11" s="229">
        <f>+G39*10%</f>
        <v>1527</v>
      </c>
      <c r="H11" s="9"/>
      <c r="I11" s="30"/>
      <c r="J11" s="31"/>
      <c r="K11" s="30"/>
      <c r="L11" s="30"/>
      <c r="M11" s="30"/>
      <c r="N11" s="30"/>
      <c r="O11" s="30"/>
      <c r="P11" s="5"/>
    </row>
    <row r="12" spans="1:21">
      <c r="A12" s="1371"/>
      <c r="B12" s="1372"/>
      <c r="C12" s="1372"/>
      <c r="D12" s="83"/>
      <c r="E12" s="83"/>
      <c r="F12" s="93"/>
      <c r="G12" s="229"/>
      <c r="H12" s="9"/>
      <c r="I12" s="16"/>
      <c r="J12" s="13"/>
      <c r="K12" s="8"/>
      <c r="L12" s="8"/>
      <c r="M12" s="8"/>
      <c r="N12" s="8"/>
      <c r="O12" s="8"/>
      <c r="P12" s="5"/>
    </row>
    <row r="13" spans="1:21">
      <c r="A13" s="1371"/>
      <c r="B13" s="1372"/>
      <c r="C13" s="1372"/>
      <c r="D13" s="83"/>
      <c r="E13" s="83"/>
      <c r="F13" s="93"/>
      <c r="G13" s="229"/>
      <c r="H13" s="9"/>
      <c r="I13" s="13"/>
      <c r="J13" s="13"/>
      <c r="K13" s="13"/>
      <c r="L13" s="13"/>
      <c r="M13" s="13"/>
      <c r="N13" s="13"/>
      <c r="O13" s="13"/>
      <c r="P13" s="5"/>
    </row>
    <row r="14" spans="1:21">
      <c r="A14" s="1371"/>
      <c r="B14" s="1372"/>
      <c r="C14" s="1372"/>
      <c r="D14" s="83"/>
      <c r="E14" s="83"/>
      <c r="F14" s="93"/>
      <c r="G14" s="229"/>
      <c r="H14" s="9"/>
      <c r="I14" s="8"/>
      <c r="J14" s="14"/>
      <c r="K14" s="32"/>
      <c r="L14" s="14"/>
      <c r="M14" s="15"/>
      <c r="N14" s="15"/>
      <c r="O14" s="19"/>
      <c r="P14" s="5"/>
    </row>
    <row r="15" spans="1:21">
      <c r="A15" s="1371"/>
      <c r="B15" s="1372"/>
      <c r="C15" s="1372"/>
      <c r="D15" s="83"/>
      <c r="E15" s="83"/>
      <c r="F15" s="98"/>
      <c r="G15" s="229"/>
      <c r="H15" s="9"/>
      <c r="I15" s="8"/>
      <c r="J15" s="33"/>
      <c r="K15" s="32"/>
      <c r="L15" s="14"/>
      <c r="M15" s="15"/>
      <c r="N15" s="15"/>
      <c r="O15" s="19"/>
      <c r="P15" s="5"/>
      <c r="Q15" s="5"/>
      <c r="R15" s="5"/>
      <c r="S15" s="5"/>
      <c r="T15" s="5"/>
      <c r="U15" s="5"/>
    </row>
    <row r="16" spans="1:21">
      <c r="A16" s="1371"/>
      <c r="B16" s="1372"/>
      <c r="C16" s="1372"/>
      <c r="D16" s="85" t="s">
        <v>37</v>
      </c>
      <c r="E16" s="50"/>
      <c r="F16" s="49"/>
      <c r="G16" s="230">
        <f>SUM(G11:G15)</f>
        <v>1527</v>
      </c>
      <c r="H16" s="9"/>
      <c r="I16" s="34"/>
      <c r="J16" s="34"/>
      <c r="K16" s="35"/>
      <c r="L16" s="36"/>
      <c r="M16" s="7"/>
      <c r="N16" s="7"/>
      <c r="O16" s="19"/>
      <c r="P16" s="5"/>
      <c r="Q16" s="5"/>
      <c r="R16" s="5"/>
      <c r="S16" s="5"/>
      <c r="T16" s="5"/>
      <c r="U16" s="5"/>
    </row>
    <row r="17" spans="1:21" ht="4.5" customHeight="1">
      <c r="A17" s="226"/>
      <c r="B17" s="4"/>
      <c r="C17" s="6"/>
      <c r="D17" s="4"/>
      <c r="E17" s="4"/>
      <c r="F17" s="4"/>
      <c r="G17" s="227"/>
      <c r="H17" s="9"/>
      <c r="I17" s="34"/>
      <c r="J17" s="34"/>
      <c r="K17" s="35"/>
      <c r="L17" s="36"/>
      <c r="M17" s="7"/>
      <c r="N17" s="7"/>
      <c r="O17" s="19"/>
      <c r="P17" s="5"/>
      <c r="Q17" s="5"/>
      <c r="R17" s="5"/>
      <c r="S17" s="5"/>
      <c r="T17" s="5"/>
      <c r="U17" s="5"/>
    </row>
    <row r="18" spans="1:21" ht="22.5" customHeight="1">
      <c r="A18" s="1354" t="s">
        <v>70</v>
      </c>
      <c r="B18" s="1355"/>
      <c r="C18" s="1355"/>
      <c r="D18" s="1355"/>
      <c r="E18" s="1355"/>
      <c r="F18" s="1355"/>
      <c r="G18" s="1356"/>
      <c r="H18" s="9"/>
    </row>
    <row r="19" spans="1:21" ht="4.5" customHeight="1">
      <c r="A19" s="226"/>
      <c r="B19" s="4"/>
      <c r="C19" s="6"/>
      <c r="D19" s="4"/>
      <c r="E19" s="4"/>
      <c r="F19" s="38"/>
      <c r="G19" s="227"/>
      <c r="H19" s="9"/>
      <c r="I19" s="34"/>
      <c r="J19" s="34"/>
      <c r="K19" s="35"/>
      <c r="L19" s="39"/>
      <c r="M19" s="7"/>
      <c r="N19" s="7"/>
      <c r="O19" s="8"/>
      <c r="P19" s="5"/>
      <c r="Q19" s="5"/>
      <c r="R19" s="5"/>
      <c r="S19" s="5"/>
      <c r="T19" s="5"/>
      <c r="U19" s="5"/>
    </row>
    <row r="20" spans="1:21">
      <c r="A20" s="1373" t="s">
        <v>17</v>
      </c>
      <c r="B20" s="1374"/>
      <c r="C20" s="1374"/>
      <c r="D20" s="353" t="s">
        <v>3</v>
      </c>
      <c r="E20" s="353" t="s">
        <v>4</v>
      </c>
      <c r="F20" s="353" t="s">
        <v>25</v>
      </c>
      <c r="G20" s="228" t="s">
        <v>21</v>
      </c>
      <c r="H20" s="27"/>
      <c r="I20" s="34"/>
      <c r="J20" s="34"/>
      <c r="K20" s="35"/>
      <c r="L20" s="39"/>
      <c r="M20" s="7"/>
      <c r="N20" s="7"/>
      <c r="O20" s="8"/>
      <c r="P20" s="5"/>
      <c r="Q20" s="5"/>
      <c r="R20" s="5"/>
      <c r="S20" s="5"/>
      <c r="T20" s="5"/>
      <c r="U20" s="5"/>
    </row>
    <row r="21" spans="1:21">
      <c r="A21" s="1441" t="str">
        <f>MID(I21,25,50)</f>
        <v xml:space="preserve"> Tee 3" x 3" PVC  ó Similar</v>
      </c>
      <c r="B21" s="1442"/>
      <c r="C21" s="1443"/>
      <c r="D21" s="118" t="s">
        <v>119</v>
      </c>
      <c r="E21" s="119">
        <v>1</v>
      </c>
      <c r="F21" s="87">
        <f>153109*IPC</f>
        <v>157978</v>
      </c>
      <c r="G21" s="231">
        <f>ROUND(F21*E21,0)</f>
        <v>157978</v>
      </c>
      <c r="H21" s="9"/>
      <c r="I21" s="34" t="str">
        <f>B6</f>
        <v>Suministro e instalación Tee 3" x 3" PVC  ó Similar</v>
      </c>
      <c r="J21" s="34"/>
      <c r="K21" s="35"/>
      <c r="L21" s="36"/>
      <c r="M21" s="7"/>
      <c r="N21" s="7"/>
      <c r="O21" s="19"/>
      <c r="P21" s="5"/>
      <c r="Q21" s="5"/>
      <c r="R21" s="5"/>
      <c r="S21" s="5"/>
      <c r="T21" s="5"/>
      <c r="U21" s="5"/>
    </row>
    <row r="22" spans="1:21">
      <c r="A22" s="1444"/>
      <c r="B22" s="1403"/>
      <c r="C22" s="1404"/>
      <c r="D22" s="116"/>
      <c r="E22" s="117"/>
      <c r="F22" s="91"/>
      <c r="G22" s="231"/>
      <c r="H22" s="9"/>
      <c r="I22" s="10"/>
      <c r="J22" s="10"/>
      <c r="K22" s="12"/>
      <c r="L22" s="39"/>
      <c r="M22" s="7"/>
      <c r="N22" s="7"/>
      <c r="O22" s="15"/>
      <c r="P22" s="5"/>
      <c r="Q22" s="5"/>
      <c r="R22" s="5"/>
      <c r="S22" s="5"/>
      <c r="T22" s="5"/>
      <c r="U22" s="5"/>
    </row>
    <row r="23" spans="1:21">
      <c r="A23" s="1386"/>
      <c r="B23" s="1353"/>
      <c r="C23" s="1353"/>
      <c r="D23" s="79"/>
      <c r="E23" s="82"/>
      <c r="F23" s="83"/>
      <c r="G23" s="67"/>
      <c r="H23" s="9"/>
      <c r="I23" s="10"/>
      <c r="J23" s="10"/>
      <c r="K23" s="12"/>
      <c r="L23" s="39"/>
      <c r="M23" s="7"/>
      <c r="N23" s="7"/>
      <c r="O23" s="15"/>
      <c r="P23" s="5"/>
      <c r="Q23" s="5"/>
      <c r="R23" s="5"/>
      <c r="S23" s="5"/>
      <c r="T23" s="5"/>
      <c r="U23" s="5"/>
    </row>
    <row r="24" spans="1:21">
      <c r="A24" s="1352"/>
      <c r="B24" s="1353"/>
      <c r="C24" s="1353"/>
      <c r="D24" s="81"/>
      <c r="E24" s="88"/>
      <c r="F24" s="78"/>
      <c r="G24" s="231"/>
      <c r="H24" s="9"/>
      <c r="I24" s="10"/>
      <c r="J24" s="40"/>
      <c r="K24" s="12"/>
      <c r="L24" s="13"/>
      <c r="M24" s="14"/>
      <c r="N24" s="14"/>
      <c r="O24" s="15"/>
      <c r="P24" s="5"/>
      <c r="Q24" s="5"/>
      <c r="R24" s="5"/>
      <c r="S24" s="5"/>
      <c r="T24" s="5"/>
      <c r="U24" s="5"/>
    </row>
    <row r="25" spans="1:21">
      <c r="A25" s="1352"/>
      <c r="B25" s="1353"/>
      <c r="C25" s="1353"/>
      <c r="D25" s="81"/>
      <c r="E25" s="82"/>
      <c r="F25" s="78"/>
      <c r="G25" s="231"/>
      <c r="H25" s="9"/>
      <c r="I25" s="10"/>
      <c r="J25" s="11"/>
      <c r="K25" s="12"/>
      <c r="L25" s="13"/>
      <c r="M25" s="14"/>
      <c r="N25" s="14"/>
      <c r="O25" s="15"/>
      <c r="P25" s="5"/>
      <c r="Q25" s="5"/>
      <c r="R25" s="5"/>
      <c r="S25" s="5"/>
      <c r="T25" s="5"/>
      <c r="U25" s="5"/>
    </row>
    <row r="26" spans="1:21">
      <c r="A26" s="1352"/>
      <c r="B26" s="1353"/>
      <c r="C26" s="1353"/>
      <c r="D26" s="79"/>
      <c r="E26" s="82"/>
      <c r="F26" s="78"/>
      <c r="G26" s="231"/>
      <c r="H26" s="9"/>
      <c r="I26" s="10"/>
      <c r="J26" s="11"/>
      <c r="K26" s="12"/>
      <c r="L26" s="13"/>
      <c r="M26" s="14"/>
      <c r="N26" s="14"/>
      <c r="O26" s="15"/>
      <c r="P26" s="5"/>
      <c r="Q26" s="5"/>
      <c r="R26" s="5"/>
      <c r="S26" s="5"/>
      <c r="T26" s="5"/>
      <c r="U26" s="5"/>
    </row>
    <row r="27" spans="1:21">
      <c r="A27" s="1352"/>
      <c r="B27" s="1353"/>
      <c r="C27" s="1353"/>
      <c r="D27" s="79"/>
      <c r="E27" s="82"/>
      <c r="F27" s="78"/>
      <c r="G27" s="231"/>
      <c r="H27" s="9"/>
      <c r="I27" s="10"/>
      <c r="J27" s="11"/>
      <c r="K27" s="12"/>
      <c r="L27" s="13"/>
      <c r="M27" s="14"/>
      <c r="N27" s="14"/>
      <c r="O27" s="15"/>
      <c r="P27" s="5"/>
      <c r="Q27" s="5"/>
      <c r="R27" s="5"/>
      <c r="S27" s="5"/>
      <c r="T27" s="5"/>
      <c r="U27" s="5"/>
    </row>
    <row r="28" spans="1:21">
      <c r="A28" s="1352"/>
      <c r="B28" s="1353"/>
      <c r="C28" s="1353"/>
      <c r="D28" s="79"/>
      <c r="E28" s="82"/>
      <c r="F28" s="83"/>
      <c r="G28" s="231"/>
      <c r="H28" s="9"/>
      <c r="I28" s="41"/>
      <c r="J28" s="41"/>
      <c r="K28" s="12"/>
      <c r="L28" s="13"/>
      <c r="M28" s="14"/>
      <c r="N28" s="14"/>
      <c r="O28" s="15"/>
      <c r="P28" s="5"/>
      <c r="Q28" s="5"/>
      <c r="R28" s="5"/>
      <c r="S28" s="5"/>
      <c r="T28" s="5"/>
      <c r="U28" s="5"/>
    </row>
    <row r="29" spans="1:21">
      <c r="A29" s="1352"/>
      <c r="B29" s="1353"/>
      <c r="C29" s="1353"/>
      <c r="D29" s="84"/>
      <c r="E29" s="84"/>
      <c r="F29" s="83"/>
      <c r="G29" s="231"/>
      <c r="H29" s="9"/>
      <c r="I29" s="42"/>
      <c r="J29" s="42"/>
      <c r="K29" s="42"/>
      <c r="L29" s="13"/>
      <c r="M29" s="14"/>
      <c r="N29" s="14"/>
      <c r="O29" s="15"/>
      <c r="P29" s="5"/>
      <c r="Q29" s="5"/>
      <c r="R29" s="5"/>
      <c r="S29" s="5"/>
      <c r="T29" s="5"/>
      <c r="U29" s="5"/>
    </row>
    <row r="30" spans="1:21">
      <c r="A30" s="1352"/>
      <c r="B30" s="1353"/>
      <c r="C30" s="1353"/>
      <c r="D30" s="85" t="s">
        <v>28</v>
      </c>
      <c r="E30" s="50"/>
      <c r="F30" s="49"/>
      <c r="G30" s="230">
        <f>SUM(G21:G29)</f>
        <v>157978</v>
      </c>
      <c r="H30" s="9"/>
      <c r="I30" s="8"/>
      <c r="J30" s="13"/>
      <c r="K30" s="8"/>
      <c r="L30" s="13"/>
      <c r="M30" s="14"/>
      <c r="N30" s="14"/>
      <c r="O30" s="15"/>
      <c r="P30" s="5"/>
    </row>
    <row r="31" spans="1:21" ht="3.75" customHeight="1">
      <c r="A31" s="226"/>
      <c r="B31" s="4"/>
      <c r="C31" s="6"/>
      <c r="D31" s="4"/>
      <c r="E31" s="4"/>
      <c r="F31" s="4"/>
      <c r="G31" s="227"/>
      <c r="H31" s="9"/>
      <c r="I31" s="8"/>
      <c r="J31" s="13"/>
      <c r="K31" s="18"/>
      <c r="L31" s="13"/>
      <c r="M31" s="33"/>
      <c r="N31" s="33"/>
      <c r="O31" s="15"/>
      <c r="P31" s="5"/>
    </row>
    <row r="32" spans="1:21" ht="22.5" customHeight="1">
      <c r="A32" s="1354" t="s">
        <v>71</v>
      </c>
      <c r="B32" s="1355"/>
      <c r="C32" s="1355"/>
      <c r="D32" s="1355"/>
      <c r="E32" s="1355"/>
      <c r="F32" s="1355"/>
      <c r="G32" s="1356"/>
      <c r="H32" s="9"/>
    </row>
    <row r="33" spans="1:16" ht="3.75" customHeight="1">
      <c r="A33" s="226"/>
      <c r="B33" s="4"/>
      <c r="C33" s="6"/>
      <c r="D33" s="4"/>
      <c r="E33" s="4"/>
      <c r="F33" s="4"/>
      <c r="G33" s="227"/>
      <c r="H33" s="9"/>
      <c r="I33" s="8"/>
      <c r="J33" s="13"/>
      <c r="K33" s="8"/>
      <c r="L33" s="8"/>
      <c r="M33" s="8"/>
      <c r="N33" s="8"/>
      <c r="O33" s="15"/>
      <c r="P33" s="5"/>
    </row>
    <row r="34" spans="1:16">
      <c r="A34" s="232" t="s">
        <v>5</v>
      </c>
      <c r="B34" s="60" t="s">
        <v>29</v>
      </c>
      <c r="C34" s="60" t="s">
        <v>30</v>
      </c>
      <c r="D34" s="60" t="s">
        <v>31</v>
      </c>
      <c r="E34" s="60" t="s">
        <v>32</v>
      </c>
      <c r="F34" s="60" t="s">
        <v>20</v>
      </c>
      <c r="G34" s="228" t="s">
        <v>33</v>
      </c>
      <c r="H34" s="27"/>
      <c r="I34" s="8"/>
      <c r="J34" s="13"/>
      <c r="K34" s="8"/>
      <c r="L34" s="8"/>
      <c r="M34" s="8"/>
      <c r="N34" s="8"/>
      <c r="O34" s="15"/>
      <c r="P34" s="5"/>
    </row>
    <row r="35" spans="1:16">
      <c r="A35" s="233" t="s">
        <v>41</v>
      </c>
      <c r="B35" s="63">
        <f>BOF</f>
        <v>51749</v>
      </c>
      <c r="C35" s="68">
        <f>ffpp</f>
        <v>0.64539999999999997</v>
      </c>
      <c r="D35" s="72">
        <v>1</v>
      </c>
      <c r="E35" s="66">
        <f>OF</f>
        <v>88696</v>
      </c>
      <c r="F35" s="65">
        <v>20</v>
      </c>
      <c r="G35" s="231">
        <f>ROUND(+D35*E35/F35,0)</f>
        <v>4435</v>
      </c>
      <c r="H35" s="9"/>
      <c r="I35" s="16"/>
      <c r="J35" s="13"/>
      <c r="K35" s="8"/>
      <c r="L35" s="8"/>
      <c r="M35" s="8"/>
      <c r="N35" s="8"/>
      <c r="O35" s="15"/>
      <c r="P35" s="5"/>
    </row>
    <row r="36" spans="1:16">
      <c r="A36" s="233" t="s">
        <v>38</v>
      </c>
      <c r="B36" s="63">
        <f>BOB</f>
        <v>41749</v>
      </c>
      <c r="C36" s="68">
        <f>ffpp</f>
        <v>0.64539999999999997</v>
      </c>
      <c r="D36" s="72">
        <v>3</v>
      </c>
      <c r="E36" s="66">
        <f>OB</f>
        <v>72242</v>
      </c>
      <c r="F36" s="65">
        <f>F35</f>
        <v>20</v>
      </c>
      <c r="G36" s="231">
        <f>ROUND(+D36*E36/F36,0)</f>
        <v>10836</v>
      </c>
      <c r="H36" s="9"/>
      <c r="I36" s="8"/>
      <c r="J36" s="8"/>
      <c r="K36" s="13"/>
      <c r="L36" s="13"/>
      <c r="M36" s="13"/>
      <c r="N36" s="13"/>
      <c r="O36" s="13"/>
      <c r="P36" s="5"/>
    </row>
    <row r="37" spans="1:16">
      <c r="A37" s="234"/>
      <c r="B37" s="50"/>
      <c r="C37" s="961"/>
      <c r="D37" s="50"/>
      <c r="E37" s="66"/>
      <c r="F37" s="65"/>
      <c r="G37" s="231"/>
      <c r="H37" s="9"/>
      <c r="I37" s="8"/>
      <c r="J37" s="13"/>
      <c r="K37" s="13"/>
      <c r="L37" s="13"/>
      <c r="M37" s="33"/>
      <c r="N37" s="33"/>
      <c r="O37" s="43"/>
      <c r="P37" s="5"/>
    </row>
    <row r="38" spans="1:16">
      <c r="A38" s="233"/>
      <c r="B38" s="65"/>
      <c r="C38" s="68"/>
      <c r="D38" s="65"/>
      <c r="E38" s="69"/>
      <c r="F38" s="69"/>
      <c r="G38" s="236"/>
      <c r="H38" s="9"/>
      <c r="I38" s="8"/>
      <c r="J38" s="13"/>
      <c r="K38" s="13"/>
      <c r="L38" s="13"/>
      <c r="M38" s="33"/>
      <c r="N38" s="33"/>
      <c r="O38" s="43"/>
      <c r="P38" s="5"/>
    </row>
    <row r="39" spans="1:16">
      <c r="A39" s="249"/>
      <c r="B39" s="71"/>
      <c r="C39" s="71"/>
      <c r="D39" s="71" t="s">
        <v>34</v>
      </c>
      <c r="E39" s="71"/>
      <c r="F39" s="71"/>
      <c r="G39" s="250">
        <f>SUM(G35:G38)</f>
        <v>15271</v>
      </c>
      <c r="H39" s="9"/>
      <c r="I39" s="8"/>
      <c r="J39" s="13"/>
      <c r="K39" s="13"/>
      <c r="L39" s="13"/>
      <c r="M39" s="14"/>
      <c r="N39" s="14"/>
      <c r="O39" s="15"/>
      <c r="P39" s="5"/>
    </row>
    <row r="40" spans="1:16">
      <c r="A40" s="226"/>
      <c r="B40" s="4"/>
      <c r="C40" s="6"/>
      <c r="D40" s="4"/>
      <c r="E40" s="4"/>
      <c r="F40" s="4"/>
      <c r="G40" s="227"/>
      <c r="H40" s="9"/>
      <c r="I40" s="8"/>
      <c r="J40" s="13"/>
      <c r="K40" s="13"/>
      <c r="L40" s="13"/>
      <c r="M40" s="14"/>
      <c r="N40" s="14"/>
      <c r="O40" s="19"/>
      <c r="P40" s="5"/>
    </row>
    <row r="41" spans="1:16">
      <c r="A41" s="226"/>
      <c r="B41" s="4"/>
      <c r="C41" s="6"/>
      <c r="D41" s="4"/>
      <c r="E41" s="4"/>
      <c r="F41" s="4"/>
      <c r="G41" s="227"/>
      <c r="H41" s="9"/>
      <c r="I41" s="8"/>
      <c r="J41" s="13"/>
      <c r="K41" s="13"/>
      <c r="L41" s="13"/>
      <c r="M41" s="17"/>
      <c r="N41" s="17"/>
      <c r="O41" s="37"/>
      <c r="P41" s="5"/>
    </row>
    <row r="42" spans="1:16" ht="14.25">
      <c r="A42" s="226"/>
      <c r="B42" s="4"/>
      <c r="C42" s="6"/>
      <c r="D42" s="1357" t="s">
        <v>35</v>
      </c>
      <c r="E42" s="1358"/>
      <c r="F42" s="1359"/>
      <c r="G42" s="239">
        <f>+G39+G30+G16</f>
        <v>174776</v>
      </c>
      <c r="H42" s="9"/>
      <c r="I42" s="48"/>
      <c r="J42" s="20"/>
      <c r="K42" s="8"/>
      <c r="L42" s="8"/>
      <c r="M42" s="8"/>
      <c r="N42" s="8"/>
      <c r="O42" s="8"/>
      <c r="P42" s="5"/>
    </row>
    <row r="43" spans="1:16" ht="14.25">
      <c r="A43" s="240"/>
      <c r="B43" s="57"/>
      <c r="C43" s="58"/>
      <c r="D43" s="99"/>
      <c r="E43" s="99"/>
      <c r="F43" s="99"/>
      <c r="G43" s="251"/>
      <c r="H43" s="9"/>
      <c r="I43" s="48"/>
      <c r="J43" s="20"/>
      <c r="K43" s="8"/>
      <c r="L43" s="8"/>
      <c r="M43" s="8"/>
      <c r="N43" s="8"/>
      <c r="O43" s="8"/>
      <c r="P43" s="5"/>
    </row>
    <row r="44" spans="1:16" ht="14.25">
      <c r="A44" s="374"/>
      <c r="B44" s="375"/>
      <c r="C44" s="375"/>
      <c r="D44" s="99"/>
      <c r="E44" s="99"/>
      <c r="F44" s="99"/>
      <c r="G44" s="251"/>
      <c r="H44" s="9"/>
      <c r="I44" s="48"/>
      <c r="J44" s="20"/>
      <c r="K44" s="8"/>
      <c r="L44" s="8"/>
      <c r="M44" s="8"/>
      <c r="N44" s="8"/>
      <c r="O44" s="8"/>
      <c r="P44" s="5"/>
    </row>
    <row r="45" spans="1:16" ht="14.25">
      <c r="A45" s="373"/>
      <c r="B45" s="376"/>
      <c r="C45" s="376"/>
      <c r="D45" s="99"/>
      <c r="E45" s="99"/>
      <c r="F45" s="99"/>
      <c r="G45" s="251"/>
      <c r="H45" s="9"/>
      <c r="I45" s="48"/>
      <c r="J45" s="20"/>
      <c r="K45" s="8"/>
      <c r="L45" s="8"/>
      <c r="M45" s="8"/>
      <c r="N45" s="8"/>
      <c r="O45" s="8"/>
      <c r="P45" s="5"/>
    </row>
    <row r="46" spans="1:16" ht="14.25">
      <c r="A46" s="373"/>
      <c r="B46" s="376"/>
      <c r="C46" s="376"/>
      <c r="D46" s="44"/>
      <c r="E46" s="45"/>
      <c r="F46" s="45"/>
      <c r="G46" s="251"/>
      <c r="H46" s="9"/>
      <c r="I46" s="8"/>
      <c r="J46" s="13"/>
      <c r="K46" s="8"/>
      <c r="L46" s="8"/>
      <c r="M46" s="8"/>
      <c r="N46" s="8"/>
      <c r="O46" s="8"/>
      <c r="P46" s="5"/>
    </row>
    <row r="47" spans="1:16" ht="15" thickBot="1">
      <c r="A47" s="242"/>
      <c r="B47" s="243"/>
      <c r="C47" s="244"/>
      <c r="D47" s="245"/>
      <c r="E47" s="246"/>
      <c r="F47" s="246"/>
      <c r="G47" s="247"/>
      <c r="H47" s="9"/>
      <c r="I47" s="8"/>
      <c r="J47" s="13"/>
      <c r="K47" s="8"/>
      <c r="L47" s="8"/>
      <c r="M47" s="8"/>
      <c r="N47" s="8"/>
      <c r="O47" s="8"/>
      <c r="P47" s="5"/>
    </row>
    <row r="48" spans="1:16">
      <c r="I48" s="5"/>
      <c r="J48" s="5"/>
      <c r="K48" s="5"/>
      <c r="L48" s="5"/>
      <c r="M48" s="5"/>
      <c r="N48" s="5"/>
      <c r="O48" s="5"/>
      <c r="P48" s="5"/>
    </row>
    <row r="49" spans="9:16">
      <c r="I49" s="5"/>
      <c r="J49" s="5"/>
      <c r="K49" s="5"/>
      <c r="L49" s="5"/>
      <c r="M49" s="5"/>
      <c r="N49" s="5"/>
      <c r="O49" s="5"/>
      <c r="P49" s="5"/>
    </row>
  </sheetData>
  <mergeCells count="26">
    <mergeCell ref="A10:C10"/>
    <mergeCell ref="A1:G1"/>
    <mergeCell ref="A2:G2"/>
    <mergeCell ref="A3:G4"/>
    <mergeCell ref="B6:E6"/>
    <mergeCell ref="A8:G8"/>
    <mergeCell ref="A24:C24"/>
    <mergeCell ref="A11:C11"/>
    <mergeCell ref="A12:C12"/>
    <mergeCell ref="A13:C13"/>
    <mergeCell ref="A14:C14"/>
    <mergeCell ref="A15:C15"/>
    <mergeCell ref="A16:C16"/>
    <mergeCell ref="A18:G18"/>
    <mergeCell ref="A20:C20"/>
    <mergeCell ref="A21:C21"/>
    <mergeCell ref="A22:C22"/>
    <mergeCell ref="A23:C23"/>
    <mergeCell ref="A32:G32"/>
    <mergeCell ref="D42:F42"/>
    <mergeCell ref="A25:C25"/>
    <mergeCell ref="A26:C26"/>
    <mergeCell ref="A27:C27"/>
    <mergeCell ref="A28:C28"/>
    <mergeCell ref="A29:C29"/>
    <mergeCell ref="A30:C30"/>
  </mergeCells>
  <printOptions horizontalCentered="1" verticalCentered="1"/>
  <pageMargins left="0.74803149606299213" right="0.74803149606299213" top="0" bottom="0.98425196850393704" header="0" footer="0"/>
  <pageSetup scale="90" orientation="portrait" r:id="rId1"/>
  <headerFooter alignWithMargins="0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77"/>
  <dimension ref="A1:U49"/>
  <sheetViews>
    <sheetView view="pageBreakPreview" topLeftCell="A4" zoomScaleNormal="100" zoomScaleSheetLayoutView="100" workbookViewId="0">
      <selection activeCell="F22" sqref="F22"/>
    </sheetView>
  </sheetViews>
  <sheetFormatPr baseColWidth="10" defaultColWidth="10.7109375" defaultRowHeight="12.75"/>
  <cols>
    <col min="1" max="1" width="15.85546875" style="3" customWidth="1"/>
    <col min="2" max="2" width="14.85546875" style="3" customWidth="1"/>
    <col min="3" max="3" width="13.28515625" style="3" customWidth="1"/>
    <col min="4" max="4" width="11.42578125" style="3"/>
    <col min="5" max="5" width="13.42578125" style="3" customWidth="1"/>
    <col min="6" max="6" width="12.7109375" style="3" customWidth="1"/>
    <col min="7" max="7" width="14" style="3" customWidth="1"/>
    <col min="8" max="8" width="7.42578125" style="3" customWidth="1"/>
    <col min="9" max="256" width="11.42578125" style="3"/>
    <col min="257" max="257" width="15.85546875" style="3" customWidth="1"/>
    <col min="258" max="258" width="14.85546875" style="3" customWidth="1"/>
    <col min="259" max="259" width="13.28515625" style="3" customWidth="1"/>
    <col min="260" max="260" width="11.42578125" style="3"/>
    <col min="261" max="261" width="13.42578125" style="3" customWidth="1"/>
    <col min="262" max="262" width="12.7109375" style="3" customWidth="1"/>
    <col min="263" max="263" width="14" style="3" customWidth="1"/>
    <col min="264" max="264" width="7.42578125" style="3" customWidth="1"/>
    <col min="265" max="512" width="11.42578125" style="3"/>
    <col min="513" max="513" width="15.85546875" style="3" customWidth="1"/>
    <col min="514" max="514" width="14.85546875" style="3" customWidth="1"/>
    <col min="515" max="515" width="13.28515625" style="3" customWidth="1"/>
    <col min="516" max="516" width="11.42578125" style="3"/>
    <col min="517" max="517" width="13.42578125" style="3" customWidth="1"/>
    <col min="518" max="518" width="12.7109375" style="3" customWidth="1"/>
    <col min="519" max="519" width="14" style="3" customWidth="1"/>
    <col min="520" max="520" width="7.42578125" style="3" customWidth="1"/>
    <col min="521" max="768" width="11.42578125" style="3"/>
    <col min="769" max="769" width="15.85546875" style="3" customWidth="1"/>
    <col min="770" max="770" width="14.85546875" style="3" customWidth="1"/>
    <col min="771" max="771" width="13.28515625" style="3" customWidth="1"/>
    <col min="772" max="772" width="11.42578125" style="3"/>
    <col min="773" max="773" width="13.42578125" style="3" customWidth="1"/>
    <col min="774" max="774" width="12.7109375" style="3" customWidth="1"/>
    <col min="775" max="775" width="14" style="3" customWidth="1"/>
    <col min="776" max="776" width="7.42578125" style="3" customWidth="1"/>
    <col min="777" max="1024" width="11.42578125" style="3"/>
    <col min="1025" max="1025" width="15.85546875" style="3" customWidth="1"/>
    <col min="1026" max="1026" width="14.85546875" style="3" customWidth="1"/>
    <col min="1027" max="1027" width="13.28515625" style="3" customWidth="1"/>
    <col min="1028" max="1028" width="11.42578125" style="3"/>
    <col min="1029" max="1029" width="13.42578125" style="3" customWidth="1"/>
    <col min="1030" max="1030" width="12.7109375" style="3" customWidth="1"/>
    <col min="1031" max="1031" width="14" style="3" customWidth="1"/>
    <col min="1032" max="1032" width="7.42578125" style="3" customWidth="1"/>
    <col min="1033" max="1280" width="11.42578125" style="3"/>
    <col min="1281" max="1281" width="15.85546875" style="3" customWidth="1"/>
    <col min="1282" max="1282" width="14.85546875" style="3" customWidth="1"/>
    <col min="1283" max="1283" width="13.28515625" style="3" customWidth="1"/>
    <col min="1284" max="1284" width="11.42578125" style="3"/>
    <col min="1285" max="1285" width="13.42578125" style="3" customWidth="1"/>
    <col min="1286" max="1286" width="12.7109375" style="3" customWidth="1"/>
    <col min="1287" max="1287" width="14" style="3" customWidth="1"/>
    <col min="1288" max="1288" width="7.42578125" style="3" customWidth="1"/>
    <col min="1289" max="1536" width="11.42578125" style="3"/>
    <col min="1537" max="1537" width="15.85546875" style="3" customWidth="1"/>
    <col min="1538" max="1538" width="14.85546875" style="3" customWidth="1"/>
    <col min="1539" max="1539" width="13.28515625" style="3" customWidth="1"/>
    <col min="1540" max="1540" width="11.42578125" style="3"/>
    <col min="1541" max="1541" width="13.42578125" style="3" customWidth="1"/>
    <col min="1542" max="1542" width="12.7109375" style="3" customWidth="1"/>
    <col min="1543" max="1543" width="14" style="3" customWidth="1"/>
    <col min="1544" max="1544" width="7.42578125" style="3" customWidth="1"/>
    <col min="1545" max="1792" width="11.42578125" style="3"/>
    <col min="1793" max="1793" width="15.85546875" style="3" customWidth="1"/>
    <col min="1794" max="1794" width="14.85546875" style="3" customWidth="1"/>
    <col min="1795" max="1795" width="13.28515625" style="3" customWidth="1"/>
    <col min="1796" max="1796" width="11.42578125" style="3"/>
    <col min="1797" max="1797" width="13.42578125" style="3" customWidth="1"/>
    <col min="1798" max="1798" width="12.7109375" style="3" customWidth="1"/>
    <col min="1799" max="1799" width="14" style="3" customWidth="1"/>
    <col min="1800" max="1800" width="7.42578125" style="3" customWidth="1"/>
    <col min="1801" max="2048" width="11.42578125" style="3"/>
    <col min="2049" max="2049" width="15.85546875" style="3" customWidth="1"/>
    <col min="2050" max="2050" width="14.85546875" style="3" customWidth="1"/>
    <col min="2051" max="2051" width="13.28515625" style="3" customWidth="1"/>
    <col min="2052" max="2052" width="11.42578125" style="3"/>
    <col min="2053" max="2053" width="13.42578125" style="3" customWidth="1"/>
    <col min="2054" max="2054" width="12.7109375" style="3" customWidth="1"/>
    <col min="2055" max="2055" width="14" style="3" customWidth="1"/>
    <col min="2056" max="2056" width="7.42578125" style="3" customWidth="1"/>
    <col min="2057" max="2304" width="11.42578125" style="3"/>
    <col min="2305" max="2305" width="15.85546875" style="3" customWidth="1"/>
    <col min="2306" max="2306" width="14.85546875" style="3" customWidth="1"/>
    <col min="2307" max="2307" width="13.28515625" style="3" customWidth="1"/>
    <col min="2308" max="2308" width="11.42578125" style="3"/>
    <col min="2309" max="2309" width="13.42578125" style="3" customWidth="1"/>
    <col min="2310" max="2310" width="12.7109375" style="3" customWidth="1"/>
    <col min="2311" max="2311" width="14" style="3" customWidth="1"/>
    <col min="2312" max="2312" width="7.42578125" style="3" customWidth="1"/>
    <col min="2313" max="2560" width="11.42578125" style="3"/>
    <col min="2561" max="2561" width="15.85546875" style="3" customWidth="1"/>
    <col min="2562" max="2562" width="14.85546875" style="3" customWidth="1"/>
    <col min="2563" max="2563" width="13.28515625" style="3" customWidth="1"/>
    <col min="2564" max="2564" width="11.42578125" style="3"/>
    <col min="2565" max="2565" width="13.42578125" style="3" customWidth="1"/>
    <col min="2566" max="2566" width="12.7109375" style="3" customWidth="1"/>
    <col min="2567" max="2567" width="14" style="3" customWidth="1"/>
    <col min="2568" max="2568" width="7.42578125" style="3" customWidth="1"/>
    <col min="2569" max="2816" width="11.42578125" style="3"/>
    <col min="2817" max="2817" width="15.85546875" style="3" customWidth="1"/>
    <col min="2818" max="2818" width="14.85546875" style="3" customWidth="1"/>
    <col min="2819" max="2819" width="13.28515625" style="3" customWidth="1"/>
    <col min="2820" max="2820" width="11.42578125" style="3"/>
    <col min="2821" max="2821" width="13.42578125" style="3" customWidth="1"/>
    <col min="2822" max="2822" width="12.7109375" style="3" customWidth="1"/>
    <col min="2823" max="2823" width="14" style="3" customWidth="1"/>
    <col min="2824" max="2824" width="7.42578125" style="3" customWidth="1"/>
    <col min="2825" max="3072" width="11.42578125" style="3"/>
    <col min="3073" max="3073" width="15.85546875" style="3" customWidth="1"/>
    <col min="3074" max="3074" width="14.85546875" style="3" customWidth="1"/>
    <col min="3075" max="3075" width="13.28515625" style="3" customWidth="1"/>
    <col min="3076" max="3076" width="11.42578125" style="3"/>
    <col min="3077" max="3077" width="13.42578125" style="3" customWidth="1"/>
    <col min="3078" max="3078" width="12.7109375" style="3" customWidth="1"/>
    <col min="3079" max="3079" width="14" style="3" customWidth="1"/>
    <col min="3080" max="3080" width="7.42578125" style="3" customWidth="1"/>
    <col min="3081" max="3328" width="11.42578125" style="3"/>
    <col min="3329" max="3329" width="15.85546875" style="3" customWidth="1"/>
    <col min="3330" max="3330" width="14.85546875" style="3" customWidth="1"/>
    <col min="3331" max="3331" width="13.28515625" style="3" customWidth="1"/>
    <col min="3332" max="3332" width="11.42578125" style="3"/>
    <col min="3333" max="3333" width="13.42578125" style="3" customWidth="1"/>
    <col min="3334" max="3334" width="12.7109375" style="3" customWidth="1"/>
    <col min="3335" max="3335" width="14" style="3" customWidth="1"/>
    <col min="3336" max="3336" width="7.42578125" style="3" customWidth="1"/>
    <col min="3337" max="3584" width="11.42578125" style="3"/>
    <col min="3585" max="3585" width="15.85546875" style="3" customWidth="1"/>
    <col min="3586" max="3586" width="14.85546875" style="3" customWidth="1"/>
    <col min="3587" max="3587" width="13.28515625" style="3" customWidth="1"/>
    <col min="3588" max="3588" width="11.42578125" style="3"/>
    <col min="3589" max="3589" width="13.42578125" style="3" customWidth="1"/>
    <col min="3590" max="3590" width="12.7109375" style="3" customWidth="1"/>
    <col min="3591" max="3591" width="14" style="3" customWidth="1"/>
    <col min="3592" max="3592" width="7.42578125" style="3" customWidth="1"/>
    <col min="3593" max="3840" width="11.42578125" style="3"/>
    <col min="3841" max="3841" width="15.85546875" style="3" customWidth="1"/>
    <col min="3842" max="3842" width="14.85546875" style="3" customWidth="1"/>
    <col min="3843" max="3843" width="13.28515625" style="3" customWidth="1"/>
    <col min="3844" max="3844" width="11.42578125" style="3"/>
    <col min="3845" max="3845" width="13.42578125" style="3" customWidth="1"/>
    <col min="3846" max="3846" width="12.7109375" style="3" customWidth="1"/>
    <col min="3847" max="3847" width="14" style="3" customWidth="1"/>
    <col min="3848" max="3848" width="7.42578125" style="3" customWidth="1"/>
    <col min="3849" max="4096" width="11.42578125" style="3"/>
    <col min="4097" max="4097" width="15.85546875" style="3" customWidth="1"/>
    <col min="4098" max="4098" width="14.85546875" style="3" customWidth="1"/>
    <col min="4099" max="4099" width="13.28515625" style="3" customWidth="1"/>
    <col min="4100" max="4100" width="11.42578125" style="3"/>
    <col min="4101" max="4101" width="13.42578125" style="3" customWidth="1"/>
    <col min="4102" max="4102" width="12.7109375" style="3" customWidth="1"/>
    <col min="4103" max="4103" width="14" style="3" customWidth="1"/>
    <col min="4104" max="4104" width="7.42578125" style="3" customWidth="1"/>
    <col min="4105" max="4352" width="11.42578125" style="3"/>
    <col min="4353" max="4353" width="15.85546875" style="3" customWidth="1"/>
    <col min="4354" max="4354" width="14.85546875" style="3" customWidth="1"/>
    <col min="4355" max="4355" width="13.28515625" style="3" customWidth="1"/>
    <col min="4356" max="4356" width="11.42578125" style="3"/>
    <col min="4357" max="4357" width="13.42578125" style="3" customWidth="1"/>
    <col min="4358" max="4358" width="12.7109375" style="3" customWidth="1"/>
    <col min="4359" max="4359" width="14" style="3" customWidth="1"/>
    <col min="4360" max="4360" width="7.42578125" style="3" customWidth="1"/>
    <col min="4361" max="4608" width="11.42578125" style="3"/>
    <col min="4609" max="4609" width="15.85546875" style="3" customWidth="1"/>
    <col min="4610" max="4610" width="14.85546875" style="3" customWidth="1"/>
    <col min="4611" max="4611" width="13.28515625" style="3" customWidth="1"/>
    <col min="4612" max="4612" width="11.42578125" style="3"/>
    <col min="4613" max="4613" width="13.42578125" style="3" customWidth="1"/>
    <col min="4614" max="4614" width="12.7109375" style="3" customWidth="1"/>
    <col min="4615" max="4615" width="14" style="3" customWidth="1"/>
    <col min="4616" max="4616" width="7.42578125" style="3" customWidth="1"/>
    <col min="4617" max="4864" width="11.42578125" style="3"/>
    <col min="4865" max="4865" width="15.85546875" style="3" customWidth="1"/>
    <col min="4866" max="4866" width="14.85546875" style="3" customWidth="1"/>
    <col min="4867" max="4867" width="13.28515625" style="3" customWidth="1"/>
    <col min="4868" max="4868" width="11.42578125" style="3"/>
    <col min="4869" max="4869" width="13.42578125" style="3" customWidth="1"/>
    <col min="4870" max="4870" width="12.7109375" style="3" customWidth="1"/>
    <col min="4871" max="4871" width="14" style="3" customWidth="1"/>
    <col min="4872" max="4872" width="7.42578125" style="3" customWidth="1"/>
    <col min="4873" max="5120" width="11.42578125" style="3"/>
    <col min="5121" max="5121" width="15.85546875" style="3" customWidth="1"/>
    <col min="5122" max="5122" width="14.85546875" style="3" customWidth="1"/>
    <col min="5123" max="5123" width="13.28515625" style="3" customWidth="1"/>
    <col min="5124" max="5124" width="11.42578125" style="3"/>
    <col min="5125" max="5125" width="13.42578125" style="3" customWidth="1"/>
    <col min="5126" max="5126" width="12.7109375" style="3" customWidth="1"/>
    <col min="5127" max="5127" width="14" style="3" customWidth="1"/>
    <col min="5128" max="5128" width="7.42578125" style="3" customWidth="1"/>
    <col min="5129" max="5376" width="11.42578125" style="3"/>
    <col min="5377" max="5377" width="15.85546875" style="3" customWidth="1"/>
    <col min="5378" max="5378" width="14.85546875" style="3" customWidth="1"/>
    <col min="5379" max="5379" width="13.28515625" style="3" customWidth="1"/>
    <col min="5380" max="5380" width="11.42578125" style="3"/>
    <col min="5381" max="5381" width="13.42578125" style="3" customWidth="1"/>
    <col min="5382" max="5382" width="12.7109375" style="3" customWidth="1"/>
    <col min="5383" max="5383" width="14" style="3" customWidth="1"/>
    <col min="5384" max="5384" width="7.42578125" style="3" customWidth="1"/>
    <col min="5385" max="5632" width="11.42578125" style="3"/>
    <col min="5633" max="5633" width="15.85546875" style="3" customWidth="1"/>
    <col min="5634" max="5634" width="14.85546875" style="3" customWidth="1"/>
    <col min="5635" max="5635" width="13.28515625" style="3" customWidth="1"/>
    <col min="5636" max="5636" width="11.42578125" style="3"/>
    <col min="5637" max="5637" width="13.42578125" style="3" customWidth="1"/>
    <col min="5638" max="5638" width="12.7109375" style="3" customWidth="1"/>
    <col min="5639" max="5639" width="14" style="3" customWidth="1"/>
    <col min="5640" max="5640" width="7.42578125" style="3" customWidth="1"/>
    <col min="5641" max="5888" width="11.42578125" style="3"/>
    <col min="5889" max="5889" width="15.85546875" style="3" customWidth="1"/>
    <col min="5890" max="5890" width="14.85546875" style="3" customWidth="1"/>
    <col min="5891" max="5891" width="13.28515625" style="3" customWidth="1"/>
    <col min="5892" max="5892" width="11.42578125" style="3"/>
    <col min="5893" max="5893" width="13.42578125" style="3" customWidth="1"/>
    <col min="5894" max="5894" width="12.7109375" style="3" customWidth="1"/>
    <col min="5895" max="5895" width="14" style="3" customWidth="1"/>
    <col min="5896" max="5896" width="7.42578125" style="3" customWidth="1"/>
    <col min="5897" max="6144" width="11.42578125" style="3"/>
    <col min="6145" max="6145" width="15.85546875" style="3" customWidth="1"/>
    <col min="6146" max="6146" width="14.85546875" style="3" customWidth="1"/>
    <col min="6147" max="6147" width="13.28515625" style="3" customWidth="1"/>
    <col min="6148" max="6148" width="11.42578125" style="3"/>
    <col min="6149" max="6149" width="13.42578125" style="3" customWidth="1"/>
    <col min="6150" max="6150" width="12.7109375" style="3" customWidth="1"/>
    <col min="6151" max="6151" width="14" style="3" customWidth="1"/>
    <col min="6152" max="6152" width="7.42578125" style="3" customWidth="1"/>
    <col min="6153" max="6400" width="11.42578125" style="3"/>
    <col min="6401" max="6401" width="15.85546875" style="3" customWidth="1"/>
    <col min="6402" max="6402" width="14.85546875" style="3" customWidth="1"/>
    <col min="6403" max="6403" width="13.28515625" style="3" customWidth="1"/>
    <col min="6404" max="6404" width="11.42578125" style="3"/>
    <col min="6405" max="6405" width="13.42578125" style="3" customWidth="1"/>
    <col min="6406" max="6406" width="12.7109375" style="3" customWidth="1"/>
    <col min="6407" max="6407" width="14" style="3" customWidth="1"/>
    <col min="6408" max="6408" width="7.42578125" style="3" customWidth="1"/>
    <col min="6409" max="6656" width="11.42578125" style="3"/>
    <col min="6657" max="6657" width="15.85546875" style="3" customWidth="1"/>
    <col min="6658" max="6658" width="14.85546875" style="3" customWidth="1"/>
    <col min="6659" max="6659" width="13.28515625" style="3" customWidth="1"/>
    <col min="6660" max="6660" width="11.42578125" style="3"/>
    <col min="6661" max="6661" width="13.42578125" style="3" customWidth="1"/>
    <col min="6662" max="6662" width="12.7109375" style="3" customWidth="1"/>
    <col min="6663" max="6663" width="14" style="3" customWidth="1"/>
    <col min="6664" max="6664" width="7.42578125" style="3" customWidth="1"/>
    <col min="6665" max="6912" width="11.42578125" style="3"/>
    <col min="6913" max="6913" width="15.85546875" style="3" customWidth="1"/>
    <col min="6914" max="6914" width="14.85546875" style="3" customWidth="1"/>
    <col min="6915" max="6915" width="13.28515625" style="3" customWidth="1"/>
    <col min="6916" max="6916" width="11.42578125" style="3"/>
    <col min="6917" max="6917" width="13.42578125" style="3" customWidth="1"/>
    <col min="6918" max="6918" width="12.7109375" style="3" customWidth="1"/>
    <col min="6919" max="6919" width="14" style="3" customWidth="1"/>
    <col min="6920" max="6920" width="7.42578125" style="3" customWidth="1"/>
    <col min="6921" max="7168" width="11.42578125" style="3"/>
    <col min="7169" max="7169" width="15.85546875" style="3" customWidth="1"/>
    <col min="7170" max="7170" width="14.85546875" style="3" customWidth="1"/>
    <col min="7171" max="7171" width="13.28515625" style="3" customWidth="1"/>
    <col min="7172" max="7172" width="11.42578125" style="3"/>
    <col min="7173" max="7173" width="13.42578125" style="3" customWidth="1"/>
    <col min="7174" max="7174" width="12.7109375" style="3" customWidth="1"/>
    <col min="7175" max="7175" width="14" style="3" customWidth="1"/>
    <col min="7176" max="7176" width="7.42578125" style="3" customWidth="1"/>
    <col min="7177" max="7424" width="11.42578125" style="3"/>
    <col min="7425" max="7425" width="15.85546875" style="3" customWidth="1"/>
    <col min="7426" max="7426" width="14.85546875" style="3" customWidth="1"/>
    <col min="7427" max="7427" width="13.28515625" style="3" customWidth="1"/>
    <col min="7428" max="7428" width="11.42578125" style="3"/>
    <col min="7429" max="7429" width="13.42578125" style="3" customWidth="1"/>
    <col min="7430" max="7430" width="12.7109375" style="3" customWidth="1"/>
    <col min="7431" max="7431" width="14" style="3" customWidth="1"/>
    <col min="7432" max="7432" width="7.42578125" style="3" customWidth="1"/>
    <col min="7433" max="7680" width="11.42578125" style="3"/>
    <col min="7681" max="7681" width="15.85546875" style="3" customWidth="1"/>
    <col min="7682" max="7682" width="14.85546875" style="3" customWidth="1"/>
    <col min="7683" max="7683" width="13.28515625" style="3" customWidth="1"/>
    <col min="7684" max="7684" width="11.42578125" style="3"/>
    <col min="7685" max="7685" width="13.42578125" style="3" customWidth="1"/>
    <col min="7686" max="7686" width="12.7109375" style="3" customWidth="1"/>
    <col min="7687" max="7687" width="14" style="3" customWidth="1"/>
    <col min="7688" max="7688" width="7.42578125" style="3" customWidth="1"/>
    <col min="7689" max="7936" width="11.42578125" style="3"/>
    <col min="7937" max="7937" width="15.85546875" style="3" customWidth="1"/>
    <col min="7938" max="7938" width="14.85546875" style="3" customWidth="1"/>
    <col min="7939" max="7939" width="13.28515625" style="3" customWidth="1"/>
    <col min="7940" max="7940" width="11.42578125" style="3"/>
    <col min="7941" max="7941" width="13.42578125" style="3" customWidth="1"/>
    <col min="7942" max="7942" width="12.7109375" style="3" customWidth="1"/>
    <col min="7943" max="7943" width="14" style="3" customWidth="1"/>
    <col min="7944" max="7944" width="7.42578125" style="3" customWidth="1"/>
    <col min="7945" max="8192" width="11.42578125" style="3"/>
    <col min="8193" max="8193" width="15.85546875" style="3" customWidth="1"/>
    <col min="8194" max="8194" width="14.85546875" style="3" customWidth="1"/>
    <col min="8195" max="8195" width="13.28515625" style="3" customWidth="1"/>
    <col min="8196" max="8196" width="11.42578125" style="3"/>
    <col min="8197" max="8197" width="13.42578125" style="3" customWidth="1"/>
    <col min="8198" max="8198" width="12.7109375" style="3" customWidth="1"/>
    <col min="8199" max="8199" width="14" style="3" customWidth="1"/>
    <col min="8200" max="8200" width="7.42578125" style="3" customWidth="1"/>
    <col min="8201" max="8448" width="11.42578125" style="3"/>
    <col min="8449" max="8449" width="15.85546875" style="3" customWidth="1"/>
    <col min="8450" max="8450" width="14.85546875" style="3" customWidth="1"/>
    <col min="8451" max="8451" width="13.28515625" style="3" customWidth="1"/>
    <col min="8452" max="8452" width="11.42578125" style="3"/>
    <col min="8453" max="8453" width="13.42578125" style="3" customWidth="1"/>
    <col min="8454" max="8454" width="12.7109375" style="3" customWidth="1"/>
    <col min="8455" max="8455" width="14" style="3" customWidth="1"/>
    <col min="8456" max="8456" width="7.42578125" style="3" customWidth="1"/>
    <col min="8457" max="8704" width="11.42578125" style="3"/>
    <col min="8705" max="8705" width="15.85546875" style="3" customWidth="1"/>
    <col min="8706" max="8706" width="14.85546875" style="3" customWidth="1"/>
    <col min="8707" max="8707" width="13.28515625" style="3" customWidth="1"/>
    <col min="8708" max="8708" width="11.42578125" style="3"/>
    <col min="8709" max="8709" width="13.42578125" style="3" customWidth="1"/>
    <col min="8710" max="8710" width="12.7109375" style="3" customWidth="1"/>
    <col min="8711" max="8711" width="14" style="3" customWidth="1"/>
    <col min="8712" max="8712" width="7.42578125" style="3" customWidth="1"/>
    <col min="8713" max="8960" width="11.42578125" style="3"/>
    <col min="8961" max="8961" width="15.85546875" style="3" customWidth="1"/>
    <col min="8962" max="8962" width="14.85546875" style="3" customWidth="1"/>
    <col min="8963" max="8963" width="13.28515625" style="3" customWidth="1"/>
    <col min="8964" max="8964" width="11.42578125" style="3"/>
    <col min="8965" max="8965" width="13.42578125" style="3" customWidth="1"/>
    <col min="8966" max="8966" width="12.7109375" style="3" customWidth="1"/>
    <col min="8967" max="8967" width="14" style="3" customWidth="1"/>
    <col min="8968" max="8968" width="7.42578125" style="3" customWidth="1"/>
    <col min="8969" max="9216" width="11.42578125" style="3"/>
    <col min="9217" max="9217" width="15.85546875" style="3" customWidth="1"/>
    <col min="9218" max="9218" width="14.85546875" style="3" customWidth="1"/>
    <col min="9219" max="9219" width="13.28515625" style="3" customWidth="1"/>
    <col min="9220" max="9220" width="11.42578125" style="3"/>
    <col min="9221" max="9221" width="13.42578125" style="3" customWidth="1"/>
    <col min="9222" max="9222" width="12.7109375" style="3" customWidth="1"/>
    <col min="9223" max="9223" width="14" style="3" customWidth="1"/>
    <col min="9224" max="9224" width="7.42578125" style="3" customWidth="1"/>
    <col min="9225" max="9472" width="11.42578125" style="3"/>
    <col min="9473" max="9473" width="15.85546875" style="3" customWidth="1"/>
    <col min="9474" max="9474" width="14.85546875" style="3" customWidth="1"/>
    <col min="9475" max="9475" width="13.28515625" style="3" customWidth="1"/>
    <col min="9476" max="9476" width="11.42578125" style="3"/>
    <col min="9477" max="9477" width="13.42578125" style="3" customWidth="1"/>
    <col min="9478" max="9478" width="12.7109375" style="3" customWidth="1"/>
    <col min="9479" max="9479" width="14" style="3" customWidth="1"/>
    <col min="9480" max="9480" width="7.42578125" style="3" customWidth="1"/>
    <col min="9481" max="9728" width="11.42578125" style="3"/>
    <col min="9729" max="9729" width="15.85546875" style="3" customWidth="1"/>
    <col min="9730" max="9730" width="14.85546875" style="3" customWidth="1"/>
    <col min="9731" max="9731" width="13.28515625" style="3" customWidth="1"/>
    <col min="9732" max="9732" width="11.42578125" style="3"/>
    <col min="9733" max="9733" width="13.42578125" style="3" customWidth="1"/>
    <col min="9734" max="9734" width="12.7109375" style="3" customWidth="1"/>
    <col min="9735" max="9735" width="14" style="3" customWidth="1"/>
    <col min="9736" max="9736" width="7.42578125" style="3" customWidth="1"/>
    <col min="9737" max="9984" width="11.42578125" style="3"/>
    <col min="9985" max="9985" width="15.85546875" style="3" customWidth="1"/>
    <col min="9986" max="9986" width="14.85546875" style="3" customWidth="1"/>
    <col min="9987" max="9987" width="13.28515625" style="3" customWidth="1"/>
    <col min="9988" max="9988" width="11.42578125" style="3"/>
    <col min="9989" max="9989" width="13.42578125" style="3" customWidth="1"/>
    <col min="9990" max="9990" width="12.7109375" style="3" customWidth="1"/>
    <col min="9991" max="9991" width="14" style="3" customWidth="1"/>
    <col min="9992" max="9992" width="7.42578125" style="3" customWidth="1"/>
    <col min="9993" max="10240" width="11.42578125" style="3"/>
    <col min="10241" max="10241" width="15.85546875" style="3" customWidth="1"/>
    <col min="10242" max="10242" width="14.85546875" style="3" customWidth="1"/>
    <col min="10243" max="10243" width="13.28515625" style="3" customWidth="1"/>
    <col min="10244" max="10244" width="11.42578125" style="3"/>
    <col min="10245" max="10245" width="13.42578125" style="3" customWidth="1"/>
    <col min="10246" max="10246" width="12.7109375" style="3" customWidth="1"/>
    <col min="10247" max="10247" width="14" style="3" customWidth="1"/>
    <col min="10248" max="10248" width="7.42578125" style="3" customWidth="1"/>
    <col min="10249" max="10496" width="11.42578125" style="3"/>
    <col min="10497" max="10497" width="15.85546875" style="3" customWidth="1"/>
    <col min="10498" max="10498" width="14.85546875" style="3" customWidth="1"/>
    <col min="10499" max="10499" width="13.28515625" style="3" customWidth="1"/>
    <col min="10500" max="10500" width="11.42578125" style="3"/>
    <col min="10501" max="10501" width="13.42578125" style="3" customWidth="1"/>
    <col min="10502" max="10502" width="12.7109375" style="3" customWidth="1"/>
    <col min="10503" max="10503" width="14" style="3" customWidth="1"/>
    <col min="10504" max="10504" width="7.42578125" style="3" customWidth="1"/>
    <col min="10505" max="10752" width="11.42578125" style="3"/>
    <col min="10753" max="10753" width="15.85546875" style="3" customWidth="1"/>
    <col min="10754" max="10754" width="14.85546875" style="3" customWidth="1"/>
    <col min="10755" max="10755" width="13.28515625" style="3" customWidth="1"/>
    <col min="10756" max="10756" width="11.42578125" style="3"/>
    <col min="10757" max="10757" width="13.42578125" style="3" customWidth="1"/>
    <col min="10758" max="10758" width="12.7109375" style="3" customWidth="1"/>
    <col min="10759" max="10759" width="14" style="3" customWidth="1"/>
    <col min="10760" max="10760" width="7.42578125" style="3" customWidth="1"/>
    <col min="10761" max="11008" width="11.42578125" style="3"/>
    <col min="11009" max="11009" width="15.85546875" style="3" customWidth="1"/>
    <col min="11010" max="11010" width="14.85546875" style="3" customWidth="1"/>
    <col min="11011" max="11011" width="13.28515625" style="3" customWidth="1"/>
    <col min="11012" max="11012" width="11.42578125" style="3"/>
    <col min="11013" max="11013" width="13.42578125" style="3" customWidth="1"/>
    <col min="11014" max="11014" width="12.7109375" style="3" customWidth="1"/>
    <col min="11015" max="11015" width="14" style="3" customWidth="1"/>
    <col min="11016" max="11016" width="7.42578125" style="3" customWidth="1"/>
    <col min="11017" max="11264" width="11.42578125" style="3"/>
    <col min="11265" max="11265" width="15.85546875" style="3" customWidth="1"/>
    <col min="11266" max="11266" width="14.85546875" style="3" customWidth="1"/>
    <col min="11267" max="11267" width="13.28515625" style="3" customWidth="1"/>
    <col min="11268" max="11268" width="11.42578125" style="3"/>
    <col min="11269" max="11269" width="13.42578125" style="3" customWidth="1"/>
    <col min="11270" max="11270" width="12.7109375" style="3" customWidth="1"/>
    <col min="11271" max="11271" width="14" style="3" customWidth="1"/>
    <col min="11272" max="11272" width="7.42578125" style="3" customWidth="1"/>
    <col min="11273" max="11520" width="11.42578125" style="3"/>
    <col min="11521" max="11521" width="15.85546875" style="3" customWidth="1"/>
    <col min="11522" max="11522" width="14.85546875" style="3" customWidth="1"/>
    <col min="11523" max="11523" width="13.28515625" style="3" customWidth="1"/>
    <col min="11524" max="11524" width="11.42578125" style="3"/>
    <col min="11525" max="11525" width="13.42578125" style="3" customWidth="1"/>
    <col min="11526" max="11526" width="12.7109375" style="3" customWidth="1"/>
    <col min="11527" max="11527" width="14" style="3" customWidth="1"/>
    <col min="11528" max="11528" width="7.42578125" style="3" customWidth="1"/>
    <col min="11529" max="11776" width="11.42578125" style="3"/>
    <col min="11777" max="11777" width="15.85546875" style="3" customWidth="1"/>
    <col min="11778" max="11778" width="14.85546875" style="3" customWidth="1"/>
    <col min="11779" max="11779" width="13.28515625" style="3" customWidth="1"/>
    <col min="11780" max="11780" width="11.42578125" style="3"/>
    <col min="11781" max="11781" width="13.42578125" style="3" customWidth="1"/>
    <col min="11782" max="11782" width="12.7109375" style="3" customWidth="1"/>
    <col min="11783" max="11783" width="14" style="3" customWidth="1"/>
    <col min="11784" max="11784" width="7.42578125" style="3" customWidth="1"/>
    <col min="11785" max="12032" width="11.42578125" style="3"/>
    <col min="12033" max="12033" width="15.85546875" style="3" customWidth="1"/>
    <col min="12034" max="12034" width="14.85546875" style="3" customWidth="1"/>
    <col min="12035" max="12035" width="13.28515625" style="3" customWidth="1"/>
    <col min="12036" max="12036" width="11.42578125" style="3"/>
    <col min="12037" max="12037" width="13.42578125" style="3" customWidth="1"/>
    <col min="12038" max="12038" width="12.7109375" style="3" customWidth="1"/>
    <col min="12039" max="12039" width="14" style="3" customWidth="1"/>
    <col min="12040" max="12040" width="7.42578125" style="3" customWidth="1"/>
    <col min="12041" max="12288" width="11.42578125" style="3"/>
    <col min="12289" max="12289" width="15.85546875" style="3" customWidth="1"/>
    <col min="12290" max="12290" width="14.85546875" style="3" customWidth="1"/>
    <col min="12291" max="12291" width="13.28515625" style="3" customWidth="1"/>
    <col min="12292" max="12292" width="11.42578125" style="3"/>
    <col min="12293" max="12293" width="13.42578125" style="3" customWidth="1"/>
    <col min="12294" max="12294" width="12.7109375" style="3" customWidth="1"/>
    <col min="12295" max="12295" width="14" style="3" customWidth="1"/>
    <col min="12296" max="12296" width="7.42578125" style="3" customWidth="1"/>
    <col min="12297" max="12544" width="11.42578125" style="3"/>
    <col min="12545" max="12545" width="15.85546875" style="3" customWidth="1"/>
    <col min="12546" max="12546" width="14.85546875" style="3" customWidth="1"/>
    <col min="12547" max="12547" width="13.28515625" style="3" customWidth="1"/>
    <col min="12548" max="12548" width="11.42578125" style="3"/>
    <col min="12549" max="12549" width="13.42578125" style="3" customWidth="1"/>
    <col min="12550" max="12550" width="12.7109375" style="3" customWidth="1"/>
    <col min="12551" max="12551" width="14" style="3" customWidth="1"/>
    <col min="12552" max="12552" width="7.42578125" style="3" customWidth="1"/>
    <col min="12553" max="12800" width="11.42578125" style="3"/>
    <col min="12801" max="12801" width="15.85546875" style="3" customWidth="1"/>
    <col min="12802" max="12802" width="14.85546875" style="3" customWidth="1"/>
    <col min="12803" max="12803" width="13.28515625" style="3" customWidth="1"/>
    <col min="12804" max="12804" width="11.42578125" style="3"/>
    <col min="12805" max="12805" width="13.42578125" style="3" customWidth="1"/>
    <col min="12806" max="12806" width="12.7109375" style="3" customWidth="1"/>
    <col min="12807" max="12807" width="14" style="3" customWidth="1"/>
    <col min="12808" max="12808" width="7.42578125" style="3" customWidth="1"/>
    <col min="12809" max="13056" width="11.42578125" style="3"/>
    <col min="13057" max="13057" width="15.85546875" style="3" customWidth="1"/>
    <col min="13058" max="13058" width="14.85546875" style="3" customWidth="1"/>
    <col min="13059" max="13059" width="13.28515625" style="3" customWidth="1"/>
    <col min="13060" max="13060" width="11.42578125" style="3"/>
    <col min="13061" max="13061" width="13.42578125" style="3" customWidth="1"/>
    <col min="13062" max="13062" width="12.7109375" style="3" customWidth="1"/>
    <col min="13063" max="13063" width="14" style="3" customWidth="1"/>
    <col min="13064" max="13064" width="7.42578125" style="3" customWidth="1"/>
    <col min="13065" max="13312" width="11.42578125" style="3"/>
    <col min="13313" max="13313" width="15.85546875" style="3" customWidth="1"/>
    <col min="13314" max="13314" width="14.85546875" style="3" customWidth="1"/>
    <col min="13315" max="13315" width="13.28515625" style="3" customWidth="1"/>
    <col min="13316" max="13316" width="11.42578125" style="3"/>
    <col min="13317" max="13317" width="13.42578125" style="3" customWidth="1"/>
    <col min="13318" max="13318" width="12.7109375" style="3" customWidth="1"/>
    <col min="13319" max="13319" width="14" style="3" customWidth="1"/>
    <col min="13320" max="13320" width="7.42578125" style="3" customWidth="1"/>
    <col min="13321" max="13568" width="11.42578125" style="3"/>
    <col min="13569" max="13569" width="15.85546875" style="3" customWidth="1"/>
    <col min="13570" max="13570" width="14.85546875" style="3" customWidth="1"/>
    <col min="13571" max="13571" width="13.28515625" style="3" customWidth="1"/>
    <col min="13572" max="13572" width="11.42578125" style="3"/>
    <col min="13573" max="13573" width="13.42578125" style="3" customWidth="1"/>
    <col min="13574" max="13574" width="12.7109375" style="3" customWidth="1"/>
    <col min="13575" max="13575" width="14" style="3" customWidth="1"/>
    <col min="13576" max="13576" width="7.42578125" style="3" customWidth="1"/>
    <col min="13577" max="13824" width="11.42578125" style="3"/>
    <col min="13825" max="13825" width="15.85546875" style="3" customWidth="1"/>
    <col min="13826" max="13826" width="14.85546875" style="3" customWidth="1"/>
    <col min="13827" max="13827" width="13.28515625" style="3" customWidth="1"/>
    <col min="13828" max="13828" width="11.42578125" style="3"/>
    <col min="13829" max="13829" width="13.42578125" style="3" customWidth="1"/>
    <col min="13830" max="13830" width="12.7109375" style="3" customWidth="1"/>
    <col min="13831" max="13831" width="14" style="3" customWidth="1"/>
    <col min="13832" max="13832" width="7.42578125" style="3" customWidth="1"/>
    <col min="13833" max="14080" width="11.42578125" style="3"/>
    <col min="14081" max="14081" width="15.85546875" style="3" customWidth="1"/>
    <col min="14082" max="14082" width="14.85546875" style="3" customWidth="1"/>
    <col min="14083" max="14083" width="13.28515625" style="3" customWidth="1"/>
    <col min="14084" max="14084" width="11.42578125" style="3"/>
    <col min="14085" max="14085" width="13.42578125" style="3" customWidth="1"/>
    <col min="14086" max="14086" width="12.7109375" style="3" customWidth="1"/>
    <col min="14087" max="14087" width="14" style="3" customWidth="1"/>
    <col min="14088" max="14088" width="7.42578125" style="3" customWidth="1"/>
    <col min="14089" max="14336" width="11.42578125" style="3"/>
    <col min="14337" max="14337" width="15.85546875" style="3" customWidth="1"/>
    <col min="14338" max="14338" width="14.85546875" style="3" customWidth="1"/>
    <col min="14339" max="14339" width="13.28515625" style="3" customWidth="1"/>
    <col min="14340" max="14340" width="11.42578125" style="3"/>
    <col min="14341" max="14341" width="13.42578125" style="3" customWidth="1"/>
    <col min="14342" max="14342" width="12.7109375" style="3" customWidth="1"/>
    <col min="14343" max="14343" width="14" style="3" customWidth="1"/>
    <col min="14344" max="14344" width="7.42578125" style="3" customWidth="1"/>
    <col min="14345" max="14592" width="11.42578125" style="3"/>
    <col min="14593" max="14593" width="15.85546875" style="3" customWidth="1"/>
    <col min="14594" max="14594" width="14.85546875" style="3" customWidth="1"/>
    <col min="14595" max="14595" width="13.28515625" style="3" customWidth="1"/>
    <col min="14596" max="14596" width="11.42578125" style="3"/>
    <col min="14597" max="14597" width="13.42578125" style="3" customWidth="1"/>
    <col min="14598" max="14598" width="12.7109375" style="3" customWidth="1"/>
    <col min="14599" max="14599" width="14" style="3" customWidth="1"/>
    <col min="14600" max="14600" width="7.42578125" style="3" customWidth="1"/>
    <col min="14601" max="14848" width="11.42578125" style="3"/>
    <col min="14849" max="14849" width="15.85546875" style="3" customWidth="1"/>
    <col min="14850" max="14850" width="14.85546875" style="3" customWidth="1"/>
    <col min="14851" max="14851" width="13.28515625" style="3" customWidth="1"/>
    <col min="14852" max="14852" width="11.42578125" style="3"/>
    <col min="14853" max="14853" width="13.42578125" style="3" customWidth="1"/>
    <col min="14854" max="14854" width="12.7109375" style="3" customWidth="1"/>
    <col min="14855" max="14855" width="14" style="3" customWidth="1"/>
    <col min="14856" max="14856" width="7.42578125" style="3" customWidth="1"/>
    <col min="14857" max="15104" width="11.42578125" style="3"/>
    <col min="15105" max="15105" width="15.85546875" style="3" customWidth="1"/>
    <col min="15106" max="15106" width="14.85546875" style="3" customWidth="1"/>
    <col min="15107" max="15107" width="13.28515625" style="3" customWidth="1"/>
    <col min="15108" max="15108" width="11.42578125" style="3"/>
    <col min="15109" max="15109" width="13.42578125" style="3" customWidth="1"/>
    <col min="15110" max="15110" width="12.7109375" style="3" customWidth="1"/>
    <col min="15111" max="15111" width="14" style="3" customWidth="1"/>
    <col min="15112" max="15112" width="7.42578125" style="3" customWidth="1"/>
    <col min="15113" max="15360" width="11.42578125" style="3"/>
    <col min="15361" max="15361" width="15.85546875" style="3" customWidth="1"/>
    <col min="15362" max="15362" width="14.85546875" style="3" customWidth="1"/>
    <col min="15363" max="15363" width="13.28515625" style="3" customWidth="1"/>
    <col min="15364" max="15364" width="11.42578125" style="3"/>
    <col min="15365" max="15365" width="13.42578125" style="3" customWidth="1"/>
    <col min="15366" max="15366" width="12.7109375" style="3" customWidth="1"/>
    <col min="15367" max="15367" width="14" style="3" customWidth="1"/>
    <col min="15368" max="15368" width="7.42578125" style="3" customWidth="1"/>
    <col min="15369" max="15616" width="11.42578125" style="3"/>
    <col min="15617" max="15617" width="15.85546875" style="3" customWidth="1"/>
    <col min="15618" max="15618" width="14.85546875" style="3" customWidth="1"/>
    <col min="15619" max="15619" width="13.28515625" style="3" customWidth="1"/>
    <col min="15620" max="15620" width="11.42578125" style="3"/>
    <col min="15621" max="15621" width="13.42578125" style="3" customWidth="1"/>
    <col min="15622" max="15622" width="12.7109375" style="3" customWidth="1"/>
    <col min="15623" max="15623" width="14" style="3" customWidth="1"/>
    <col min="15624" max="15624" width="7.42578125" style="3" customWidth="1"/>
    <col min="15625" max="15872" width="11.42578125" style="3"/>
    <col min="15873" max="15873" width="15.85546875" style="3" customWidth="1"/>
    <col min="15874" max="15874" width="14.85546875" style="3" customWidth="1"/>
    <col min="15875" max="15875" width="13.28515625" style="3" customWidth="1"/>
    <col min="15876" max="15876" width="11.42578125" style="3"/>
    <col min="15877" max="15877" width="13.42578125" style="3" customWidth="1"/>
    <col min="15878" max="15878" width="12.7109375" style="3" customWidth="1"/>
    <col min="15879" max="15879" width="14" style="3" customWidth="1"/>
    <col min="15880" max="15880" width="7.42578125" style="3" customWidth="1"/>
    <col min="15881" max="16128" width="11.42578125" style="3"/>
    <col min="16129" max="16129" width="15.85546875" style="3" customWidth="1"/>
    <col min="16130" max="16130" width="14.85546875" style="3" customWidth="1"/>
    <col min="16131" max="16131" width="13.28515625" style="3" customWidth="1"/>
    <col min="16132" max="16132" width="11.42578125" style="3"/>
    <col min="16133" max="16133" width="13.42578125" style="3" customWidth="1"/>
    <col min="16134" max="16134" width="12.7109375" style="3" customWidth="1"/>
    <col min="16135" max="16135" width="14" style="3" customWidth="1"/>
    <col min="16136" max="16136" width="7.42578125" style="3" customWidth="1"/>
    <col min="16137" max="16384" width="11.42578125" style="3"/>
  </cols>
  <sheetData>
    <row r="1" spans="1:21" ht="20.25">
      <c r="A1" s="1346" t="str">
        <f>PPTO!D3</f>
        <v>PRESUPUESTO
MUNICIPIO EL BAGRE (ANTIOQUIA).</v>
      </c>
      <c r="B1" s="1347"/>
      <c r="C1" s="1347"/>
      <c r="D1" s="1347"/>
      <c r="E1" s="1347"/>
      <c r="F1" s="1347"/>
      <c r="G1" s="1348"/>
      <c r="H1" s="1"/>
      <c r="I1" s="2"/>
    </row>
    <row r="2" spans="1:21" ht="18" customHeight="1">
      <c r="A2" s="1362" t="s">
        <v>16</v>
      </c>
      <c r="B2" s="1363"/>
      <c r="C2" s="1363"/>
      <c r="D2" s="1363"/>
      <c r="E2" s="1363"/>
      <c r="F2" s="1363"/>
      <c r="G2" s="1364"/>
      <c r="H2" s="1"/>
      <c r="I2" s="2"/>
    </row>
    <row r="3" spans="1:21" ht="27" customHeight="1">
      <c r="A3" s="1367" t="str">
        <f>+PPTO!$D$5</f>
        <v>PROYECTO DE MEJORAMIENTO VIAL, ESPACIO PUBLICO Y OBRAS COMPLEMENTARIAS DE LA AVENIDA LA JUVENTUD Y TRAMOS ADYACENTES Y PRIORITARIOS DEL SECTOR URBANO EN EL MUNICIPIO EL BAGRE ANTIOQUIA.</v>
      </c>
      <c r="B3" s="1368"/>
      <c r="C3" s="1368"/>
      <c r="D3" s="1368"/>
      <c r="E3" s="1368"/>
      <c r="F3" s="1368"/>
      <c r="G3" s="1369"/>
      <c r="H3" s="1"/>
      <c r="I3" s="2"/>
    </row>
    <row r="4" spans="1:21" ht="15" customHeight="1">
      <c r="A4" s="1370"/>
      <c r="B4" s="1368"/>
      <c r="C4" s="1368"/>
      <c r="D4" s="1368"/>
      <c r="E4" s="1368"/>
      <c r="F4" s="1368"/>
      <c r="G4" s="1369"/>
      <c r="H4" s="1"/>
      <c r="I4" s="2"/>
    </row>
    <row r="5" spans="1:21" ht="6.75" customHeight="1">
      <c r="A5" s="222"/>
      <c r="B5" s="6"/>
      <c r="C5" s="24"/>
      <c r="D5" s="25"/>
      <c r="E5" s="6"/>
      <c r="F5" s="6"/>
      <c r="G5" s="223"/>
      <c r="H5" s="9"/>
    </row>
    <row r="6" spans="1:21">
      <c r="A6" s="368">
        <v>6.23</v>
      </c>
      <c r="B6" s="1349" t="str">
        <f>VLOOKUP(A6,PPTO!D9:I136,2,FALSE)</f>
        <v>Suministro e instalación Tee 4" x 3" PVC  ó Similar</v>
      </c>
      <c r="C6" s="1350"/>
      <c r="D6" s="1350"/>
      <c r="E6" s="1351"/>
      <c r="F6" s="192" t="s">
        <v>118</v>
      </c>
      <c r="G6" s="248" t="str">
        <f>VLOOKUP(A6,PPTO!D9:I136,3,FALSE)</f>
        <v>und</v>
      </c>
      <c r="H6" s="9"/>
    </row>
    <row r="7" spans="1:21" ht="3.75" customHeight="1">
      <c r="A7" s="226"/>
      <c r="B7" s="4"/>
      <c r="C7" s="6"/>
      <c r="D7" s="4"/>
      <c r="E7" s="4"/>
      <c r="F7" s="4"/>
      <c r="G7" s="227"/>
      <c r="H7" s="9"/>
    </row>
    <row r="8" spans="1:21" ht="22.5" customHeight="1">
      <c r="A8" s="1354" t="s">
        <v>69</v>
      </c>
      <c r="B8" s="1355"/>
      <c r="C8" s="1355"/>
      <c r="D8" s="1355"/>
      <c r="E8" s="1355"/>
      <c r="F8" s="1355"/>
      <c r="G8" s="1356"/>
      <c r="H8" s="9"/>
    </row>
    <row r="9" spans="1:21" ht="4.5" customHeight="1">
      <c r="A9" s="226"/>
      <c r="B9" s="4"/>
      <c r="C9" s="6"/>
      <c r="D9" s="4"/>
      <c r="E9" s="4"/>
      <c r="F9" s="4"/>
      <c r="G9" s="227"/>
      <c r="H9" s="9"/>
      <c r="I9" s="5"/>
      <c r="J9" s="5"/>
      <c r="K9" s="5"/>
      <c r="L9" s="26"/>
      <c r="M9" s="5"/>
      <c r="N9" s="5"/>
      <c r="O9" s="5"/>
      <c r="P9" s="5"/>
    </row>
    <row r="10" spans="1:21">
      <c r="A10" s="1373" t="s">
        <v>17</v>
      </c>
      <c r="B10" s="1374"/>
      <c r="C10" s="1374"/>
      <c r="D10" s="353" t="s">
        <v>18</v>
      </c>
      <c r="E10" s="353" t="s">
        <v>19</v>
      </c>
      <c r="F10" s="353" t="s">
        <v>20</v>
      </c>
      <c r="G10" s="228" t="s">
        <v>21</v>
      </c>
      <c r="H10" s="27"/>
      <c r="I10" s="28"/>
      <c r="J10" s="29"/>
      <c r="K10" s="30"/>
      <c r="L10" s="30"/>
      <c r="M10" s="30"/>
      <c r="N10" s="30"/>
      <c r="O10" s="30"/>
      <c r="P10" s="5"/>
    </row>
    <row r="11" spans="1:21">
      <c r="A11" s="1352" t="s">
        <v>994</v>
      </c>
      <c r="B11" s="1353"/>
      <c r="C11" s="1353"/>
      <c r="D11" s="353"/>
      <c r="E11" s="83"/>
      <c r="F11" s="97"/>
      <c r="G11" s="229">
        <f>+G39*10%</f>
        <v>1527</v>
      </c>
      <c r="H11" s="9"/>
      <c r="I11" s="30"/>
      <c r="J11" s="31"/>
      <c r="K11" s="30"/>
      <c r="L11" s="30"/>
      <c r="M11" s="30"/>
      <c r="N11" s="30"/>
      <c r="O11" s="30"/>
      <c r="P11" s="5"/>
    </row>
    <row r="12" spans="1:21">
      <c r="A12" s="1371"/>
      <c r="B12" s="1372"/>
      <c r="C12" s="1372"/>
      <c r="D12" s="83"/>
      <c r="E12" s="83"/>
      <c r="F12" s="93"/>
      <c r="G12" s="229"/>
      <c r="H12" s="9"/>
      <c r="I12" s="16"/>
      <c r="J12" s="13"/>
      <c r="K12" s="8"/>
      <c r="L12" s="8"/>
      <c r="M12" s="8"/>
      <c r="N12" s="8"/>
      <c r="O12" s="8"/>
      <c r="P12" s="5"/>
    </row>
    <row r="13" spans="1:21">
      <c r="A13" s="1371"/>
      <c r="B13" s="1372"/>
      <c r="C13" s="1372"/>
      <c r="D13" s="83"/>
      <c r="E13" s="83"/>
      <c r="F13" s="93"/>
      <c r="G13" s="229"/>
      <c r="H13" s="9"/>
      <c r="I13" s="13"/>
      <c r="J13" s="13"/>
      <c r="K13" s="13"/>
      <c r="L13" s="13"/>
      <c r="M13" s="13"/>
      <c r="N13" s="13"/>
      <c r="O13" s="13"/>
      <c r="P13" s="5"/>
    </row>
    <row r="14" spans="1:21">
      <c r="A14" s="1371"/>
      <c r="B14" s="1372"/>
      <c r="C14" s="1372"/>
      <c r="D14" s="83"/>
      <c r="E14" s="83"/>
      <c r="F14" s="93"/>
      <c r="G14" s="229"/>
      <c r="H14" s="9"/>
      <c r="I14" s="8"/>
      <c r="J14" s="14"/>
      <c r="K14" s="32"/>
      <c r="L14" s="14"/>
      <c r="M14" s="15"/>
      <c r="N14" s="15"/>
      <c r="O14" s="19"/>
      <c r="P14" s="5"/>
    </row>
    <row r="15" spans="1:21">
      <c r="A15" s="1371"/>
      <c r="B15" s="1372"/>
      <c r="C15" s="1372"/>
      <c r="D15" s="83"/>
      <c r="E15" s="83"/>
      <c r="F15" s="98"/>
      <c r="G15" s="229"/>
      <c r="H15" s="9"/>
      <c r="I15" s="8"/>
      <c r="J15" s="33"/>
      <c r="K15" s="32"/>
      <c r="L15" s="14"/>
      <c r="M15" s="15"/>
      <c r="N15" s="15"/>
      <c r="O15" s="19"/>
      <c r="P15" s="5"/>
      <c r="Q15" s="5"/>
      <c r="R15" s="5"/>
      <c r="S15" s="5"/>
      <c r="T15" s="5"/>
      <c r="U15" s="5"/>
    </row>
    <row r="16" spans="1:21">
      <c r="A16" s="1371"/>
      <c r="B16" s="1372"/>
      <c r="C16" s="1372"/>
      <c r="D16" s="85" t="s">
        <v>37</v>
      </c>
      <c r="E16" s="50"/>
      <c r="F16" s="49"/>
      <c r="G16" s="230">
        <f>SUM(G11:G15)</f>
        <v>1527</v>
      </c>
      <c r="H16" s="9"/>
      <c r="I16" s="34"/>
      <c r="J16" s="34"/>
      <c r="K16" s="35"/>
      <c r="L16" s="36"/>
      <c r="M16" s="7"/>
      <c r="N16" s="7"/>
      <c r="O16" s="19"/>
      <c r="P16" s="5"/>
      <c r="Q16" s="5"/>
      <c r="R16" s="5"/>
      <c r="S16" s="5"/>
      <c r="T16" s="5"/>
      <c r="U16" s="5"/>
    </row>
    <row r="17" spans="1:21" ht="4.5" customHeight="1">
      <c r="A17" s="226"/>
      <c r="B17" s="4"/>
      <c r="C17" s="6"/>
      <c r="D17" s="4"/>
      <c r="E17" s="4"/>
      <c r="F17" s="4"/>
      <c r="G17" s="227"/>
      <c r="H17" s="9"/>
      <c r="I17" s="34"/>
      <c r="J17" s="34"/>
      <c r="K17" s="35"/>
      <c r="L17" s="36"/>
      <c r="M17" s="7"/>
      <c r="N17" s="7"/>
      <c r="O17" s="19"/>
      <c r="P17" s="5"/>
      <c r="Q17" s="5"/>
      <c r="R17" s="5"/>
      <c r="S17" s="5"/>
      <c r="T17" s="5"/>
      <c r="U17" s="5"/>
    </row>
    <row r="18" spans="1:21" ht="22.5" customHeight="1">
      <c r="A18" s="1354" t="s">
        <v>70</v>
      </c>
      <c r="B18" s="1355"/>
      <c r="C18" s="1355"/>
      <c r="D18" s="1355"/>
      <c r="E18" s="1355"/>
      <c r="F18" s="1355"/>
      <c r="G18" s="1356"/>
      <c r="H18" s="9"/>
    </row>
    <row r="19" spans="1:21" ht="4.5" customHeight="1">
      <c r="A19" s="226"/>
      <c r="B19" s="4"/>
      <c r="C19" s="6"/>
      <c r="D19" s="4"/>
      <c r="E19" s="4"/>
      <c r="F19" s="38"/>
      <c r="G19" s="227"/>
      <c r="H19" s="9"/>
      <c r="I19" s="34"/>
      <c r="J19" s="34"/>
      <c r="K19" s="35"/>
      <c r="L19" s="39"/>
      <c r="M19" s="7"/>
      <c r="N19" s="7"/>
      <c r="O19" s="8"/>
      <c r="P19" s="5"/>
      <c r="Q19" s="5"/>
      <c r="R19" s="5"/>
      <c r="S19" s="5"/>
      <c r="T19" s="5"/>
      <c r="U19" s="5"/>
    </row>
    <row r="20" spans="1:21">
      <c r="A20" s="1373" t="s">
        <v>17</v>
      </c>
      <c r="B20" s="1374"/>
      <c r="C20" s="1374"/>
      <c r="D20" s="353" t="s">
        <v>3</v>
      </c>
      <c r="E20" s="353" t="s">
        <v>4</v>
      </c>
      <c r="F20" s="353" t="s">
        <v>25</v>
      </c>
      <c r="G20" s="228" t="s">
        <v>21</v>
      </c>
      <c r="H20" s="27"/>
      <c r="I20" s="34"/>
      <c r="J20" s="34"/>
      <c r="K20" s="35"/>
      <c r="L20" s="39"/>
      <c r="M20" s="7"/>
      <c r="N20" s="7"/>
      <c r="O20" s="8"/>
      <c r="P20" s="5"/>
      <c r="Q20" s="5"/>
      <c r="R20" s="5"/>
      <c r="S20" s="5"/>
      <c r="T20" s="5"/>
      <c r="U20" s="5"/>
    </row>
    <row r="21" spans="1:21" ht="31.5" customHeight="1">
      <c r="A21" s="1441" t="str">
        <f>MID(I21,25,50)</f>
        <v xml:space="preserve"> Tee 4" x 3" PVC  ó Similar</v>
      </c>
      <c r="B21" s="1442"/>
      <c r="C21" s="1443"/>
      <c r="D21" s="118" t="s">
        <v>119</v>
      </c>
      <c r="E21" s="119">
        <v>1</v>
      </c>
      <c r="F21" s="87">
        <f>428747*IPC</f>
        <v>442381</v>
      </c>
      <c r="G21" s="231">
        <f>ROUND(F21*E21,0)</f>
        <v>442381</v>
      </c>
      <c r="H21" s="9"/>
      <c r="I21" s="34" t="str">
        <f>B6</f>
        <v>Suministro e instalación Tee 4" x 3" PVC  ó Similar</v>
      </c>
      <c r="J21" s="34"/>
      <c r="K21" s="35"/>
      <c r="L21" s="36"/>
      <c r="M21" s="7"/>
      <c r="N21" s="7"/>
      <c r="O21" s="19"/>
      <c r="P21" s="5"/>
      <c r="Q21" s="5"/>
      <c r="R21" s="5"/>
      <c r="S21" s="5"/>
      <c r="T21" s="5"/>
      <c r="U21" s="5"/>
    </row>
    <row r="22" spans="1:21">
      <c r="A22" s="1444"/>
      <c r="B22" s="1403"/>
      <c r="C22" s="1404"/>
      <c r="D22" s="116"/>
      <c r="E22" s="117"/>
      <c r="F22" s="91"/>
      <c r="G22" s="231"/>
      <c r="H22" s="9"/>
      <c r="I22" s="10"/>
      <c r="J22" s="10"/>
      <c r="K22" s="12"/>
      <c r="L22" s="39"/>
      <c r="M22" s="7"/>
      <c r="N22" s="7"/>
      <c r="O22" s="15"/>
      <c r="P22" s="5"/>
      <c r="Q22" s="5"/>
      <c r="R22" s="5"/>
      <c r="S22" s="5"/>
      <c r="T22" s="5"/>
      <c r="U22" s="5"/>
    </row>
    <row r="23" spans="1:21">
      <c r="A23" s="1386"/>
      <c r="B23" s="1353"/>
      <c r="C23" s="1353"/>
      <c r="D23" s="79"/>
      <c r="E23" s="82"/>
      <c r="F23" s="83"/>
      <c r="G23" s="67"/>
      <c r="H23" s="9"/>
      <c r="I23" s="10"/>
      <c r="J23" s="10"/>
      <c r="K23" s="12"/>
      <c r="L23" s="39"/>
      <c r="M23" s="7"/>
      <c r="N23" s="7"/>
      <c r="O23" s="15"/>
      <c r="P23" s="5"/>
      <c r="Q23" s="5"/>
      <c r="R23" s="5"/>
      <c r="S23" s="5"/>
      <c r="T23" s="5"/>
      <c r="U23" s="5"/>
    </row>
    <row r="24" spans="1:21">
      <c r="A24" s="1352"/>
      <c r="B24" s="1353"/>
      <c r="C24" s="1353"/>
      <c r="D24" s="81"/>
      <c r="E24" s="88"/>
      <c r="F24" s="78"/>
      <c r="G24" s="231"/>
      <c r="H24" s="9"/>
      <c r="I24" s="10"/>
      <c r="J24" s="40"/>
      <c r="K24" s="12"/>
      <c r="L24" s="13"/>
      <c r="M24" s="14"/>
      <c r="N24" s="14"/>
      <c r="O24" s="15"/>
      <c r="P24" s="5"/>
      <c r="Q24" s="5"/>
      <c r="R24" s="5"/>
      <c r="S24" s="5"/>
      <c r="T24" s="5"/>
      <c r="U24" s="5"/>
    </row>
    <row r="25" spans="1:21">
      <c r="A25" s="1352"/>
      <c r="B25" s="1353"/>
      <c r="C25" s="1353"/>
      <c r="D25" s="81"/>
      <c r="E25" s="82"/>
      <c r="F25" s="78"/>
      <c r="G25" s="231"/>
      <c r="H25" s="9"/>
      <c r="I25" s="10"/>
      <c r="J25" s="11"/>
      <c r="K25" s="12"/>
      <c r="L25" s="13"/>
      <c r="M25" s="14"/>
      <c r="N25" s="14"/>
      <c r="O25" s="15"/>
      <c r="P25" s="5"/>
      <c r="Q25" s="5"/>
      <c r="R25" s="5"/>
      <c r="S25" s="5"/>
      <c r="T25" s="5"/>
      <c r="U25" s="5"/>
    </row>
    <row r="26" spans="1:21">
      <c r="A26" s="1352"/>
      <c r="B26" s="1353"/>
      <c r="C26" s="1353"/>
      <c r="D26" s="79"/>
      <c r="E26" s="82"/>
      <c r="F26" s="78"/>
      <c r="G26" s="231"/>
      <c r="H26" s="9"/>
      <c r="I26" s="10"/>
      <c r="J26" s="11"/>
      <c r="K26" s="12"/>
      <c r="L26" s="13"/>
      <c r="M26" s="14"/>
      <c r="N26" s="14"/>
      <c r="O26" s="15"/>
      <c r="P26" s="5"/>
      <c r="Q26" s="5"/>
      <c r="R26" s="5"/>
      <c r="S26" s="5"/>
      <c r="T26" s="5"/>
      <c r="U26" s="5"/>
    </row>
    <row r="27" spans="1:21">
      <c r="A27" s="1352"/>
      <c r="B27" s="1353"/>
      <c r="C27" s="1353"/>
      <c r="D27" s="79"/>
      <c r="E27" s="82"/>
      <c r="F27" s="78"/>
      <c r="G27" s="231"/>
      <c r="H27" s="9"/>
      <c r="I27" s="10"/>
      <c r="J27" s="11"/>
      <c r="K27" s="12"/>
      <c r="L27" s="13"/>
      <c r="M27" s="14"/>
      <c r="N27" s="14"/>
      <c r="O27" s="15"/>
      <c r="P27" s="5"/>
      <c r="Q27" s="5"/>
      <c r="R27" s="5"/>
      <c r="S27" s="5"/>
      <c r="T27" s="5"/>
      <c r="U27" s="5"/>
    </row>
    <row r="28" spans="1:21">
      <c r="A28" s="1352"/>
      <c r="B28" s="1353"/>
      <c r="C28" s="1353"/>
      <c r="D28" s="79"/>
      <c r="E28" s="82"/>
      <c r="F28" s="83"/>
      <c r="G28" s="231"/>
      <c r="H28" s="9"/>
      <c r="I28" s="41"/>
      <c r="J28" s="41"/>
      <c r="K28" s="12"/>
      <c r="L28" s="13"/>
      <c r="M28" s="14"/>
      <c r="N28" s="14"/>
      <c r="O28" s="15"/>
      <c r="P28" s="5"/>
      <c r="Q28" s="5"/>
      <c r="R28" s="5"/>
      <c r="S28" s="5"/>
      <c r="T28" s="5"/>
      <c r="U28" s="5"/>
    </row>
    <row r="29" spans="1:21">
      <c r="A29" s="1352"/>
      <c r="B29" s="1353"/>
      <c r="C29" s="1353"/>
      <c r="D29" s="84"/>
      <c r="E29" s="84"/>
      <c r="F29" s="83"/>
      <c r="G29" s="231"/>
      <c r="H29" s="9"/>
      <c r="I29" s="42"/>
      <c r="J29" s="42"/>
      <c r="K29" s="42"/>
      <c r="L29" s="13"/>
      <c r="M29" s="14"/>
      <c r="N29" s="14"/>
      <c r="O29" s="15"/>
      <c r="P29" s="5"/>
      <c r="Q29" s="5"/>
      <c r="R29" s="5"/>
      <c r="S29" s="5"/>
      <c r="T29" s="5"/>
      <c r="U29" s="5"/>
    </row>
    <row r="30" spans="1:21">
      <c r="A30" s="1352"/>
      <c r="B30" s="1353"/>
      <c r="C30" s="1353"/>
      <c r="D30" s="85" t="s">
        <v>28</v>
      </c>
      <c r="E30" s="50"/>
      <c r="F30" s="49"/>
      <c r="G30" s="230">
        <f>SUM(G21:G29)</f>
        <v>442381</v>
      </c>
      <c r="H30" s="9"/>
      <c r="I30" s="8"/>
      <c r="J30" s="13"/>
      <c r="K30" s="8"/>
      <c r="L30" s="13"/>
      <c r="M30" s="14"/>
      <c r="N30" s="14"/>
      <c r="O30" s="15"/>
      <c r="P30" s="5"/>
    </row>
    <row r="31" spans="1:21" ht="3.75" customHeight="1">
      <c r="A31" s="226"/>
      <c r="B31" s="4"/>
      <c r="C31" s="6"/>
      <c r="D31" s="4"/>
      <c r="E31" s="4"/>
      <c r="F31" s="4"/>
      <c r="G31" s="227"/>
      <c r="H31" s="9"/>
      <c r="I31" s="8"/>
      <c r="J31" s="13"/>
      <c r="K31" s="18"/>
      <c r="L31" s="13"/>
      <c r="M31" s="33"/>
      <c r="N31" s="33"/>
      <c r="O31" s="15"/>
      <c r="P31" s="5"/>
    </row>
    <row r="32" spans="1:21" ht="22.5" customHeight="1">
      <c r="A32" s="1354" t="s">
        <v>71</v>
      </c>
      <c r="B32" s="1355"/>
      <c r="C32" s="1355"/>
      <c r="D32" s="1355"/>
      <c r="E32" s="1355"/>
      <c r="F32" s="1355"/>
      <c r="G32" s="1356"/>
      <c r="H32" s="9"/>
    </row>
    <row r="33" spans="1:16" ht="3.75" customHeight="1">
      <c r="A33" s="226"/>
      <c r="B33" s="4"/>
      <c r="C33" s="6"/>
      <c r="D33" s="4"/>
      <c r="E33" s="4"/>
      <c r="F33" s="4"/>
      <c r="G33" s="227"/>
      <c r="H33" s="9"/>
      <c r="I33" s="8"/>
      <c r="J33" s="13"/>
      <c r="K33" s="8"/>
      <c r="L33" s="8"/>
      <c r="M33" s="8"/>
      <c r="N33" s="8"/>
      <c r="O33" s="15"/>
      <c r="P33" s="5"/>
    </row>
    <row r="34" spans="1:16">
      <c r="A34" s="232" t="s">
        <v>5</v>
      </c>
      <c r="B34" s="60" t="s">
        <v>29</v>
      </c>
      <c r="C34" s="60" t="s">
        <v>30</v>
      </c>
      <c r="D34" s="60" t="s">
        <v>31</v>
      </c>
      <c r="E34" s="60" t="s">
        <v>32</v>
      </c>
      <c r="F34" s="60" t="s">
        <v>20</v>
      </c>
      <c r="G34" s="228" t="s">
        <v>33</v>
      </c>
      <c r="H34" s="27"/>
      <c r="I34" s="8"/>
      <c r="J34" s="13"/>
      <c r="K34" s="8"/>
      <c r="L34" s="8"/>
      <c r="M34" s="8"/>
      <c r="N34" s="8"/>
      <c r="O34" s="15"/>
      <c r="P34" s="5"/>
    </row>
    <row r="35" spans="1:16">
      <c r="A35" s="233" t="s">
        <v>41</v>
      </c>
      <c r="B35" s="63">
        <f>BOF</f>
        <v>51749</v>
      </c>
      <c r="C35" s="68">
        <f>ffpp</f>
        <v>0.64539999999999997</v>
      </c>
      <c r="D35" s="72">
        <v>1</v>
      </c>
      <c r="E35" s="66">
        <f>OF</f>
        <v>88696</v>
      </c>
      <c r="F35" s="65">
        <v>20</v>
      </c>
      <c r="G35" s="231">
        <f>ROUND(+D35*E35/F35,0)</f>
        <v>4435</v>
      </c>
      <c r="H35" s="9"/>
      <c r="I35" s="16"/>
      <c r="J35" s="13"/>
      <c r="K35" s="8"/>
      <c r="L35" s="8"/>
      <c r="M35" s="8"/>
      <c r="N35" s="8"/>
      <c r="O35" s="15"/>
      <c r="P35" s="5"/>
    </row>
    <row r="36" spans="1:16">
      <c r="A36" s="233" t="s">
        <v>38</v>
      </c>
      <c r="B36" s="63">
        <f>BOB</f>
        <v>41749</v>
      </c>
      <c r="C36" s="68">
        <f>ffpp</f>
        <v>0.64539999999999997</v>
      </c>
      <c r="D36" s="72">
        <v>3</v>
      </c>
      <c r="E36" s="66">
        <f>OB</f>
        <v>72242</v>
      </c>
      <c r="F36" s="65">
        <f>F35</f>
        <v>20</v>
      </c>
      <c r="G36" s="231">
        <f>ROUND(+D36*E36/F36,0)</f>
        <v>10836</v>
      </c>
      <c r="H36" s="9"/>
      <c r="I36" s="8"/>
      <c r="J36" s="8"/>
      <c r="K36" s="13"/>
      <c r="L36" s="13"/>
      <c r="M36" s="13"/>
      <c r="N36" s="13"/>
      <c r="O36" s="13"/>
      <c r="P36" s="5"/>
    </row>
    <row r="37" spans="1:16">
      <c r="A37" s="234"/>
      <c r="B37" s="50"/>
      <c r="C37" s="961"/>
      <c r="D37" s="50"/>
      <c r="E37" s="66"/>
      <c r="F37" s="65"/>
      <c r="G37" s="231"/>
      <c r="H37" s="9"/>
      <c r="I37" s="8"/>
      <c r="J37" s="13"/>
      <c r="K37" s="13"/>
      <c r="L37" s="13"/>
      <c r="M37" s="33"/>
      <c r="N37" s="33"/>
      <c r="O37" s="43"/>
      <c r="P37" s="5"/>
    </row>
    <row r="38" spans="1:16">
      <c r="A38" s="233"/>
      <c r="B38" s="65"/>
      <c r="C38" s="68"/>
      <c r="D38" s="65"/>
      <c r="E38" s="69"/>
      <c r="F38" s="69"/>
      <c r="G38" s="236"/>
      <c r="H38" s="9"/>
      <c r="I38" s="8"/>
      <c r="J38" s="13"/>
      <c r="K38" s="13"/>
      <c r="L38" s="13"/>
      <c r="M38" s="33"/>
      <c r="N38" s="33"/>
      <c r="O38" s="43"/>
      <c r="P38" s="5"/>
    </row>
    <row r="39" spans="1:16">
      <c r="A39" s="249"/>
      <c r="B39" s="71"/>
      <c r="C39" s="71"/>
      <c r="D39" s="71" t="s">
        <v>34</v>
      </c>
      <c r="E39" s="71"/>
      <c r="F39" s="71"/>
      <c r="G39" s="250">
        <f>SUM(G35:G38)</f>
        <v>15271</v>
      </c>
      <c r="H39" s="9"/>
      <c r="I39" s="8"/>
      <c r="J39" s="13"/>
      <c r="K39" s="13"/>
      <c r="L39" s="13"/>
      <c r="M39" s="14"/>
      <c r="N39" s="14"/>
      <c r="O39" s="15"/>
      <c r="P39" s="5"/>
    </row>
    <row r="40" spans="1:16">
      <c r="A40" s="226"/>
      <c r="B40" s="4"/>
      <c r="C40" s="6"/>
      <c r="D40" s="4"/>
      <c r="E40" s="4"/>
      <c r="F40" s="4"/>
      <c r="G40" s="227"/>
      <c r="H40" s="9"/>
      <c r="I40" s="8"/>
      <c r="J40" s="13"/>
      <c r="K40" s="13"/>
      <c r="L40" s="13"/>
      <c r="M40" s="14"/>
      <c r="N40" s="14"/>
      <c r="O40" s="19"/>
      <c r="P40" s="5"/>
    </row>
    <row r="41" spans="1:16">
      <c r="A41" s="226"/>
      <c r="B41" s="4"/>
      <c r="C41" s="6"/>
      <c r="D41" s="4"/>
      <c r="E41" s="4"/>
      <c r="F41" s="4"/>
      <c r="G41" s="227"/>
      <c r="H41" s="9"/>
      <c r="I41" s="8"/>
      <c r="J41" s="13"/>
      <c r="K41" s="13"/>
      <c r="L41" s="13"/>
      <c r="M41" s="17"/>
      <c r="N41" s="17"/>
      <c r="O41" s="37"/>
      <c r="P41" s="5"/>
    </row>
    <row r="42" spans="1:16" ht="14.25">
      <c r="A42" s="226"/>
      <c r="B42" s="4"/>
      <c r="C42" s="6"/>
      <c r="D42" s="1357" t="s">
        <v>35</v>
      </c>
      <c r="E42" s="1358"/>
      <c r="F42" s="1359"/>
      <c r="G42" s="239">
        <f>+G39+G30+G16</f>
        <v>459179</v>
      </c>
      <c r="H42" s="9"/>
      <c r="I42" s="48"/>
      <c r="J42" s="20"/>
      <c r="K42" s="8"/>
      <c r="L42" s="8"/>
      <c r="M42" s="8"/>
      <c r="N42" s="8"/>
      <c r="O42" s="8"/>
      <c r="P42" s="5"/>
    </row>
    <row r="43" spans="1:16" ht="14.25">
      <c r="A43" s="240"/>
      <c r="B43" s="57"/>
      <c r="C43" s="58"/>
      <c r="D43" s="99"/>
      <c r="E43" s="99"/>
      <c r="F43" s="99"/>
      <c r="G43" s="251"/>
      <c r="H43" s="9"/>
      <c r="I43" s="48"/>
      <c r="J43" s="20"/>
      <c r="K43" s="8"/>
      <c r="L43" s="8"/>
      <c r="M43" s="8"/>
      <c r="N43" s="8"/>
      <c r="O43" s="8"/>
      <c r="P43" s="5"/>
    </row>
    <row r="44" spans="1:16" ht="14.25">
      <c r="A44" s="374"/>
      <c r="B44" s="375"/>
      <c r="C44" s="375"/>
      <c r="D44" s="99"/>
      <c r="E44" s="99"/>
      <c r="F44" s="99"/>
      <c r="G44" s="251"/>
      <c r="H44" s="9"/>
      <c r="I44" s="48"/>
      <c r="J44" s="20"/>
      <c r="K44" s="8"/>
      <c r="L44" s="8"/>
      <c r="M44" s="8"/>
      <c r="N44" s="8"/>
      <c r="O44" s="8"/>
      <c r="P44" s="5"/>
    </row>
    <row r="45" spans="1:16" ht="14.25">
      <c r="A45" s="373"/>
      <c r="B45" s="376"/>
      <c r="C45" s="376"/>
      <c r="D45" s="99"/>
      <c r="E45" s="99"/>
      <c r="F45" s="99"/>
      <c r="G45" s="251"/>
      <c r="H45" s="9"/>
      <c r="I45" s="48"/>
      <c r="J45" s="20"/>
      <c r="K45" s="8"/>
      <c r="L45" s="8"/>
      <c r="M45" s="8"/>
      <c r="N45" s="8"/>
      <c r="O45" s="8"/>
      <c r="P45" s="5"/>
    </row>
    <row r="46" spans="1:16" ht="14.25">
      <c r="A46" s="373"/>
      <c r="B46" s="376"/>
      <c r="C46" s="376"/>
      <c r="D46" s="44"/>
      <c r="E46" s="45"/>
      <c r="F46" s="45"/>
      <c r="G46" s="251"/>
      <c r="H46" s="9"/>
      <c r="I46" s="8"/>
      <c r="J46" s="13"/>
      <c r="K46" s="8"/>
      <c r="L46" s="8"/>
      <c r="M46" s="8"/>
      <c r="N46" s="8"/>
      <c r="O46" s="8"/>
      <c r="P46" s="5"/>
    </row>
    <row r="47" spans="1:16" ht="15" thickBot="1">
      <c r="A47" s="242"/>
      <c r="B47" s="243"/>
      <c r="C47" s="244"/>
      <c r="D47" s="245"/>
      <c r="E47" s="246"/>
      <c r="F47" s="246"/>
      <c r="G47" s="247"/>
      <c r="H47" s="9"/>
      <c r="I47" s="8"/>
      <c r="J47" s="13"/>
      <c r="K47" s="8"/>
      <c r="L47" s="8"/>
      <c r="M47" s="8"/>
      <c r="N47" s="8"/>
      <c r="O47" s="8"/>
      <c r="P47" s="5"/>
    </row>
    <row r="48" spans="1:16">
      <c r="I48" s="5"/>
      <c r="J48" s="5"/>
      <c r="K48" s="5"/>
      <c r="L48" s="5"/>
      <c r="M48" s="5"/>
      <c r="N48" s="5"/>
      <c r="O48" s="5"/>
      <c r="P48" s="5"/>
    </row>
    <row r="49" spans="9:16">
      <c r="I49" s="5"/>
      <c r="J49" s="5"/>
      <c r="K49" s="5"/>
      <c r="L49" s="5"/>
      <c r="M49" s="5"/>
      <c r="N49" s="5"/>
      <c r="O49" s="5"/>
      <c r="P49" s="5"/>
    </row>
  </sheetData>
  <mergeCells count="26">
    <mergeCell ref="A10:C10"/>
    <mergeCell ref="A1:G1"/>
    <mergeCell ref="A2:G2"/>
    <mergeCell ref="A3:G4"/>
    <mergeCell ref="B6:E6"/>
    <mergeCell ref="A8:G8"/>
    <mergeCell ref="A24:C24"/>
    <mergeCell ref="A11:C11"/>
    <mergeCell ref="A12:C12"/>
    <mergeCell ref="A13:C13"/>
    <mergeCell ref="A14:C14"/>
    <mergeCell ref="A15:C15"/>
    <mergeCell ref="A16:C16"/>
    <mergeCell ref="A18:G18"/>
    <mergeCell ref="A20:C20"/>
    <mergeCell ref="A21:C21"/>
    <mergeCell ref="A22:C22"/>
    <mergeCell ref="A23:C23"/>
    <mergeCell ref="A32:G32"/>
    <mergeCell ref="D42:F42"/>
    <mergeCell ref="A25:C25"/>
    <mergeCell ref="A26:C26"/>
    <mergeCell ref="A27:C27"/>
    <mergeCell ref="A28:C28"/>
    <mergeCell ref="A29:C29"/>
    <mergeCell ref="A30:C30"/>
  </mergeCells>
  <printOptions horizontalCentered="1" verticalCentered="1"/>
  <pageMargins left="0.74803149606299213" right="0.74803149606299213" top="0" bottom="0.98425196850393704" header="0" footer="0"/>
  <pageSetup scale="90" orientation="portrait" r:id="rId1"/>
  <headerFooter alignWithMargins="0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78"/>
  <dimension ref="A1:U49"/>
  <sheetViews>
    <sheetView view="pageBreakPreview" topLeftCell="A4" zoomScaleNormal="100" zoomScaleSheetLayoutView="100" workbookViewId="0">
      <selection activeCell="F22" sqref="F22"/>
    </sheetView>
  </sheetViews>
  <sheetFormatPr baseColWidth="10" defaultColWidth="10.7109375" defaultRowHeight="12.75"/>
  <cols>
    <col min="1" max="1" width="15.85546875" style="3" customWidth="1"/>
    <col min="2" max="2" width="14.85546875" style="3" customWidth="1"/>
    <col min="3" max="3" width="13.28515625" style="3" customWidth="1"/>
    <col min="4" max="4" width="11.42578125" style="3"/>
    <col min="5" max="5" width="13.42578125" style="3" customWidth="1"/>
    <col min="6" max="6" width="12.7109375" style="3" customWidth="1"/>
    <col min="7" max="7" width="14" style="3" customWidth="1"/>
    <col min="8" max="8" width="7.42578125" style="3" customWidth="1"/>
    <col min="9" max="256" width="11.42578125" style="3"/>
    <col min="257" max="257" width="15.85546875" style="3" customWidth="1"/>
    <col min="258" max="258" width="14.85546875" style="3" customWidth="1"/>
    <col min="259" max="259" width="13.28515625" style="3" customWidth="1"/>
    <col min="260" max="260" width="11.42578125" style="3"/>
    <col min="261" max="261" width="13.42578125" style="3" customWidth="1"/>
    <col min="262" max="262" width="12.7109375" style="3" customWidth="1"/>
    <col min="263" max="263" width="14" style="3" customWidth="1"/>
    <col min="264" max="264" width="7.42578125" style="3" customWidth="1"/>
    <col min="265" max="512" width="11.42578125" style="3"/>
    <col min="513" max="513" width="15.85546875" style="3" customWidth="1"/>
    <col min="514" max="514" width="14.85546875" style="3" customWidth="1"/>
    <col min="515" max="515" width="13.28515625" style="3" customWidth="1"/>
    <col min="516" max="516" width="11.42578125" style="3"/>
    <col min="517" max="517" width="13.42578125" style="3" customWidth="1"/>
    <col min="518" max="518" width="12.7109375" style="3" customWidth="1"/>
    <col min="519" max="519" width="14" style="3" customWidth="1"/>
    <col min="520" max="520" width="7.42578125" style="3" customWidth="1"/>
    <col min="521" max="768" width="11.42578125" style="3"/>
    <col min="769" max="769" width="15.85546875" style="3" customWidth="1"/>
    <col min="770" max="770" width="14.85546875" style="3" customWidth="1"/>
    <col min="771" max="771" width="13.28515625" style="3" customWidth="1"/>
    <col min="772" max="772" width="11.42578125" style="3"/>
    <col min="773" max="773" width="13.42578125" style="3" customWidth="1"/>
    <col min="774" max="774" width="12.7109375" style="3" customWidth="1"/>
    <col min="775" max="775" width="14" style="3" customWidth="1"/>
    <col min="776" max="776" width="7.42578125" style="3" customWidth="1"/>
    <col min="777" max="1024" width="11.42578125" style="3"/>
    <col min="1025" max="1025" width="15.85546875" style="3" customWidth="1"/>
    <col min="1026" max="1026" width="14.85546875" style="3" customWidth="1"/>
    <col min="1027" max="1027" width="13.28515625" style="3" customWidth="1"/>
    <col min="1028" max="1028" width="11.42578125" style="3"/>
    <col min="1029" max="1029" width="13.42578125" style="3" customWidth="1"/>
    <col min="1030" max="1030" width="12.7109375" style="3" customWidth="1"/>
    <col min="1031" max="1031" width="14" style="3" customWidth="1"/>
    <col min="1032" max="1032" width="7.42578125" style="3" customWidth="1"/>
    <col min="1033" max="1280" width="11.42578125" style="3"/>
    <col min="1281" max="1281" width="15.85546875" style="3" customWidth="1"/>
    <col min="1282" max="1282" width="14.85546875" style="3" customWidth="1"/>
    <col min="1283" max="1283" width="13.28515625" style="3" customWidth="1"/>
    <col min="1284" max="1284" width="11.42578125" style="3"/>
    <col min="1285" max="1285" width="13.42578125" style="3" customWidth="1"/>
    <col min="1286" max="1286" width="12.7109375" style="3" customWidth="1"/>
    <col min="1287" max="1287" width="14" style="3" customWidth="1"/>
    <col min="1288" max="1288" width="7.42578125" style="3" customWidth="1"/>
    <col min="1289" max="1536" width="11.42578125" style="3"/>
    <col min="1537" max="1537" width="15.85546875" style="3" customWidth="1"/>
    <col min="1538" max="1538" width="14.85546875" style="3" customWidth="1"/>
    <col min="1539" max="1539" width="13.28515625" style="3" customWidth="1"/>
    <col min="1540" max="1540" width="11.42578125" style="3"/>
    <col min="1541" max="1541" width="13.42578125" style="3" customWidth="1"/>
    <col min="1542" max="1542" width="12.7109375" style="3" customWidth="1"/>
    <col min="1543" max="1543" width="14" style="3" customWidth="1"/>
    <col min="1544" max="1544" width="7.42578125" style="3" customWidth="1"/>
    <col min="1545" max="1792" width="11.42578125" style="3"/>
    <col min="1793" max="1793" width="15.85546875" style="3" customWidth="1"/>
    <col min="1794" max="1794" width="14.85546875" style="3" customWidth="1"/>
    <col min="1795" max="1795" width="13.28515625" style="3" customWidth="1"/>
    <col min="1796" max="1796" width="11.42578125" style="3"/>
    <col min="1797" max="1797" width="13.42578125" style="3" customWidth="1"/>
    <col min="1798" max="1798" width="12.7109375" style="3" customWidth="1"/>
    <col min="1799" max="1799" width="14" style="3" customWidth="1"/>
    <col min="1800" max="1800" width="7.42578125" style="3" customWidth="1"/>
    <col min="1801" max="2048" width="11.42578125" style="3"/>
    <col min="2049" max="2049" width="15.85546875" style="3" customWidth="1"/>
    <col min="2050" max="2050" width="14.85546875" style="3" customWidth="1"/>
    <col min="2051" max="2051" width="13.28515625" style="3" customWidth="1"/>
    <col min="2052" max="2052" width="11.42578125" style="3"/>
    <col min="2053" max="2053" width="13.42578125" style="3" customWidth="1"/>
    <col min="2054" max="2054" width="12.7109375" style="3" customWidth="1"/>
    <col min="2055" max="2055" width="14" style="3" customWidth="1"/>
    <col min="2056" max="2056" width="7.42578125" style="3" customWidth="1"/>
    <col min="2057" max="2304" width="11.42578125" style="3"/>
    <col min="2305" max="2305" width="15.85546875" style="3" customWidth="1"/>
    <col min="2306" max="2306" width="14.85546875" style="3" customWidth="1"/>
    <col min="2307" max="2307" width="13.28515625" style="3" customWidth="1"/>
    <col min="2308" max="2308" width="11.42578125" style="3"/>
    <col min="2309" max="2309" width="13.42578125" style="3" customWidth="1"/>
    <col min="2310" max="2310" width="12.7109375" style="3" customWidth="1"/>
    <col min="2311" max="2311" width="14" style="3" customWidth="1"/>
    <col min="2312" max="2312" width="7.42578125" style="3" customWidth="1"/>
    <col min="2313" max="2560" width="11.42578125" style="3"/>
    <col min="2561" max="2561" width="15.85546875" style="3" customWidth="1"/>
    <col min="2562" max="2562" width="14.85546875" style="3" customWidth="1"/>
    <col min="2563" max="2563" width="13.28515625" style="3" customWidth="1"/>
    <col min="2564" max="2564" width="11.42578125" style="3"/>
    <col min="2565" max="2565" width="13.42578125" style="3" customWidth="1"/>
    <col min="2566" max="2566" width="12.7109375" style="3" customWidth="1"/>
    <col min="2567" max="2567" width="14" style="3" customWidth="1"/>
    <col min="2568" max="2568" width="7.42578125" style="3" customWidth="1"/>
    <col min="2569" max="2816" width="11.42578125" style="3"/>
    <col min="2817" max="2817" width="15.85546875" style="3" customWidth="1"/>
    <col min="2818" max="2818" width="14.85546875" style="3" customWidth="1"/>
    <col min="2819" max="2819" width="13.28515625" style="3" customWidth="1"/>
    <col min="2820" max="2820" width="11.42578125" style="3"/>
    <col min="2821" max="2821" width="13.42578125" style="3" customWidth="1"/>
    <col min="2822" max="2822" width="12.7109375" style="3" customWidth="1"/>
    <col min="2823" max="2823" width="14" style="3" customWidth="1"/>
    <col min="2824" max="2824" width="7.42578125" style="3" customWidth="1"/>
    <col min="2825" max="3072" width="11.42578125" style="3"/>
    <col min="3073" max="3073" width="15.85546875" style="3" customWidth="1"/>
    <col min="3074" max="3074" width="14.85546875" style="3" customWidth="1"/>
    <col min="3075" max="3075" width="13.28515625" style="3" customWidth="1"/>
    <col min="3076" max="3076" width="11.42578125" style="3"/>
    <col min="3077" max="3077" width="13.42578125" style="3" customWidth="1"/>
    <col min="3078" max="3078" width="12.7109375" style="3" customWidth="1"/>
    <col min="3079" max="3079" width="14" style="3" customWidth="1"/>
    <col min="3080" max="3080" width="7.42578125" style="3" customWidth="1"/>
    <col min="3081" max="3328" width="11.42578125" style="3"/>
    <col min="3329" max="3329" width="15.85546875" style="3" customWidth="1"/>
    <col min="3330" max="3330" width="14.85546875" style="3" customWidth="1"/>
    <col min="3331" max="3331" width="13.28515625" style="3" customWidth="1"/>
    <col min="3332" max="3332" width="11.42578125" style="3"/>
    <col min="3333" max="3333" width="13.42578125" style="3" customWidth="1"/>
    <col min="3334" max="3334" width="12.7109375" style="3" customWidth="1"/>
    <col min="3335" max="3335" width="14" style="3" customWidth="1"/>
    <col min="3336" max="3336" width="7.42578125" style="3" customWidth="1"/>
    <col min="3337" max="3584" width="11.42578125" style="3"/>
    <col min="3585" max="3585" width="15.85546875" style="3" customWidth="1"/>
    <col min="3586" max="3586" width="14.85546875" style="3" customWidth="1"/>
    <col min="3587" max="3587" width="13.28515625" style="3" customWidth="1"/>
    <col min="3588" max="3588" width="11.42578125" style="3"/>
    <col min="3589" max="3589" width="13.42578125" style="3" customWidth="1"/>
    <col min="3590" max="3590" width="12.7109375" style="3" customWidth="1"/>
    <col min="3591" max="3591" width="14" style="3" customWidth="1"/>
    <col min="3592" max="3592" width="7.42578125" style="3" customWidth="1"/>
    <col min="3593" max="3840" width="11.42578125" style="3"/>
    <col min="3841" max="3841" width="15.85546875" style="3" customWidth="1"/>
    <col min="3842" max="3842" width="14.85546875" style="3" customWidth="1"/>
    <col min="3843" max="3843" width="13.28515625" style="3" customWidth="1"/>
    <col min="3844" max="3844" width="11.42578125" style="3"/>
    <col min="3845" max="3845" width="13.42578125" style="3" customWidth="1"/>
    <col min="3846" max="3846" width="12.7109375" style="3" customWidth="1"/>
    <col min="3847" max="3847" width="14" style="3" customWidth="1"/>
    <col min="3848" max="3848" width="7.42578125" style="3" customWidth="1"/>
    <col min="3849" max="4096" width="11.42578125" style="3"/>
    <col min="4097" max="4097" width="15.85546875" style="3" customWidth="1"/>
    <col min="4098" max="4098" width="14.85546875" style="3" customWidth="1"/>
    <col min="4099" max="4099" width="13.28515625" style="3" customWidth="1"/>
    <col min="4100" max="4100" width="11.42578125" style="3"/>
    <col min="4101" max="4101" width="13.42578125" style="3" customWidth="1"/>
    <col min="4102" max="4102" width="12.7109375" style="3" customWidth="1"/>
    <col min="4103" max="4103" width="14" style="3" customWidth="1"/>
    <col min="4104" max="4104" width="7.42578125" style="3" customWidth="1"/>
    <col min="4105" max="4352" width="11.42578125" style="3"/>
    <col min="4353" max="4353" width="15.85546875" style="3" customWidth="1"/>
    <col min="4354" max="4354" width="14.85546875" style="3" customWidth="1"/>
    <col min="4355" max="4355" width="13.28515625" style="3" customWidth="1"/>
    <col min="4356" max="4356" width="11.42578125" style="3"/>
    <col min="4357" max="4357" width="13.42578125" style="3" customWidth="1"/>
    <col min="4358" max="4358" width="12.7109375" style="3" customWidth="1"/>
    <col min="4359" max="4359" width="14" style="3" customWidth="1"/>
    <col min="4360" max="4360" width="7.42578125" style="3" customWidth="1"/>
    <col min="4361" max="4608" width="11.42578125" style="3"/>
    <col min="4609" max="4609" width="15.85546875" style="3" customWidth="1"/>
    <col min="4610" max="4610" width="14.85546875" style="3" customWidth="1"/>
    <col min="4611" max="4611" width="13.28515625" style="3" customWidth="1"/>
    <col min="4612" max="4612" width="11.42578125" style="3"/>
    <col min="4613" max="4613" width="13.42578125" style="3" customWidth="1"/>
    <col min="4614" max="4614" width="12.7109375" style="3" customWidth="1"/>
    <col min="4615" max="4615" width="14" style="3" customWidth="1"/>
    <col min="4616" max="4616" width="7.42578125" style="3" customWidth="1"/>
    <col min="4617" max="4864" width="11.42578125" style="3"/>
    <col min="4865" max="4865" width="15.85546875" style="3" customWidth="1"/>
    <col min="4866" max="4866" width="14.85546875" style="3" customWidth="1"/>
    <col min="4867" max="4867" width="13.28515625" style="3" customWidth="1"/>
    <col min="4868" max="4868" width="11.42578125" style="3"/>
    <col min="4869" max="4869" width="13.42578125" style="3" customWidth="1"/>
    <col min="4870" max="4870" width="12.7109375" style="3" customWidth="1"/>
    <col min="4871" max="4871" width="14" style="3" customWidth="1"/>
    <col min="4872" max="4872" width="7.42578125" style="3" customWidth="1"/>
    <col min="4873" max="5120" width="11.42578125" style="3"/>
    <col min="5121" max="5121" width="15.85546875" style="3" customWidth="1"/>
    <col min="5122" max="5122" width="14.85546875" style="3" customWidth="1"/>
    <col min="5123" max="5123" width="13.28515625" style="3" customWidth="1"/>
    <col min="5124" max="5124" width="11.42578125" style="3"/>
    <col min="5125" max="5125" width="13.42578125" style="3" customWidth="1"/>
    <col min="5126" max="5126" width="12.7109375" style="3" customWidth="1"/>
    <col min="5127" max="5127" width="14" style="3" customWidth="1"/>
    <col min="5128" max="5128" width="7.42578125" style="3" customWidth="1"/>
    <col min="5129" max="5376" width="11.42578125" style="3"/>
    <col min="5377" max="5377" width="15.85546875" style="3" customWidth="1"/>
    <col min="5378" max="5378" width="14.85546875" style="3" customWidth="1"/>
    <col min="5379" max="5379" width="13.28515625" style="3" customWidth="1"/>
    <col min="5380" max="5380" width="11.42578125" style="3"/>
    <col min="5381" max="5381" width="13.42578125" style="3" customWidth="1"/>
    <col min="5382" max="5382" width="12.7109375" style="3" customWidth="1"/>
    <col min="5383" max="5383" width="14" style="3" customWidth="1"/>
    <col min="5384" max="5384" width="7.42578125" style="3" customWidth="1"/>
    <col min="5385" max="5632" width="11.42578125" style="3"/>
    <col min="5633" max="5633" width="15.85546875" style="3" customWidth="1"/>
    <col min="5634" max="5634" width="14.85546875" style="3" customWidth="1"/>
    <col min="5635" max="5635" width="13.28515625" style="3" customWidth="1"/>
    <col min="5636" max="5636" width="11.42578125" style="3"/>
    <col min="5637" max="5637" width="13.42578125" style="3" customWidth="1"/>
    <col min="5638" max="5638" width="12.7109375" style="3" customWidth="1"/>
    <col min="5639" max="5639" width="14" style="3" customWidth="1"/>
    <col min="5640" max="5640" width="7.42578125" style="3" customWidth="1"/>
    <col min="5641" max="5888" width="11.42578125" style="3"/>
    <col min="5889" max="5889" width="15.85546875" style="3" customWidth="1"/>
    <col min="5890" max="5890" width="14.85546875" style="3" customWidth="1"/>
    <col min="5891" max="5891" width="13.28515625" style="3" customWidth="1"/>
    <col min="5892" max="5892" width="11.42578125" style="3"/>
    <col min="5893" max="5893" width="13.42578125" style="3" customWidth="1"/>
    <col min="5894" max="5894" width="12.7109375" style="3" customWidth="1"/>
    <col min="5895" max="5895" width="14" style="3" customWidth="1"/>
    <col min="5896" max="5896" width="7.42578125" style="3" customWidth="1"/>
    <col min="5897" max="6144" width="11.42578125" style="3"/>
    <col min="6145" max="6145" width="15.85546875" style="3" customWidth="1"/>
    <col min="6146" max="6146" width="14.85546875" style="3" customWidth="1"/>
    <col min="6147" max="6147" width="13.28515625" style="3" customWidth="1"/>
    <col min="6148" max="6148" width="11.42578125" style="3"/>
    <col min="6149" max="6149" width="13.42578125" style="3" customWidth="1"/>
    <col min="6150" max="6150" width="12.7109375" style="3" customWidth="1"/>
    <col min="6151" max="6151" width="14" style="3" customWidth="1"/>
    <col min="6152" max="6152" width="7.42578125" style="3" customWidth="1"/>
    <col min="6153" max="6400" width="11.42578125" style="3"/>
    <col min="6401" max="6401" width="15.85546875" style="3" customWidth="1"/>
    <col min="6402" max="6402" width="14.85546875" style="3" customWidth="1"/>
    <col min="6403" max="6403" width="13.28515625" style="3" customWidth="1"/>
    <col min="6404" max="6404" width="11.42578125" style="3"/>
    <col min="6405" max="6405" width="13.42578125" style="3" customWidth="1"/>
    <col min="6406" max="6406" width="12.7109375" style="3" customWidth="1"/>
    <col min="6407" max="6407" width="14" style="3" customWidth="1"/>
    <col min="6408" max="6408" width="7.42578125" style="3" customWidth="1"/>
    <col min="6409" max="6656" width="11.42578125" style="3"/>
    <col min="6657" max="6657" width="15.85546875" style="3" customWidth="1"/>
    <col min="6658" max="6658" width="14.85546875" style="3" customWidth="1"/>
    <col min="6659" max="6659" width="13.28515625" style="3" customWidth="1"/>
    <col min="6660" max="6660" width="11.42578125" style="3"/>
    <col min="6661" max="6661" width="13.42578125" style="3" customWidth="1"/>
    <col min="6662" max="6662" width="12.7109375" style="3" customWidth="1"/>
    <col min="6663" max="6663" width="14" style="3" customWidth="1"/>
    <col min="6664" max="6664" width="7.42578125" style="3" customWidth="1"/>
    <col min="6665" max="6912" width="11.42578125" style="3"/>
    <col min="6913" max="6913" width="15.85546875" style="3" customWidth="1"/>
    <col min="6914" max="6914" width="14.85546875" style="3" customWidth="1"/>
    <col min="6915" max="6915" width="13.28515625" style="3" customWidth="1"/>
    <col min="6916" max="6916" width="11.42578125" style="3"/>
    <col min="6917" max="6917" width="13.42578125" style="3" customWidth="1"/>
    <col min="6918" max="6918" width="12.7109375" style="3" customWidth="1"/>
    <col min="6919" max="6919" width="14" style="3" customWidth="1"/>
    <col min="6920" max="6920" width="7.42578125" style="3" customWidth="1"/>
    <col min="6921" max="7168" width="11.42578125" style="3"/>
    <col min="7169" max="7169" width="15.85546875" style="3" customWidth="1"/>
    <col min="7170" max="7170" width="14.85546875" style="3" customWidth="1"/>
    <col min="7171" max="7171" width="13.28515625" style="3" customWidth="1"/>
    <col min="7172" max="7172" width="11.42578125" style="3"/>
    <col min="7173" max="7173" width="13.42578125" style="3" customWidth="1"/>
    <col min="7174" max="7174" width="12.7109375" style="3" customWidth="1"/>
    <col min="7175" max="7175" width="14" style="3" customWidth="1"/>
    <col min="7176" max="7176" width="7.42578125" style="3" customWidth="1"/>
    <col min="7177" max="7424" width="11.42578125" style="3"/>
    <col min="7425" max="7425" width="15.85546875" style="3" customWidth="1"/>
    <col min="7426" max="7426" width="14.85546875" style="3" customWidth="1"/>
    <col min="7427" max="7427" width="13.28515625" style="3" customWidth="1"/>
    <col min="7428" max="7428" width="11.42578125" style="3"/>
    <col min="7429" max="7429" width="13.42578125" style="3" customWidth="1"/>
    <col min="7430" max="7430" width="12.7109375" style="3" customWidth="1"/>
    <col min="7431" max="7431" width="14" style="3" customWidth="1"/>
    <col min="7432" max="7432" width="7.42578125" style="3" customWidth="1"/>
    <col min="7433" max="7680" width="11.42578125" style="3"/>
    <col min="7681" max="7681" width="15.85546875" style="3" customWidth="1"/>
    <col min="7682" max="7682" width="14.85546875" style="3" customWidth="1"/>
    <col min="7683" max="7683" width="13.28515625" style="3" customWidth="1"/>
    <col min="7684" max="7684" width="11.42578125" style="3"/>
    <col min="7685" max="7685" width="13.42578125" style="3" customWidth="1"/>
    <col min="7686" max="7686" width="12.7109375" style="3" customWidth="1"/>
    <col min="7687" max="7687" width="14" style="3" customWidth="1"/>
    <col min="7688" max="7688" width="7.42578125" style="3" customWidth="1"/>
    <col min="7689" max="7936" width="11.42578125" style="3"/>
    <col min="7937" max="7937" width="15.85546875" style="3" customWidth="1"/>
    <col min="7938" max="7938" width="14.85546875" style="3" customWidth="1"/>
    <col min="7939" max="7939" width="13.28515625" style="3" customWidth="1"/>
    <col min="7940" max="7940" width="11.42578125" style="3"/>
    <col min="7941" max="7941" width="13.42578125" style="3" customWidth="1"/>
    <col min="7942" max="7942" width="12.7109375" style="3" customWidth="1"/>
    <col min="7943" max="7943" width="14" style="3" customWidth="1"/>
    <col min="7944" max="7944" width="7.42578125" style="3" customWidth="1"/>
    <col min="7945" max="8192" width="11.42578125" style="3"/>
    <col min="8193" max="8193" width="15.85546875" style="3" customWidth="1"/>
    <col min="8194" max="8194" width="14.85546875" style="3" customWidth="1"/>
    <col min="8195" max="8195" width="13.28515625" style="3" customWidth="1"/>
    <col min="8196" max="8196" width="11.42578125" style="3"/>
    <col min="8197" max="8197" width="13.42578125" style="3" customWidth="1"/>
    <col min="8198" max="8198" width="12.7109375" style="3" customWidth="1"/>
    <col min="8199" max="8199" width="14" style="3" customWidth="1"/>
    <col min="8200" max="8200" width="7.42578125" style="3" customWidth="1"/>
    <col min="8201" max="8448" width="11.42578125" style="3"/>
    <col min="8449" max="8449" width="15.85546875" style="3" customWidth="1"/>
    <col min="8450" max="8450" width="14.85546875" style="3" customWidth="1"/>
    <col min="8451" max="8451" width="13.28515625" style="3" customWidth="1"/>
    <col min="8452" max="8452" width="11.42578125" style="3"/>
    <col min="8453" max="8453" width="13.42578125" style="3" customWidth="1"/>
    <col min="8454" max="8454" width="12.7109375" style="3" customWidth="1"/>
    <col min="8455" max="8455" width="14" style="3" customWidth="1"/>
    <col min="8456" max="8456" width="7.42578125" style="3" customWidth="1"/>
    <col min="8457" max="8704" width="11.42578125" style="3"/>
    <col min="8705" max="8705" width="15.85546875" style="3" customWidth="1"/>
    <col min="8706" max="8706" width="14.85546875" style="3" customWidth="1"/>
    <col min="8707" max="8707" width="13.28515625" style="3" customWidth="1"/>
    <col min="8708" max="8708" width="11.42578125" style="3"/>
    <col min="8709" max="8709" width="13.42578125" style="3" customWidth="1"/>
    <col min="8710" max="8710" width="12.7109375" style="3" customWidth="1"/>
    <col min="8711" max="8711" width="14" style="3" customWidth="1"/>
    <col min="8712" max="8712" width="7.42578125" style="3" customWidth="1"/>
    <col min="8713" max="8960" width="11.42578125" style="3"/>
    <col min="8961" max="8961" width="15.85546875" style="3" customWidth="1"/>
    <col min="8962" max="8962" width="14.85546875" style="3" customWidth="1"/>
    <col min="8963" max="8963" width="13.28515625" style="3" customWidth="1"/>
    <col min="8964" max="8964" width="11.42578125" style="3"/>
    <col min="8965" max="8965" width="13.42578125" style="3" customWidth="1"/>
    <col min="8966" max="8966" width="12.7109375" style="3" customWidth="1"/>
    <col min="8967" max="8967" width="14" style="3" customWidth="1"/>
    <col min="8968" max="8968" width="7.42578125" style="3" customWidth="1"/>
    <col min="8969" max="9216" width="11.42578125" style="3"/>
    <col min="9217" max="9217" width="15.85546875" style="3" customWidth="1"/>
    <col min="9218" max="9218" width="14.85546875" style="3" customWidth="1"/>
    <col min="9219" max="9219" width="13.28515625" style="3" customWidth="1"/>
    <col min="9220" max="9220" width="11.42578125" style="3"/>
    <col min="9221" max="9221" width="13.42578125" style="3" customWidth="1"/>
    <col min="9222" max="9222" width="12.7109375" style="3" customWidth="1"/>
    <col min="9223" max="9223" width="14" style="3" customWidth="1"/>
    <col min="9224" max="9224" width="7.42578125" style="3" customWidth="1"/>
    <col min="9225" max="9472" width="11.42578125" style="3"/>
    <col min="9473" max="9473" width="15.85546875" style="3" customWidth="1"/>
    <col min="9474" max="9474" width="14.85546875" style="3" customWidth="1"/>
    <col min="9475" max="9475" width="13.28515625" style="3" customWidth="1"/>
    <col min="9476" max="9476" width="11.42578125" style="3"/>
    <col min="9477" max="9477" width="13.42578125" style="3" customWidth="1"/>
    <col min="9478" max="9478" width="12.7109375" style="3" customWidth="1"/>
    <col min="9479" max="9479" width="14" style="3" customWidth="1"/>
    <col min="9480" max="9480" width="7.42578125" style="3" customWidth="1"/>
    <col min="9481" max="9728" width="11.42578125" style="3"/>
    <col min="9729" max="9729" width="15.85546875" style="3" customWidth="1"/>
    <col min="9730" max="9730" width="14.85546875" style="3" customWidth="1"/>
    <col min="9731" max="9731" width="13.28515625" style="3" customWidth="1"/>
    <col min="9732" max="9732" width="11.42578125" style="3"/>
    <col min="9733" max="9733" width="13.42578125" style="3" customWidth="1"/>
    <col min="9734" max="9734" width="12.7109375" style="3" customWidth="1"/>
    <col min="9735" max="9735" width="14" style="3" customWidth="1"/>
    <col min="9736" max="9736" width="7.42578125" style="3" customWidth="1"/>
    <col min="9737" max="9984" width="11.42578125" style="3"/>
    <col min="9985" max="9985" width="15.85546875" style="3" customWidth="1"/>
    <col min="9986" max="9986" width="14.85546875" style="3" customWidth="1"/>
    <col min="9987" max="9987" width="13.28515625" style="3" customWidth="1"/>
    <col min="9988" max="9988" width="11.42578125" style="3"/>
    <col min="9989" max="9989" width="13.42578125" style="3" customWidth="1"/>
    <col min="9990" max="9990" width="12.7109375" style="3" customWidth="1"/>
    <col min="9991" max="9991" width="14" style="3" customWidth="1"/>
    <col min="9992" max="9992" width="7.42578125" style="3" customWidth="1"/>
    <col min="9993" max="10240" width="11.42578125" style="3"/>
    <col min="10241" max="10241" width="15.85546875" style="3" customWidth="1"/>
    <col min="10242" max="10242" width="14.85546875" style="3" customWidth="1"/>
    <col min="10243" max="10243" width="13.28515625" style="3" customWidth="1"/>
    <col min="10244" max="10244" width="11.42578125" style="3"/>
    <col min="10245" max="10245" width="13.42578125" style="3" customWidth="1"/>
    <col min="10246" max="10246" width="12.7109375" style="3" customWidth="1"/>
    <col min="10247" max="10247" width="14" style="3" customWidth="1"/>
    <col min="10248" max="10248" width="7.42578125" style="3" customWidth="1"/>
    <col min="10249" max="10496" width="11.42578125" style="3"/>
    <col min="10497" max="10497" width="15.85546875" style="3" customWidth="1"/>
    <col min="10498" max="10498" width="14.85546875" style="3" customWidth="1"/>
    <col min="10499" max="10499" width="13.28515625" style="3" customWidth="1"/>
    <col min="10500" max="10500" width="11.42578125" style="3"/>
    <col min="10501" max="10501" width="13.42578125" style="3" customWidth="1"/>
    <col min="10502" max="10502" width="12.7109375" style="3" customWidth="1"/>
    <col min="10503" max="10503" width="14" style="3" customWidth="1"/>
    <col min="10504" max="10504" width="7.42578125" style="3" customWidth="1"/>
    <col min="10505" max="10752" width="11.42578125" style="3"/>
    <col min="10753" max="10753" width="15.85546875" style="3" customWidth="1"/>
    <col min="10754" max="10754" width="14.85546875" style="3" customWidth="1"/>
    <col min="10755" max="10755" width="13.28515625" style="3" customWidth="1"/>
    <col min="10756" max="10756" width="11.42578125" style="3"/>
    <col min="10757" max="10757" width="13.42578125" style="3" customWidth="1"/>
    <col min="10758" max="10758" width="12.7109375" style="3" customWidth="1"/>
    <col min="10759" max="10759" width="14" style="3" customWidth="1"/>
    <col min="10760" max="10760" width="7.42578125" style="3" customWidth="1"/>
    <col min="10761" max="11008" width="11.42578125" style="3"/>
    <col min="11009" max="11009" width="15.85546875" style="3" customWidth="1"/>
    <col min="11010" max="11010" width="14.85546875" style="3" customWidth="1"/>
    <col min="11011" max="11011" width="13.28515625" style="3" customWidth="1"/>
    <col min="11012" max="11012" width="11.42578125" style="3"/>
    <col min="11013" max="11013" width="13.42578125" style="3" customWidth="1"/>
    <col min="11014" max="11014" width="12.7109375" style="3" customWidth="1"/>
    <col min="11015" max="11015" width="14" style="3" customWidth="1"/>
    <col min="11016" max="11016" width="7.42578125" style="3" customWidth="1"/>
    <col min="11017" max="11264" width="11.42578125" style="3"/>
    <col min="11265" max="11265" width="15.85546875" style="3" customWidth="1"/>
    <col min="11266" max="11266" width="14.85546875" style="3" customWidth="1"/>
    <col min="11267" max="11267" width="13.28515625" style="3" customWidth="1"/>
    <col min="11268" max="11268" width="11.42578125" style="3"/>
    <col min="11269" max="11269" width="13.42578125" style="3" customWidth="1"/>
    <col min="11270" max="11270" width="12.7109375" style="3" customWidth="1"/>
    <col min="11271" max="11271" width="14" style="3" customWidth="1"/>
    <col min="11272" max="11272" width="7.42578125" style="3" customWidth="1"/>
    <col min="11273" max="11520" width="11.42578125" style="3"/>
    <col min="11521" max="11521" width="15.85546875" style="3" customWidth="1"/>
    <col min="11522" max="11522" width="14.85546875" style="3" customWidth="1"/>
    <col min="11523" max="11523" width="13.28515625" style="3" customWidth="1"/>
    <col min="11524" max="11524" width="11.42578125" style="3"/>
    <col min="11525" max="11525" width="13.42578125" style="3" customWidth="1"/>
    <col min="11526" max="11526" width="12.7109375" style="3" customWidth="1"/>
    <col min="11527" max="11527" width="14" style="3" customWidth="1"/>
    <col min="11528" max="11528" width="7.42578125" style="3" customWidth="1"/>
    <col min="11529" max="11776" width="11.42578125" style="3"/>
    <col min="11777" max="11777" width="15.85546875" style="3" customWidth="1"/>
    <col min="11778" max="11778" width="14.85546875" style="3" customWidth="1"/>
    <col min="11779" max="11779" width="13.28515625" style="3" customWidth="1"/>
    <col min="11780" max="11780" width="11.42578125" style="3"/>
    <col min="11781" max="11781" width="13.42578125" style="3" customWidth="1"/>
    <col min="11782" max="11782" width="12.7109375" style="3" customWidth="1"/>
    <col min="11783" max="11783" width="14" style="3" customWidth="1"/>
    <col min="11784" max="11784" width="7.42578125" style="3" customWidth="1"/>
    <col min="11785" max="12032" width="11.42578125" style="3"/>
    <col min="12033" max="12033" width="15.85546875" style="3" customWidth="1"/>
    <col min="12034" max="12034" width="14.85546875" style="3" customWidth="1"/>
    <col min="12035" max="12035" width="13.28515625" style="3" customWidth="1"/>
    <col min="12036" max="12036" width="11.42578125" style="3"/>
    <col min="12037" max="12037" width="13.42578125" style="3" customWidth="1"/>
    <col min="12038" max="12038" width="12.7109375" style="3" customWidth="1"/>
    <col min="12039" max="12039" width="14" style="3" customWidth="1"/>
    <col min="12040" max="12040" width="7.42578125" style="3" customWidth="1"/>
    <col min="12041" max="12288" width="11.42578125" style="3"/>
    <col min="12289" max="12289" width="15.85546875" style="3" customWidth="1"/>
    <col min="12290" max="12290" width="14.85546875" style="3" customWidth="1"/>
    <col min="12291" max="12291" width="13.28515625" style="3" customWidth="1"/>
    <col min="12292" max="12292" width="11.42578125" style="3"/>
    <col min="12293" max="12293" width="13.42578125" style="3" customWidth="1"/>
    <col min="12294" max="12294" width="12.7109375" style="3" customWidth="1"/>
    <col min="12295" max="12295" width="14" style="3" customWidth="1"/>
    <col min="12296" max="12296" width="7.42578125" style="3" customWidth="1"/>
    <col min="12297" max="12544" width="11.42578125" style="3"/>
    <col min="12545" max="12545" width="15.85546875" style="3" customWidth="1"/>
    <col min="12546" max="12546" width="14.85546875" style="3" customWidth="1"/>
    <col min="12547" max="12547" width="13.28515625" style="3" customWidth="1"/>
    <col min="12548" max="12548" width="11.42578125" style="3"/>
    <col min="12549" max="12549" width="13.42578125" style="3" customWidth="1"/>
    <col min="12550" max="12550" width="12.7109375" style="3" customWidth="1"/>
    <col min="12551" max="12551" width="14" style="3" customWidth="1"/>
    <col min="12552" max="12552" width="7.42578125" style="3" customWidth="1"/>
    <col min="12553" max="12800" width="11.42578125" style="3"/>
    <col min="12801" max="12801" width="15.85546875" style="3" customWidth="1"/>
    <col min="12802" max="12802" width="14.85546875" style="3" customWidth="1"/>
    <col min="12803" max="12803" width="13.28515625" style="3" customWidth="1"/>
    <col min="12804" max="12804" width="11.42578125" style="3"/>
    <col min="12805" max="12805" width="13.42578125" style="3" customWidth="1"/>
    <col min="12806" max="12806" width="12.7109375" style="3" customWidth="1"/>
    <col min="12807" max="12807" width="14" style="3" customWidth="1"/>
    <col min="12808" max="12808" width="7.42578125" style="3" customWidth="1"/>
    <col min="12809" max="13056" width="11.42578125" style="3"/>
    <col min="13057" max="13057" width="15.85546875" style="3" customWidth="1"/>
    <col min="13058" max="13058" width="14.85546875" style="3" customWidth="1"/>
    <col min="13059" max="13059" width="13.28515625" style="3" customWidth="1"/>
    <col min="13060" max="13060" width="11.42578125" style="3"/>
    <col min="13061" max="13061" width="13.42578125" style="3" customWidth="1"/>
    <col min="13062" max="13062" width="12.7109375" style="3" customWidth="1"/>
    <col min="13063" max="13063" width="14" style="3" customWidth="1"/>
    <col min="13064" max="13064" width="7.42578125" style="3" customWidth="1"/>
    <col min="13065" max="13312" width="11.42578125" style="3"/>
    <col min="13313" max="13313" width="15.85546875" style="3" customWidth="1"/>
    <col min="13314" max="13314" width="14.85546875" style="3" customWidth="1"/>
    <col min="13315" max="13315" width="13.28515625" style="3" customWidth="1"/>
    <col min="13316" max="13316" width="11.42578125" style="3"/>
    <col min="13317" max="13317" width="13.42578125" style="3" customWidth="1"/>
    <col min="13318" max="13318" width="12.7109375" style="3" customWidth="1"/>
    <col min="13319" max="13319" width="14" style="3" customWidth="1"/>
    <col min="13320" max="13320" width="7.42578125" style="3" customWidth="1"/>
    <col min="13321" max="13568" width="11.42578125" style="3"/>
    <col min="13569" max="13569" width="15.85546875" style="3" customWidth="1"/>
    <col min="13570" max="13570" width="14.85546875" style="3" customWidth="1"/>
    <col min="13571" max="13571" width="13.28515625" style="3" customWidth="1"/>
    <col min="13572" max="13572" width="11.42578125" style="3"/>
    <col min="13573" max="13573" width="13.42578125" style="3" customWidth="1"/>
    <col min="13574" max="13574" width="12.7109375" style="3" customWidth="1"/>
    <col min="13575" max="13575" width="14" style="3" customWidth="1"/>
    <col min="13576" max="13576" width="7.42578125" style="3" customWidth="1"/>
    <col min="13577" max="13824" width="11.42578125" style="3"/>
    <col min="13825" max="13825" width="15.85546875" style="3" customWidth="1"/>
    <col min="13826" max="13826" width="14.85546875" style="3" customWidth="1"/>
    <col min="13827" max="13827" width="13.28515625" style="3" customWidth="1"/>
    <col min="13828" max="13828" width="11.42578125" style="3"/>
    <col min="13829" max="13829" width="13.42578125" style="3" customWidth="1"/>
    <col min="13830" max="13830" width="12.7109375" style="3" customWidth="1"/>
    <col min="13831" max="13831" width="14" style="3" customWidth="1"/>
    <col min="13832" max="13832" width="7.42578125" style="3" customWidth="1"/>
    <col min="13833" max="14080" width="11.42578125" style="3"/>
    <col min="14081" max="14081" width="15.85546875" style="3" customWidth="1"/>
    <col min="14082" max="14082" width="14.85546875" style="3" customWidth="1"/>
    <col min="14083" max="14083" width="13.28515625" style="3" customWidth="1"/>
    <col min="14084" max="14084" width="11.42578125" style="3"/>
    <col min="14085" max="14085" width="13.42578125" style="3" customWidth="1"/>
    <col min="14086" max="14086" width="12.7109375" style="3" customWidth="1"/>
    <col min="14087" max="14087" width="14" style="3" customWidth="1"/>
    <col min="14088" max="14088" width="7.42578125" style="3" customWidth="1"/>
    <col min="14089" max="14336" width="11.42578125" style="3"/>
    <col min="14337" max="14337" width="15.85546875" style="3" customWidth="1"/>
    <col min="14338" max="14338" width="14.85546875" style="3" customWidth="1"/>
    <col min="14339" max="14339" width="13.28515625" style="3" customWidth="1"/>
    <col min="14340" max="14340" width="11.42578125" style="3"/>
    <col min="14341" max="14341" width="13.42578125" style="3" customWidth="1"/>
    <col min="14342" max="14342" width="12.7109375" style="3" customWidth="1"/>
    <col min="14343" max="14343" width="14" style="3" customWidth="1"/>
    <col min="14344" max="14344" width="7.42578125" style="3" customWidth="1"/>
    <col min="14345" max="14592" width="11.42578125" style="3"/>
    <col min="14593" max="14593" width="15.85546875" style="3" customWidth="1"/>
    <col min="14594" max="14594" width="14.85546875" style="3" customWidth="1"/>
    <col min="14595" max="14595" width="13.28515625" style="3" customWidth="1"/>
    <col min="14596" max="14596" width="11.42578125" style="3"/>
    <col min="14597" max="14597" width="13.42578125" style="3" customWidth="1"/>
    <col min="14598" max="14598" width="12.7109375" style="3" customWidth="1"/>
    <col min="14599" max="14599" width="14" style="3" customWidth="1"/>
    <col min="14600" max="14600" width="7.42578125" style="3" customWidth="1"/>
    <col min="14601" max="14848" width="11.42578125" style="3"/>
    <col min="14849" max="14849" width="15.85546875" style="3" customWidth="1"/>
    <col min="14850" max="14850" width="14.85546875" style="3" customWidth="1"/>
    <col min="14851" max="14851" width="13.28515625" style="3" customWidth="1"/>
    <col min="14852" max="14852" width="11.42578125" style="3"/>
    <col min="14853" max="14853" width="13.42578125" style="3" customWidth="1"/>
    <col min="14854" max="14854" width="12.7109375" style="3" customWidth="1"/>
    <col min="14855" max="14855" width="14" style="3" customWidth="1"/>
    <col min="14856" max="14856" width="7.42578125" style="3" customWidth="1"/>
    <col min="14857" max="15104" width="11.42578125" style="3"/>
    <col min="15105" max="15105" width="15.85546875" style="3" customWidth="1"/>
    <col min="15106" max="15106" width="14.85546875" style="3" customWidth="1"/>
    <col min="15107" max="15107" width="13.28515625" style="3" customWidth="1"/>
    <col min="15108" max="15108" width="11.42578125" style="3"/>
    <col min="15109" max="15109" width="13.42578125" style="3" customWidth="1"/>
    <col min="15110" max="15110" width="12.7109375" style="3" customWidth="1"/>
    <col min="15111" max="15111" width="14" style="3" customWidth="1"/>
    <col min="15112" max="15112" width="7.42578125" style="3" customWidth="1"/>
    <col min="15113" max="15360" width="11.42578125" style="3"/>
    <col min="15361" max="15361" width="15.85546875" style="3" customWidth="1"/>
    <col min="15362" max="15362" width="14.85546875" style="3" customWidth="1"/>
    <col min="15363" max="15363" width="13.28515625" style="3" customWidth="1"/>
    <col min="15364" max="15364" width="11.42578125" style="3"/>
    <col min="15365" max="15365" width="13.42578125" style="3" customWidth="1"/>
    <col min="15366" max="15366" width="12.7109375" style="3" customWidth="1"/>
    <col min="15367" max="15367" width="14" style="3" customWidth="1"/>
    <col min="15368" max="15368" width="7.42578125" style="3" customWidth="1"/>
    <col min="15369" max="15616" width="11.42578125" style="3"/>
    <col min="15617" max="15617" width="15.85546875" style="3" customWidth="1"/>
    <col min="15618" max="15618" width="14.85546875" style="3" customWidth="1"/>
    <col min="15619" max="15619" width="13.28515625" style="3" customWidth="1"/>
    <col min="15620" max="15620" width="11.42578125" style="3"/>
    <col min="15621" max="15621" width="13.42578125" style="3" customWidth="1"/>
    <col min="15622" max="15622" width="12.7109375" style="3" customWidth="1"/>
    <col min="15623" max="15623" width="14" style="3" customWidth="1"/>
    <col min="15624" max="15624" width="7.42578125" style="3" customWidth="1"/>
    <col min="15625" max="15872" width="11.42578125" style="3"/>
    <col min="15873" max="15873" width="15.85546875" style="3" customWidth="1"/>
    <col min="15874" max="15874" width="14.85546875" style="3" customWidth="1"/>
    <col min="15875" max="15875" width="13.28515625" style="3" customWidth="1"/>
    <col min="15876" max="15876" width="11.42578125" style="3"/>
    <col min="15877" max="15877" width="13.42578125" style="3" customWidth="1"/>
    <col min="15878" max="15878" width="12.7109375" style="3" customWidth="1"/>
    <col min="15879" max="15879" width="14" style="3" customWidth="1"/>
    <col min="15880" max="15880" width="7.42578125" style="3" customWidth="1"/>
    <col min="15881" max="16128" width="11.42578125" style="3"/>
    <col min="16129" max="16129" width="15.85546875" style="3" customWidth="1"/>
    <col min="16130" max="16130" width="14.85546875" style="3" customWidth="1"/>
    <col min="16131" max="16131" width="13.28515625" style="3" customWidth="1"/>
    <col min="16132" max="16132" width="11.42578125" style="3"/>
    <col min="16133" max="16133" width="13.42578125" style="3" customWidth="1"/>
    <col min="16134" max="16134" width="12.7109375" style="3" customWidth="1"/>
    <col min="16135" max="16135" width="14" style="3" customWidth="1"/>
    <col min="16136" max="16136" width="7.42578125" style="3" customWidth="1"/>
    <col min="16137" max="16384" width="11.42578125" style="3"/>
  </cols>
  <sheetData>
    <row r="1" spans="1:21" ht="20.25">
      <c r="A1" s="1346" t="str">
        <f>PPTO!D3</f>
        <v>PRESUPUESTO
MUNICIPIO EL BAGRE (ANTIOQUIA).</v>
      </c>
      <c r="B1" s="1347"/>
      <c r="C1" s="1347"/>
      <c r="D1" s="1347"/>
      <c r="E1" s="1347"/>
      <c r="F1" s="1347"/>
      <c r="G1" s="1348"/>
      <c r="H1" s="1"/>
      <c r="I1" s="2"/>
    </row>
    <row r="2" spans="1:21" ht="18" customHeight="1">
      <c r="A2" s="1362" t="s">
        <v>16</v>
      </c>
      <c r="B2" s="1363"/>
      <c r="C2" s="1363"/>
      <c r="D2" s="1363"/>
      <c r="E2" s="1363"/>
      <c r="F2" s="1363"/>
      <c r="G2" s="1364"/>
      <c r="H2" s="1"/>
      <c r="I2" s="2"/>
    </row>
    <row r="3" spans="1:21" ht="27" customHeight="1">
      <c r="A3" s="1367" t="str">
        <f>+PPTO!$D$5</f>
        <v>PROYECTO DE MEJORAMIENTO VIAL, ESPACIO PUBLICO Y OBRAS COMPLEMENTARIAS DE LA AVENIDA LA JUVENTUD Y TRAMOS ADYACENTES Y PRIORITARIOS DEL SECTOR URBANO EN EL MUNICIPIO EL BAGRE ANTIOQUIA.</v>
      </c>
      <c r="B3" s="1368"/>
      <c r="C3" s="1368"/>
      <c r="D3" s="1368"/>
      <c r="E3" s="1368"/>
      <c r="F3" s="1368"/>
      <c r="G3" s="1369"/>
      <c r="H3" s="1"/>
      <c r="I3" s="2"/>
    </row>
    <row r="4" spans="1:21" ht="13.5" customHeight="1">
      <c r="A4" s="1370"/>
      <c r="B4" s="1368"/>
      <c r="C4" s="1368"/>
      <c r="D4" s="1368"/>
      <c r="E4" s="1368"/>
      <c r="F4" s="1368"/>
      <c r="G4" s="1369"/>
      <c r="H4" s="1"/>
      <c r="I4" s="2"/>
    </row>
    <row r="5" spans="1:21" ht="6.75" customHeight="1">
      <c r="A5" s="222"/>
      <c r="B5" s="6"/>
      <c r="C5" s="24"/>
      <c r="D5" s="25"/>
      <c r="E5" s="6"/>
      <c r="F5" s="6"/>
      <c r="G5" s="223"/>
      <c r="H5" s="9"/>
    </row>
    <row r="6" spans="1:21">
      <c r="A6" s="368">
        <v>6.24</v>
      </c>
      <c r="B6" s="1349" t="str">
        <f>VLOOKUP(A6,PPTO!D9:I136,2,FALSE)</f>
        <v>Suministro e instalación Tee 4" x 4" PVC  ó Similar</v>
      </c>
      <c r="C6" s="1350"/>
      <c r="D6" s="1350"/>
      <c r="E6" s="1351"/>
      <c r="F6" s="192" t="s">
        <v>118</v>
      </c>
      <c r="G6" s="248" t="str">
        <f>VLOOKUP(A6,PPTO!D9:I136,3,FALSE)</f>
        <v>und</v>
      </c>
      <c r="H6" s="9"/>
    </row>
    <row r="7" spans="1:21" ht="3.75" customHeight="1">
      <c r="A7" s="226"/>
      <c r="B7" s="4"/>
      <c r="C7" s="6"/>
      <c r="D7" s="4"/>
      <c r="E7" s="4"/>
      <c r="F7" s="4"/>
      <c r="G7" s="227"/>
      <c r="H7" s="9"/>
    </row>
    <row r="8" spans="1:21" ht="22.5" customHeight="1">
      <c r="A8" s="1354" t="s">
        <v>69</v>
      </c>
      <c r="B8" s="1355"/>
      <c r="C8" s="1355"/>
      <c r="D8" s="1355"/>
      <c r="E8" s="1355"/>
      <c r="F8" s="1355"/>
      <c r="G8" s="1356"/>
      <c r="H8" s="9"/>
    </row>
    <row r="9" spans="1:21" ht="4.5" customHeight="1">
      <c r="A9" s="226"/>
      <c r="B9" s="4"/>
      <c r="C9" s="6"/>
      <c r="D9" s="4"/>
      <c r="E9" s="4"/>
      <c r="F9" s="4"/>
      <c r="G9" s="227"/>
      <c r="H9" s="9"/>
      <c r="I9" s="5"/>
      <c r="J9" s="5"/>
      <c r="K9" s="5"/>
      <c r="L9" s="26"/>
      <c r="M9" s="5"/>
      <c r="N9" s="5"/>
      <c r="O9" s="5"/>
      <c r="P9" s="5"/>
    </row>
    <row r="10" spans="1:21">
      <c r="A10" s="1373" t="s">
        <v>17</v>
      </c>
      <c r="B10" s="1374"/>
      <c r="C10" s="1374"/>
      <c r="D10" s="353" t="s">
        <v>18</v>
      </c>
      <c r="E10" s="353" t="s">
        <v>19</v>
      </c>
      <c r="F10" s="353" t="s">
        <v>20</v>
      </c>
      <c r="G10" s="228" t="s">
        <v>21</v>
      </c>
      <c r="H10" s="27"/>
      <c r="I10" s="28"/>
      <c r="J10" s="29"/>
      <c r="K10" s="30"/>
      <c r="L10" s="30"/>
      <c r="M10" s="30"/>
      <c r="N10" s="30"/>
      <c r="O10" s="30"/>
      <c r="P10" s="5"/>
    </row>
    <row r="11" spans="1:21">
      <c r="A11" s="1352" t="s">
        <v>995</v>
      </c>
      <c r="B11" s="1353"/>
      <c r="C11" s="1353"/>
      <c r="D11" s="353"/>
      <c r="E11" s="83"/>
      <c r="F11" s="97"/>
      <c r="G11" s="229">
        <f>+G39*10%</f>
        <v>1527</v>
      </c>
      <c r="H11" s="9"/>
      <c r="I11" s="30"/>
      <c r="J11" s="31"/>
      <c r="K11" s="30"/>
      <c r="L11" s="30"/>
      <c r="M11" s="30"/>
      <c r="N11" s="30"/>
      <c r="O11" s="30"/>
      <c r="P11" s="5"/>
    </row>
    <row r="12" spans="1:21">
      <c r="A12" s="1371"/>
      <c r="B12" s="1372"/>
      <c r="C12" s="1372"/>
      <c r="D12" s="83"/>
      <c r="E12" s="83"/>
      <c r="F12" s="93"/>
      <c r="G12" s="229"/>
      <c r="H12" s="9"/>
      <c r="I12" s="16"/>
      <c r="J12" s="13"/>
      <c r="K12" s="8"/>
      <c r="L12" s="8"/>
      <c r="M12" s="8"/>
      <c r="N12" s="8"/>
      <c r="O12" s="8"/>
      <c r="P12" s="5"/>
    </row>
    <row r="13" spans="1:21">
      <c r="A13" s="1371"/>
      <c r="B13" s="1372"/>
      <c r="C13" s="1372"/>
      <c r="D13" s="83"/>
      <c r="E13" s="83"/>
      <c r="F13" s="93"/>
      <c r="G13" s="229"/>
      <c r="H13" s="9"/>
      <c r="I13" s="13"/>
      <c r="J13" s="13"/>
      <c r="K13" s="13"/>
      <c r="L13" s="13"/>
      <c r="M13" s="13"/>
      <c r="N13" s="13"/>
      <c r="O13" s="13"/>
      <c r="P13" s="5"/>
    </row>
    <row r="14" spans="1:21">
      <c r="A14" s="1371"/>
      <c r="B14" s="1372"/>
      <c r="C14" s="1372"/>
      <c r="D14" s="83"/>
      <c r="E14" s="83"/>
      <c r="F14" s="93"/>
      <c r="G14" s="229"/>
      <c r="H14" s="9"/>
      <c r="I14" s="8"/>
      <c r="J14" s="14"/>
      <c r="K14" s="32"/>
      <c r="L14" s="14"/>
      <c r="M14" s="15"/>
      <c r="N14" s="15"/>
      <c r="O14" s="19"/>
      <c r="P14" s="5"/>
    </row>
    <row r="15" spans="1:21">
      <c r="A15" s="1371"/>
      <c r="B15" s="1372"/>
      <c r="C15" s="1372"/>
      <c r="D15" s="83"/>
      <c r="E15" s="83"/>
      <c r="F15" s="98"/>
      <c r="G15" s="229"/>
      <c r="H15" s="9"/>
      <c r="I15" s="8"/>
      <c r="J15" s="33"/>
      <c r="K15" s="32"/>
      <c r="L15" s="14"/>
      <c r="M15" s="15"/>
      <c r="N15" s="15"/>
      <c r="O15" s="19"/>
      <c r="P15" s="5"/>
      <c r="Q15" s="5"/>
      <c r="R15" s="5"/>
      <c r="S15" s="5"/>
      <c r="T15" s="5"/>
      <c r="U15" s="5"/>
    </row>
    <row r="16" spans="1:21">
      <c r="A16" s="1371"/>
      <c r="B16" s="1372"/>
      <c r="C16" s="1372"/>
      <c r="D16" s="85" t="s">
        <v>37</v>
      </c>
      <c r="E16" s="50"/>
      <c r="F16" s="49"/>
      <c r="G16" s="230">
        <f>SUM(G11:G15)</f>
        <v>1527</v>
      </c>
      <c r="H16" s="9"/>
      <c r="I16" s="34"/>
      <c r="J16" s="34"/>
      <c r="K16" s="35"/>
      <c r="L16" s="36"/>
      <c r="M16" s="7"/>
      <c r="N16" s="7"/>
      <c r="O16" s="19"/>
      <c r="P16" s="5"/>
      <c r="Q16" s="5"/>
      <c r="R16" s="5"/>
      <c r="S16" s="5"/>
      <c r="T16" s="5"/>
      <c r="U16" s="5"/>
    </row>
    <row r="17" spans="1:21" ht="4.5" customHeight="1">
      <c r="A17" s="226"/>
      <c r="B17" s="4"/>
      <c r="C17" s="6"/>
      <c r="D17" s="4"/>
      <c r="E17" s="4"/>
      <c r="F17" s="4"/>
      <c r="G17" s="227"/>
      <c r="H17" s="9"/>
      <c r="I17" s="34"/>
      <c r="J17" s="34"/>
      <c r="K17" s="35"/>
      <c r="L17" s="36"/>
      <c r="M17" s="7"/>
      <c r="N17" s="7"/>
      <c r="O17" s="19"/>
      <c r="P17" s="5"/>
      <c r="Q17" s="5"/>
      <c r="R17" s="5"/>
      <c r="S17" s="5"/>
      <c r="T17" s="5"/>
      <c r="U17" s="5"/>
    </row>
    <row r="18" spans="1:21" ht="22.5" customHeight="1">
      <c r="A18" s="1354" t="s">
        <v>70</v>
      </c>
      <c r="B18" s="1355"/>
      <c r="C18" s="1355"/>
      <c r="D18" s="1355"/>
      <c r="E18" s="1355"/>
      <c r="F18" s="1355"/>
      <c r="G18" s="1356"/>
      <c r="H18" s="9"/>
    </row>
    <row r="19" spans="1:21" ht="4.5" customHeight="1">
      <c r="A19" s="226"/>
      <c r="B19" s="4"/>
      <c r="C19" s="6"/>
      <c r="D19" s="4"/>
      <c r="E19" s="4"/>
      <c r="F19" s="38"/>
      <c r="G19" s="227"/>
      <c r="H19" s="9"/>
      <c r="I19" s="34"/>
      <c r="J19" s="34"/>
      <c r="K19" s="35"/>
      <c r="L19" s="39"/>
      <c r="M19" s="7"/>
      <c r="N19" s="7"/>
      <c r="O19" s="8"/>
      <c r="P19" s="5"/>
      <c r="Q19" s="5"/>
      <c r="R19" s="5"/>
      <c r="S19" s="5"/>
      <c r="T19" s="5"/>
      <c r="U19" s="5"/>
    </row>
    <row r="20" spans="1:21">
      <c r="A20" s="1373" t="s">
        <v>17</v>
      </c>
      <c r="B20" s="1374"/>
      <c r="C20" s="1374"/>
      <c r="D20" s="353" t="s">
        <v>3</v>
      </c>
      <c r="E20" s="353" t="s">
        <v>4</v>
      </c>
      <c r="F20" s="353" t="s">
        <v>25</v>
      </c>
      <c r="G20" s="228" t="s">
        <v>21</v>
      </c>
      <c r="H20" s="27"/>
      <c r="I20" s="34"/>
      <c r="J20" s="34"/>
      <c r="K20" s="35"/>
      <c r="L20" s="39"/>
      <c r="M20" s="7"/>
      <c r="N20" s="7"/>
      <c r="O20" s="8"/>
      <c r="P20" s="5"/>
      <c r="Q20" s="5"/>
      <c r="R20" s="5"/>
      <c r="S20" s="5"/>
      <c r="T20" s="5"/>
      <c r="U20" s="5"/>
    </row>
    <row r="21" spans="1:21" ht="31.5" customHeight="1">
      <c r="A21" s="1441" t="str">
        <f>MID(I21,25,50)</f>
        <v xml:space="preserve"> Tee 4" x 4" PVC  ó Similar</v>
      </c>
      <c r="B21" s="1442"/>
      <c r="C21" s="1443"/>
      <c r="D21" s="118" t="s">
        <v>119</v>
      </c>
      <c r="E21" s="119">
        <v>1</v>
      </c>
      <c r="F21" s="87">
        <f>199636*IPC</f>
        <v>205984</v>
      </c>
      <c r="G21" s="231">
        <f>ROUND(F21*E21,0)</f>
        <v>205984</v>
      </c>
      <c r="H21" s="9"/>
      <c r="I21" s="34" t="str">
        <f>B6</f>
        <v>Suministro e instalación Tee 4" x 4" PVC  ó Similar</v>
      </c>
      <c r="J21" s="34"/>
      <c r="K21" s="35"/>
      <c r="L21" s="36"/>
      <c r="M21" s="7"/>
      <c r="N21" s="7"/>
      <c r="O21" s="19"/>
      <c r="P21" s="5"/>
      <c r="Q21" s="5"/>
      <c r="R21" s="5"/>
      <c r="S21" s="5"/>
      <c r="T21" s="5"/>
      <c r="U21" s="5"/>
    </row>
    <row r="22" spans="1:21">
      <c r="A22" s="1444"/>
      <c r="B22" s="1403"/>
      <c r="C22" s="1404"/>
      <c r="D22" s="116"/>
      <c r="E22" s="117"/>
      <c r="F22" s="91"/>
      <c r="G22" s="231"/>
      <c r="H22" s="9"/>
      <c r="I22" s="10"/>
      <c r="J22" s="10"/>
      <c r="K22" s="12"/>
      <c r="L22" s="39"/>
      <c r="M22" s="7"/>
      <c r="N22" s="7"/>
      <c r="O22" s="15"/>
      <c r="P22" s="5"/>
      <c r="Q22" s="5"/>
      <c r="R22" s="5"/>
      <c r="S22" s="5"/>
      <c r="T22" s="5"/>
      <c r="U22" s="5"/>
    </row>
    <row r="23" spans="1:21">
      <c r="A23" s="1386"/>
      <c r="B23" s="1353"/>
      <c r="C23" s="1353"/>
      <c r="D23" s="79"/>
      <c r="E23" s="82"/>
      <c r="F23" s="83"/>
      <c r="G23" s="67"/>
      <c r="H23" s="9"/>
      <c r="I23" s="10"/>
      <c r="J23" s="10"/>
      <c r="K23" s="12"/>
      <c r="L23" s="39"/>
      <c r="M23" s="7"/>
      <c r="N23" s="7"/>
      <c r="O23" s="15"/>
      <c r="P23" s="5"/>
      <c r="Q23" s="5"/>
      <c r="R23" s="5"/>
      <c r="S23" s="5"/>
      <c r="T23" s="5"/>
      <c r="U23" s="5"/>
    </row>
    <row r="24" spans="1:21">
      <c r="A24" s="1352"/>
      <c r="B24" s="1353"/>
      <c r="C24" s="1353"/>
      <c r="D24" s="81"/>
      <c r="E24" s="88"/>
      <c r="F24" s="78"/>
      <c r="G24" s="231"/>
      <c r="H24" s="9"/>
      <c r="I24" s="10"/>
      <c r="J24" s="40"/>
      <c r="K24" s="12"/>
      <c r="L24" s="13"/>
      <c r="M24" s="14"/>
      <c r="N24" s="14"/>
      <c r="O24" s="15"/>
      <c r="P24" s="5"/>
      <c r="Q24" s="5"/>
      <c r="R24" s="5"/>
      <c r="S24" s="5"/>
      <c r="T24" s="5"/>
      <c r="U24" s="5"/>
    </row>
    <row r="25" spans="1:21">
      <c r="A25" s="1352"/>
      <c r="B25" s="1353"/>
      <c r="C25" s="1353"/>
      <c r="D25" s="81"/>
      <c r="E25" s="82"/>
      <c r="F25" s="78"/>
      <c r="G25" s="231"/>
      <c r="H25" s="9"/>
      <c r="I25" s="10"/>
      <c r="J25" s="11"/>
      <c r="K25" s="12"/>
      <c r="L25" s="13"/>
      <c r="M25" s="14"/>
      <c r="N25" s="14"/>
      <c r="O25" s="15"/>
      <c r="P25" s="5"/>
      <c r="Q25" s="5"/>
      <c r="R25" s="5"/>
      <c r="S25" s="5"/>
      <c r="T25" s="5"/>
      <c r="U25" s="5"/>
    </row>
    <row r="26" spans="1:21">
      <c r="A26" s="1352"/>
      <c r="B26" s="1353"/>
      <c r="C26" s="1353"/>
      <c r="D26" s="79"/>
      <c r="E26" s="82"/>
      <c r="F26" s="78"/>
      <c r="G26" s="231"/>
      <c r="H26" s="9"/>
      <c r="I26" s="10"/>
      <c r="J26" s="11"/>
      <c r="K26" s="12"/>
      <c r="L26" s="13"/>
      <c r="M26" s="14"/>
      <c r="N26" s="14"/>
      <c r="O26" s="15"/>
      <c r="P26" s="5"/>
      <c r="Q26" s="5"/>
      <c r="R26" s="5"/>
      <c r="S26" s="5"/>
      <c r="T26" s="5"/>
      <c r="U26" s="5"/>
    </row>
    <row r="27" spans="1:21">
      <c r="A27" s="1352"/>
      <c r="B27" s="1353"/>
      <c r="C27" s="1353"/>
      <c r="D27" s="79"/>
      <c r="E27" s="82"/>
      <c r="F27" s="78"/>
      <c r="G27" s="231"/>
      <c r="H27" s="9"/>
      <c r="I27" s="10"/>
      <c r="J27" s="11"/>
      <c r="K27" s="12"/>
      <c r="L27" s="13"/>
      <c r="M27" s="14"/>
      <c r="N27" s="14"/>
      <c r="O27" s="15"/>
      <c r="P27" s="5"/>
      <c r="Q27" s="5"/>
      <c r="R27" s="5"/>
      <c r="S27" s="5"/>
      <c r="T27" s="5"/>
      <c r="U27" s="5"/>
    </row>
    <row r="28" spans="1:21">
      <c r="A28" s="1352"/>
      <c r="B28" s="1353"/>
      <c r="C28" s="1353"/>
      <c r="D28" s="79"/>
      <c r="E28" s="82"/>
      <c r="F28" s="83"/>
      <c r="G28" s="231"/>
      <c r="H28" s="9"/>
      <c r="I28" s="41"/>
      <c r="J28" s="41"/>
      <c r="K28" s="12"/>
      <c r="L28" s="13"/>
      <c r="M28" s="14"/>
      <c r="N28" s="14"/>
      <c r="O28" s="15"/>
      <c r="P28" s="5"/>
      <c r="Q28" s="5"/>
      <c r="R28" s="5"/>
      <c r="S28" s="5"/>
      <c r="T28" s="5"/>
      <c r="U28" s="5"/>
    </row>
    <row r="29" spans="1:21">
      <c r="A29" s="1352"/>
      <c r="B29" s="1353"/>
      <c r="C29" s="1353"/>
      <c r="D29" s="84"/>
      <c r="E29" s="84"/>
      <c r="F29" s="83"/>
      <c r="G29" s="231"/>
      <c r="H29" s="9"/>
      <c r="I29" s="42"/>
      <c r="J29" s="42"/>
      <c r="K29" s="42"/>
      <c r="L29" s="13"/>
      <c r="M29" s="14"/>
      <c r="N29" s="14"/>
      <c r="O29" s="15"/>
      <c r="P29" s="5"/>
      <c r="Q29" s="5"/>
      <c r="R29" s="5"/>
      <c r="S29" s="5"/>
      <c r="T29" s="5"/>
      <c r="U29" s="5"/>
    </row>
    <row r="30" spans="1:21">
      <c r="A30" s="1352"/>
      <c r="B30" s="1353"/>
      <c r="C30" s="1353"/>
      <c r="D30" s="85" t="s">
        <v>28</v>
      </c>
      <c r="E30" s="50"/>
      <c r="F30" s="49"/>
      <c r="G30" s="230">
        <f>SUM(G21:G29)</f>
        <v>205984</v>
      </c>
      <c r="H30" s="9"/>
      <c r="I30" s="8"/>
      <c r="J30" s="13"/>
      <c r="K30" s="8"/>
      <c r="L30" s="13"/>
      <c r="M30" s="14"/>
      <c r="N30" s="14"/>
      <c r="O30" s="15"/>
      <c r="P30" s="5"/>
    </row>
    <row r="31" spans="1:21" ht="3.75" customHeight="1">
      <c r="A31" s="226"/>
      <c r="B31" s="4"/>
      <c r="C31" s="6"/>
      <c r="D31" s="4"/>
      <c r="E31" s="4"/>
      <c r="F31" s="4"/>
      <c r="G31" s="227"/>
      <c r="H31" s="9"/>
      <c r="I31" s="8"/>
      <c r="J31" s="13"/>
      <c r="K31" s="18"/>
      <c r="L31" s="13"/>
      <c r="M31" s="33"/>
      <c r="N31" s="33"/>
      <c r="O31" s="15"/>
      <c r="P31" s="5"/>
    </row>
    <row r="32" spans="1:21" ht="22.5" customHeight="1">
      <c r="A32" s="1354" t="s">
        <v>71</v>
      </c>
      <c r="B32" s="1355"/>
      <c r="C32" s="1355"/>
      <c r="D32" s="1355"/>
      <c r="E32" s="1355"/>
      <c r="F32" s="1355"/>
      <c r="G32" s="1356"/>
      <c r="H32" s="9"/>
    </row>
    <row r="33" spans="1:16" ht="3.75" customHeight="1">
      <c r="A33" s="226"/>
      <c r="B33" s="4"/>
      <c r="C33" s="6"/>
      <c r="D33" s="4"/>
      <c r="E33" s="4"/>
      <c r="F33" s="4"/>
      <c r="G33" s="227"/>
      <c r="H33" s="9"/>
      <c r="I33" s="8"/>
      <c r="J33" s="13"/>
      <c r="K33" s="8"/>
      <c r="L33" s="8"/>
      <c r="M33" s="8"/>
      <c r="N33" s="8"/>
      <c r="O33" s="15"/>
      <c r="P33" s="5"/>
    </row>
    <row r="34" spans="1:16">
      <c r="A34" s="232" t="s">
        <v>5</v>
      </c>
      <c r="B34" s="60" t="s">
        <v>29</v>
      </c>
      <c r="C34" s="60" t="s">
        <v>30</v>
      </c>
      <c r="D34" s="60" t="s">
        <v>31</v>
      </c>
      <c r="E34" s="60" t="s">
        <v>32</v>
      </c>
      <c r="F34" s="60" t="s">
        <v>20</v>
      </c>
      <c r="G34" s="228" t="s">
        <v>33</v>
      </c>
      <c r="H34" s="27"/>
      <c r="I34" s="8"/>
      <c r="J34" s="13"/>
      <c r="K34" s="8"/>
      <c r="L34" s="8"/>
      <c r="M34" s="8"/>
      <c r="N34" s="8"/>
      <c r="O34" s="15"/>
      <c r="P34" s="5"/>
    </row>
    <row r="35" spans="1:16">
      <c r="A35" s="233" t="s">
        <v>41</v>
      </c>
      <c r="B35" s="63">
        <f>BOF</f>
        <v>51749</v>
      </c>
      <c r="C35" s="68">
        <f>ffpp</f>
        <v>0.64539999999999997</v>
      </c>
      <c r="D35" s="72">
        <v>1</v>
      </c>
      <c r="E35" s="66">
        <f>OF</f>
        <v>88696</v>
      </c>
      <c r="F35" s="65">
        <v>20</v>
      </c>
      <c r="G35" s="231">
        <f>ROUND(+D35*E35/F35,0)</f>
        <v>4435</v>
      </c>
      <c r="H35" s="9"/>
      <c r="I35" s="16"/>
      <c r="J35" s="13"/>
      <c r="K35" s="8"/>
      <c r="L35" s="8"/>
      <c r="M35" s="8"/>
      <c r="N35" s="8"/>
      <c r="O35" s="15"/>
      <c r="P35" s="5"/>
    </row>
    <row r="36" spans="1:16">
      <c r="A36" s="233" t="s">
        <v>38</v>
      </c>
      <c r="B36" s="63">
        <f>BOB</f>
        <v>41749</v>
      </c>
      <c r="C36" s="68">
        <f>ffpp</f>
        <v>0.64539999999999997</v>
      </c>
      <c r="D36" s="72">
        <v>3</v>
      </c>
      <c r="E36" s="66">
        <f>OB</f>
        <v>72242</v>
      </c>
      <c r="F36" s="65">
        <f>F35</f>
        <v>20</v>
      </c>
      <c r="G36" s="231">
        <f>ROUND(+D36*E36/F36,0)</f>
        <v>10836</v>
      </c>
      <c r="H36" s="9"/>
      <c r="I36" s="8"/>
      <c r="J36" s="8"/>
      <c r="K36" s="13"/>
      <c r="L36" s="13"/>
      <c r="M36" s="13"/>
      <c r="N36" s="13"/>
      <c r="O36" s="13"/>
      <c r="P36" s="5"/>
    </row>
    <row r="37" spans="1:16">
      <c r="A37" s="234"/>
      <c r="B37" s="50"/>
      <c r="C37" s="961"/>
      <c r="D37" s="50"/>
      <c r="E37" s="66"/>
      <c r="F37" s="65"/>
      <c r="G37" s="231"/>
      <c r="H37" s="9"/>
      <c r="I37" s="8"/>
      <c r="J37" s="13"/>
      <c r="K37" s="13"/>
      <c r="L37" s="13"/>
      <c r="M37" s="33"/>
      <c r="N37" s="33"/>
      <c r="O37" s="43"/>
      <c r="P37" s="5"/>
    </row>
    <row r="38" spans="1:16">
      <c r="A38" s="233"/>
      <c r="B38" s="65"/>
      <c r="C38" s="68"/>
      <c r="D38" s="65"/>
      <c r="E38" s="69"/>
      <c r="F38" s="69"/>
      <c r="G38" s="236"/>
      <c r="H38" s="9"/>
      <c r="I38" s="8"/>
      <c r="J38" s="13"/>
      <c r="K38" s="13"/>
      <c r="L38" s="13"/>
      <c r="M38" s="33"/>
      <c r="N38" s="33"/>
      <c r="O38" s="43"/>
      <c r="P38" s="5"/>
    </row>
    <row r="39" spans="1:16">
      <c r="A39" s="249"/>
      <c r="B39" s="71"/>
      <c r="C39" s="71"/>
      <c r="D39" s="71" t="s">
        <v>34</v>
      </c>
      <c r="E39" s="71"/>
      <c r="F39" s="71"/>
      <c r="G39" s="250">
        <f>SUM(G35:G38)</f>
        <v>15271</v>
      </c>
      <c r="H39" s="9"/>
      <c r="I39" s="8"/>
      <c r="J39" s="13"/>
      <c r="K39" s="13"/>
      <c r="L39" s="13"/>
      <c r="M39" s="14"/>
      <c r="N39" s="14"/>
      <c r="O39" s="15"/>
      <c r="P39" s="5"/>
    </row>
    <row r="40" spans="1:16">
      <c r="A40" s="226"/>
      <c r="B40" s="4"/>
      <c r="C40" s="6"/>
      <c r="D40" s="4"/>
      <c r="E40" s="4"/>
      <c r="F40" s="4"/>
      <c r="G40" s="227"/>
      <c r="H40" s="9"/>
      <c r="I40" s="8"/>
      <c r="J40" s="13"/>
      <c r="K40" s="13"/>
      <c r="L40" s="13"/>
      <c r="M40" s="14"/>
      <c r="N40" s="14"/>
      <c r="O40" s="19"/>
      <c r="P40" s="5"/>
    </row>
    <row r="41" spans="1:16">
      <c r="A41" s="226"/>
      <c r="B41" s="4"/>
      <c r="C41" s="6"/>
      <c r="D41" s="4"/>
      <c r="E41" s="4"/>
      <c r="F41" s="4"/>
      <c r="G41" s="227"/>
      <c r="H41" s="9"/>
      <c r="I41" s="8"/>
      <c r="J41" s="13"/>
      <c r="K41" s="13"/>
      <c r="L41" s="13"/>
      <c r="M41" s="17"/>
      <c r="N41" s="17"/>
      <c r="O41" s="37"/>
      <c r="P41" s="5"/>
    </row>
    <row r="42" spans="1:16" ht="14.25">
      <c r="A42" s="226"/>
      <c r="B42" s="4"/>
      <c r="C42" s="6"/>
      <c r="D42" s="1357" t="s">
        <v>35</v>
      </c>
      <c r="E42" s="1358"/>
      <c r="F42" s="1359"/>
      <c r="G42" s="239">
        <f>+G39+G30+G16</f>
        <v>222782</v>
      </c>
      <c r="H42" s="9"/>
      <c r="I42" s="48"/>
      <c r="J42" s="20"/>
      <c r="K42" s="8"/>
      <c r="L42" s="8"/>
      <c r="M42" s="8"/>
      <c r="N42" s="8"/>
      <c r="O42" s="8"/>
      <c r="P42" s="5"/>
    </row>
    <row r="43" spans="1:16" ht="14.25">
      <c r="A43" s="240"/>
      <c r="B43" s="57"/>
      <c r="C43" s="58"/>
      <c r="D43" s="99"/>
      <c r="E43" s="99"/>
      <c r="F43" s="99"/>
      <c r="G43" s="251"/>
      <c r="H43" s="9"/>
      <c r="I43" s="48"/>
      <c r="J43" s="20"/>
      <c r="K43" s="8"/>
      <c r="L43" s="8"/>
      <c r="M43" s="8"/>
      <c r="N43" s="8"/>
      <c r="O43" s="8"/>
      <c r="P43" s="5"/>
    </row>
    <row r="44" spans="1:16" ht="14.25">
      <c r="A44" s="374"/>
      <c r="B44" s="375"/>
      <c r="C44" s="375"/>
      <c r="D44" s="99"/>
      <c r="E44" s="99"/>
      <c r="F44" s="99"/>
      <c r="G44" s="251"/>
      <c r="H44" s="9"/>
      <c r="I44" s="48"/>
      <c r="J44" s="20"/>
      <c r="K44" s="8"/>
      <c r="L44" s="8"/>
      <c r="M44" s="8"/>
      <c r="N44" s="8"/>
      <c r="O44" s="8"/>
      <c r="P44" s="5"/>
    </row>
    <row r="45" spans="1:16" ht="14.25">
      <c r="A45" s="373"/>
      <c r="B45" s="376"/>
      <c r="C45" s="376"/>
      <c r="D45" s="99"/>
      <c r="E45" s="99"/>
      <c r="F45" s="99"/>
      <c r="G45" s="251"/>
      <c r="H45" s="9"/>
      <c r="I45" s="48"/>
      <c r="J45" s="20"/>
      <c r="K45" s="8"/>
      <c r="L45" s="8"/>
      <c r="M45" s="8"/>
      <c r="N45" s="8"/>
      <c r="O45" s="8"/>
      <c r="P45" s="5"/>
    </row>
    <row r="46" spans="1:16" ht="14.25">
      <c r="A46" s="373"/>
      <c r="B46" s="376"/>
      <c r="C46" s="376"/>
      <c r="D46" s="44"/>
      <c r="E46" s="45"/>
      <c r="F46" s="45"/>
      <c r="G46" s="251"/>
      <c r="H46" s="9"/>
      <c r="I46" s="8"/>
      <c r="J46" s="13"/>
      <c r="K46" s="8"/>
      <c r="L46" s="8"/>
      <c r="M46" s="8"/>
      <c r="N46" s="8"/>
      <c r="O46" s="8"/>
      <c r="P46" s="5"/>
    </row>
    <row r="47" spans="1:16" ht="15" thickBot="1">
      <c r="A47" s="242"/>
      <c r="B47" s="243"/>
      <c r="C47" s="244"/>
      <c r="D47" s="245"/>
      <c r="E47" s="246"/>
      <c r="F47" s="246"/>
      <c r="G47" s="247"/>
      <c r="H47" s="9"/>
      <c r="I47" s="8"/>
      <c r="J47" s="13"/>
      <c r="K47" s="8"/>
      <c r="L47" s="8"/>
      <c r="M47" s="8"/>
      <c r="N47" s="8"/>
      <c r="O47" s="8"/>
      <c r="P47" s="5"/>
    </row>
    <row r="48" spans="1:16">
      <c r="I48" s="5"/>
      <c r="J48" s="5"/>
      <c r="K48" s="5"/>
      <c r="L48" s="5"/>
      <c r="M48" s="5"/>
      <c r="N48" s="5"/>
      <c r="O48" s="5"/>
      <c r="P48" s="5"/>
    </row>
    <row r="49" spans="9:16">
      <c r="I49" s="5"/>
      <c r="J49" s="5"/>
      <c r="K49" s="5"/>
      <c r="L49" s="5"/>
      <c r="M49" s="5"/>
      <c r="N49" s="5"/>
      <c r="O49" s="5"/>
      <c r="P49" s="5"/>
    </row>
  </sheetData>
  <mergeCells count="26">
    <mergeCell ref="A10:C10"/>
    <mergeCell ref="A1:G1"/>
    <mergeCell ref="A2:G2"/>
    <mergeCell ref="A3:G4"/>
    <mergeCell ref="B6:E6"/>
    <mergeCell ref="A8:G8"/>
    <mergeCell ref="A24:C24"/>
    <mergeCell ref="A11:C11"/>
    <mergeCell ref="A12:C12"/>
    <mergeCell ref="A13:C13"/>
    <mergeCell ref="A14:C14"/>
    <mergeCell ref="A15:C15"/>
    <mergeCell ref="A16:C16"/>
    <mergeCell ref="A18:G18"/>
    <mergeCell ref="A20:C20"/>
    <mergeCell ref="A21:C21"/>
    <mergeCell ref="A22:C22"/>
    <mergeCell ref="A23:C23"/>
    <mergeCell ref="A32:G32"/>
    <mergeCell ref="D42:F42"/>
    <mergeCell ref="A25:C25"/>
    <mergeCell ref="A26:C26"/>
    <mergeCell ref="A27:C27"/>
    <mergeCell ref="A28:C28"/>
    <mergeCell ref="A29:C29"/>
    <mergeCell ref="A30:C30"/>
  </mergeCells>
  <printOptions horizontalCentered="1" verticalCentered="1"/>
  <pageMargins left="0.74803149606299213" right="0.74803149606299213" top="0" bottom="0.98425196850393704" header="0" footer="0"/>
  <pageSetup scale="90" orientation="portrait" r:id="rId1"/>
  <headerFooter alignWithMargins="0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79"/>
  <dimension ref="A1:U49"/>
  <sheetViews>
    <sheetView view="pageBreakPreview" zoomScaleNormal="100" zoomScaleSheetLayoutView="100" workbookViewId="0">
      <selection activeCell="F22" sqref="F22"/>
    </sheetView>
  </sheetViews>
  <sheetFormatPr baseColWidth="10" defaultColWidth="10.7109375" defaultRowHeight="12.75"/>
  <cols>
    <col min="1" max="1" width="15.85546875" style="3" customWidth="1"/>
    <col min="2" max="2" width="14.85546875" style="3" customWidth="1"/>
    <col min="3" max="3" width="13.28515625" style="3" customWidth="1"/>
    <col min="4" max="4" width="11.42578125" style="3"/>
    <col min="5" max="5" width="13.42578125" style="3" customWidth="1"/>
    <col min="6" max="6" width="12.7109375" style="3" customWidth="1"/>
    <col min="7" max="7" width="14" style="3" customWidth="1"/>
    <col min="8" max="8" width="7.42578125" style="3" customWidth="1"/>
    <col min="9" max="256" width="11.42578125" style="3"/>
    <col min="257" max="257" width="15.85546875" style="3" customWidth="1"/>
    <col min="258" max="258" width="14.85546875" style="3" customWidth="1"/>
    <col min="259" max="259" width="13.28515625" style="3" customWidth="1"/>
    <col min="260" max="260" width="11.42578125" style="3"/>
    <col min="261" max="261" width="13.42578125" style="3" customWidth="1"/>
    <col min="262" max="262" width="12.7109375" style="3" customWidth="1"/>
    <col min="263" max="263" width="14" style="3" customWidth="1"/>
    <col min="264" max="264" width="7.42578125" style="3" customWidth="1"/>
    <col min="265" max="512" width="11.42578125" style="3"/>
    <col min="513" max="513" width="15.85546875" style="3" customWidth="1"/>
    <col min="514" max="514" width="14.85546875" style="3" customWidth="1"/>
    <col min="515" max="515" width="13.28515625" style="3" customWidth="1"/>
    <col min="516" max="516" width="11.42578125" style="3"/>
    <col min="517" max="517" width="13.42578125" style="3" customWidth="1"/>
    <col min="518" max="518" width="12.7109375" style="3" customWidth="1"/>
    <col min="519" max="519" width="14" style="3" customWidth="1"/>
    <col min="520" max="520" width="7.42578125" style="3" customWidth="1"/>
    <col min="521" max="768" width="11.42578125" style="3"/>
    <col min="769" max="769" width="15.85546875" style="3" customWidth="1"/>
    <col min="770" max="770" width="14.85546875" style="3" customWidth="1"/>
    <col min="771" max="771" width="13.28515625" style="3" customWidth="1"/>
    <col min="772" max="772" width="11.42578125" style="3"/>
    <col min="773" max="773" width="13.42578125" style="3" customWidth="1"/>
    <col min="774" max="774" width="12.7109375" style="3" customWidth="1"/>
    <col min="775" max="775" width="14" style="3" customWidth="1"/>
    <col min="776" max="776" width="7.42578125" style="3" customWidth="1"/>
    <col min="777" max="1024" width="11.42578125" style="3"/>
    <col min="1025" max="1025" width="15.85546875" style="3" customWidth="1"/>
    <col min="1026" max="1026" width="14.85546875" style="3" customWidth="1"/>
    <col min="1027" max="1027" width="13.28515625" style="3" customWidth="1"/>
    <col min="1028" max="1028" width="11.42578125" style="3"/>
    <col min="1029" max="1029" width="13.42578125" style="3" customWidth="1"/>
    <col min="1030" max="1030" width="12.7109375" style="3" customWidth="1"/>
    <col min="1031" max="1031" width="14" style="3" customWidth="1"/>
    <col min="1032" max="1032" width="7.42578125" style="3" customWidth="1"/>
    <col min="1033" max="1280" width="11.42578125" style="3"/>
    <col min="1281" max="1281" width="15.85546875" style="3" customWidth="1"/>
    <col min="1282" max="1282" width="14.85546875" style="3" customWidth="1"/>
    <col min="1283" max="1283" width="13.28515625" style="3" customWidth="1"/>
    <col min="1284" max="1284" width="11.42578125" style="3"/>
    <col min="1285" max="1285" width="13.42578125" style="3" customWidth="1"/>
    <col min="1286" max="1286" width="12.7109375" style="3" customWidth="1"/>
    <col min="1287" max="1287" width="14" style="3" customWidth="1"/>
    <col min="1288" max="1288" width="7.42578125" style="3" customWidth="1"/>
    <col min="1289" max="1536" width="11.42578125" style="3"/>
    <col min="1537" max="1537" width="15.85546875" style="3" customWidth="1"/>
    <col min="1538" max="1538" width="14.85546875" style="3" customWidth="1"/>
    <col min="1539" max="1539" width="13.28515625" style="3" customWidth="1"/>
    <col min="1540" max="1540" width="11.42578125" style="3"/>
    <col min="1541" max="1541" width="13.42578125" style="3" customWidth="1"/>
    <col min="1542" max="1542" width="12.7109375" style="3" customWidth="1"/>
    <col min="1543" max="1543" width="14" style="3" customWidth="1"/>
    <col min="1544" max="1544" width="7.42578125" style="3" customWidth="1"/>
    <col min="1545" max="1792" width="11.42578125" style="3"/>
    <col min="1793" max="1793" width="15.85546875" style="3" customWidth="1"/>
    <col min="1794" max="1794" width="14.85546875" style="3" customWidth="1"/>
    <col min="1795" max="1795" width="13.28515625" style="3" customWidth="1"/>
    <col min="1796" max="1796" width="11.42578125" style="3"/>
    <col min="1797" max="1797" width="13.42578125" style="3" customWidth="1"/>
    <col min="1798" max="1798" width="12.7109375" style="3" customWidth="1"/>
    <col min="1799" max="1799" width="14" style="3" customWidth="1"/>
    <col min="1800" max="1800" width="7.42578125" style="3" customWidth="1"/>
    <col min="1801" max="2048" width="11.42578125" style="3"/>
    <col min="2049" max="2049" width="15.85546875" style="3" customWidth="1"/>
    <col min="2050" max="2050" width="14.85546875" style="3" customWidth="1"/>
    <col min="2051" max="2051" width="13.28515625" style="3" customWidth="1"/>
    <col min="2052" max="2052" width="11.42578125" style="3"/>
    <col min="2053" max="2053" width="13.42578125" style="3" customWidth="1"/>
    <col min="2054" max="2054" width="12.7109375" style="3" customWidth="1"/>
    <col min="2055" max="2055" width="14" style="3" customWidth="1"/>
    <col min="2056" max="2056" width="7.42578125" style="3" customWidth="1"/>
    <col min="2057" max="2304" width="11.42578125" style="3"/>
    <col min="2305" max="2305" width="15.85546875" style="3" customWidth="1"/>
    <col min="2306" max="2306" width="14.85546875" style="3" customWidth="1"/>
    <col min="2307" max="2307" width="13.28515625" style="3" customWidth="1"/>
    <col min="2308" max="2308" width="11.42578125" style="3"/>
    <col min="2309" max="2309" width="13.42578125" style="3" customWidth="1"/>
    <col min="2310" max="2310" width="12.7109375" style="3" customWidth="1"/>
    <col min="2311" max="2311" width="14" style="3" customWidth="1"/>
    <col min="2312" max="2312" width="7.42578125" style="3" customWidth="1"/>
    <col min="2313" max="2560" width="11.42578125" style="3"/>
    <col min="2561" max="2561" width="15.85546875" style="3" customWidth="1"/>
    <col min="2562" max="2562" width="14.85546875" style="3" customWidth="1"/>
    <col min="2563" max="2563" width="13.28515625" style="3" customWidth="1"/>
    <col min="2564" max="2564" width="11.42578125" style="3"/>
    <col min="2565" max="2565" width="13.42578125" style="3" customWidth="1"/>
    <col min="2566" max="2566" width="12.7109375" style="3" customWidth="1"/>
    <col min="2567" max="2567" width="14" style="3" customWidth="1"/>
    <col min="2568" max="2568" width="7.42578125" style="3" customWidth="1"/>
    <col min="2569" max="2816" width="11.42578125" style="3"/>
    <col min="2817" max="2817" width="15.85546875" style="3" customWidth="1"/>
    <col min="2818" max="2818" width="14.85546875" style="3" customWidth="1"/>
    <col min="2819" max="2819" width="13.28515625" style="3" customWidth="1"/>
    <col min="2820" max="2820" width="11.42578125" style="3"/>
    <col min="2821" max="2821" width="13.42578125" style="3" customWidth="1"/>
    <col min="2822" max="2822" width="12.7109375" style="3" customWidth="1"/>
    <col min="2823" max="2823" width="14" style="3" customWidth="1"/>
    <col min="2824" max="2824" width="7.42578125" style="3" customWidth="1"/>
    <col min="2825" max="3072" width="11.42578125" style="3"/>
    <col min="3073" max="3073" width="15.85546875" style="3" customWidth="1"/>
    <col min="3074" max="3074" width="14.85546875" style="3" customWidth="1"/>
    <col min="3075" max="3075" width="13.28515625" style="3" customWidth="1"/>
    <col min="3076" max="3076" width="11.42578125" style="3"/>
    <col min="3077" max="3077" width="13.42578125" style="3" customWidth="1"/>
    <col min="3078" max="3078" width="12.7109375" style="3" customWidth="1"/>
    <col min="3079" max="3079" width="14" style="3" customWidth="1"/>
    <col min="3080" max="3080" width="7.42578125" style="3" customWidth="1"/>
    <col min="3081" max="3328" width="11.42578125" style="3"/>
    <col min="3329" max="3329" width="15.85546875" style="3" customWidth="1"/>
    <col min="3330" max="3330" width="14.85546875" style="3" customWidth="1"/>
    <col min="3331" max="3331" width="13.28515625" style="3" customWidth="1"/>
    <col min="3332" max="3332" width="11.42578125" style="3"/>
    <col min="3333" max="3333" width="13.42578125" style="3" customWidth="1"/>
    <col min="3334" max="3334" width="12.7109375" style="3" customWidth="1"/>
    <col min="3335" max="3335" width="14" style="3" customWidth="1"/>
    <col min="3336" max="3336" width="7.42578125" style="3" customWidth="1"/>
    <col min="3337" max="3584" width="11.42578125" style="3"/>
    <col min="3585" max="3585" width="15.85546875" style="3" customWidth="1"/>
    <col min="3586" max="3586" width="14.85546875" style="3" customWidth="1"/>
    <col min="3587" max="3587" width="13.28515625" style="3" customWidth="1"/>
    <col min="3588" max="3588" width="11.42578125" style="3"/>
    <col min="3589" max="3589" width="13.42578125" style="3" customWidth="1"/>
    <col min="3590" max="3590" width="12.7109375" style="3" customWidth="1"/>
    <col min="3591" max="3591" width="14" style="3" customWidth="1"/>
    <col min="3592" max="3592" width="7.42578125" style="3" customWidth="1"/>
    <col min="3593" max="3840" width="11.42578125" style="3"/>
    <col min="3841" max="3841" width="15.85546875" style="3" customWidth="1"/>
    <col min="3842" max="3842" width="14.85546875" style="3" customWidth="1"/>
    <col min="3843" max="3843" width="13.28515625" style="3" customWidth="1"/>
    <col min="3844" max="3844" width="11.42578125" style="3"/>
    <col min="3845" max="3845" width="13.42578125" style="3" customWidth="1"/>
    <col min="3846" max="3846" width="12.7109375" style="3" customWidth="1"/>
    <col min="3847" max="3847" width="14" style="3" customWidth="1"/>
    <col min="3848" max="3848" width="7.42578125" style="3" customWidth="1"/>
    <col min="3849" max="4096" width="11.42578125" style="3"/>
    <col min="4097" max="4097" width="15.85546875" style="3" customWidth="1"/>
    <col min="4098" max="4098" width="14.85546875" style="3" customWidth="1"/>
    <col min="4099" max="4099" width="13.28515625" style="3" customWidth="1"/>
    <col min="4100" max="4100" width="11.42578125" style="3"/>
    <col min="4101" max="4101" width="13.42578125" style="3" customWidth="1"/>
    <col min="4102" max="4102" width="12.7109375" style="3" customWidth="1"/>
    <col min="4103" max="4103" width="14" style="3" customWidth="1"/>
    <col min="4104" max="4104" width="7.42578125" style="3" customWidth="1"/>
    <col min="4105" max="4352" width="11.42578125" style="3"/>
    <col min="4353" max="4353" width="15.85546875" style="3" customWidth="1"/>
    <col min="4354" max="4354" width="14.85546875" style="3" customWidth="1"/>
    <col min="4355" max="4355" width="13.28515625" style="3" customWidth="1"/>
    <col min="4356" max="4356" width="11.42578125" style="3"/>
    <col min="4357" max="4357" width="13.42578125" style="3" customWidth="1"/>
    <col min="4358" max="4358" width="12.7109375" style="3" customWidth="1"/>
    <col min="4359" max="4359" width="14" style="3" customWidth="1"/>
    <col min="4360" max="4360" width="7.42578125" style="3" customWidth="1"/>
    <col min="4361" max="4608" width="11.42578125" style="3"/>
    <col min="4609" max="4609" width="15.85546875" style="3" customWidth="1"/>
    <col min="4610" max="4610" width="14.85546875" style="3" customWidth="1"/>
    <col min="4611" max="4611" width="13.28515625" style="3" customWidth="1"/>
    <col min="4612" max="4612" width="11.42578125" style="3"/>
    <col min="4613" max="4613" width="13.42578125" style="3" customWidth="1"/>
    <col min="4614" max="4614" width="12.7109375" style="3" customWidth="1"/>
    <col min="4615" max="4615" width="14" style="3" customWidth="1"/>
    <col min="4616" max="4616" width="7.42578125" style="3" customWidth="1"/>
    <col min="4617" max="4864" width="11.42578125" style="3"/>
    <col min="4865" max="4865" width="15.85546875" style="3" customWidth="1"/>
    <col min="4866" max="4866" width="14.85546875" style="3" customWidth="1"/>
    <col min="4867" max="4867" width="13.28515625" style="3" customWidth="1"/>
    <col min="4868" max="4868" width="11.42578125" style="3"/>
    <col min="4869" max="4869" width="13.42578125" style="3" customWidth="1"/>
    <col min="4870" max="4870" width="12.7109375" style="3" customWidth="1"/>
    <col min="4871" max="4871" width="14" style="3" customWidth="1"/>
    <col min="4872" max="4872" width="7.42578125" style="3" customWidth="1"/>
    <col min="4873" max="5120" width="11.42578125" style="3"/>
    <col min="5121" max="5121" width="15.85546875" style="3" customWidth="1"/>
    <col min="5122" max="5122" width="14.85546875" style="3" customWidth="1"/>
    <col min="5123" max="5123" width="13.28515625" style="3" customWidth="1"/>
    <col min="5124" max="5124" width="11.42578125" style="3"/>
    <col min="5125" max="5125" width="13.42578125" style="3" customWidth="1"/>
    <col min="5126" max="5126" width="12.7109375" style="3" customWidth="1"/>
    <col min="5127" max="5127" width="14" style="3" customWidth="1"/>
    <col min="5128" max="5128" width="7.42578125" style="3" customWidth="1"/>
    <col min="5129" max="5376" width="11.42578125" style="3"/>
    <col min="5377" max="5377" width="15.85546875" style="3" customWidth="1"/>
    <col min="5378" max="5378" width="14.85546875" style="3" customWidth="1"/>
    <col min="5379" max="5379" width="13.28515625" style="3" customWidth="1"/>
    <col min="5380" max="5380" width="11.42578125" style="3"/>
    <col min="5381" max="5381" width="13.42578125" style="3" customWidth="1"/>
    <col min="5382" max="5382" width="12.7109375" style="3" customWidth="1"/>
    <col min="5383" max="5383" width="14" style="3" customWidth="1"/>
    <col min="5384" max="5384" width="7.42578125" style="3" customWidth="1"/>
    <col min="5385" max="5632" width="11.42578125" style="3"/>
    <col min="5633" max="5633" width="15.85546875" style="3" customWidth="1"/>
    <col min="5634" max="5634" width="14.85546875" style="3" customWidth="1"/>
    <col min="5635" max="5635" width="13.28515625" style="3" customWidth="1"/>
    <col min="5636" max="5636" width="11.42578125" style="3"/>
    <col min="5637" max="5637" width="13.42578125" style="3" customWidth="1"/>
    <col min="5638" max="5638" width="12.7109375" style="3" customWidth="1"/>
    <col min="5639" max="5639" width="14" style="3" customWidth="1"/>
    <col min="5640" max="5640" width="7.42578125" style="3" customWidth="1"/>
    <col min="5641" max="5888" width="11.42578125" style="3"/>
    <col min="5889" max="5889" width="15.85546875" style="3" customWidth="1"/>
    <col min="5890" max="5890" width="14.85546875" style="3" customWidth="1"/>
    <col min="5891" max="5891" width="13.28515625" style="3" customWidth="1"/>
    <col min="5892" max="5892" width="11.42578125" style="3"/>
    <col min="5893" max="5893" width="13.42578125" style="3" customWidth="1"/>
    <col min="5894" max="5894" width="12.7109375" style="3" customWidth="1"/>
    <col min="5895" max="5895" width="14" style="3" customWidth="1"/>
    <col min="5896" max="5896" width="7.42578125" style="3" customWidth="1"/>
    <col min="5897" max="6144" width="11.42578125" style="3"/>
    <col min="6145" max="6145" width="15.85546875" style="3" customWidth="1"/>
    <col min="6146" max="6146" width="14.85546875" style="3" customWidth="1"/>
    <col min="6147" max="6147" width="13.28515625" style="3" customWidth="1"/>
    <col min="6148" max="6148" width="11.42578125" style="3"/>
    <col min="6149" max="6149" width="13.42578125" style="3" customWidth="1"/>
    <col min="6150" max="6150" width="12.7109375" style="3" customWidth="1"/>
    <col min="6151" max="6151" width="14" style="3" customWidth="1"/>
    <col min="6152" max="6152" width="7.42578125" style="3" customWidth="1"/>
    <col min="6153" max="6400" width="11.42578125" style="3"/>
    <col min="6401" max="6401" width="15.85546875" style="3" customWidth="1"/>
    <col min="6402" max="6402" width="14.85546875" style="3" customWidth="1"/>
    <col min="6403" max="6403" width="13.28515625" style="3" customWidth="1"/>
    <col min="6404" max="6404" width="11.42578125" style="3"/>
    <col min="6405" max="6405" width="13.42578125" style="3" customWidth="1"/>
    <col min="6406" max="6406" width="12.7109375" style="3" customWidth="1"/>
    <col min="6407" max="6407" width="14" style="3" customWidth="1"/>
    <col min="6408" max="6408" width="7.42578125" style="3" customWidth="1"/>
    <col min="6409" max="6656" width="11.42578125" style="3"/>
    <col min="6657" max="6657" width="15.85546875" style="3" customWidth="1"/>
    <col min="6658" max="6658" width="14.85546875" style="3" customWidth="1"/>
    <col min="6659" max="6659" width="13.28515625" style="3" customWidth="1"/>
    <col min="6660" max="6660" width="11.42578125" style="3"/>
    <col min="6661" max="6661" width="13.42578125" style="3" customWidth="1"/>
    <col min="6662" max="6662" width="12.7109375" style="3" customWidth="1"/>
    <col min="6663" max="6663" width="14" style="3" customWidth="1"/>
    <col min="6664" max="6664" width="7.42578125" style="3" customWidth="1"/>
    <col min="6665" max="6912" width="11.42578125" style="3"/>
    <col min="6913" max="6913" width="15.85546875" style="3" customWidth="1"/>
    <col min="6914" max="6914" width="14.85546875" style="3" customWidth="1"/>
    <col min="6915" max="6915" width="13.28515625" style="3" customWidth="1"/>
    <col min="6916" max="6916" width="11.42578125" style="3"/>
    <col min="6917" max="6917" width="13.42578125" style="3" customWidth="1"/>
    <col min="6918" max="6918" width="12.7109375" style="3" customWidth="1"/>
    <col min="6919" max="6919" width="14" style="3" customWidth="1"/>
    <col min="6920" max="6920" width="7.42578125" style="3" customWidth="1"/>
    <col min="6921" max="7168" width="11.42578125" style="3"/>
    <col min="7169" max="7169" width="15.85546875" style="3" customWidth="1"/>
    <col min="7170" max="7170" width="14.85546875" style="3" customWidth="1"/>
    <col min="7171" max="7171" width="13.28515625" style="3" customWidth="1"/>
    <col min="7172" max="7172" width="11.42578125" style="3"/>
    <col min="7173" max="7173" width="13.42578125" style="3" customWidth="1"/>
    <col min="7174" max="7174" width="12.7109375" style="3" customWidth="1"/>
    <col min="7175" max="7175" width="14" style="3" customWidth="1"/>
    <col min="7176" max="7176" width="7.42578125" style="3" customWidth="1"/>
    <col min="7177" max="7424" width="11.42578125" style="3"/>
    <col min="7425" max="7425" width="15.85546875" style="3" customWidth="1"/>
    <col min="7426" max="7426" width="14.85546875" style="3" customWidth="1"/>
    <col min="7427" max="7427" width="13.28515625" style="3" customWidth="1"/>
    <col min="7428" max="7428" width="11.42578125" style="3"/>
    <col min="7429" max="7429" width="13.42578125" style="3" customWidth="1"/>
    <col min="7430" max="7430" width="12.7109375" style="3" customWidth="1"/>
    <col min="7431" max="7431" width="14" style="3" customWidth="1"/>
    <col min="7432" max="7432" width="7.42578125" style="3" customWidth="1"/>
    <col min="7433" max="7680" width="11.42578125" style="3"/>
    <col min="7681" max="7681" width="15.85546875" style="3" customWidth="1"/>
    <col min="7682" max="7682" width="14.85546875" style="3" customWidth="1"/>
    <col min="7683" max="7683" width="13.28515625" style="3" customWidth="1"/>
    <col min="7684" max="7684" width="11.42578125" style="3"/>
    <col min="7685" max="7685" width="13.42578125" style="3" customWidth="1"/>
    <col min="7686" max="7686" width="12.7109375" style="3" customWidth="1"/>
    <col min="7687" max="7687" width="14" style="3" customWidth="1"/>
    <col min="7688" max="7688" width="7.42578125" style="3" customWidth="1"/>
    <col min="7689" max="7936" width="11.42578125" style="3"/>
    <col min="7937" max="7937" width="15.85546875" style="3" customWidth="1"/>
    <col min="7938" max="7938" width="14.85546875" style="3" customWidth="1"/>
    <col min="7939" max="7939" width="13.28515625" style="3" customWidth="1"/>
    <col min="7940" max="7940" width="11.42578125" style="3"/>
    <col min="7941" max="7941" width="13.42578125" style="3" customWidth="1"/>
    <col min="7942" max="7942" width="12.7109375" style="3" customWidth="1"/>
    <col min="7943" max="7943" width="14" style="3" customWidth="1"/>
    <col min="7944" max="7944" width="7.42578125" style="3" customWidth="1"/>
    <col min="7945" max="8192" width="11.42578125" style="3"/>
    <col min="8193" max="8193" width="15.85546875" style="3" customWidth="1"/>
    <col min="8194" max="8194" width="14.85546875" style="3" customWidth="1"/>
    <col min="8195" max="8195" width="13.28515625" style="3" customWidth="1"/>
    <col min="8196" max="8196" width="11.42578125" style="3"/>
    <col min="8197" max="8197" width="13.42578125" style="3" customWidth="1"/>
    <col min="8198" max="8198" width="12.7109375" style="3" customWidth="1"/>
    <col min="8199" max="8199" width="14" style="3" customWidth="1"/>
    <col min="8200" max="8200" width="7.42578125" style="3" customWidth="1"/>
    <col min="8201" max="8448" width="11.42578125" style="3"/>
    <col min="8449" max="8449" width="15.85546875" style="3" customWidth="1"/>
    <col min="8450" max="8450" width="14.85546875" style="3" customWidth="1"/>
    <col min="8451" max="8451" width="13.28515625" style="3" customWidth="1"/>
    <col min="8452" max="8452" width="11.42578125" style="3"/>
    <col min="8453" max="8453" width="13.42578125" style="3" customWidth="1"/>
    <col min="8454" max="8454" width="12.7109375" style="3" customWidth="1"/>
    <col min="8455" max="8455" width="14" style="3" customWidth="1"/>
    <col min="8456" max="8456" width="7.42578125" style="3" customWidth="1"/>
    <col min="8457" max="8704" width="11.42578125" style="3"/>
    <col min="8705" max="8705" width="15.85546875" style="3" customWidth="1"/>
    <col min="8706" max="8706" width="14.85546875" style="3" customWidth="1"/>
    <col min="8707" max="8707" width="13.28515625" style="3" customWidth="1"/>
    <col min="8708" max="8708" width="11.42578125" style="3"/>
    <col min="8709" max="8709" width="13.42578125" style="3" customWidth="1"/>
    <col min="8710" max="8710" width="12.7109375" style="3" customWidth="1"/>
    <col min="8711" max="8711" width="14" style="3" customWidth="1"/>
    <col min="8712" max="8712" width="7.42578125" style="3" customWidth="1"/>
    <col min="8713" max="8960" width="11.42578125" style="3"/>
    <col min="8961" max="8961" width="15.85546875" style="3" customWidth="1"/>
    <col min="8962" max="8962" width="14.85546875" style="3" customWidth="1"/>
    <col min="8963" max="8963" width="13.28515625" style="3" customWidth="1"/>
    <col min="8964" max="8964" width="11.42578125" style="3"/>
    <col min="8965" max="8965" width="13.42578125" style="3" customWidth="1"/>
    <col min="8966" max="8966" width="12.7109375" style="3" customWidth="1"/>
    <col min="8967" max="8967" width="14" style="3" customWidth="1"/>
    <col min="8968" max="8968" width="7.42578125" style="3" customWidth="1"/>
    <col min="8969" max="9216" width="11.42578125" style="3"/>
    <col min="9217" max="9217" width="15.85546875" style="3" customWidth="1"/>
    <col min="9218" max="9218" width="14.85546875" style="3" customWidth="1"/>
    <col min="9219" max="9219" width="13.28515625" style="3" customWidth="1"/>
    <col min="9220" max="9220" width="11.42578125" style="3"/>
    <col min="9221" max="9221" width="13.42578125" style="3" customWidth="1"/>
    <col min="9222" max="9222" width="12.7109375" style="3" customWidth="1"/>
    <col min="9223" max="9223" width="14" style="3" customWidth="1"/>
    <col min="9224" max="9224" width="7.42578125" style="3" customWidth="1"/>
    <col min="9225" max="9472" width="11.42578125" style="3"/>
    <col min="9473" max="9473" width="15.85546875" style="3" customWidth="1"/>
    <col min="9474" max="9474" width="14.85546875" style="3" customWidth="1"/>
    <col min="9475" max="9475" width="13.28515625" style="3" customWidth="1"/>
    <col min="9476" max="9476" width="11.42578125" style="3"/>
    <col min="9477" max="9477" width="13.42578125" style="3" customWidth="1"/>
    <col min="9478" max="9478" width="12.7109375" style="3" customWidth="1"/>
    <col min="9479" max="9479" width="14" style="3" customWidth="1"/>
    <col min="9480" max="9480" width="7.42578125" style="3" customWidth="1"/>
    <col min="9481" max="9728" width="11.42578125" style="3"/>
    <col min="9729" max="9729" width="15.85546875" style="3" customWidth="1"/>
    <col min="9730" max="9730" width="14.85546875" style="3" customWidth="1"/>
    <col min="9731" max="9731" width="13.28515625" style="3" customWidth="1"/>
    <col min="9732" max="9732" width="11.42578125" style="3"/>
    <col min="9733" max="9733" width="13.42578125" style="3" customWidth="1"/>
    <col min="9734" max="9734" width="12.7109375" style="3" customWidth="1"/>
    <col min="9735" max="9735" width="14" style="3" customWidth="1"/>
    <col min="9736" max="9736" width="7.42578125" style="3" customWidth="1"/>
    <col min="9737" max="9984" width="11.42578125" style="3"/>
    <col min="9985" max="9985" width="15.85546875" style="3" customWidth="1"/>
    <col min="9986" max="9986" width="14.85546875" style="3" customWidth="1"/>
    <col min="9987" max="9987" width="13.28515625" style="3" customWidth="1"/>
    <col min="9988" max="9988" width="11.42578125" style="3"/>
    <col min="9989" max="9989" width="13.42578125" style="3" customWidth="1"/>
    <col min="9990" max="9990" width="12.7109375" style="3" customWidth="1"/>
    <col min="9991" max="9991" width="14" style="3" customWidth="1"/>
    <col min="9992" max="9992" width="7.42578125" style="3" customWidth="1"/>
    <col min="9993" max="10240" width="11.42578125" style="3"/>
    <col min="10241" max="10241" width="15.85546875" style="3" customWidth="1"/>
    <col min="10242" max="10242" width="14.85546875" style="3" customWidth="1"/>
    <col min="10243" max="10243" width="13.28515625" style="3" customWidth="1"/>
    <col min="10244" max="10244" width="11.42578125" style="3"/>
    <col min="10245" max="10245" width="13.42578125" style="3" customWidth="1"/>
    <col min="10246" max="10246" width="12.7109375" style="3" customWidth="1"/>
    <col min="10247" max="10247" width="14" style="3" customWidth="1"/>
    <col min="10248" max="10248" width="7.42578125" style="3" customWidth="1"/>
    <col min="10249" max="10496" width="11.42578125" style="3"/>
    <col min="10497" max="10497" width="15.85546875" style="3" customWidth="1"/>
    <col min="10498" max="10498" width="14.85546875" style="3" customWidth="1"/>
    <col min="10499" max="10499" width="13.28515625" style="3" customWidth="1"/>
    <col min="10500" max="10500" width="11.42578125" style="3"/>
    <col min="10501" max="10501" width="13.42578125" style="3" customWidth="1"/>
    <col min="10502" max="10502" width="12.7109375" style="3" customWidth="1"/>
    <col min="10503" max="10503" width="14" style="3" customWidth="1"/>
    <col min="10504" max="10504" width="7.42578125" style="3" customWidth="1"/>
    <col min="10505" max="10752" width="11.42578125" style="3"/>
    <col min="10753" max="10753" width="15.85546875" style="3" customWidth="1"/>
    <col min="10754" max="10754" width="14.85546875" style="3" customWidth="1"/>
    <col min="10755" max="10755" width="13.28515625" style="3" customWidth="1"/>
    <col min="10756" max="10756" width="11.42578125" style="3"/>
    <col min="10757" max="10757" width="13.42578125" style="3" customWidth="1"/>
    <col min="10758" max="10758" width="12.7109375" style="3" customWidth="1"/>
    <col min="10759" max="10759" width="14" style="3" customWidth="1"/>
    <col min="10760" max="10760" width="7.42578125" style="3" customWidth="1"/>
    <col min="10761" max="11008" width="11.42578125" style="3"/>
    <col min="11009" max="11009" width="15.85546875" style="3" customWidth="1"/>
    <col min="11010" max="11010" width="14.85546875" style="3" customWidth="1"/>
    <col min="11011" max="11011" width="13.28515625" style="3" customWidth="1"/>
    <col min="11012" max="11012" width="11.42578125" style="3"/>
    <col min="11013" max="11013" width="13.42578125" style="3" customWidth="1"/>
    <col min="11014" max="11014" width="12.7109375" style="3" customWidth="1"/>
    <col min="11015" max="11015" width="14" style="3" customWidth="1"/>
    <col min="11016" max="11016" width="7.42578125" style="3" customWidth="1"/>
    <col min="11017" max="11264" width="11.42578125" style="3"/>
    <col min="11265" max="11265" width="15.85546875" style="3" customWidth="1"/>
    <col min="11266" max="11266" width="14.85546875" style="3" customWidth="1"/>
    <col min="11267" max="11267" width="13.28515625" style="3" customWidth="1"/>
    <col min="11268" max="11268" width="11.42578125" style="3"/>
    <col min="11269" max="11269" width="13.42578125" style="3" customWidth="1"/>
    <col min="11270" max="11270" width="12.7109375" style="3" customWidth="1"/>
    <col min="11271" max="11271" width="14" style="3" customWidth="1"/>
    <col min="11272" max="11272" width="7.42578125" style="3" customWidth="1"/>
    <col min="11273" max="11520" width="11.42578125" style="3"/>
    <col min="11521" max="11521" width="15.85546875" style="3" customWidth="1"/>
    <col min="11522" max="11522" width="14.85546875" style="3" customWidth="1"/>
    <col min="11523" max="11523" width="13.28515625" style="3" customWidth="1"/>
    <col min="11524" max="11524" width="11.42578125" style="3"/>
    <col min="11525" max="11525" width="13.42578125" style="3" customWidth="1"/>
    <col min="11526" max="11526" width="12.7109375" style="3" customWidth="1"/>
    <col min="11527" max="11527" width="14" style="3" customWidth="1"/>
    <col min="11528" max="11528" width="7.42578125" style="3" customWidth="1"/>
    <col min="11529" max="11776" width="11.42578125" style="3"/>
    <col min="11777" max="11777" width="15.85546875" style="3" customWidth="1"/>
    <col min="11778" max="11778" width="14.85546875" style="3" customWidth="1"/>
    <col min="11779" max="11779" width="13.28515625" style="3" customWidth="1"/>
    <col min="11780" max="11780" width="11.42578125" style="3"/>
    <col min="11781" max="11781" width="13.42578125" style="3" customWidth="1"/>
    <col min="11782" max="11782" width="12.7109375" style="3" customWidth="1"/>
    <col min="11783" max="11783" width="14" style="3" customWidth="1"/>
    <col min="11784" max="11784" width="7.42578125" style="3" customWidth="1"/>
    <col min="11785" max="12032" width="11.42578125" style="3"/>
    <col min="12033" max="12033" width="15.85546875" style="3" customWidth="1"/>
    <col min="12034" max="12034" width="14.85546875" style="3" customWidth="1"/>
    <col min="12035" max="12035" width="13.28515625" style="3" customWidth="1"/>
    <col min="12036" max="12036" width="11.42578125" style="3"/>
    <col min="12037" max="12037" width="13.42578125" style="3" customWidth="1"/>
    <col min="12038" max="12038" width="12.7109375" style="3" customWidth="1"/>
    <col min="12039" max="12039" width="14" style="3" customWidth="1"/>
    <col min="12040" max="12040" width="7.42578125" style="3" customWidth="1"/>
    <col min="12041" max="12288" width="11.42578125" style="3"/>
    <col min="12289" max="12289" width="15.85546875" style="3" customWidth="1"/>
    <col min="12290" max="12290" width="14.85546875" style="3" customWidth="1"/>
    <col min="12291" max="12291" width="13.28515625" style="3" customWidth="1"/>
    <col min="12292" max="12292" width="11.42578125" style="3"/>
    <col min="12293" max="12293" width="13.42578125" style="3" customWidth="1"/>
    <col min="12294" max="12294" width="12.7109375" style="3" customWidth="1"/>
    <col min="12295" max="12295" width="14" style="3" customWidth="1"/>
    <col min="12296" max="12296" width="7.42578125" style="3" customWidth="1"/>
    <col min="12297" max="12544" width="11.42578125" style="3"/>
    <col min="12545" max="12545" width="15.85546875" style="3" customWidth="1"/>
    <col min="12546" max="12546" width="14.85546875" style="3" customWidth="1"/>
    <col min="12547" max="12547" width="13.28515625" style="3" customWidth="1"/>
    <col min="12548" max="12548" width="11.42578125" style="3"/>
    <col min="12549" max="12549" width="13.42578125" style="3" customWidth="1"/>
    <col min="12550" max="12550" width="12.7109375" style="3" customWidth="1"/>
    <col min="12551" max="12551" width="14" style="3" customWidth="1"/>
    <col min="12552" max="12552" width="7.42578125" style="3" customWidth="1"/>
    <col min="12553" max="12800" width="11.42578125" style="3"/>
    <col min="12801" max="12801" width="15.85546875" style="3" customWidth="1"/>
    <col min="12802" max="12802" width="14.85546875" style="3" customWidth="1"/>
    <col min="12803" max="12803" width="13.28515625" style="3" customWidth="1"/>
    <col min="12804" max="12804" width="11.42578125" style="3"/>
    <col min="12805" max="12805" width="13.42578125" style="3" customWidth="1"/>
    <col min="12806" max="12806" width="12.7109375" style="3" customWidth="1"/>
    <col min="12807" max="12807" width="14" style="3" customWidth="1"/>
    <col min="12808" max="12808" width="7.42578125" style="3" customWidth="1"/>
    <col min="12809" max="13056" width="11.42578125" style="3"/>
    <col min="13057" max="13057" width="15.85546875" style="3" customWidth="1"/>
    <col min="13058" max="13058" width="14.85546875" style="3" customWidth="1"/>
    <col min="13059" max="13059" width="13.28515625" style="3" customWidth="1"/>
    <col min="13060" max="13060" width="11.42578125" style="3"/>
    <col min="13061" max="13061" width="13.42578125" style="3" customWidth="1"/>
    <col min="13062" max="13062" width="12.7109375" style="3" customWidth="1"/>
    <col min="13063" max="13063" width="14" style="3" customWidth="1"/>
    <col min="13064" max="13064" width="7.42578125" style="3" customWidth="1"/>
    <col min="13065" max="13312" width="11.42578125" style="3"/>
    <col min="13313" max="13313" width="15.85546875" style="3" customWidth="1"/>
    <col min="13314" max="13314" width="14.85546875" style="3" customWidth="1"/>
    <col min="13315" max="13315" width="13.28515625" style="3" customWidth="1"/>
    <col min="13316" max="13316" width="11.42578125" style="3"/>
    <col min="13317" max="13317" width="13.42578125" style="3" customWidth="1"/>
    <col min="13318" max="13318" width="12.7109375" style="3" customWidth="1"/>
    <col min="13319" max="13319" width="14" style="3" customWidth="1"/>
    <col min="13320" max="13320" width="7.42578125" style="3" customWidth="1"/>
    <col min="13321" max="13568" width="11.42578125" style="3"/>
    <col min="13569" max="13569" width="15.85546875" style="3" customWidth="1"/>
    <col min="13570" max="13570" width="14.85546875" style="3" customWidth="1"/>
    <col min="13571" max="13571" width="13.28515625" style="3" customWidth="1"/>
    <col min="13572" max="13572" width="11.42578125" style="3"/>
    <col min="13573" max="13573" width="13.42578125" style="3" customWidth="1"/>
    <col min="13574" max="13574" width="12.7109375" style="3" customWidth="1"/>
    <col min="13575" max="13575" width="14" style="3" customWidth="1"/>
    <col min="13576" max="13576" width="7.42578125" style="3" customWidth="1"/>
    <col min="13577" max="13824" width="11.42578125" style="3"/>
    <col min="13825" max="13825" width="15.85546875" style="3" customWidth="1"/>
    <col min="13826" max="13826" width="14.85546875" style="3" customWidth="1"/>
    <col min="13827" max="13827" width="13.28515625" style="3" customWidth="1"/>
    <col min="13828" max="13828" width="11.42578125" style="3"/>
    <col min="13829" max="13829" width="13.42578125" style="3" customWidth="1"/>
    <col min="13830" max="13830" width="12.7109375" style="3" customWidth="1"/>
    <col min="13831" max="13831" width="14" style="3" customWidth="1"/>
    <col min="13832" max="13832" width="7.42578125" style="3" customWidth="1"/>
    <col min="13833" max="14080" width="11.42578125" style="3"/>
    <col min="14081" max="14081" width="15.85546875" style="3" customWidth="1"/>
    <col min="14082" max="14082" width="14.85546875" style="3" customWidth="1"/>
    <col min="14083" max="14083" width="13.28515625" style="3" customWidth="1"/>
    <col min="14084" max="14084" width="11.42578125" style="3"/>
    <col min="14085" max="14085" width="13.42578125" style="3" customWidth="1"/>
    <col min="14086" max="14086" width="12.7109375" style="3" customWidth="1"/>
    <col min="14087" max="14087" width="14" style="3" customWidth="1"/>
    <col min="14088" max="14088" width="7.42578125" style="3" customWidth="1"/>
    <col min="14089" max="14336" width="11.42578125" style="3"/>
    <col min="14337" max="14337" width="15.85546875" style="3" customWidth="1"/>
    <col min="14338" max="14338" width="14.85546875" style="3" customWidth="1"/>
    <col min="14339" max="14339" width="13.28515625" style="3" customWidth="1"/>
    <col min="14340" max="14340" width="11.42578125" style="3"/>
    <col min="14341" max="14341" width="13.42578125" style="3" customWidth="1"/>
    <col min="14342" max="14342" width="12.7109375" style="3" customWidth="1"/>
    <col min="14343" max="14343" width="14" style="3" customWidth="1"/>
    <col min="14344" max="14344" width="7.42578125" style="3" customWidth="1"/>
    <col min="14345" max="14592" width="11.42578125" style="3"/>
    <col min="14593" max="14593" width="15.85546875" style="3" customWidth="1"/>
    <col min="14594" max="14594" width="14.85546875" style="3" customWidth="1"/>
    <col min="14595" max="14595" width="13.28515625" style="3" customWidth="1"/>
    <col min="14596" max="14596" width="11.42578125" style="3"/>
    <col min="14597" max="14597" width="13.42578125" style="3" customWidth="1"/>
    <col min="14598" max="14598" width="12.7109375" style="3" customWidth="1"/>
    <col min="14599" max="14599" width="14" style="3" customWidth="1"/>
    <col min="14600" max="14600" width="7.42578125" style="3" customWidth="1"/>
    <col min="14601" max="14848" width="11.42578125" style="3"/>
    <col min="14849" max="14849" width="15.85546875" style="3" customWidth="1"/>
    <col min="14850" max="14850" width="14.85546875" style="3" customWidth="1"/>
    <col min="14851" max="14851" width="13.28515625" style="3" customWidth="1"/>
    <col min="14852" max="14852" width="11.42578125" style="3"/>
    <col min="14853" max="14853" width="13.42578125" style="3" customWidth="1"/>
    <col min="14854" max="14854" width="12.7109375" style="3" customWidth="1"/>
    <col min="14855" max="14855" width="14" style="3" customWidth="1"/>
    <col min="14856" max="14856" width="7.42578125" style="3" customWidth="1"/>
    <col min="14857" max="15104" width="11.42578125" style="3"/>
    <col min="15105" max="15105" width="15.85546875" style="3" customWidth="1"/>
    <col min="15106" max="15106" width="14.85546875" style="3" customWidth="1"/>
    <col min="15107" max="15107" width="13.28515625" style="3" customWidth="1"/>
    <col min="15108" max="15108" width="11.42578125" style="3"/>
    <col min="15109" max="15109" width="13.42578125" style="3" customWidth="1"/>
    <col min="15110" max="15110" width="12.7109375" style="3" customWidth="1"/>
    <col min="15111" max="15111" width="14" style="3" customWidth="1"/>
    <col min="15112" max="15112" width="7.42578125" style="3" customWidth="1"/>
    <col min="15113" max="15360" width="11.42578125" style="3"/>
    <col min="15361" max="15361" width="15.85546875" style="3" customWidth="1"/>
    <col min="15362" max="15362" width="14.85546875" style="3" customWidth="1"/>
    <col min="15363" max="15363" width="13.28515625" style="3" customWidth="1"/>
    <col min="15364" max="15364" width="11.42578125" style="3"/>
    <col min="15365" max="15365" width="13.42578125" style="3" customWidth="1"/>
    <col min="15366" max="15366" width="12.7109375" style="3" customWidth="1"/>
    <col min="15367" max="15367" width="14" style="3" customWidth="1"/>
    <col min="15368" max="15368" width="7.42578125" style="3" customWidth="1"/>
    <col min="15369" max="15616" width="11.42578125" style="3"/>
    <col min="15617" max="15617" width="15.85546875" style="3" customWidth="1"/>
    <col min="15618" max="15618" width="14.85546875" style="3" customWidth="1"/>
    <col min="15619" max="15619" width="13.28515625" style="3" customWidth="1"/>
    <col min="15620" max="15620" width="11.42578125" style="3"/>
    <col min="15621" max="15621" width="13.42578125" style="3" customWidth="1"/>
    <col min="15622" max="15622" width="12.7109375" style="3" customWidth="1"/>
    <col min="15623" max="15623" width="14" style="3" customWidth="1"/>
    <col min="15624" max="15624" width="7.42578125" style="3" customWidth="1"/>
    <col min="15625" max="15872" width="11.42578125" style="3"/>
    <col min="15873" max="15873" width="15.85546875" style="3" customWidth="1"/>
    <col min="15874" max="15874" width="14.85546875" style="3" customWidth="1"/>
    <col min="15875" max="15875" width="13.28515625" style="3" customWidth="1"/>
    <col min="15876" max="15876" width="11.42578125" style="3"/>
    <col min="15877" max="15877" width="13.42578125" style="3" customWidth="1"/>
    <col min="15878" max="15878" width="12.7109375" style="3" customWidth="1"/>
    <col min="15879" max="15879" width="14" style="3" customWidth="1"/>
    <col min="15880" max="15880" width="7.42578125" style="3" customWidth="1"/>
    <col min="15881" max="16128" width="11.42578125" style="3"/>
    <col min="16129" max="16129" width="15.85546875" style="3" customWidth="1"/>
    <col min="16130" max="16130" width="14.85546875" style="3" customWidth="1"/>
    <col min="16131" max="16131" width="13.28515625" style="3" customWidth="1"/>
    <col min="16132" max="16132" width="11.42578125" style="3"/>
    <col min="16133" max="16133" width="13.42578125" style="3" customWidth="1"/>
    <col min="16134" max="16134" width="12.7109375" style="3" customWidth="1"/>
    <col min="16135" max="16135" width="14" style="3" customWidth="1"/>
    <col min="16136" max="16136" width="7.42578125" style="3" customWidth="1"/>
    <col min="16137" max="16384" width="11.42578125" style="3"/>
  </cols>
  <sheetData>
    <row r="1" spans="1:21" ht="20.25">
      <c r="A1" s="1346" t="str">
        <f>PPTO!D3</f>
        <v>PRESUPUESTO
MUNICIPIO EL BAGRE (ANTIOQUIA).</v>
      </c>
      <c r="B1" s="1347"/>
      <c r="C1" s="1347"/>
      <c r="D1" s="1347"/>
      <c r="E1" s="1347"/>
      <c r="F1" s="1347"/>
      <c r="G1" s="1348"/>
      <c r="H1" s="1"/>
      <c r="I1" s="2"/>
    </row>
    <row r="2" spans="1:21" ht="18">
      <c r="A2" s="1362" t="s">
        <v>16</v>
      </c>
      <c r="B2" s="1363"/>
      <c r="C2" s="1363"/>
      <c r="D2" s="1363"/>
      <c r="E2" s="1363"/>
      <c r="F2" s="1363"/>
      <c r="G2" s="1364"/>
      <c r="H2" s="1"/>
      <c r="I2" s="2"/>
    </row>
    <row r="3" spans="1:21" ht="27" customHeight="1">
      <c r="A3" s="1367" t="str">
        <f>+PPTO!$D$5</f>
        <v>PROYECTO DE MEJORAMIENTO VIAL, ESPACIO PUBLICO Y OBRAS COMPLEMENTARIAS DE LA AVENIDA LA JUVENTUD Y TRAMOS ADYACENTES Y PRIORITARIOS DEL SECTOR URBANO EN EL MUNICIPIO EL BAGRE ANTIOQUIA.</v>
      </c>
      <c r="B3" s="1368"/>
      <c r="C3" s="1368"/>
      <c r="D3" s="1368"/>
      <c r="E3" s="1368"/>
      <c r="F3" s="1368"/>
      <c r="G3" s="1369"/>
      <c r="H3" s="1"/>
      <c r="I3" s="2"/>
    </row>
    <row r="4" spans="1:21" ht="13.5" customHeight="1">
      <c r="A4" s="1370"/>
      <c r="B4" s="1368"/>
      <c r="C4" s="1368"/>
      <c r="D4" s="1368"/>
      <c r="E4" s="1368"/>
      <c r="F4" s="1368"/>
      <c r="G4" s="1369"/>
      <c r="H4" s="1"/>
      <c r="I4" s="2"/>
    </row>
    <row r="5" spans="1:21" ht="6.75" customHeight="1">
      <c r="A5" s="222"/>
      <c r="B5" s="6"/>
      <c r="C5" s="24"/>
      <c r="D5" s="25"/>
      <c r="E5" s="6"/>
      <c r="F5" s="6"/>
      <c r="G5" s="223"/>
      <c r="H5" s="9"/>
    </row>
    <row r="6" spans="1:21">
      <c r="A6" s="368">
        <v>6.25</v>
      </c>
      <c r="B6" s="1349" t="str">
        <f>VLOOKUP(A6,PPTO!D9:I136,2,FALSE)</f>
        <v>Suministro e instalación Tee 6" x 3" PVC  ó Similar</v>
      </c>
      <c r="C6" s="1350"/>
      <c r="D6" s="1350"/>
      <c r="E6" s="1351"/>
      <c r="F6" s="192" t="s">
        <v>118</v>
      </c>
      <c r="G6" s="248" t="str">
        <f>VLOOKUP(A6,PPTO!D9:I136,3,FALSE)</f>
        <v>und</v>
      </c>
      <c r="H6" s="9"/>
    </row>
    <row r="7" spans="1:21" ht="3.75" customHeight="1">
      <c r="A7" s="226"/>
      <c r="B7" s="4"/>
      <c r="C7" s="6"/>
      <c r="D7" s="4"/>
      <c r="E7" s="4"/>
      <c r="F7" s="4"/>
      <c r="G7" s="227"/>
      <c r="H7" s="9"/>
    </row>
    <row r="8" spans="1:21" ht="22.5" customHeight="1">
      <c r="A8" s="1354" t="s">
        <v>69</v>
      </c>
      <c r="B8" s="1355"/>
      <c r="C8" s="1355"/>
      <c r="D8" s="1355"/>
      <c r="E8" s="1355"/>
      <c r="F8" s="1355"/>
      <c r="G8" s="1356"/>
      <c r="H8" s="9"/>
    </row>
    <row r="9" spans="1:21" ht="4.5" customHeight="1">
      <c r="A9" s="226"/>
      <c r="B9" s="4"/>
      <c r="C9" s="6"/>
      <c r="D9" s="4"/>
      <c r="E9" s="4"/>
      <c r="F9" s="4"/>
      <c r="G9" s="227"/>
      <c r="H9" s="9"/>
      <c r="I9" s="5"/>
      <c r="J9" s="5"/>
      <c r="K9" s="5"/>
      <c r="L9" s="26"/>
      <c r="M9" s="5"/>
      <c r="N9" s="5"/>
      <c r="O9" s="5"/>
      <c r="P9" s="5"/>
    </row>
    <row r="10" spans="1:21">
      <c r="A10" s="1373" t="s">
        <v>17</v>
      </c>
      <c r="B10" s="1374"/>
      <c r="C10" s="1374"/>
      <c r="D10" s="353" t="s">
        <v>18</v>
      </c>
      <c r="E10" s="353" t="s">
        <v>19</v>
      </c>
      <c r="F10" s="353" t="s">
        <v>20</v>
      </c>
      <c r="G10" s="228" t="s">
        <v>21</v>
      </c>
      <c r="H10" s="27"/>
      <c r="I10" s="28"/>
      <c r="J10" s="29"/>
      <c r="K10" s="30"/>
      <c r="L10" s="30"/>
      <c r="M10" s="30"/>
      <c r="N10" s="30"/>
      <c r="O10" s="30"/>
      <c r="P10" s="5"/>
    </row>
    <row r="11" spans="1:21">
      <c r="A11" s="1352" t="s">
        <v>47</v>
      </c>
      <c r="B11" s="1353"/>
      <c r="C11" s="1353"/>
      <c r="D11" s="353"/>
      <c r="E11" s="83"/>
      <c r="F11" s="97"/>
      <c r="G11" s="229">
        <f>+G39*10%</f>
        <v>2036</v>
      </c>
      <c r="H11" s="9"/>
      <c r="I11" s="30"/>
      <c r="J11" s="31"/>
      <c r="K11" s="30"/>
      <c r="L11" s="30"/>
      <c r="M11" s="30"/>
      <c r="N11" s="30"/>
      <c r="O11" s="30"/>
      <c r="P11" s="5"/>
    </row>
    <row r="12" spans="1:21">
      <c r="A12" s="1371"/>
      <c r="B12" s="1372"/>
      <c r="C12" s="1372"/>
      <c r="D12" s="83"/>
      <c r="E12" s="83"/>
      <c r="F12" s="93"/>
      <c r="G12" s="229"/>
      <c r="H12" s="9"/>
      <c r="I12" s="16"/>
      <c r="J12" s="13"/>
      <c r="K12" s="8"/>
      <c r="L12" s="8"/>
      <c r="M12" s="8"/>
      <c r="N12" s="8"/>
      <c r="O12" s="8"/>
      <c r="P12" s="5"/>
    </row>
    <row r="13" spans="1:21">
      <c r="A13" s="1371"/>
      <c r="B13" s="1372"/>
      <c r="C13" s="1372"/>
      <c r="D13" s="83"/>
      <c r="E13" s="83"/>
      <c r="F13" s="93"/>
      <c r="G13" s="229"/>
      <c r="H13" s="9"/>
      <c r="I13" s="13"/>
      <c r="J13" s="13"/>
      <c r="K13" s="13"/>
      <c r="L13" s="13"/>
      <c r="M13" s="13"/>
      <c r="N13" s="13"/>
      <c r="O13" s="13"/>
      <c r="P13" s="5"/>
    </row>
    <row r="14" spans="1:21">
      <c r="A14" s="1371"/>
      <c r="B14" s="1372"/>
      <c r="C14" s="1372"/>
      <c r="D14" s="83"/>
      <c r="E14" s="83"/>
      <c r="F14" s="93"/>
      <c r="G14" s="229"/>
      <c r="H14" s="9"/>
      <c r="I14" s="8"/>
      <c r="J14" s="14"/>
      <c r="K14" s="32"/>
      <c r="L14" s="14"/>
      <c r="M14" s="15"/>
      <c r="N14" s="15"/>
      <c r="O14" s="19"/>
      <c r="P14" s="5"/>
    </row>
    <row r="15" spans="1:21">
      <c r="A15" s="1371"/>
      <c r="B15" s="1372"/>
      <c r="C15" s="1372"/>
      <c r="D15" s="83"/>
      <c r="E15" s="83"/>
      <c r="F15" s="98"/>
      <c r="G15" s="229"/>
      <c r="H15" s="9"/>
      <c r="I15" s="8"/>
      <c r="J15" s="33"/>
      <c r="K15" s="32"/>
      <c r="L15" s="14"/>
      <c r="M15" s="15"/>
      <c r="N15" s="15"/>
      <c r="O15" s="19"/>
      <c r="P15" s="5"/>
      <c r="Q15" s="5"/>
      <c r="R15" s="5"/>
      <c r="S15" s="5"/>
      <c r="T15" s="5"/>
      <c r="U15" s="5"/>
    </row>
    <row r="16" spans="1:21">
      <c r="A16" s="1371"/>
      <c r="B16" s="1372"/>
      <c r="C16" s="1372"/>
      <c r="D16" s="85" t="s">
        <v>37</v>
      </c>
      <c r="E16" s="50"/>
      <c r="F16" s="49"/>
      <c r="G16" s="230">
        <f>SUM(G11:G15)</f>
        <v>2036</v>
      </c>
      <c r="H16" s="9"/>
      <c r="I16" s="34"/>
      <c r="J16" s="34"/>
      <c r="K16" s="35"/>
      <c r="L16" s="36"/>
      <c r="M16" s="7"/>
      <c r="N16" s="7"/>
      <c r="O16" s="19"/>
      <c r="P16" s="5"/>
      <c r="Q16" s="5"/>
      <c r="R16" s="5"/>
      <c r="S16" s="5"/>
      <c r="T16" s="5"/>
      <c r="U16" s="5"/>
    </row>
    <row r="17" spans="1:21" ht="4.5" customHeight="1">
      <c r="A17" s="226"/>
      <c r="B17" s="4"/>
      <c r="C17" s="6"/>
      <c r="D17" s="4"/>
      <c r="E17" s="4"/>
      <c r="F17" s="4"/>
      <c r="G17" s="227"/>
      <c r="H17" s="9"/>
      <c r="I17" s="34"/>
      <c r="J17" s="34"/>
      <c r="K17" s="35"/>
      <c r="L17" s="36"/>
      <c r="M17" s="7"/>
      <c r="N17" s="7"/>
      <c r="O17" s="19"/>
      <c r="P17" s="5"/>
      <c r="Q17" s="5"/>
      <c r="R17" s="5"/>
      <c r="S17" s="5"/>
      <c r="T17" s="5"/>
      <c r="U17" s="5"/>
    </row>
    <row r="18" spans="1:21" ht="22.5" customHeight="1">
      <c r="A18" s="1354" t="s">
        <v>70</v>
      </c>
      <c r="B18" s="1355"/>
      <c r="C18" s="1355"/>
      <c r="D18" s="1355"/>
      <c r="E18" s="1355"/>
      <c r="F18" s="1355"/>
      <c r="G18" s="1356"/>
      <c r="H18" s="9"/>
    </row>
    <row r="19" spans="1:21" ht="4.5" customHeight="1">
      <c r="A19" s="226"/>
      <c r="B19" s="4"/>
      <c r="C19" s="6"/>
      <c r="D19" s="4"/>
      <c r="E19" s="4"/>
      <c r="F19" s="38"/>
      <c r="G19" s="227"/>
      <c r="H19" s="9"/>
      <c r="I19" s="34"/>
      <c r="J19" s="34"/>
      <c r="K19" s="35"/>
      <c r="L19" s="39"/>
      <c r="M19" s="7"/>
      <c r="N19" s="7"/>
      <c r="O19" s="8"/>
      <c r="P19" s="5"/>
      <c r="Q19" s="5"/>
      <c r="R19" s="5"/>
      <c r="S19" s="5"/>
      <c r="T19" s="5"/>
      <c r="U19" s="5"/>
    </row>
    <row r="20" spans="1:21">
      <c r="A20" s="1373" t="s">
        <v>17</v>
      </c>
      <c r="B20" s="1374"/>
      <c r="C20" s="1374"/>
      <c r="D20" s="353" t="s">
        <v>3</v>
      </c>
      <c r="E20" s="353" t="s">
        <v>4</v>
      </c>
      <c r="F20" s="353" t="s">
        <v>25</v>
      </c>
      <c r="G20" s="228" t="s">
        <v>21</v>
      </c>
      <c r="H20" s="27"/>
      <c r="I20" s="34"/>
      <c r="J20" s="34"/>
      <c r="K20" s="35"/>
      <c r="L20" s="39"/>
      <c r="M20" s="7"/>
      <c r="N20" s="7"/>
      <c r="O20" s="8"/>
      <c r="P20" s="5"/>
      <c r="Q20" s="5"/>
      <c r="R20" s="5"/>
      <c r="S20" s="5"/>
      <c r="T20" s="5"/>
      <c r="U20" s="5"/>
    </row>
    <row r="21" spans="1:21" ht="31.5" customHeight="1">
      <c r="A21" s="1441" t="str">
        <f>MID(I21,25,50)</f>
        <v xml:space="preserve"> Tee 6" x 3" PVC  ó Similar</v>
      </c>
      <c r="B21" s="1442"/>
      <c r="C21" s="1443"/>
      <c r="D21" s="118" t="s">
        <v>119</v>
      </c>
      <c r="E21" s="119">
        <v>1</v>
      </c>
      <c r="F21" s="87">
        <f>1142929*IPC</f>
        <v>1179274</v>
      </c>
      <c r="G21" s="231">
        <f>ROUND(F21*E21,0)</f>
        <v>1179274</v>
      </c>
      <c r="H21" s="9"/>
      <c r="I21" s="34" t="str">
        <f>B6</f>
        <v>Suministro e instalación Tee 6" x 3" PVC  ó Similar</v>
      </c>
      <c r="J21" s="34"/>
      <c r="K21" s="35"/>
      <c r="L21" s="36"/>
      <c r="M21" s="7"/>
      <c r="N21" s="7"/>
      <c r="O21" s="19"/>
      <c r="P21" s="5"/>
      <c r="Q21" s="5"/>
      <c r="R21" s="5"/>
      <c r="S21" s="5"/>
      <c r="T21" s="5"/>
      <c r="U21" s="5"/>
    </row>
    <row r="22" spans="1:21">
      <c r="A22" s="1444"/>
      <c r="B22" s="1403"/>
      <c r="C22" s="1404"/>
      <c r="D22" s="116"/>
      <c r="E22" s="117"/>
      <c r="F22" s="91"/>
      <c r="G22" s="231"/>
      <c r="H22" s="9"/>
      <c r="I22" s="10"/>
      <c r="J22" s="10"/>
      <c r="K22" s="12"/>
      <c r="L22" s="39"/>
      <c r="M22" s="7"/>
      <c r="N22" s="7"/>
      <c r="O22" s="15"/>
      <c r="P22" s="5"/>
      <c r="Q22" s="5"/>
      <c r="R22" s="5"/>
      <c r="S22" s="5"/>
      <c r="T22" s="5"/>
      <c r="U22" s="5"/>
    </row>
    <row r="23" spans="1:21">
      <c r="A23" s="1386"/>
      <c r="B23" s="1353"/>
      <c r="C23" s="1353"/>
      <c r="D23" s="79"/>
      <c r="E23" s="82"/>
      <c r="F23" s="83"/>
      <c r="G23" s="67"/>
      <c r="H23" s="9"/>
      <c r="I23" s="10"/>
      <c r="J23" s="10"/>
      <c r="K23" s="12"/>
      <c r="L23" s="39"/>
      <c r="M23" s="7"/>
      <c r="N23" s="7"/>
      <c r="O23" s="15"/>
      <c r="P23" s="5"/>
      <c r="Q23" s="5"/>
      <c r="R23" s="5"/>
      <c r="S23" s="5"/>
      <c r="T23" s="5"/>
      <c r="U23" s="5"/>
    </row>
    <row r="24" spans="1:21">
      <c r="A24" s="1352"/>
      <c r="B24" s="1353"/>
      <c r="C24" s="1353"/>
      <c r="D24" s="81"/>
      <c r="E24" s="88"/>
      <c r="F24" s="78"/>
      <c r="G24" s="231"/>
      <c r="H24" s="9"/>
      <c r="I24" s="10"/>
      <c r="J24" s="40"/>
      <c r="K24" s="12"/>
      <c r="L24" s="13"/>
      <c r="M24" s="14"/>
      <c r="N24" s="14"/>
      <c r="O24" s="15"/>
      <c r="P24" s="5"/>
      <c r="Q24" s="5"/>
      <c r="R24" s="5"/>
      <c r="S24" s="5"/>
      <c r="T24" s="5"/>
      <c r="U24" s="5"/>
    </row>
    <row r="25" spans="1:21">
      <c r="A25" s="1352"/>
      <c r="B25" s="1353"/>
      <c r="C25" s="1353"/>
      <c r="D25" s="81"/>
      <c r="E25" s="82"/>
      <c r="F25" s="78"/>
      <c r="G25" s="231"/>
      <c r="H25" s="9"/>
      <c r="I25" s="10"/>
      <c r="J25" s="11"/>
      <c r="K25" s="12"/>
      <c r="L25" s="13"/>
      <c r="M25" s="14"/>
      <c r="N25" s="14"/>
      <c r="O25" s="15"/>
      <c r="P25" s="5"/>
      <c r="Q25" s="5"/>
      <c r="R25" s="5"/>
      <c r="S25" s="5"/>
      <c r="T25" s="5"/>
      <c r="U25" s="5"/>
    </row>
    <row r="26" spans="1:21">
      <c r="A26" s="1352"/>
      <c r="B26" s="1353"/>
      <c r="C26" s="1353"/>
      <c r="D26" s="79"/>
      <c r="E26" s="82"/>
      <c r="F26" s="78"/>
      <c r="G26" s="231"/>
      <c r="H26" s="9"/>
      <c r="I26" s="10"/>
      <c r="J26" s="11"/>
      <c r="K26" s="12"/>
      <c r="L26" s="13"/>
      <c r="M26" s="14"/>
      <c r="N26" s="14"/>
      <c r="O26" s="15"/>
      <c r="P26" s="5"/>
      <c r="Q26" s="5"/>
      <c r="R26" s="5"/>
      <c r="S26" s="5"/>
      <c r="T26" s="5"/>
      <c r="U26" s="5"/>
    </row>
    <row r="27" spans="1:21">
      <c r="A27" s="1352"/>
      <c r="B27" s="1353"/>
      <c r="C27" s="1353"/>
      <c r="D27" s="79"/>
      <c r="E27" s="82"/>
      <c r="F27" s="78"/>
      <c r="G27" s="231"/>
      <c r="H27" s="9"/>
      <c r="I27" s="10"/>
      <c r="J27" s="11"/>
      <c r="K27" s="12"/>
      <c r="L27" s="13"/>
      <c r="M27" s="14"/>
      <c r="N27" s="14"/>
      <c r="O27" s="15"/>
      <c r="P27" s="5"/>
      <c r="Q27" s="5"/>
      <c r="R27" s="5"/>
      <c r="S27" s="5"/>
      <c r="T27" s="5"/>
      <c r="U27" s="5"/>
    </row>
    <row r="28" spans="1:21">
      <c r="A28" s="1352"/>
      <c r="B28" s="1353"/>
      <c r="C28" s="1353"/>
      <c r="D28" s="79"/>
      <c r="E28" s="82"/>
      <c r="F28" s="83"/>
      <c r="G28" s="231"/>
      <c r="H28" s="9"/>
      <c r="I28" s="41"/>
      <c r="J28" s="41"/>
      <c r="K28" s="12"/>
      <c r="L28" s="13"/>
      <c r="M28" s="14"/>
      <c r="N28" s="14"/>
      <c r="O28" s="15"/>
      <c r="P28" s="5"/>
      <c r="Q28" s="5"/>
      <c r="R28" s="5"/>
      <c r="S28" s="5"/>
      <c r="T28" s="5"/>
      <c r="U28" s="5"/>
    </row>
    <row r="29" spans="1:21">
      <c r="A29" s="1352"/>
      <c r="B29" s="1353"/>
      <c r="C29" s="1353"/>
      <c r="D29" s="84"/>
      <c r="E29" s="84"/>
      <c r="F29" s="83"/>
      <c r="G29" s="231"/>
      <c r="H29" s="9"/>
      <c r="I29" s="42"/>
      <c r="J29" s="42"/>
      <c r="K29" s="42"/>
      <c r="L29" s="13"/>
      <c r="M29" s="14"/>
      <c r="N29" s="14"/>
      <c r="O29" s="15"/>
      <c r="P29" s="5"/>
      <c r="Q29" s="5"/>
      <c r="R29" s="5"/>
      <c r="S29" s="5"/>
      <c r="T29" s="5"/>
      <c r="U29" s="5"/>
    </row>
    <row r="30" spans="1:21">
      <c r="A30" s="1352"/>
      <c r="B30" s="1353"/>
      <c r="C30" s="1353"/>
      <c r="D30" s="85" t="s">
        <v>28</v>
      </c>
      <c r="E30" s="50"/>
      <c r="F30" s="49"/>
      <c r="G30" s="230">
        <f>SUM(G21:G29)</f>
        <v>1179274</v>
      </c>
      <c r="H30" s="9"/>
      <c r="I30" s="8"/>
      <c r="J30" s="13"/>
      <c r="K30" s="8"/>
      <c r="L30" s="13"/>
      <c r="M30" s="14"/>
      <c r="N30" s="14"/>
      <c r="O30" s="15"/>
      <c r="P30" s="5"/>
    </row>
    <row r="31" spans="1:21" ht="3.75" customHeight="1">
      <c r="A31" s="226"/>
      <c r="B31" s="4"/>
      <c r="C31" s="6"/>
      <c r="D31" s="4"/>
      <c r="E31" s="4"/>
      <c r="F31" s="4"/>
      <c r="G31" s="227"/>
      <c r="H31" s="9"/>
      <c r="I31" s="8"/>
      <c r="J31" s="13"/>
      <c r="K31" s="18"/>
      <c r="L31" s="13"/>
      <c r="M31" s="33"/>
      <c r="N31" s="33"/>
      <c r="O31" s="15"/>
      <c r="P31" s="5"/>
    </row>
    <row r="32" spans="1:21" ht="22.5" customHeight="1">
      <c r="A32" s="1354" t="s">
        <v>71</v>
      </c>
      <c r="B32" s="1355"/>
      <c r="C32" s="1355"/>
      <c r="D32" s="1355"/>
      <c r="E32" s="1355"/>
      <c r="F32" s="1355"/>
      <c r="G32" s="1356"/>
      <c r="H32" s="9"/>
    </row>
    <row r="33" spans="1:16" ht="3.75" customHeight="1">
      <c r="A33" s="226"/>
      <c r="B33" s="4"/>
      <c r="C33" s="6"/>
      <c r="D33" s="4"/>
      <c r="E33" s="4"/>
      <c r="F33" s="4"/>
      <c r="G33" s="227"/>
      <c r="H33" s="9"/>
      <c r="I33" s="8"/>
      <c r="J33" s="13"/>
      <c r="K33" s="8"/>
      <c r="L33" s="8"/>
      <c r="M33" s="8"/>
      <c r="N33" s="8"/>
      <c r="O33" s="15"/>
      <c r="P33" s="5"/>
    </row>
    <row r="34" spans="1:16">
      <c r="A34" s="232" t="s">
        <v>5</v>
      </c>
      <c r="B34" s="60" t="s">
        <v>29</v>
      </c>
      <c r="C34" s="60" t="s">
        <v>30</v>
      </c>
      <c r="D34" s="60" t="s">
        <v>31</v>
      </c>
      <c r="E34" s="60" t="s">
        <v>32</v>
      </c>
      <c r="F34" s="60" t="s">
        <v>20</v>
      </c>
      <c r="G34" s="228" t="s">
        <v>33</v>
      </c>
      <c r="H34" s="27"/>
      <c r="I34" s="8"/>
      <c r="J34" s="13"/>
      <c r="K34" s="8"/>
      <c r="L34" s="8"/>
      <c r="M34" s="8"/>
      <c r="N34" s="8"/>
      <c r="O34" s="15"/>
      <c r="P34" s="5"/>
    </row>
    <row r="35" spans="1:16">
      <c r="A35" s="233" t="s">
        <v>41</v>
      </c>
      <c r="B35" s="63">
        <f>BOF</f>
        <v>51749</v>
      </c>
      <c r="C35" s="68">
        <f>ffpp</f>
        <v>0.64539999999999997</v>
      </c>
      <c r="D35" s="72">
        <v>1</v>
      </c>
      <c r="E35" s="66">
        <f>OF</f>
        <v>88696</v>
      </c>
      <c r="F35" s="65">
        <v>15</v>
      </c>
      <c r="G35" s="231">
        <f>ROUND(+D35*E35/F35,0)</f>
        <v>5913</v>
      </c>
      <c r="H35" s="9"/>
      <c r="I35" s="16"/>
      <c r="J35" s="13"/>
      <c r="K35" s="8"/>
      <c r="L35" s="8"/>
      <c r="M35" s="8"/>
      <c r="N35" s="8"/>
      <c r="O35" s="15"/>
      <c r="P35" s="5"/>
    </row>
    <row r="36" spans="1:16">
      <c r="A36" s="233" t="s">
        <v>38</v>
      </c>
      <c r="B36" s="63">
        <f>BOB</f>
        <v>41749</v>
      </c>
      <c r="C36" s="68">
        <f>ffpp</f>
        <v>0.64539999999999997</v>
      </c>
      <c r="D36" s="72">
        <v>3</v>
      </c>
      <c r="E36" s="66">
        <f>OB</f>
        <v>72242</v>
      </c>
      <c r="F36" s="65">
        <f>F35</f>
        <v>15</v>
      </c>
      <c r="G36" s="231">
        <f>ROUND(+D36*E36/F36,0)</f>
        <v>14448</v>
      </c>
      <c r="H36" s="9"/>
      <c r="I36" s="8"/>
      <c r="J36" s="8"/>
      <c r="K36" s="13"/>
      <c r="L36" s="13"/>
      <c r="M36" s="13"/>
      <c r="N36" s="13"/>
      <c r="O36" s="13"/>
      <c r="P36" s="5"/>
    </row>
    <row r="37" spans="1:16">
      <c r="A37" s="234"/>
      <c r="B37" s="50"/>
      <c r="C37" s="961"/>
      <c r="D37" s="50"/>
      <c r="E37" s="66"/>
      <c r="F37" s="65"/>
      <c r="G37" s="231"/>
      <c r="H37" s="9"/>
      <c r="I37" s="8"/>
      <c r="J37" s="13"/>
      <c r="K37" s="13"/>
      <c r="L37" s="13"/>
      <c r="M37" s="33"/>
      <c r="N37" s="33"/>
      <c r="O37" s="43"/>
      <c r="P37" s="5"/>
    </row>
    <row r="38" spans="1:16">
      <c r="A38" s="233"/>
      <c r="B38" s="65"/>
      <c r="C38" s="68"/>
      <c r="D38" s="65"/>
      <c r="E38" s="69"/>
      <c r="F38" s="69"/>
      <c r="G38" s="236"/>
      <c r="H38" s="9"/>
      <c r="I38" s="8"/>
      <c r="J38" s="13"/>
      <c r="K38" s="13"/>
      <c r="L38" s="13"/>
      <c r="M38" s="33"/>
      <c r="N38" s="33"/>
      <c r="O38" s="43"/>
      <c r="P38" s="5"/>
    </row>
    <row r="39" spans="1:16">
      <c r="A39" s="249"/>
      <c r="B39" s="71"/>
      <c r="C39" s="71"/>
      <c r="D39" s="71" t="s">
        <v>34</v>
      </c>
      <c r="E39" s="71"/>
      <c r="F39" s="71"/>
      <c r="G39" s="250">
        <f>SUM(G35:G38)</f>
        <v>20361</v>
      </c>
      <c r="H39" s="9"/>
      <c r="I39" s="8"/>
      <c r="J39" s="13"/>
      <c r="K39" s="13"/>
      <c r="L39" s="13"/>
      <c r="M39" s="14"/>
      <c r="N39" s="14"/>
      <c r="O39" s="15"/>
      <c r="P39" s="5"/>
    </row>
    <row r="40" spans="1:16">
      <c r="A40" s="226"/>
      <c r="B40" s="4"/>
      <c r="C40" s="6"/>
      <c r="D40" s="4"/>
      <c r="E40" s="4"/>
      <c r="F40" s="4"/>
      <c r="G40" s="227"/>
      <c r="H40" s="9"/>
      <c r="I40" s="8"/>
      <c r="J40" s="13"/>
      <c r="K40" s="13"/>
      <c r="L40" s="13"/>
      <c r="M40" s="14"/>
      <c r="N40" s="14"/>
      <c r="O40" s="19"/>
      <c r="P40" s="5"/>
    </row>
    <row r="41" spans="1:16">
      <c r="A41" s="226"/>
      <c r="B41" s="4"/>
      <c r="C41" s="6"/>
      <c r="D41" s="4"/>
      <c r="E41" s="4"/>
      <c r="F41" s="4"/>
      <c r="G41" s="227"/>
      <c r="H41" s="9"/>
      <c r="I41" s="8"/>
      <c r="J41" s="13"/>
      <c r="K41" s="13"/>
      <c r="L41" s="13"/>
      <c r="M41" s="17"/>
      <c r="N41" s="17"/>
      <c r="O41" s="37"/>
      <c r="P41" s="5"/>
    </row>
    <row r="42" spans="1:16" ht="14.25">
      <c r="A42" s="226"/>
      <c r="B42" s="4"/>
      <c r="C42" s="6"/>
      <c r="D42" s="1357" t="s">
        <v>35</v>
      </c>
      <c r="E42" s="1358"/>
      <c r="F42" s="1359"/>
      <c r="G42" s="239">
        <f>+G39+G30+G16</f>
        <v>1201671</v>
      </c>
      <c r="H42" s="9"/>
      <c r="I42" s="48"/>
      <c r="J42" s="20"/>
      <c r="K42" s="8"/>
      <c r="L42" s="8"/>
      <c r="M42" s="8"/>
      <c r="N42" s="8"/>
      <c r="O42" s="8"/>
      <c r="P42" s="5"/>
    </row>
    <row r="43" spans="1:16" ht="14.25">
      <c r="A43" s="240"/>
      <c r="B43" s="57"/>
      <c r="C43" s="58"/>
      <c r="D43" s="99"/>
      <c r="E43" s="99"/>
      <c r="F43" s="99"/>
      <c r="G43" s="251"/>
      <c r="H43" s="9"/>
      <c r="I43" s="48"/>
      <c r="J43" s="20"/>
      <c r="K43" s="8"/>
      <c r="L43" s="8"/>
      <c r="M43" s="8"/>
      <c r="N43" s="8"/>
      <c r="O43" s="8"/>
      <c r="P43" s="5"/>
    </row>
    <row r="44" spans="1:16" ht="14.25">
      <c r="A44" s="374"/>
      <c r="B44" s="375"/>
      <c r="C44" s="375"/>
      <c r="D44" s="99"/>
      <c r="E44" s="99"/>
      <c r="F44" s="99"/>
      <c r="G44" s="251"/>
      <c r="H44" s="9"/>
      <c r="I44" s="48"/>
      <c r="J44" s="20"/>
      <c r="K44" s="8"/>
      <c r="L44" s="8"/>
      <c r="M44" s="8"/>
      <c r="N44" s="8"/>
      <c r="O44" s="8"/>
      <c r="P44" s="5"/>
    </row>
    <row r="45" spans="1:16" ht="14.25">
      <c r="A45" s="373"/>
      <c r="B45" s="376"/>
      <c r="C45" s="376"/>
      <c r="D45" s="99"/>
      <c r="E45" s="99"/>
      <c r="F45" s="99"/>
      <c r="G45" s="251"/>
      <c r="H45" s="9"/>
      <c r="I45" s="48"/>
      <c r="J45" s="20"/>
      <c r="K45" s="8"/>
      <c r="L45" s="8"/>
      <c r="M45" s="8"/>
      <c r="N45" s="8"/>
      <c r="O45" s="8"/>
      <c r="P45" s="5"/>
    </row>
    <row r="46" spans="1:16" ht="14.25">
      <c r="A46" s="373"/>
      <c r="B46" s="376"/>
      <c r="C46" s="376"/>
      <c r="D46" s="44"/>
      <c r="E46" s="45"/>
      <c r="F46" s="45"/>
      <c r="G46" s="251"/>
      <c r="H46" s="9"/>
      <c r="I46" s="8"/>
      <c r="J46" s="13"/>
      <c r="K46" s="8"/>
      <c r="L46" s="8"/>
      <c r="M46" s="8"/>
      <c r="N46" s="8"/>
      <c r="O46" s="8"/>
      <c r="P46" s="5"/>
    </row>
    <row r="47" spans="1:16" ht="15" thickBot="1">
      <c r="A47" s="242"/>
      <c r="B47" s="243"/>
      <c r="C47" s="244"/>
      <c r="D47" s="245"/>
      <c r="E47" s="246"/>
      <c r="F47" s="246"/>
      <c r="G47" s="247"/>
      <c r="H47" s="9"/>
      <c r="I47" s="8"/>
      <c r="J47" s="13"/>
      <c r="K47" s="8"/>
      <c r="L47" s="8"/>
      <c r="M47" s="8"/>
      <c r="N47" s="8"/>
      <c r="O47" s="8"/>
      <c r="P47" s="5"/>
    </row>
    <row r="48" spans="1:16">
      <c r="I48" s="5"/>
      <c r="J48" s="5"/>
      <c r="K48" s="5"/>
      <c r="L48" s="5"/>
      <c r="M48" s="5"/>
      <c r="N48" s="5"/>
      <c r="O48" s="5"/>
      <c r="P48" s="5"/>
    </row>
    <row r="49" spans="9:16">
      <c r="I49" s="5"/>
      <c r="J49" s="5"/>
      <c r="K49" s="5"/>
      <c r="L49" s="5"/>
      <c r="M49" s="5"/>
      <c r="N49" s="5"/>
      <c r="O49" s="5"/>
      <c r="P49" s="5"/>
    </row>
  </sheetData>
  <mergeCells count="26">
    <mergeCell ref="A10:C10"/>
    <mergeCell ref="A1:G1"/>
    <mergeCell ref="A2:G2"/>
    <mergeCell ref="A3:G4"/>
    <mergeCell ref="B6:E6"/>
    <mergeCell ref="A8:G8"/>
    <mergeCell ref="A24:C24"/>
    <mergeCell ref="A11:C11"/>
    <mergeCell ref="A12:C12"/>
    <mergeCell ref="A13:C13"/>
    <mergeCell ref="A14:C14"/>
    <mergeCell ref="A15:C15"/>
    <mergeCell ref="A16:C16"/>
    <mergeCell ref="A18:G18"/>
    <mergeCell ref="A20:C20"/>
    <mergeCell ref="A21:C21"/>
    <mergeCell ref="A22:C22"/>
    <mergeCell ref="A23:C23"/>
    <mergeCell ref="A32:G32"/>
    <mergeCell ref="D42:F42"/>
    <mergeCell ref="A25:C25"/>
    <mergeCell ref="A26:C26"/>
    <mergeCell ref="A27:C27"/>
    <mergeCell ref="A28:C28"/>
    <mergeCell ref="A29:C29"/>
    <mergeCell ref="A30:C30"/>
  </mergeCells>
  <printOptions horizontalCentered="1" verticalCentered="1"/>
  <pageMargins left="0.74803149606299213" right="0.74803149606299213" top="0" bottom="0.98425196850393704" header="0" footer="0"/>
  <pageSetup scale="90" orientation="portrait" r:id="rId1"/>
  <headerFooter alignWithMargins="0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80"/>
  <dimension ref="A1:U49"/>
  <sheetViews>
    <sheetView view="pageBreakPreview" zoomScaleNormal="100" zoomScaleSheetLayoutView="100" workbookViewId="0">
      <selection activeCell="F22" sqref="F22"/>
    </sheetView>
  </sheetViews>
  <sheetFormatPr baseColWidth="10" defaultColWidth="10.7109375" defaultRowHeight="12.75"/>
  <cols>
    <col min="1" max="1" width="15.85546875" style="3" customWidth="1"/>
    <col min="2" max="2" width="14.85546875" style="3" customWidth="1"/>
    <col min="3" max="3" width="13.28515625" style="3" customWidth="1"/>
    <col min="4" max="4" width="11.42578125" style="3"/>
    <col min="5" max="5" width="13.42578125" style="3" customWidth="1"/>
    <col min="6" max="6" width="12.7109375" style="3" customWidth="1"/>
    <col min="7" max="7" width="14" style="3" customWidth="1"/>
    <col min="8" max="8" width="7.42578125" style="3" customWidth="1"/>
    <col min="9" max="256" width="11.42578125" style="3"/>
    <col min="257" max="257" width="15.85546875" style="3" customWidth="1"/>
    <col min="258" max="258" width="14.85546875" style="3" customWidth="1"/>
    <col min="259" max="259" width="13.28515625" style="3" customWidth="1"/>
    <col min="260" max="260" width="11.42578125" style="3"/>
    <col min="261" max="261" width="13.42578125" style="3" customWidth="1"/>
    <col min="262" max="262" width="12.7109375" style="3" customWidth="1"/>
    <col min="263" max="263" width="14" style="3" customWidth="1"/>
    <col min="264" max="264" width="7.42578125" style="3" customWidth="1"/>
    <col min="265" max="512" width="11.42578125" style="3"/>
    <col min="513" max="513" width="15.85546875" style="3" customWidth="1"/>
    <col min="514" max="514" width="14.85546875" style="3" customWidth="1"/>
    <col min="515" max="515" width="13.28515625" style="3" customWidth="1"/>
    <col min="516" max="516" width="11.42578125" style="3"/>
    <col min="517" max="517" width="13.42578125" style="3" customWidth="1"/>
    <col min="518" max="518" width="12.7109375" style="3" customWidth="1"/>
    <col min="519" max="519" width="14" style="3" customWidth="1"/>
    <col min="520" max="520" width="7.42578125" style="3" customWidth="1"/>
    <col min="521" max="768" width="11.42578125" style="3"/>
    <col min="769" max="769" width="15.85546875" style="3" customWidth="1"/>
    <col min="770" max="770" width="14.85546875" style="3" customWidth="1"/>
    <col min="771" max="771" width="13.28515625" style="3" customWidth="1"/>
    <col min="772" max="772" width="11.42578125" style="3"/>
    <col min="773" max="773" width="13.42578125" style="3" customWidth="1"/>
    <col min="774" max="774" width="12.7109375" style="3" customWidth="1"/>
    <col min="775" max="775" width="14" style="3" customWidth="1"/>
    <col min="776" max="776" width="7.42578125" style="3" customWidth="1"/>
    <col min="777" max="1024" width="11.42578125" style="3"/>
    <col min="1025" max="1025" width="15.85546875" style="3" customWidth="1"/>
    <col min="1026" max="1026" width="14.85546875" style="3" customWidth="1"/>
    <col min="1027" max="1027" width="13.28515625" style="3" customWidth="1"/>
    <col min="1028" max="1028" width="11.42578125" style="3"/>
    <col min="1029" max="1029" width="13.42578125" style="3" customWidth="1"/>
    <col min="1030" max="1030" width="12.7109375" style="3" customWidth="1"/>
    <col min="1031" max="1031" width="14" style="3" customWidth="1"/>
    <col min="1032" max="1032" width="7.42578125" style="3" customWidth="1"/>
    <col min="1033" max="1280" width="11.42578125" style="3"/>
    <col min="1281" max="1281" width="15.85546875" style="3" customWidth="1"/>
    <col min="1282" max="1282" width="14.85546875" style="3" customWidth="1"/>
    <col min="1283" max="1283" width="13.28515625" style="3" customWidth="1"/>
    <col min="1284" max="1284" width="11.42578125" style="3"/>
    <col min="1285" max="1285" width="13.42578125" style="3" customWidth="1"/>
    <col min="1286" max="1286" width="12.7109375" style="3" customWidth="1"/>
    <col min="1287" max="1287" width="14" style="3" customWidth="1"/>
    <col min="1288" max="1288" width="7.42578125" style="3" customWidth="1"/>
    <col min="1289" max="1536" width="11.42578125" style="3"/>
    <col min="1537" max="1537" width="15.85546875" style="3" customWidth="1"/>
    <col min="1538" max="1538" width="14.85546875" style="3" customWidth="1"/>
    <col min="1539" max="1539" width="13.28515625" style="3" customWidth="1"/>
    <col min="1540" max="1540" width="11.42578125" style="3"/>
    <col min="1541" max="1541" width="13.42578125" style="3" customWidth="1"/>
    <col min="1542" max="1542" width="12.7109375" style="3" customWidth="1"/>
    <col min="1543" max="1543" width="14" style="3" customWidth="1"/>
    <col min="1544" max="1544" width="7.42578125" style="3" customWidth="1"/>
    <col min="1545" max="1792" width="11.42578125" style="3"/>
    <col min="1793" max="1793" width="15.85546875" style="3" customWidth="1"/>
    <col min="1794" max="1794" width="14.85546875" style="3" customWidth="1"/>
    <col min="1795" max="1795" width="13.28515625" style="3" customWidth="1"/>
    <col min="1796" max="1796" width="11.42578125" style="3"/>
    <col min="1797" max="1797" width="13.42578125" style="3" customWidth="1"/>
    <col min="1798" max="1798" width="12.7109375" style="3" customWidth="1"/>
    <col min="1799" max="1799" width="14" style="3" customWidth="1"/>
    <col min="1800" max="1800" width="7.42578125" style="3" customWidth="1"/>
    <col min="1801" max="2048" width="11.42578125" style="3"/>
    <col min="2049" max="2049" width="15.85546875" style="3" customWidth="1"/>
    <col min="2050" max="2050" width="14.85546875" style="3" customWidth="1"/>
    <col min="2051" max="2051" width="13.28515625" style="3" customWidth="1"/>
    <col min="2052" max="2052" width="11.42578125" style="3"/>
    <col min="2053" max="2053" width="13.42578125" style="3" customWidth="1"/>
    <col min="2054" max="2054" width="12.7109375" style="3" customWidth="1"/>
    <col min="2055" max="2055" width="14" style="3" customWidth="1"/>
    <col min="2056" max="2056" width="7.42578125" style="3" customWidth="1"/>
    <col min="2057" max="2304" width="11.42578125" style="3"/>
    <col min="2305" max="2305" width="15.85546875" style="3" customWidth="1"/>
    <col min="2306" max="2306" width="14.85546875" style="3" customWidth="1"/>
    <col min="2307" max="2307" width="13.28515625" style="3" customWidth="1"/>
    <col min="2308" max="2308" width="11.42578125" style="3"/>
    <col min="2309" max="2309" width="13.42578125" style="3" customWidth="1"/>
    <col min="2310" max="2310" width="12.7109375" style="3" customWidth="1"/>
    <col min="2311" max="2311" width="14" style="3" customWidth="1"/>
    <col min="2312" max="2312" width="7.42578125" style="3" customWidth="1"/>
    <col min="2313" max="2560" width="11.42578125" style="3"/>
    <col min="2561" max="2561" width="15.85546875" style="3" customWidth="1"/>
    <col min="2562" max="2562" width="14.85546875" style="3" customWidth="1"/>
    <col min="2563" max="2563" width="13.28515625" style="3" customWidth="1"/>
    <col min="2564" max="2564" width="11.42578125" style="3"/>
    <col min="2565" max="2565" width="13.42578125" style="3" customWidth="1"/>
    <col min="2566" max="2566" width="12.7109375" style="3" customWidth="1"/>
    <col min="2567" max="2567" width="14" style="3" customWidth="1"/>
    <col min="2568" max="2568" width="7.42578125" style="3" customWidth="1"/>
    <col min="2569" max="2816" width="11.42578125" style="3"/>
    <col min="2817" max="2817" width="15.85546875" style="3" customWidth="1"/>
    <col min="2818" max="2818" width="14.85546875" style="3" customWidth="1"/>
    <col min="2819" max="2819" width="13.28515625" style="3" customWidth="1"/>
    <col min="2820" max="2820" width="11.42578125" style="3"/>
    <col min="2821" max="2821" width="13.42578125" style="3" customWidth="1"/>
    <col min="2822" max="2822" width="12.7109375" style="3" customWidth="1"/>
    <col min="2823" max="2823" width="14" style="3" customWidth="1"/>
    <col min="2824" max="2824" width="7.42578125" style="3" customWidth="1"/>
    <col min="2825" max="3072" width="11.42578125" style="3"/>
    <col min="3073" max="3073" width="15.85546875" style="3" customWidth="1"/>
    <col min="3074" max="3074" width="14.85546875" style="3" customWidth="1"/>
    <col min="3075" max="3075" width="13.28515625" style="3" customWidth="1"/>
    <col min="3076" max="3076" width="11.42578125" style="3"/>
    <col min="3077" max="3077" width="13.42578125" style="3" customWidth="1"/>
    <col min="3078" max="3078" width="12.7109375" style="3" customWidth="1"/>
    <col min="3079" max="3079" width="14" style="3" customWidth="1"/>
    <col min="3080" max="3080" width="7.42578125" style="3" customWidth="1"/>
    <col min="3081" max="3328" width="11.42578125" style="3"/>
    <col min="3329" max="3329" width="15.85546875" style="3" customWidth="1"/>
    <col min="3330" max="3330" width="14.85546875" style="3" customWidth="1"/>
    <col min="3331" max="3331" width="13.28515625" style="3" customWidth="1"/>
    <col min="3332" max="3332" width="11.42578125" style="3"/>
    <col min="3333" max="3333" width="13.42578125" style="3" customWidth="1"/>
    <col min="3334" max="3334" width="12.7109375" style="3" customWidth="1"/>
    <col min="3335" max="3335" width="14" style="3" customWidth="1"/>
    <col min="3336" max="3336" width="7.42578125" style="3" customWidth="1"/>
    <col min="3337" max="3584" width="11.42578125" style="3"/>
    <col min="3585" max="3585" width="15.85546875" style="3" customWidth="1"/>
    <col min="3586" max="3586" width="14.85546875" style="3" customWidth="1"/>
    <col min="3587" max="3587" width="13.28515625" style="3" customWidth="1"/>
    <col min="3588" max="3588" width="11.42578125" style="3"/>
    <col min="3589" max="3589" width="13.42578125" style="3" customWidth="1"/>
    <col min="3590" max="3590" width="12.7109375" style="3" customWidth="1"/>
    <col min="3591" max="3591" width="14" style="3" customWidth="1"/>
    <col min="3592" max="3592" width="7.42578125" style="3" customWidth="1"/>
    <col min="3593" max="3840" width="11.42578125" style="3"/>
    <col min="3841" max="3841" width="15.85546875" style="3" customWidth="1"/>
    <col min="3842" max="3842" width="14.85546875" style="3" customWidth="1"/>
    <col min="3843" max="3843" width="13.28515625" style="3" customWidth="1"/>
    <col min="3844" max="3844" width="11.42578125" style="3"/>
    <col min="3845" max="3845" width="13.42578125" style="3" customWidth="1"/>
    <col min="3846" max="3846" width="12.7109375" style="3" customWidth="1"/>
    <col min="3847" max="3847" width="14" style="3" customWidth="1"/>
    <col min="3848" max="3848" width="7.42578125" style="3" customWidth="1"/>
    <col min="3849" max="4096" width="11.42578125" style="3"/>
    <col min="4097" max="4097" width="15.85546875" style="3" customWidth="1"/>
    <col min="4098" max="4098" width="14.85546875" style="3" customWidth="1"/>
    <col min="4099" max="4099" width="13.28515625" style="3" customWidth="1"/>
    <col min="4100" max="4100" width="11.42578125" style="3"/>
    <col min="4101" max="4101" width="13.42578125" style="3" customWidth="1"/>
    <col min="4102" max="4102" width="12.7109375" style="3" customWidth="1"/>
    <col min="4103" max="4103" width="14" style="3" customWidth="1"/>
    <col min="4104" max="4104" width="7.42578125" style="3" customWidth="1"/>
    <col min="4105" max="4352" width="11.42578125" style="3"/>
    <col min="4353" max="4353" width="15.85546875" style="3" customWidth="1"/>
    <col min="4354" max="4354" width="14.85546875" style="3" customWidth="1"/>
    <col min="4355" max="4355" width="13.28515625" style="3" customWidth="1"/>
    <col min="4356" max="4356" width="11.42578125" style="3"/>
    <col min="4357" max="4357" width="13.42578125" style="3" customWidth="1"/>
    <col min="4358" max="4358" width="12.7109375" style="3" customWidth="1"/>
    <col min="4359" max="4359" width="14" style="3" customWidth="1"/>
    <col min="4360" max="4360" width="7.42578125" style="3" customWidth="1"/>
    <col min="4361" max="4608" width="11.42578125" style="3"/>
    <col min="4609" max="4609" width="15.85546875" style="3" customWidth="1"/>
    <col min="4610" max="4610" width="14.85546875" style="3" customWidth="1"/>
    <col min="4611" max="4611" width="13.28515625" style="3" customWidth="1"/>
    <col min="4612" max="4612" width="11.42578125" style="3"/>
    <col min="4613" max="4613" width="13.42578125" style="3" customWidth="1"/>
    <col min="4614" max="4614" width="12.7109375" style="3" customWidth="1"/>
    <col min="4615" max="4615" width="14" style="3" customWidth="1"/>
    <col min="4616" max="4616" width="7.42578125" style="3" customWidth="1"/>
    <col min="4617" max="4864" width="11.42578125" style="3"/>
    <col min="4865" max="4865" width="15.85546875" style="3" customWidth="1"/>
    <col min="4866" max="4866" width="14.85546875" style="3" customWidth="1"/>
    <col min="4867" max="4867" width="13.28515625" style="3" customWidth="1"/>
    <col min="4868" max="4868" width="11.42578125" style="3"/>
    <col min="4869" max="4869" width="13.42578125" style="3" customWidth="1"/>
    <col min="4870" max="4870" width="12.7109375" style="3" customWidth="1"/>
    <col min="4871" max="4871" width="14" style="3" customWidth="1"/>
    <col min="4872" max="4872" width="7.42578125" style="3" customWidth="1"/>
    <col min="4873" max="5120" width="11.42578125" style="3"/>
    <col min="5121" max="5121" width="15.85546875" style="3" customWidth="1"/>
    <col min="5122" max="5122" width="14.85546875" style="3" customWidth="1"/>
    <col min="5123" max="5123" width="13.28515625" style="3" customWidth="1"/>
    <col min="5124" max="5124" width="11.42578125" style="3"/>
    <col min="5125" max="5125" width="13.42578125" style="3" customWidth="1"/>
    <col min="5126" max="5126" width="12.7109375" style="3" customWidth="1"/>
    <col min="5127" max="5127" width="14" style="3" customWidth="1"/>
    <col min="5128" max="5128" width="7.42578125" style="3" customWidth="1"/>
    <col min="5129" max="5376" width="11.42578125" style="3"/>
    <col min="5377" max="5377" width="15.85546875" style="3" customWidth="1"/>
    <col min="5378" max="5378" width="14.85546875" style="3" customWidth="1"/>
    <col min="5379" max="5379" width="13.28515625" style="3" customWidth="1"/>
    <col min="5380" max="5380" width="11.42578125" style="3"/>
    <col min="5381" max="5381" width="13.42578125" style="3" customWidth="1"/>
    <col min="5382" max="5382" width="12.7109375" style="3" customWidth="1"/>
    <col min="5383" max="5383" width="14" style="3" customWidth="1"/>
    <col min="5384" max="5384" width="7.42578125" style="3" customWidth="1"/>
    <col min="5385" max="5632" width="11.42578125" style="3"/>
    <col min="5633" max="5633" width="15.85546875" style="3" customWidth="1"/>
    <col min="5634" max="5634" width="14.85546875" style="3" customWidth="1"/>
    <col min="5635" max="5635" width="13.28515625" style="3" customWidth="1"/>
    <col min="5636" max="5636" width="11.42578125" style="3"/>
    <col min="5637" max="5637" width="13.42578125" style="3" customWidth="1"/>
    <col min="5638" max="5638" width="12.7109375" style="3" customWidth="1"/>
    <col min="5639" max="5639" width="14" style="3" customWidth="1"/>
    <col min="5640" max="5640" width="7.42578125" style="3" customWidth="1"/>
    <col min="5641" max="5888" width="11.42578125" style="3"/>
    <col min="5889" max="5889" width="15.85546875" style="3" customWidth="1"/>
    <col min="5890" max="5890" width="14.85546875" style="3" customWidth="1"/>
    <col min="5891" max="5891" width="13.28515625" style="3" customWidth="1"/>
    <col min="5892" max="5892" width="11.42578125" style="3"/>
    <col min="5893" max="5893" width="13.42578125" style="3" customWidth="1"/>
    <col min="5894" max="5894" width="12.7109375" style="3" customWidth="1"/>
    <col min="5895" max="5895" width="14" style="3" customWidth="1"/>
    <col min="5896" max="5896" width="7.42578125" style="3" customWidth="1"/>
    <col min="5897" max="6144" width="11.42578125" style="3"/>
    <col min="6145" max="6145" width="15.85546875" style="3" customWidth="1"/>
    <col min="6146" max="6146" width="14.85546875" style="3" customWidth="1"/>
    <col min="6147" max="6147" width="13.28515625" style="3" customWidth="1"/>
    <col min="6148" max="6148" width="11.42578125" style="3"/>
    <col min="6149" max="6149" width="13.42578125" style="3" customWidth="1"/>
    <col min="6150" max="6150" width="12.7109375" style="3" customWidth="1"/>
    <col min="6151" max="6151" width="14" style="3" customWidth="1"/>
    <col min="6152" max="6152" width="7.42578125" style="3" customWidth="1"/>
    <col min="6153" max="6400" width="11.42578125" style="3"/>
    <col min="6401" max="6401" width="15.85546875" style="3" customWidth="1"/>
    <col min="6402" max="6402" width="14.85546875" style="3" customWidth="1"/>
    <col min="6403" max="6403" width="13.28515625" style="3" customWidth="1"/>
    <col min="6404" max="6404" width="11.42578125" style="3"/>
    <col min="6405" max="6405" width="13.42578125" style="3" customWidth="1"/>
    <col min="6406" max="6406" width="12.7109375" style="3" customWidth="1"/>
    <col min="6407" max="6407" width="14" style="3" customWidth="1"/>
    <col min="6408" max="6408" width="7.42578125" style="3" customWidth="1"/>
    <col min="6409" max="6656" width="11.42578125" style="3"/>
    <col min="6657" max="6657" width="15.85546875" style="3" customWidth="1"/>
    <col min="6658" max="6658" width="14.85546875" style="3" customWidth="1"/>
    <col min="6659" max="6659" width="13.28515625" style="3" customWidth="1"/>
    <col min="6660" max="6660" width="11.42578125" style="3"/>
    <col min="6661" max="6661" width="13.42578125" style="3" customWidth="1"/>
    <col min="6662" max="6662" width="12.7109375" style="3" customWidth="1"/>
    <col min="6663" max="6663" width="14" style="3" customWidth="1"/>
    <col min="6664" max="6664" width="7.42578125" style="3" customWidth="1"/>
    <col min="6665" max="6912" width="11.42578125" style="3"/>
    <col min="6913" max="6913" width="15.85546875" style="3" customWidth="1"/>
    <col min="6914" max="6914" width="14.85546875" style="3" customWidth="1"/>
    <col min="6915" max="6915" width="13.28515625" style="3" customWidth="1"/>
    <col min="6916" max="6916" width="11.42578125" style="3"/>
    <col min="6917" max="6917" width="13.42578125" style="3" customWidth="1"/>
    <col min="6918" max="6918" width="12.7109375" style="3" customWidth="1"/>
    <col min="6919" max="6919" width="14" style="3" customWidth="1"/>
    <col min="6920" max="6920" width="7.42578125" style="3" customWidth="1"/>
    <col min="6921" max="7168" width="11.42578125" style="3"/>
    <col min="7169" max="7169" width="15.85546875" style="3" customWidth="1"/>
    <col min="7170" max="7170" width="14.85546875" style="3" customWidth="1"/>
    <col min="7171" max="7171" width="13.28515625" style="3" customWidth="1"/>
    <col min="7172" max="7172" width="11.42578125" style="3"/>
    <col min="7173" max="7173" width="13.42578125" style="3" customWidth="1"/>
    <col min="7174" max="7174" width="12.7109375" style="3" customWidth="1"/>
    <col min="7175" max="7175" width="14" style="3" customWidth="1"/>
    <col min="7176" max="7176" width="7.42578125" style="3" customWidth="1"/>
    <col min="7177" max="7424" width="11.42578125" style="3"/>
    <col min="7425" max="7425" width="15.85546875" style="3" customWidth="1"/>
    <col min="7426" max="7426" width="14.85546875" style="3" customWidth="1"/>
    <col min="7427" max="7427" width="13.28515625" style="3" customWidth="1"/>
    <col min="7428" max="7428" width="11.42578125" style="3"/>
    <col min="7429" max="7429" width="13.42578125" style="3" customWidth="1"/>
    <col min="7430" max="7430" width="12.7109375" style="3" customWidth="1"/>
    <col min="7431" max="7431" width="14" style="3" customWidth="1"/>
    <col min="7432" max="7432" width="7.42578125" style="3" customWidth="1"/>
    <col min="7433" max="7680" width="11.42578125" style="3"/>
    <col min="7681" max="7681" width="15.85546875" style="3" customWidth="1"/>
    <col min="7682" max="7682" width="14.85546875" style="3" customWidth="1"/>
    <col min="7683" max="7683" width="13.28515625" style="3" customWidth="1"/>
    <col min="7684" max="7684" width="11.42578125" style="3"/>
    <col min="7685" max="7685" width="13.42578125" style="3" customWidth="1"/>
    <col min="7686" max="7686" width="12.7109375" style="3" customWidth="1"/>
    <col min="7687" max="7687" width="14" style="3" customWidth="1"/>
    <col min="7688" max="7688" width="7.42578125" style="3" customWidth="1"/>
    <col min="7689" max="7936" width="11.42578125" style="3"/>
    <col min="7937" max="7937" width="15.85546875" style="3" customWidth="1"/>
    <col min="7938" max="7938" width="14.85546875" style="3" customWidth="1"/>
    <col min="7939" max="7939" width="13.28515625" style="3" customWidth="1"/>
    <col min="7940" max="7940" width="11.42578125" style="3"/>
    <col min="7941" max="7941" width="13.42578125" style="3" customWidth="1"/>
    <col min="7942" max="7942" width="12.7109375" style="3" customWidth="1"/>
    <col min="7943" max="7943" width="14" style="3" customWidth="1"/>
    <col min="7944" max="7944" width="7.42578125" style="3" customWidth="1"/>
    <col min="7945" max="8192" width="11.42578125" style="3"/>
    <col min="8193" max="8193" width="15.85546875" style="3" customWidth="1"/>
    <col min="8194" max="8194" width="14.85546875" style="3" customWidth="1"/>
    <col min="8195" max="8195" width="13.28515625" style="3" customWidth="1"/>
    <col min="8196" max="8196" width="11.42578125" style="3"/>
    <col min="8197" max="8197" width="13.42578125" style="3" customWidth="1"/>
    <col min="8198" max="8198" width="12.7109375" style="3" customWidth="1"/>
    <col min="8199" max="8199" width="14" style="3" customWidth="1"/>
    <col min="8200" max="8200" width="7.42578125" style="3" customWidth="1"/>
    <col min="8201" max="8448" width="11.42578125" style="3"/>
    <col min="8449" max="8449" width="15.85546875" style="3" customWidth="1"/>
    <col min="8450" max="8450" width="14.85546875" style="3" customWidth="1"/>
    <col min="8451" max="8451" width="13.28515625" style="3" customWidth="1"/>
    <col min="8452" max="8452" width="11.42578125" style="3"/>
    <col min="8453" max="8453" width="13.42578125" style="3" customWidth="1"/>
    <col min="8454" max="8454" width="12.7109375" style="3" customWidth="1"/>
    <col min="8455" max="8455" width="14" style="3" customWidth="1"/>
    <col min="8456" max="8456" width="7.42578125" style="3" customWidth="1"/>
    <col min="8457" max="8704" width="11.42578125" style="3"/>
    <col min="8705" max="8705" width="15.85546875" style="3" customWidth="1"/>
    <col min="8706" max="8706" width="14.85546875" style="3" customWidth="1"/>
    <col min="8707" max="8707" width="13.28515625" style="3" customWidth="1"/>
    <col min="8708" max="8708" width="11.42578125" style="3"/>
    <col min="8709" max="8709" width="13.42578125" style="3" customWidth="1"/>
    <col min="8710" max="8710" width="12.7109375" style="3" customWidth="1"/>
    <col min="8711" max="8711" width="14" style="3" customWidth="1"/>
    <col min="8712" max="8712" width="7.42578125" style="3" customWidth="1"/>
    <col min="8713" max="8960" width="11.42578125" style="3"/>
    <col min="8961" max="8961" width="15.85546875" style="3" customWidth="1"/>
    <col min="8962" max="8962" width="14.85546875" style="3" customWidth="1"/>
    <col min="8963" max="8963" width="13.28515625" style="3" customWidth="1"/>
    <col min="8964" max="8964" width="11.42578125" style="3"/>
    <col min="8965" max="8965" width="13.42578125" style="3" customWidth="1"/>
    <col min="8966" max="8966" width="12.7109375" style="3" customWidth="1"/>
    <col min="8967" max="8967" width="14" style="3" customWidth="1"/>
    <col min="8968" max="8968" width="7.42578125" style="3" customWidth="1"/>
    <col min="8969" max="9216" width="11.42578125" style="3"/>
    <col min="9217" max="9217" width="15.85546875" style="3" customWidth="1"/>
    <col min="9218" max="9218" width="14.85546875" style="3" customWidth="1"/>
    <col min="9219" max="9219" width="13.28515625" style="3" customWidth="1"/>
    <col min="9220" max="9220" width="11.42578125" style="3"/>
    <col min="9221" max="9221" width="13.42578125" style="3" customWidth="1"/>
    <col min="9222" max="9222" width="12.7109375" style="3" customWidth="1"/>
    <col min="9223" max="9223" width="14" style="3" customWidth="1"/>
    <col min="9224" max="9224" width="7.42578125" style="3" customWidth="1"/>
    <col min="9225" max="9472" width="11.42578125" style="3"/>
    <col min="9473" max="9473" width="15.85546875" style="3" customWidth="1"/>
    <col min="9474" max="9474" width="14.85546875" style="3" customWidth="1"/>
    <col min="9475" max="9475" width="13.28515625" style="3" customWidth="1"/>
    <col min="9476" max="9476" width="11.42578125" style="3"/>
    <col min="9477" max="9477" width="13.42578125" style="3" customWidth="1"/>
    <col min="9478" max="9478" width="12.7109375" style="3" customWidth="1"/>
    <col min="9479" max="9479" width="14" style="3" customWidth="1"/>
    <col min="9480" max="9480" width="7.42578125" style="3" customWidth="1"/>
    <col min="9481" max="9728" width="11.42578125" style="3"/>
    <col min="9729" max="9729" width="15.85546875" style="3" customWidth="1"/>
    <col min="9730" max="9730" width="14.85546875" style="3" customWidth="1"/>
    <col min="9731" max="9731" width="13.28515625" style="3" customWidth="1"/>
    <col min="9732" max="9732" width="11.42578125" style="3"/>
    <col min="9733" max="9733" width="13.42578125" style="3" customWidth="1"/>
    <col min="9734" max="9734" width="12.7109375" style="3" customWidth="1"/>
    <col min="9735" max="9735" width="14" style="3" customWidth="1"/>
    <col min="9736" max="9736" width="7.42578125" style="3" customWidth="1"/>
    <col min="9737" max="9984" width="11.42578125" style="3"/>
    <col min="9985" max="9985" width="15.85546875" style="3" customWidth="1"/>
    <col min="9986" max="9986" width="14.85546875" style="3" customWidth="1"/>
    <col min="9987" max="9987" width="13.28515625" style="3" customWidth="1"/>
    <col min="9988" max="9988" width="11.42578125" style="3"/>
    <col min="9989" max="9989" width="13.42578125" style="3" customWidth="1"/>
    <col min="9990" max="9990" width="12.7109375" style="3" customWidth="1"/>
    <col min="9991" max="9991" width="14" style="3" customWidth="1"/>
    <col min="9992" max="9992" width="7.42578125" style="3" customWidth="1"/>
    <col min="9993" max="10240" width="11.42578125" style="3"/>
    <col min="10241" max="10241" width="15.85546875" style="3" customWidth="1"/>
    <col min="10242" max="10242" width="14.85546875" style="3" customWidth="1"/>
    <col min="10243" max="10243" width="13.28515625" style="3" customWidth="1"/>
    <col min="10244" max="10244" width="11.42578125" style="3"/>
    <col min="10245" max="10245" width="13.42578125" style="3" customWidth="1"/>
    <col min="10246" max="10246" width="12.7109375" style="3" customWidth="1"/>
    <col min="10247" max="10247" width="14" style="3" customWidth="1"/>
    <col min="10248" max="10248" width="7.42578125" style="3" customWidth="1"/>
    <col min="10249" max="10496" width="11.42578125" style="3"/>
    <col min="10497" max="10497" width="15.85546875" style="3" customWidth="1"/>
    <col min="10498" max="10498" width="14.85546875" style="3" customWidth="1"/>
    <col min="10499" max="10499" width="13.28515625" style="3" customWidth="1"/>
    <col min="10500" max="10500" width="11.42578125" style="3"/>
    <col min="10501" max="10501" width="13.42578125" style="3" customWidth="1"/>
    <col min="10502" max="10502" width="12.7109375" style="3" customWidth="1"/>
    <col min="10503" max="10503" width="14" style="3" customWidth="1"/>
    <col min="10504" max="10504" width="7.42578125" style="3" customWidth="1"/>
    <col min="10505" max="10752" width="11.42578125" style="3"/>
    <col min="10753" max="10753" width="15.85546875" style="3" customWidth="1"/>
    <col min="10754" max="10754" width="14.85546875" style="3" customWidth="1"/>
    <col min="10755" max="10755" width="13.28515625" style="3" customWidth="1"/>
    <col min="10756" max="10756" width="11.42578125" style="3"/>
    <col min="10757" max="10757" width="13.42578125" style="3" customWidth="1"/>
    <col min="10758" max="10758" width="12.7109375" style="3" customWidth="1"/>
    <col min="10759" max="10759" width="14" style="3" customWidth="1"/>
    <col min="10760" max="10760" width="7.42578125" style="3" customWidth="1"/>
    <col min="10761" max="11008" width="11.42578125" style="3"/>
    <col min="11009" max="11009" width="15.85546875" style="3" customWidth="1"/>
    <col min="11010" max="11010" width="14.85546875" style="3" customWidth="1"/>
    <col min="11011" max="11011" width="13.28515625" style="3" customWidth="1"/>
    <col min="11012" max="11012" width="11.42578125" style="3"/>
    <col min="11013" max="11013" width="13.42578125" style="3" customWidth="1"/>
    <col min="11014" max="11014" width="12.7109375" style="3" customWidth="1"/>
    <col min="11015" max="11015" width="14" style="3" customWidth="1"/>
    <col min="11016" max="11016" width="7.42578125" style="3" customWidth="1"/>
    <col min="11017" max="11264" width="11.42578125" style="3"/>
    <col min="11265" max="11265" width="15.85546875" style="3" customWidth="1"/>
    <col min="11266" max="11266" width="14.85546875" style="3" customWidth="1"/>
    <col min="11267" max="11267" width="13.28515625" style="3" customWidth="1"/>
    <col min="11268" max="11268" width="11.42578125" style="3"/>
    <col min="11269" max="11269" width="13.42578125" style="3" customWidth="1"/>
    <col min="11270" max="11270" width="12.7109375" style="3" customWidth="1"/>
    <col min="11271" max="11271" width="14" style="3" customWidth="1"/>
    <col min="11272" max="11272" width="7.42578125" style="3" customWidth="1"/>
    <col min="11273" max="11520" width="11.42578125" style="3"/>
    <col min="11521" max="11521" width="15.85546875" style="3" customWidth="1"/>
    <col min="11522" max="11522" width="14.85546875" style="3" customWidth="1"/>
    <col min="11523" max="11523" width="13.28515625" style="3" customWidth="1"/>
    <col min="11524" max="11524" width="11.42578125" style="3"/>
    <col min="11525" max="11525" width="13.42578125" style="3" customWidth="1"/>
    <col min="11526" max="11526" width="12.7109375" style="3" customWidth="1"/>
    <col min="11527" max="11527" width="14" style="3" customWidth="1"/>
    <col min="11528" max="11528" width="7.42578125" style="3" customWidth="1"/>
    <col min="11529" max="11776" width="11.42578125" style="3"/>
    <col min="11777" max="11777" width="15.85546875" style="3" customWidth="1"/>
    <col min="11778" max="11778" width="14.85546875" style="3" customWidth="1"/>
    <col min="11779" max="11779" width="13.28515625" style="3" customWidth="1"/>
    <col min="11780" max="11780" width="11.42578125" style="3"/>
    <col min="11781" max="11781" width="13.42578125" style="3" customWidth="1"/>
    <col min="11782" max="11782" width="12.7109375" style="3" customWidth="1"/>
    <col min="11783" max="11783" width="14" style="3" customWidth="1"/>
    <col min="11784" max="11784" width="7.42578125" style="3" customWidth="1"/>
    <col min="11785" max="12032" width="11.42578125" style="3"/>
    <col min="12033" max="12033" width="15.85546875" style="3" customWidth="1"/>
    <col min="12034" max="12034" width="14.85546875" style="3" customWidth="1"/>
    <col min="12035" max="12035" width="13.28515625" style="3" customWidth="1"/>
    <col min="12036" max="12036" width="11.42578125" style="3"/>
    <col min="12037" max="12037" width="13.42578125" style="3" customWidth="1"/>
    <col min="12038" max="12038" width="12.7109375" style="3" customWidth="1"/>
    <col min="12039" max="12039" width="14" style="3" customWidth="1"/>
    <col min="12040" max="12040" width="7.42578125" style="3" customWidth="1"/>
    <col min="12041" max="12288" width="11.42578125" style="3"/>
    <col min="12289" max="12289" width="15.85546875" style="3" customWidth="1"/>
    <col min="12290" max="12290" width="14.85546875" style="3" customWidth="1"/>
    <col min="12291" max="12291" width="13.28515625" style="3" customWidth="1"/>
    <col min="12292" max="12292" width="11.42578125" style="3"/>
    <col min="12293" max="12293" width="13.42578125" style="3" customWidth="1"/>
    <col min="12294" max="12294" width="12.7109375" style="3" customWidth="1"/>
    <col min="12295" max="12295" width="14" style="3" customWidth="1"/>
    <col min="12296" max="12296" width="7.42578125" style="3" customWidth="1"/>
    <col min="12297" max="12544" width="11.42578125" style="3"/>
    <col min="12545" max="12545" width="15.85546875" style="3" customWidth="1"/>
    <col min="12546" max="12546" width="14.85546875" style="3" customWidth="1"/>
    <col min="12547" max="12547" width="13.28515625" style="3" customWidth="1"/>
    <col min="12548" max="12548" width="11.42578125" style="3"/>
    <col min="12549" max="12549" width="13.42578125" style="3" customWidth="1"/>
    <col min="12550" max="12550" width="12.7109375" style="3" customWidth="1"/>
    <col min="12551" max="12551" width="14" style="3" customWidth="1"/>
    <col min="12552" max="12552" width="7.42578125" style="3" customWidth="1"/>
    <col min="12553" max="12800" width="11.42578125" style="3"/>
    <col min="12801" max="12801" width="15.85546875" style="3" customWidth="1"/>
    <col min="12802" max="12802" width="14.85546875" style="3" customWidth="1"/>
    <col min="12803" max="12803" width="13.28515625" style="3" customWidth="1"/>
    <col min="12804" max="12804" width="11.42578125" style="3"/>
    <col min="12805" max="12805" width="13.42578125" style="3" customWidth="1"/>
    <col min="12806" max="12806" width="12.7109375" style="3" customWidth="1"/>
    <col min="12807" max="12807" width="14" style="3" customWidth="1"/>
    <col min="12808" max="12808" width="7.42578125" style="3" customWidth="1"/>
    <col min="12809" max="13056" width="11.42578125" style="3"/>
    <col min="13057" max="13057" width="15.85546875" style="3" customWidth="1"/>
    <col min="13058" max="13058" width="14.85546875" style="3" customWidth="1"/>
    <col min="13059" max="13059" width="13.28515625" style="3" customWidth="1"/>
    <col min="13060" max="13060" width="11.42578125" style="3"/>
    <col min="13061" max="13061" width="13.42578125" style="3" customWidth="1"/>
    <col min="13062" max="13062" width="12.7109375" style="3" customWidth="1"/>
    <col min="13063" max="13063" width="14" style="3" customWidth="1"/>
    <col min="13064" max="13064" width="7.42578125" style="3" customWidth="1"/>
    <col min="13065" max="13312" width="11.42578125" style="3"/>
    <col min="13313" max="13313" width="15.85546875" style="3" customWidth="1"/>
    <col min="13314" max="13314" width="14.85546875" style="3" customWidth="1"/>
    <col min="13315" max="13315" width="13.28515625" style="3" customWidth="1"/>
    <col min="13316" max="13316" width="11.42578125" style="3"/>
    <col min="13317" max="13317" width="13.42578125" style="3" customWidth="1"/>
    <col min="13318" max="13318" width="12.7109375" style="3" customWidth="1"/>
    <col min="13319" max="13319" width="14" style="3" customWidth="1"/>
    <col min="13320" max="13320" width="7.42578125" style="3" customWidth="1"/>
    <col min="13321" max="13568" width="11.42578125" style="3"/>
    <col min="13569" max="13569" width="15.85546875" style="3" customWidth="1"/>
    <col min="13570" max="13570" width="14.85546875" style="3" customWidth="1"/>
    <col min="13571" max="13571" width="13.28515625" style="3" customWidth="1"/>
    <col min="13572" max="13572" width="11.42578125" style="3"/>
    <col min="13573" max="13573" width="13.42578125" style="3" customWidth="1"/>
    <col min="13574" max="13574" width="12.7109375" style="3" customWidth="1"/>
    <col min="13575" max="13575" width="14" style="3" customWidth="1"/>
    <col min="13576" max="13576" width="7.42578125" style="3" customWidth="1"/>
    <col min="13577" max="13824" width="11.42578125" style="3"/>
    <col min="13825" max="13825" width="15.85546875" style="3" customWidth="1"/>
    <col min="13826" max="13826" width="14.85546875" style="3" customWidth="1"/>
    <col min="13827" max="13827" width="13.28515625" style="3" customWidth="1"/>
    <col min="13828" max="13828" width="11.42578125" style="3"/>
    <col min="13829" max="13829" width="13.42578125" style="3" customWidth="1"/>
    <col min="13830" max="13830" width="12.7109375" style="3" customWidth="1"/>
    <col min="13831" max="13831" width="14" style="3" customWidth="1"/>
    <col min="13832" max="13832" width="7.42578125" style="3" customWidth="1"/>
    <col min="13833" max="14080" width="11.42578125" style="3"/>
    <col min="14081" max="14081" width="15.85546875" style="3" customWidth="1"/>
    <col min="14082" max="14082" width="14.85546875" style="3" customWidth="1"/>
    <col min="14083" max="14083" width="13.28515625" style="3" customWidth="1"/>
    <col min="14084" max="14084" width="11.42578125" style="3"/>
    <col min="14085" max="14085" width="13.42578125" style="3" customWidth="1"/>
    <col min="14086" max="14086" width="12.7109375" style="3" customWidth="1"/>
    <col min="14087" max="14087" width="14" style="3" customWidth="1"/>
    <col min="14088" max="14088" width="7.42578125" style="3" customWidth="1"/>
    <col min="14089" max="14336" width="11.42578125" style="3"/>
    <col min="14337" max="14337" width="15.85546875" style="3" customWidth="1"/>
    <col min="14338" max="14338" width="14.85546875" style="3" customWidth="1"/>
    <col min="14339" max="14339" width="13.28515625" style="3" customWidth="1"/>
    <col min="14340" max="14340" width="11.42578125" style="3"/>
    <col min="14341" max="14341" width="13.42578125" style="3" customWidth="1"/>
    <col min="14342" max="14342" width="12.7109375" style="3" customWidth="1"/>
    <col min="14343" max="14343" width="14" style="3" customWidth="1"/>
    <col min="14344" max="14344" width="7.42578125" style="3" customWidth="1"/>
    <col min="14345" max="14592" width="11.42578125" style="3"/>
    <col min="14593" max="14593" width="15.85546875" style="3" customWidth="1"/>
    <col min="14594" max="14594" width="14.85546875" style="3" customWidth="1"/>
    <col min="14595" max="14595" width="13.28515625" style="3" customWidth="1"/>
    <col min="14596" max="14596" width="11.42578125" style="3"/>
    <col min="14597" max="14597" width="13.42578125" style="3" customWidth="1"/>
    <col min="14598" max="14598" width="12.7109375" style="3" customWidth="1"/>
    <col min="14599" max="14599" width="14" style="3" customWidth="1"/>
    <col min="14600" max="14600" width="7.42578125" style="3" customWidth="1"/>
    <col min="14601" max="14848" width="11.42578125" style="3"/>
    <col min="14849" max="14849" width="15.85546875" style="3" customWidth="1"/>
    <col min="14850" max="14850" width="14.85546875" style="3" customWidth="1"/>
    <col min="14851" max="14851" width="13.28515625" style="3" customWidth="1"/>
    <col min="14852" max="14852" width="11.42578125" style="3"/>
    <col min="14853" max="14853" width="13.42578125" style="3" customWidth="1"/>
    <col min="14854" max="14854" width="12.7109375" style="3" customWidth="1"/>
    <col min="14855" max="14855" width="14" style="3" customWidth="1"/>
    <col min="14856" max="14856" width="7.42578125" style="3" customWidth="1"/>
    <col min="14857" max="15104" width="11.42578125" style="3"/>
    <col min="15105" max="15105" width="15.85546875" style="3" customWidth="1"/>
    <col min="15106" max="15106" width="14.85546875" style="3" customWidth="1"/>
    <col min="15107" max="15107" width="13.28515625" style="3" customWidth="1"/>
    <col min="15108" max="15108" width="11.42578125" style="3"/>
    <col min="15109" max="15109" width="13.42578125" style="3" customWidth="1"/>
    <col min="15110" max="15110" width="12.7109375" style="3" customWidth="1"/>
    <col min="15111" max="15111" width="14" style="3" customWidth="1"/>
    <col min="15112" max="15112" width="7.42578125" style="3" customWidth="1"/>
    <col min="15113" max="15360" width="11.42578125" style="3"/>
    <col min="15361" max="15361" width="15.85546875" style="3" customWidth="1"/>
    <col min="15362" max="15362" width="14.85546875" style="3" customWidth="1"/>
    <col min="15363" max="15363" width="13.28515625" style="3" customWidth="1"/>
    <col min="15364" max="15364" width="11.42578125" style="3"/>
    <col min="15365" max="15365" width="13.42578125" style="3" customWidth="1"/>
    <col min="15366" max="15366" width="12.7109375" style="3" customWidth="1"/>
    <col min="15367" max="15367" width="14" style="3" customWidth="1"/>
    <col min="15368" max="15368" width="7.42578125" style="3" customWidth="1"/>
    <col min="15369" max="15616" width="11.42578125" style="3"/>
    <col min="15617" max="15617" width="15.85546875" style="3" customWidth="1"/>
    <col min="15618" max="15618" width="14.85546875" style="3" customWidth="1"/>
    <col min="15619" max="15619" width="13.28515625" style="3" customWidth="1"/>
    <col min="15620" max="15620" width="11.42578125" style="3"/>
    <col min="15621" max="15621" width="13.42578125" style="3" customWidth="1"/>
    <col min="15622" max="15622" width="12.7109375" style="3" customWidth="1"/>
    <col min="15623" max="15623" width="14" style="3" customWidth="1"/>
    <col min="15624" max="15624" width="7.42578125" style="3" customWidth="1"/>
    <col min="15625" max="15872" width="11.42578125" style="3"/>
    <col min="15873" max="15873" width="15.85546875" style="3" customWidth="1"/>
    <col min="15874" max="15874" width="14.85546875" style="3" customWidth="1"/>
    <col min="15875" max="15875" width="13.28515625" style="3" customWidth="1"/>
    <col min="15876" max="15876" width="11.42578125" style="3"/>
    <col min="15877" max="15877" width="13.42578125" style="3" customWidth="1"/>
    <col min="15878" max="15878" width="12.7109375" style="3" customWidth="1"/>
    <col min="15879" max="15879" width="14" style="3" customWidth="1"/>
    <col min="15880" max="15880" width="7.42578125" style="3" customWidth="1"/>
    <col min="15881" max="16128" width="11.42578125" style="3"/>
    <col min="16129" max="16129" width="15.85546875" style="3" customWidth="1"/>
    <col min="16130" max="16130" width="14.85546875" style="3" customWidth="1"/>
    <col min="16131" max="16131" width="13.28515625" style="3" customWidth="1"/>
    <col min="16132" max="16132" width="11.42578125" style="3"/>
    <col min="16133" max="16133" width="13.42578125" style="3" customWidth="1"/>
    <col min="16134" max="16134" width="12.7109375" style="3" customWidth="1"/>
    <col min="16135" max="16135" width="14" style="3" customWidth="1"/>
    <col min="16136" max="16136" width="7.42578125" style="3" customWidth="1"/>
    <col min="16137" max="16384" width="11.42578125" style="3"/>
  </cols>
  <sheetData>
    <row r="1" spans="1:21" ht="20.25">
      <c r="A1" s="1346" t="str">
        <f>PPTO!D3</f>
        <v>PRESUPUESTO
MUNICIPIO EL BAGRE (ANTIOQUIA).</v>
      </c>
      <c r="B1" s="1347"/>
      <c r="C1" s="1347"/>
      <c r="D1" s="1347"/>
      <c r="E1" s="1347"/>
      <c r="F1" s="1347"/>
      <c r="G1" s="1348"/>
      <c r="H1" s="1"/>
      <c r="I1" s="2"/>
    </row>
    <row r="2" spans="1:21" ht="18" customHeight="1">
      <c r="A2" s="1362" t="s">
        <v>16</v>
      </c>
      <c r="B2" s="1363"/>
      <c r="C2" s="1363"/>
      <c r="D2" s="1363"/>
      <c r="E2" s="1363"/>
      <c r="F2" s="1363"/>
      <c r="G2" s="1364"/>
      <c r="H2" s="1"/>
      <c r="I2" s="2"/>
    </row>
    <row r="3" spans="1:21" ht="27" customHeight="1">
      <c r="A3" s="1367" t="str">
        <f>+PPTO!$D$5</f>
        <v>PROYECTO DE MEJORAMIENTO VIAL, ESPACIO PUBLICO Y OBRAS COMPLEMENTARIAS DE LA AVENIDA LA JUVENTUD Y TRAMOS ADYACENTES Y PRIORITARIOS DEL SECTOR URBANO EN EL MUNICIPIO EL BAGRE ANTIOQUIA.</v>
      </c>
      <c r="B3" s="1368"/>
      <c r="C3" s="1368"/>
      <c r="D3" s="1368"/>
      <c r="E3" s="1368"/>
      <c r="F3" s="1368"/>
      <c r="G3" s="1369"/>
      <c r="H3" s="1"/>
      <c r="I3" s="2"/>
    </row>
    <row r="4" spans="1:21" ht="12" customHeight="1">
      <c r="A4" s="1370"/>
      <c r="B4" s="1368"/>
      <c r="C4" s="1368"/>
      <c r="D4" s="1368"/>
      <c r="E4" s="1368"/>
      <c r="F4" s="1368"/>
      <c r="G4" s="1369"/>
      <c r="H4" s="1"/>
      <c r="I4" s="2"/>
    </row>
    <row r="5" spans="1:21" ht="6.75" customHeight="1">
      <c r="A5" s="222"/>
      <c r="B5" s="6"/>
      <c r="C5" s="24"/>
      <c r="D5" s="25"/>
      <c r="E5" s="6"/>
      <c r="F5" s="6"/>
      <c r="G5" s="223"/>
      <c r="H5" s="9"/>
    </row>
    <row r="6" spans="1:21">
      <c r="A6" s="368">
        <v>6.26</v>
      </c>
      <c r="B6" s="1349" t="str">
        <f>VLOOKUP(A6,PPTO!D9:I136,2,FALSE)</f>
        <v>Suministro e instalación Tee 6" x 4" PVC  ó Similar</v>
      </c>
      <c r="C6" s="1350"/>
      <c r="D6" s="1350"/>
      <c r="E6" s="1351"/>
      <c r="F6" s="192" t="s">
        <v>118</v>
      </c>
      <c r="G6" s="248" t="str">
        <f>VLOOKUP(A6,PPTO!D9:I136,3,FALSE)</f>
        <v>und</v>
      </c>
      <c r="H6" s="9"/>
    </row>
    <row r="7" spans="1:21" ht="3.75" customHeight="1">
      <c r="A7" s="226"/>
      <c r="B7" s="4"/>
      <c r="C7" s="6"/>
      <c r="D7" s="4"/>
      <c r="E7" s="4"/>
      <c r="F7" s="4"/>
      <c r="G7" s="227"/>
      <c r="H7" s="9"/>
    </row>
    <row r="8" spans="1:21" ht="22.5" customHeight="1">
      <c r="A8" s="1354" t="s">
        <v>69</v>
      </c>
      <c r="B8" s="1355"/>
      <c r="C8" s="1355"/>
      <c r="D8" s="1355"/>
      <c r="E8" s="1355"/>
      <c r="F8" s="1355"/>
      <c r="G8" s="1356"/>
      <c r="H8" s="9"/>
    </row>
    <row r="9" spans="1:21" ht="4.5" customHeight="1">
      <c r="A9" s="226"/>
      <c r="B9" s="4"/>
      <c r="C9" s="6"/>
      <c r="D9" s="4"/>
      <c r="E9" s="4"/>
      <c r="F9" s="4"/>
      <c r="G9" s="227"/>
      <c r="H9" s="9"/>
      <c r="I9" s="5"/>
      <c r="J9" s="5"/>
      <c r="K9" s="5"/>
      <c r="L9" s="26"/>
      <c r="M9" s="5"/>
      <c r="N9" s="5"/>
      <c r="O9" s="5"/>
      <c r="P9" s="5"/>
    </row>
    <row r="10" spans="1:21">
      <c r="A10" s="1373" t="s">
        <v>17</v>
      </c>
      <c r="B10" s="1374"/>
      <c r="C10" s="1374"/>
      <c r="D10" s="353" t="s">
        <v>18</v>
      </c>
      <c r="E10" s="353" t="s">
        <v>19</v>
      </c>
      <c r="F10" s="353" t="s">
        <v>20</v>
      </c>
      <c r="G10" s="228" t="s">
        <v>21</v>
      </c>
      <c r="H10" s="27"/>
      <c r="I10" s="28"/>
      <c r="J10" s="29"/>
      <c r="K10" s="30"/>
      <c r="L10" s="30"/>
      <c r="M10" s="30"/>
      <c r="N10" s="30"/>
      <c r="O10" s="30"/>
      <c r="P10" s="5"/>
    </row>
    <row r="11" spans="1:21">
      <c r="A11" s="1352" t="s">
        <v>47</v>
      </c>
      <c r="B11" s="1353"/>
      <c r="C11" s="1353"/>
      <c r="D11" s="353"/>
      <c r="E11" s="83"/>
      <c r="F11" s="97"/>
      <c r="G11" s="229">
        <f>+G39*10%</f>
        <v>2036</v>
      </c>
      <c r="H11" s="9"/>
      <c r="I11" s="30"/>
      <c r="J11" s="31"/>
      <c r="K11" s="30"/>
      <c r="L11" s="30"/>
      <c r="M11" s="30"/>
      <c r="N11" s="30"/>
      <c r="O11" s="30"/>
      <c r="P11" s="5"/>
    </row>
    <row r="12" spans="1:21">
      <c r="A12" s="1371"/>
      <c r="B12" s="1372"/>
      <c r="C12" s="1372"/>
      <c r="D12" s="83"/>
      <c r="E12" s="83"/>
      <c r="F12" s="93"/>
      <c r="G12" s="229"/>
      <c r="H12" s="9"/>
      <c r="I12" s="16"/>
      <c r="J12" s="13"/>
      <c r="K12" s="8"/>
      <c r="L12" s="8"/>
      <c r="M12" s="8"/>
      <c r="N12" s="8"/>
      <c r="O12" s="8"/>
      <c r="P12" s="5"/>
    </row>
    <row r="13" spans="1:21">
      <c r="A13" s="1371"/>
      <c r="B13" s="1372"/>
      <c r="C13" s="1372"/>
      <c r="D13" s="83"/>
      <c r="E13" s="83"/>
      <c r="F13" s="93"/>
      <c r="G13" s="229"/>
      <c r="H13" s="9"/>
      <c r="I13" s="13"/>
      <c r="J13" s="13"/>
      <c r="K13" s="13"/>
      <c r="L13" s="13"/>
      <c r="M13" s="13"/>
      <c r="N13" s="13"/>
      <c r="O13" s="13"/>
      <c r="P13" s="5"/>
    </row>
    <row r="14" spans="1:21">
      <c r="A14" s="1371"/>
      <c r="B14" s="1372"/>
      <c r="C14" s="1372"/>
      <c r="D14" s="83"/>
      <c r="E14" s="83"/>
      <c r="F14" s="93"/>
      <c r="G14" s="229"/>
      <c r="H14" s="9"/>
      <c r="I14" s="8"/>
      <c r="J14" s="14"/>
      <c r="K14" s="32"/>
      <c r="L14" s="14"/>
      <c r="M14" s="15"/>
      <c r="N14" s="15"/>
      <c r="O14" s="19"/>
      <c r="P14" s="5"/>
    </row>
    <row r="15" spans="1:21">
      <c r="A15" s="1371"/>
      <c r="B15" s="1372"/>
      <c r="C15" s="1372"/>
      <c r="D15" s="83"/>
      <c r="E15" s="83"/>
      <c r="F15" s="98"/>
      <c r="G15" s="229"/>
      <c r="H15" s="9"/>
      <c r="I15" s="8"/>
      <c r="J15" s="33"/>
      <c r="K15" s="32"/>
      <c r="L15" s="14"/>
      <c r="M15" s="15"/>
      <c r="N15" s="15"/>
      <c r="O15" s="19"/>
      <c r="P15" s="5"/>
      <c r="Q15" s="5"/>
      <c r="R15" s="5"/>
      <c r="S15" s="5"/>
      <c r="T15" s="5"/>
      <c r="U15" s="5"/>
    </row>
    <row r="16" spans="1:21">
      <c r="A16" s="1371"/>
      <c r="B16" s="1372"/>
      <c r="C16" s="1372"/>
      <c r="D16" s="85" t="s">
        <v>37</v>
      </c>
      <c r="E16" s="50"/>
      <c r="F16" s="49"/>
      <c r="G16" s="230">
        <f>SUM(G11:G15)</f>
        <v>2036</v>
      </c>
      <c r="H16" s="9"/>
      <c r="I16" s="34"/>
      <c r="J16" s="34"/>
      <c r="K16" s="35"/>
      <c r="L16" s="36"/>
      <c r="M16" s="7"/>
      <c r="N16" s="7"/>
      <c r="O16" s="19"/>
      <c r="P16" s="5"/>
      <c r="Q16" s="5"/>
      <c r="R16" s="5"/>
      <c r="S16" s="5"/>
      <c r="T16" s="5"/>
      <c r="U16" s="5"/>
    </row>
    <row r="17" spans="1:21" ht="4.5" customHeight="1">
      <c r="A17" s="226"/>
      <c r="B17" s="4"/>
      <c r="C17" s="6"/>
      <c r="D17" s="4"/>
      <c r="E17" s="4"/>
      <c r="F17" s="4"/>
      <c r="G17" s="227"/>
      <c r="H17" s="9"/>
      <c r="I17" s="34"/>
      <c r="J17" s="34"/>
      <c r="K17" s="35"/>
      <c r="L17" s="36"/>
      <c r="M17" s="7"/>
      <c r="N17" s="7"/>
      <c r="O17" s="19"/>
      <c r="P17" s="5"/>
      <c r="Q17" s="5"/>
      <c r="R17" s="5"/>
      <c r="S17" s="5"/>
      <c r="T17" s="5"/>
      <c r="U17" s="5"/>
    </row>
    <row r="18" spans="1:21" ht="22.5" customHeight="1">
      <c r="A18" s="1354" t="s">
        <v>70</v>
      </c>
      <c r="B18" s="1355"/>
      <c r="C18" s="1355"/>
      <c r="D18" s="1355"/>
      <c r="E18" s="1355"/>
      <c r="F18" s="1355"/>
      <c r="G18" s="1356"/>
      <c r="H18" s="9"/>
    </row>
    <row r="19" spans="1:21" ht="4.5" customHeight="1">
      <c r="A19" s="226"/>
      <c r="B19" s="4"/>
      <c r="C19" s="6"/>
      <c r="D19" s="4"/>
      <c r="E19" s="4"/>
      <c r="F19" s="38"/>
      <c r="G19" s="227"/>
      <c r="H19" s="9"/>
      <c r="I19" s="34"/>
      <c r="J19" s="34"/>
      <c r="K19" s="35"/>
      <c r="L19" s="39"/>
      <c r="M19" s="7"/>
      <c r="N19" s="7"/>
      <c r="O19" s="8"/>
      <c r="P19" s="5"/>
      <c r="Q19" s="5"/>
      <c r="R19" s="5"/>
      <c r="S19" s="5"/>
      <c r="T19" s="5"/>
      <c r="U19" s="5"/>
    </row>
    <row r="20" spans="1:21">
      <c r="A20" s="1373" t="s">
        <v>17</v>
      </c>
      <c r="B20" s="1374"/>
      <c r="C20" s="1374"/>
      <c r="D20" s="353" t="s">
        <v>3</v>
      </c>
      <c r="E20" s="353" t="s">
        <v>4</v>
      </c>
      <c r="F20" s="353" t="s">
        <v>25</v>
      </c>
      <c r="G20" s="228" t="s">
        <v>21</v>
      </c>
      <c r="H20" s="27"/>
      <c r="I20" s="34"/>
      <c r="J20" s="34"/>
      <c r="K20" s="35"/>
      <c r="L20" s="39"/>
      <c r="M20" s="7"/>
      <c r="N20" s="7"/>
      <c r="O20" s="8"/>
      <c r="P20" s="5"/>
      <c r="Q20" s="5"/>
      <c r="R20" s="5"/>
      <c r="S20" s="5"/>
      <c r="T20" s="5"/>
      <c r="U20" s="5"/>
    </row>
    <row r="21" spans="1:21" ht="31.5" customHeight="1">
      <c r="A21" s="1441" t="str">
        <f>MID(I21,25,50)</f>
        <v xml:space="preserve"> Tee 6" x 4" PVC  ó Similar</v>
      </c>
      <c r="B21" s="1442"/>
      <c r="C21" s="1443"/>
      <c r="D21" s="118" t="s">
        <v>119</v>
      </c>
      <c r="E21" s="119">
        <v>1</v>
      </c>
      <c r="F21" s="87">
        <f>1394901*IPC</f>
        <v>1439259</v>
      </c>
      <c r="G21" s="231">
        <f>ROUND(F21*E21,0)</f>
        <v>1439259</v>
      </c>
      <c r="H21" s="9"/>
      <c r="I21" s="34" t="str">
        <f>B6</f>
        <v>Suministro e instalación Tee 6" x 4" PVC  ó Similar</v>
      </c>
      <c r="J21" s="34"/>
      <c r="K21" s="35"/>
      <c r="L21" s="36"/>
      <c r="M21" s="7"/>
      <c r="N21" s="7"/>
      <c r="O21" s="19"/>
      <c r="P21" s="5"/>
      <c r="Q21" s="5"/>
      <c r="R21" s="5"/>
      <c r="S21" s="5"/>
      <c r="T21" s="5"/>
      <c r="U21" s="5"/>
    </row>
    <row r="22" spans="1:21">
      <c r="A22" s="1444"/>
      <c r="B22" s="1403"/>
      <c r="C22" s="1404"/>
      <c r="D22" s="116"/>
      <c r="E22" s="117"/>
      <c r="F22" s="91"/>
      <c r="G22" s="231"/>
      <c r="H22" s="9"/>
      <c r="I22" s="10"/>
      <c r="J22" s="10"/>
      <c r="K22" s="12"/>
      <c r="L22" s="39"/>
      <c r="M22" s="7"/>
      <c r="N22" s="7"/>
      <c r="O22" s="15"/>
      <c r="P22" s="5"/>
      <c r="Q22" s="5"/>
      <c r="R22" s="5"/>
      <c r="S22" s="5"/>
      <c r="T22" s="5"/>
      <c r="U22" s="5"/>
    </row>
    <row r="23" spans="1:21">
      <c r="A23" s="1386"/>
      <c r="B23" s="1353"/>
      <c r="C23" s="1353"/>
      <c r="D23" s="79"/>
      <c r="E23" s="82"/>
      <c r="F23" s="83"/>
      <c r="G23" s="67"/>
      <c r="H23" s="9"/>
      <c r="I23" s="10"/>
      <c r="J23" s="10"/>
      <c r="K23" s="12"/>
      <c r="L23" s="39"/>
      <c r="M23" s="7"/>
      <c r="N23" s="7"/>
      <c r="O23" s="15"/>
      <c r="P23" s="5"/>
      <c r="Q23" s="5"/>
      <c r="R23" s="5"/>
      <c r="S23" s="5"/>
      <c r="T23" s="5"/>
      <c r="U23" s="5"/>
    </row>
    <row r="24" spans="1:21">
      <c r="A24" s="1352"/>
      <c r="B24" s="1353"/>
      <c r="C24" s="1353"/>
      <c r="D24" s="81"/>
      <c r="E24" s="88"/>
      <c r="F24" s="78"/>
      <c r="G24" s="231"/>
      <c r="H24" s="9"/>
      <c r="I24" s="10"/>
      <c r="J24" s="40"/>
      <c r="K24" s="12"/>
      <c r="L24" s="13"/>
      <c r="M24" s="14"/>
      <c r="N24" s="14"/>
      <c r="O24" s="15"/>
      <c r="P24" s="5"/>
      <c r="Q24" s="5"/>
      <c r="R24" s="5"/>
      <c r="S24" s="5"/>
      <c r="T24" s="5"/>
      <c r="U24" s="5"/>
    </row>
    <row r="25" spans="1:21">
      <c r="A25" s="1352"/>
      <c r="B25" s="1353"/>
      <c r="C25" s="1353"/>
      <c r="D25" s="81"/>
      <c r="E25" s="82"/>
      <c r="F25" s="78"/>
      <c r="G25" s="231"/>
      <c r="H25" s="9"/>
      <c r="I25" s="10"/>
      <c r="J25" s="11"/>
      <c r="K25" s="12"/>
      <c r="L25" s="13"/>
      <c r="M25" s="14"/>
      <c r="N25" s="14"/>
      <c r="O25" s="15"/>
      <c r="P25" s="5"/>
      <c r="Q25" s="5"/>
      <c r="R25" s="5"/>
      <c r="S25" s="5"/>
      <c r="T25" s="5"/>
      <c r="U25" s="5"/>
    </row>
    <row r="26" spans="1:21">
      <c r="A26" s="1352"/>
      <c r="B26" s="1353"/>
      <c r="C26" s="1353"/>
      <c r="D26" s="79"/>
      <c r="E26" s="82"/>
      <c r="F26" s="78"/>
      <c r="G26" s="231"/>
      <c r="H26" s="9"/>
      <c r="I26" s="10"/>
      <c r="J26" s="11"/>
      <c r="K26" s="12"/>
      <c r="L26" s="13"/>
      <c r="M26" s="14"/>
      <c r="N26" s="14"/>
      <c r="O26" s="15"/>
      <c r="P26" s="5"/>
      <c r="Q26" s="5"/>
      <c r="R26" s="5"/>
      <c r="S26" s="5"/>
      <c r="T26" s="5"/>
      <c r="U26" s="5"/>
    </row>
    <row r="27" spans="1:21">
      <c r="A27" s="1352"/>
      <c r="B27" s="1353"/>
      <c r="C27" s="1353"/>
      <c r="D27" s="79"/>
      <c r="E27" s="82"/>
      <c r="F27" s="78"/>
      <c r="G27" s="231"/>
      <c r="H27" s="9"/>
      <c r="I27" s="10"/>
      <c r="J27" s="11"/>
      <c r="K27" s="12"/>
      <c r="L27" s="13"/>
      <c r="M27" s="14"/>
      <c r="N27" s="14"/>
      <c r="O27" s="15"/>
      <c r="P27" s="5"/>
      <c r="Q27" s="5"/>
      <c r="R27" s="5"/>
      <c r="S27" s="5"/>
      <c r="T27" s="5"/>
      <c r="U27" s="5"/>
    </row>
    <row r="28" spans="1:21">
      <c r="A28" s="1352"/>
      <c r="B28" s="1353"/>
      <c r="C28" s="1353"/>
      <c r="D28" s="79"/>
      <c r="E28" s="82"/>
      <c r="F28" s="83"/>
      <c r="G28" s="231"/>
      <c r="H28" s="9"/>
      <c r="I28" s="41"/>
      <c r="J28" s="41"/>
      <c r="K28" s="12"/>
      <c r="L28" s="13"/>
      <c r="M28" s="14"/>
      <c r="N28" s="14"/>
      <c r="O28" s="15"/>
      <c r="P28" s="5"/>
      <c r="Q28" s="5"/>
      <c r="R28" s="5"/>
      <c r="S28" s="5"/>
      <c r="T28" s="5"/>
      <c r="U28" s="5"/>
    </row>
    <row r="29" spans="1:21">
      <c r="A29" s="1352"/>
      <c r="B29" s="1353"/>
      <c r="C29" s="1353"/>
      <c r="D29" s="84"/>
      <c r="E29" s="84"/>
      <c r="F29" s="83"/>
      <c r="G29" s="231"/>
      <c r="H29" s="9"/>
      <c r="I29" s="42"/>
      <c r="J29" s="42"/>
      <c r="K29" s="42"/>
      <c r="L29" s="13"/>
      <c r="M29" s="14"/>
      <c r="N29" s="14"/>
      <c r="O29" s="15"/>
      <c r="P29" s="5"/>
      <c r="Q29" s="5"/>
      <c r="R29" s="5"/>
      <c r="S29" s="5"/>
      <c r="T29" s="5"/>
      <c r="U29" s="5"/>
    </row>
    <row r="30" spans="1:21">
      <c r="A30" s="1352"/>
      <c r="B30" s="1353"/>
      <c r="C30" s="1353"/>
      <c r="D30" s="85" t="s">
        <v>28</v>
      </c>
      <c r="E30" s="50"/>
      <c r="F30" s="49"/>
      <c r="G30" s="230">
        <f>SUM(G21:G29)</f>
        <v>1439259</v>
      </c>
      <c r="H30" s="9"/>
      <c r="I30" s="8"/>
      <c r="J30" s="13"/>
      <c r="K30" s="8"/>
      <c r="L30" s="13"/>
      <c r="M30" s="14"/>
      <c r="N30" s="14"/>
      <c r="O30" s="15"/>
      <c r="P30" s="5"/>
    </row>
    <row r="31" spans="1:21" ht="3.75" customHeight="1">
      <c r="A31" s="226"/>
      <c r="B31" s="4"/>
      <c r="C31" s="6"/>
      <c r="D31" s="4"/>
      <c r="E31" s="4"/>
      <c r="F31" s="4"/>
      <c r="G31" s="227"/>
      <c r="H31" s="9"/>
      <c r="I31" s="8"/>
      <c r="J31" s="13"/>
      <c r="K31" s="18"/>
      <c r="L31" s="13"/>
      <c r="M31" s="33"/>
      <c r="N31" s="33"/>
      <c r="O31" s="15"/>
      <c r="P31" s="5"/>
    </row>
    <row r="32" spans="1:21" ht="22.5" customHeight="1">
      <c r="A32" s="1354" t="s">
        <v>71</v>
      </c>
      <c r="B32" s="1355"/>
      <c r="C32" s="1355"/>
      <c r="D32" s="1355"/>
      <c r="E32" s="1355"/>
      <c r="F32" s="1355"/>
      <c r="G32" s="1356"/>
      <c r="H32" s="9"/>
    </row>
    <row r="33" spans="1:16" ht="3.75" customHeight="1">
      <c r="A33" s="226"/>
      <c r="B33" s="4"/>
      <c r="C33" s="6"/>
      <c r="D33" s="4"/>
      <c r="E33" s="4"/>
      <c r="F33" s="4"/>
      <c r="G33" s="227"/>
      <c r="H33" s="9"/>
      <c r="I33" s="8"/>
      <c r="J33" s="13"/>
      <c r="K33" s="8"/>
      <c r="L33" s="8"/>
      <c r="M33" s="8"/>
      <c r="N33" s="8"/>
      <c r="O33" s="15"/>
      <c r="P33" s="5"/>
    </row>
    <row r="34" spans="1:16">
      <c r="A34" s="232" t="s">
        <v>5</v>
      </c>
      <c r="B34" s="60" t="s">
        <v>29</v>
      </c>
      <c r="C34" s="60" t="s">
        <v>30</v>
      </c>
      <c r="D34" s="60" t="s">
        <v>31</v>
      </c>
      <c r="E34" s="60" t="s">
        <v>32</v>
      </c>
      <c r="F34" s="60" t="s">
        <v>20</v>
      </c>
      <c r="G34" s="228" t="s">
        <v>33</v>
      </c>
      <c r="H34" s="27"/>
      <c r="I34" s="8"/>
      <c r="J34" s="13"/>
      <c r="K34" s="8"/>
      <c r="L34" s="8"/>
      <c r="M34" s="8"/>
      <c r="N34" s="8"/>
      <c r="O34" s="15"/>
      <c r="P34" s="5"/>
    </row>
    <row r="35" spans="1:16">
      <c r="A35" s="233" t="s">
        <v>41</v>
      </c>
      <c r="B35" s="63">
        <f>BOF</f>
        <v>51749</v>
      </c>
      <c r="C35" s="68">
        <f>ffpp</f>
        <v>0.64539999999999997</v>
      </c>
      <c r="D35" s="72">
        <v>1</v>
      </c>
      <c r="E35" s="66">
        <f>OF</f>
        <v>88696</v>
      </c>
      <c r="F35" s="65">
        <v>15</v>
      </c>
      <c r="G35" s="231">
        <f>ROUND(+D35*E35/F35,0)</f>
        <v>5913</v>
      </c>
      <c r="H35" s="9"/>
      <c r="I35" s="16"/>
      <c r="J35" s="13"/>
      <c r="K35" s="8"/>
      <c r="L35" s="8"/>
      <c r="M35" s="8"/>
      <c r="N35" s="8"/>
      <c r="O35" s="15"/>
      <c r="P35" s="5"/>
    </row>
    <row r="36" spans="1:16">
      <c r="A36" s="233" t="s">
        <v>38</v>
      </c>
      <c r="B36" s="63">
        <f>BOB</f>
        <v>41749</v>
      </c>
      <c r="C36" s="68">
        <f>ffpp</f>
        <v>0.64539999999999997</v>
      </c>
      <c r="D36" s="72">
        <v>3</v>
      </c>
      <c r="E36" s="66">
        <f>OB</f>
        <v>72242</v>
      </c>
      <c r="F36" s="65">
        <f>F35</f>
        <v>15</v>
      </c>
      <c r="G36" s="231">
        <f>ROUND(+D36*E36/F36,0)</f>
        <v>14448</v>
      </c>
      <c r="H36" s="9"/>
      <c r="I36" s="8"/>
      <c r="J36" s="8"/>
      <c r="K36" s="13"/>
      <c r="L36" s="13"/>
      <c r="M36" s="13"/>
      <c r="N36" s="13"/>
      <c r="O36" s="13"/>
      <c r="P36" s="5"/>
    </row>
    <row r="37" spans="1:16">
      <c r="A37" s="234"/>
      <c r="B37" s="50"/>
      <c r="C37" s="961"/>
      <c r="D37" s="50"/>
      <c r="E37" s="66"/>
      <c r="F37" s="65"/>
      <c r="G37" s="231"/>
      <c r="H37" s="9"/>
      <c r="I37" s="8"/>
      <c r="J37" s="13"/>
      <c r="K37" s="13"/>
      <c r="L37" s="13"/>
      <c r="M37" s="33"/>
      <c r="N37" s="33"/>
      <c r="O37" s="43"/>
      <c r="P37" s="5"/>
    </row>
    <row r="38" spans="1:16">
      <c r="A38" s="233"/>
      <c r="B38" s="65"/>
      <c r="C38" s="68"/>
      <c r="D38" s="65"/>
      <c r="E38" s="69"/>
      <c r="F38" s="69"/>
      <c r="G38" s="236"/>
      <c r="H38" s="9"/>
      <c r="I38" s="8"/>
      <c r="J38" s="13"/>
      <c r="K38" s="13"/>
      <c r="L38" s="13"/>
      <c r="M38" s="33"/>
      <c r="N38" s="33"/>
      <c r="O38" s="43"/>
      <c r="P38" s="5"/>
    </row>
    <row r="39" spans="1:16">
      <c r="A39" s="249"/>
      <c r="B39" s="71"/>
      <c r="C39" s="71"/>
      <c r="D39" s="71" t="s">
        <v>34</v>
      </c>
      <c r="E39" s="71"/>
      <c r="F39" s="71"/>
      <c r="G39" s="250">
        <f>SUM(G35:G38)</f>
        <v>20361</v>
      </c>
      <c r="H39" s="9"/>
      <c r="I39" s="8"/>
      <c r="J39" s="13"/>
      <c r="K39" s="13"/>
      <c r="L39" s="13"/>
      <c r="M39" s="14"/>
      <c r="N39" s="14"/>
      <c r="O39" s="15"/>
      <c r="P39" s="5"/>
    </row>
    <row r="40" spans="1:16">
      <c r="A40" s="226"/>
      <c r="B40" s="4"/>
      <c r="C40" s="6"/>
      <c r="D40" s="4"/>
      <c r="E40" s="4"/>
      <c r="F40" s="4"/>
      <c r="G40" s="227"/>
      <c r="H40" s="9"/>
      <c r="I40" s="8"/>
      <c r="J40" s="13"/>
      <c r="K40" s="13"/>
      <c r="L40" s="13"/>
      <c r="M40" s="14"/>
      <c r="N40" s="14"/>
      <c r="O40" s="19"/>
      <c r="P40" s="5"/>
    </row>
    <row r="41" spans="1:16">
      <c r="A41" s="226"/>
      <c r="B41" s="4"/>
      <c r="C41" s="6"/>
      <c r="D41" s="4"/>
      <c r="E41" s="4"/>
      <c r="F41" s="4"/>
      <c r="G41" s="227"/>
      <c r="H41" s="9"/>
      <c r="I41" s="8"/>
      <c r="J41" s="13"/>
      <c r="K41" s="13"/>
      <c r="L41" s="13"/>
      <c r="M41" s="17"/>
      <c r="N41" s="17"/>
      <c r="O41" s="37"/>
      <c r="P41" s="5"/>
    </row>
    <row r="42" spans="1:16" ht="14.25">
      <c r="A42" s="226"/>
      <c r="B42" s="4"/>
      <c r="C42" s="6"/>
      <c r="D42" s="1357" t="s">
        <v>35</v>
      </c>
      <c r="E42" s="1358"/>
      <c r="F42" s="1359"/>
      <c r="G42" s="239">
        <f>+G39+G30+G16</f>
        <v>1461656</v>
      </c>
      <c r="H42" s="9"/>
      <c r="I42" s="48"/>
      <c r="J42" s="20"/>
      <c r="K42" s="8"/>
      <c r="L42" s="8"/>
      <c r="M42" s="8"/>
      <c r="N42" s="8"/>
      <c r="O42" s="8"/>
      <c r="P42" s="5"/>
    </row>
    <row r="43" spans="1:16" ht="14.25">
      <c r="A43" s="240"/>
      <c r="B43" s="57"/>
      <c r="C43" s="58"/>
      <c r="D43" s="99"/>
      <c r="E43" s="99"/>
      <c r="F43" s="99"/>
      <c r="G43" s="251"/>
      <c r="H43" s="9"/>
      <c r="I43" s="48"/>
      <c r="J43" s="20"/>
      <c r="K43" s="8"/>
      <c r="L43" s="8"/>
      <c r="M43" s="8"/>
      <c r="N43" s="8"/>
      <c r="O43" s="8"/>
      <c r="P43" s="5"/>
    </row>
    <row r="44" spans="1:16" ht="14.25">
      <c r="A44" s="374"/>
      <c r="B44" s="375"/>
      <c r="C44" s="375"/>
      <c r="D44" s="99"/>
      <c r="E44" s="99"/>
      <c r="F44" s="99"/>
      <c r="G44" s="251"/>
      <c r="H44" s="9"/>
      <c r="I44" s="48"/>
      <c r="J44" s="20"/>
      <c r="K44" s="8"/>
      <c r="L44" s="8"/>
      <c r="M44" s="8"/>
      <c r="N44" s="8"/>
      <c r="O44" s="8"/>
      <c r="P44" s="5"/>
    </row>
    <row r="45" spans="1:16" ht="14.25">
      <c r="A45" s="373"/>
      <c r="B45" s="376"/>
      <c r="C45" s="376"/>
      <c r="D45" s="99"/>
      <c r="E45" s="99"/>
      <c r="F45" s="99"/>
      <c r="G45" s="251"/>
      <c r="H45" s="9"/>
      <c r="I45" s="48"/>
      <c r="J45" s="20"/>
      <c r="K45" s="8"/>
      <c r="L45" s="8"/>
      <c r="M45" s="8"/>
      <c r="N45" s="8"/>
      <c r="O45" s="8"/>
      <c r="P45" s="5"/>
    </row>
    <row r="46" spans="1:16" ht="14.25">
      <c r="A46" s="373"/>
      <c r="B46" s="376"/>
      <c r="C46" s="376"/>
      <c r="D46" s="44"/>
      <c r="E46" s="45"/>
      <c r="F46" s="45"/>
      <c r="G46" s="251"/>
      <c r="H46" s="9"/>
      <c r="I46" s="8"/>
      <c r="J46" s="13"/>
      <c r="K46" s="8"/>
      <c r="L46" s="8"/>
      <c r="M46" s="8"/>
      <c r="N46" s="8"/>
      <c r="O46" s="8"/>
      <c r="P46" s="5"/>
    </row>
    <row r="47" spans="1:16" ht="15" thickBot="1">
      <c r="A47" s="242"/>
      <c r="B47" s="243"/>
      <c r="C47" s="244"/>
      <c r="D47" s="245"/>
      <c r="E47" s="246"/>
      <c r="F47" s="246"/>
      <c r="G47" s="247"/>
      <c r="H47" s="9"/>
      <c r="I47" s="8"/>
      <c r="J47" s="13"/>
      <c r="K47" s="8"/>
      <c r="L47" s="8"/>
      <c r="M47" s="8"/>
      <c r="N47" s="8"/>
      <c r="O47" s="8"/>
      <c r="P47" s="5"/>
    </row>
    <row r="48" spans="1:16">
      <c r="I48" s="5"/>
      <c r="J48" s="5"/>
      <c r="K48" s="5"/>
      <c r="L48" s="5"/>
      <c r="M48" s="5"/>
      <c r="N48" s="5"/>
      <c r="O48" s="5"/>
      <c r="P48" s="5"/>
    </row>
    <row r="49" spans="9:16">
      <c r="I49" s="5"/>
      <c r="J49" s="5"/>
      <c r="K49" s="5"/>
      <c r="L49" s="5"/>
      <c r="M49" s="5"/>
      <c r="N49" s="5"/>
      <c r="O49" s="5"/>
      <c r="P49" s="5"/>
    </row>
  </sheetData>
  <mergeCells count="26">
    <mergeCell ref="A10:C10"/>
    <mergeCell ref="A1:G1"/>
    <mergeCell ref="A2:G2"/>
    <mergeCell ref="A3:G4"/>
    <mergeCell ref="B6:E6"/>
    <mergeCell ref="A8:G8"/>
    <mergeCell ref="A24:C24"/>
    <mergeCell ref="A11:C11"/>
    <mergeCell ref="A12:C12"/>
    <mergeCell ref="A13:C13"/>
    <mergeCell ref="A14:C14"/>
    <mergeCell ref="A15:C15"/>
    <mergeCell ref="A16:C16"/>
    <mergeCell ref="A18:G18"/>
    <mergeCell ref="A20:C20"/>
    <mergeCell ref="A21:C21"/>
    <mergeCell ref="A22:C22"/>
    <mergeCell ref="A23:C23"/>
    <mergeCell ref="A32:G32"/>
    <mergeCell ref="D42:F42"/>
    <mergeCell ref="A25:C25"/>
    <mergeCell ref="A26:C26"/>
    <mergeCell ref="A27:C27"/>
    <mergeCell ref="A28:C28"/>
    <mergeCell ref="A29:C29"/>
    <mergeCell ref="A30:C30"/>
  </mergeCells>
  <printOptions horizontalCentered="1" verticalCentered="1"/>
  <pageMargins left="0.74803149606299213" right="0.74803149606299213" top="0" bottom="0.98425196850393704" header="0" footer="0"/>
  <pageSetup scale="90" orientation="portrait" r:id="rId1"/>
  <headerFooter alignWithMargins="0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81"/>
  <dimension ref="A1:U49"/>
  <sheetViews>
    <sheetView view="pageBreakPreview" zoomScaleNormal="100" zoomScaleSheetLayoutView="100" workbookViewId="0">
      <selection activeCell="F22" sqref="F22"/>
    </sheetView>
  </sheetViews>
  <sheetFormatPr baseColWidth="10" defaultColWidth="10.7109375" defaultRowHeight="12.75"/>
  <cols>
    <col min="1" max="1" width="15.85546875" style="3" customWidth="1"/>
    <col min="2" max="2" width="14.85546875" style="3" customWidth="1"/>
    <col min="3" max="3" width="13.28515625" style="3" customWidth="1"/>
    <col min="4" max="4" width="11.42578125" style="3"/>
    <col min="5" max="5" width="13.42578125" style="3" customWidth="1"/>
    <col min="6" max="6" width="12.7109375" style="3" customWidth="1"/>
    <col min="7" max="7" width="14" style="3" customWidth="1"/>
    <col min="8" max="8" width="7.42578125" style="3" customWidth="1"/>
    <col min="9" max="256" width="11.42578125" style="3"/>
    <col min="257" max="257" width="15.85546875" style="3" customWidth="1"/>
    <col min="258" max="258" width="14.85546875" style="3" customWidth="1"/>
    <col min="259" max="259" width="13.28515625" style="3" customWidth="1"/>
    <col min="260" max="260" width="11.42578125" style="3"/>
    <col min="261" max="261" width="13.42578125" style="3" customWidth="1"/>
    <col min="262" max="262" width="12.7109375" style="3" customWidth="1"/>
    <col min="263" max="263" width="14" style="3" customWidth="1"/>
    <col min="264" max="264" width="7.42578125" style="3" customWidth="1"/>
    <col min="265" max="512" width="11.42578125" style="3"/>
    <col min="513" max="513" width="15.85546875" style="3" customWidth="1"/>
    <col min="514" max="514" width="14.85546875" style="3" customWidth="1"/>
    <col min="515" max="515" width="13.28515625" style="3" customWidth="1"/>
    <col min="516" max="516" width="11.42578125" style="3"/>
    <col min="517" max="517" width="13.42578125" style="3" customWidth="1"/>
    <col min="518" max="518" width="12.7109375" style="3" customWidth="1"/>
    <col min="519" max="519" width="14" style="3" customWidth="1"/>
    <col min="520" max="520" width="7.42578125" style="3" customWidth="1"/>
    <col min="521" max="768" width="11.42578125" style="3"/>
    <col min="769" max="769" width="15.85546875" style="3" customWidth="1"/>
    <col min="770" max="770" width="14.85546875" style="3" customWidth="1"/>
    <col min="771" max="771" width="13.28515625" style="3" customWidth="1"/>
    <col min="772" max="772" width="11.42578125" style="3"/>
    <col min="773" max="773" width="13.42578125" style="3" customWidth="1"/>
    <col min="774" max="774" width="12.7109375" style="3" customWidth="1"/>
    <col min="775" max="775" width="14" style="3" customWidth="1"/>
    <col min="776" max="776" width="7.42578125" style="3" customWidth="1"/>
    <col min="777" max="1024" width="11.42578125" style="3"/>
    <col min="1025" max="1025" width="15.85546875" style="3" customWidth="1"/>
    <col min="1026" max="1026" width="14.85546875" style="3" customWidth="1"/>
    <col min="1027" max="1027" width="13.28515625" style="3" customWidth="1"/>
    <col min="1028" max="1028" width="11.42578125" style="3"/>
    <col min="1029" max="1029" width="13.42578125" style="3" customWidth="1"/>
    <col min="1030" max="1030" width="12.7109375" style="3" customWidth="1"/>
    <col min="1031" max="1031" width="14" style="3" customWidth="1"/>
    <col min="1032" max="1032" width="7.42578125" style="3" customWidth="1"/>
    <col min="1033" max="1280" width="11.42578125" style="3"/>
    <col min="1281" max="1281" width="15.85546875" style="3" customWidth="1"/>
    <col min="1282" max="1282" width="14.85546875" style="3" customWidth="1"/>
    <col min="1283" max="1283" width="13.28515625" style="3" customWidth="1"/>
    <col min="1284" max="1284" width="11.42578125" style="3"/>
    <col min="1285" max="1285" width="13.42578125" style="3" customWidth="1"/>
    <col min="1286" max="1286" width="12.7109375" style="3" customWidth="1"/>
    <col min="1287" max="1287" width="14" style="3" customWidth="1"/>
    <col min="1288" max="1288" width="7.42578125" style="3" customWidth="1"/>
    <col min="1289" max="1536" width="11.42578125" style="3"/>
    <col min="1537" max="1537" width="15.85546875" style="3" customWidth="1"/>
    <col min="1538" max="1538" width="14.85546875" style="3" customWidth="1"/>
    <col min="1539" max="1539" width="13.28515625" style="3" customWidth="1"/>
    <col min="1540" max="1540" width="11.42578125" style="3"/>
    <col min="1541" max="1541" width="13.42578125" style="3" customWidth="1"/>
    <col min="1542" max="1542" width="12.7109375" style="3" customWidth="1"/>
    <col min="1543" max="1543" width="14" style="3" customWidth="1"/>
    <col min="1544" max="1544" width="7.42578125" style="3" customWidth="1"/>
    <col min="1545" max="1792" width="11.42578125" style="3"/>
    <col min="1793" max="1793" width="15.85546875" style="3" customWidth="1"/>
    <col min="1794" max="1794" width="14.85546875" style="3" customWidth="1"/>
    <col min="1795" max="1795" width="13.28515625" style="3" customWidth="1"/>
    <col min="1796" max="1796" width="11.42578125" style="3"/>
    <col min="1797" max="1797" width="13.42578125" style="3" customWidth="1"/>
    <col min="1798" max="1798" width="12.7109375" style="3" customWidth="1"/>
    <col min="1799" max="1799" width="14" style="3" customWidth="1"/>
    <col min="1800" max="1800" width="7.42578125" style="3" customWidth="1"/>
    <col min="1801" max="2048" width="11.42578125" style="3"/>
    <col min="2049" max="2049" width="15.85546875" style="3" customWidth="1"/>
    <col min="2050" max="2050" width="14.85546875" style="3" customWidth="1"/>
    <col min="2051" max="2051" width="13.28515625" style="3" customWidth="1"/>
    <col min="2052" max="2052" width="11.42578125" style="3"/>
    <col min="2053" max="2053" width="13.42578125" style="3" customWidth="1"/>
    <col min="2054" max="2054" width="12.7109375" style="3" customWidth="1"/>
    <col min="2055" max="2055" width="14" style="3" customWidth="1"/>
    <col min="2056" max="2056" width="7.42578125" style="3" customWidth="1"/>
    <col min="2057" max="2304" width="11.42578125" style="3"/>
    <col min="2305" max="2305" width="15.85546875" style="3" customWidth="1"/>
    <col min="2306" max="2306" width="14.85546875" style="3" customWidth="1"/>
    <col min="2307" max="2307" width="13.28515625" style="3" customWidth="1"/>
    <col min="2308" max="2308" width="11.42578125" style="3"/>
    <col min="2309" max="2309" width="13.42578125" style="3" customWidth="1"/>
    <col min="2310" max="2310" width="12.7109375" style="3" customWidth="1"/>
    <col min="2311" max="2311" width="14" style="3" customWidth="1"/>
    <col min="2312" max="2312" width="7.42578125" style="3" customWidth="1"/>
    <col min="2313" max="2560" width="11.42578125" style="3"/>
    <col min="2561" max="2561" width="15.85546875" style="3" customWidth="1"/>
    <col min="2562" max="2562" width="14.85546875" style="3" customWidth="1"/>
    <col min="2563" max="2563" width="13.28515625" style="3" customWidth="1"/>
    <col min="2564" max="2564" width="11.42578125" style="3"/>
    <col min="2565" max="2565" width="13.42578125" style="3" customWidth="1"/>
    <col min="2566" max="2566" width="12.7109375" style="3" customWidth="1"/>
    <col min="2567" max="2567" width="14" style="3" customWidth="1"/>
    <col min="2568" max="2568" width="7.42578125" style="3" customWidth="1"/>
    <col min="2569" max="2816" width="11.42578125" style="3"/>
    <col min="2817" max="2817" width="15.85546875" style="3" customWidth="1"/>
    <col min="2818" max="2818" width="14.85546875" style="3" customWidth="1"/>
    <col min="2819" max="2819" width="13.28515625" style="3" customWidth="1"/>
    <col min="2820" max="2820" width="11.42578125" style="3"/>
    <col min="2821" max="2821" width="13.42578125" style="3" customWidth="1"/>
    <col min="2822" max="2822" width="12.7109375" style="3" customWidth="1"/>
    <col min="2823" max="2823" width="14" style="3" customWidth="1"/>
    <col min="2824" max="2824" width="7.42578125" style="3" customWidth="1"/>
    <col min="2825" max="3072" width="11.42578125" style="3"/>
    <col min="3073" max="3073" width="15.85546875" style="3" customWidth="1"/>
    <col min="3074" max="3074" width="14.85546875" style="3" customWidth="1"/>
    <col min="3075" max="3075" width="13.28515625" style="3" customWidth="1"/>
    <col min="3076" max="3076" width="11.42578125" style="3"/>
    <col min="3077" max="3077" width="13.42578125" style="3" customWidth="1"/>
    <col min="3078" max="3078" width="12.7109375" style="3" customWidth="1"/>
    <col min="3079" max="3079" width="14" style="3" customWidth="1"/>
    <col min="3080" max="3080" width="7.42578125" style="3" customWidth="1"/>
    <col min="3081" max="3328" width="11.42578125" style="3"/>
    <col min="3329" max="3329" width="15.85546875" style="3" customWidth="1"/>
    <col min="3330" max="3330" width="14.85546875" style="3" customWidth="1"/>
    <col min="3331" max="3331" width="13.28515625" style="3" customWidth="1"/>
    <col min="3332" max="3332" width="11.42578125" style="3"/>
    <col min="3333" max="3333" width="13.42578125" style="3" customWidth="1"/>
    <col min="3334" max="3334" width="12.7109375" style="3" customWidth="1"/>
    <col min="3335" max="3335" width="14" style="3" customWidth="1"/>
    <col min="3336" max="3336" width="7.42578125" style="3" customWidth="1"/>
    <col min="3337" max="3584" width="11.42578125" style="3"/>
    <col min="3585" max="3585" width="15.85546875" style="3" customWidth="1"/>
    <col min="3586" max="3586" width="14.85546875" style="3" customWidth="1"/>
    <col min="3587" max="3587" width="13.28515625" style="3" customWidth="1"/>
    <col min="3588" max="3588" width="11.42578125" style="3"/>
    <col min="3589" max="3589" width="13.42578125" style="3" customWidth="1"/>
    <col min="3590" max="3590" width="12.7109375" style="3" customWidth="1"/>
    <col min="3591" max="3591" width="14" style="3" customWidth="1"/>
    <col min="3592" max="3592" width="7.42578125" style="3" customWidth="1"/>
    <col min="3593" max="3840" width="11.42578125" style="3"/>
    <col min="3841" max="3841" width="15.85546875" style="3" customWidth="1"/>
    <col min="3842" max="3842" width="14.85546875" style="3" customWidth="1"/>
    <col min="3843" max="3843" width="13.28515625" style="3" customWidth="1"/>
    <col min="3844" max="3844" width="11.42578125" style="3"/>
    <col min="3845" max="3845" width="13.42578125" style="3" customWidth="1"/>
    <col min="3846" max="3846" width="12.7109375" style="3" customWidth="1"/>
    <col min="3847" max="3847" width="14" style="3" customWidth="1"/>
    <col min="3848" max="3848" width="7.42578125" style="3" customWidth="1"/>
    <col min="3849" max="4096" width="11.42578125" style="3"/>
    <col min="4097" max="4097" width="15.85546875" style="3" customWidth="1"/>
    <col min="4098" max="4098" width="14.85546875" style="3" customWidth="1"/>
    <col min="4099" max="4099" width="13.28515625" style="3" customWidth="1"/>
    <col min="4100" max="4100" width="11.42578125" style="3"/>
    <col min="4101" max="4101" width="13.42578125" style="3" customWidth="1"/>
    <col min="4102" max="4102" width="12.7109375" style="3" customWidth="1"/>
    <col min="4103" max="4103" width="14" style="3" customWidth="1"/>
    <col min="4104" max="4104" width="7.42578125" style="3" customWidth="1"/>
    <col min="4105" max="4352" width="11.42578125" style="3"/>
    <col min="4353" max="4353" width="15.85546875" style="3" customWidth="1"/>
    <col min="4354" max="4354" width="14.85546875" style="3" customWidth="1"/>
    <col min="4355" max="4355" width="13.28515625" style="3" customWidth="1"/>
    <col min="4356" max="4356" width="11.42578125" style="3"/>
    <col min="4357" max="4357" width="13.42578125" style="3" customWidth="1"/>
    <col min="4358" max="4358" width="12.7109375" style="3" customWidth="1"/>
    <col min="4359" max="4359" width="14" style="3" customWidth="1"/>
    <col min="4360" max="4360" width="7.42578125" style="3" customWidth="1"/>
    <col min="4361" max="4608" width="11.42578125" style="3"/>
    <col min="4609" max="4609" width="15.85546875" style="3" customWidth="1"/>
    <col min="4610" max="4610" width="14.85546875" style="3" customWidth="1"/>
    <col min="4611" max="4611" width="13.28515625" style="3" customWidth="1"/>
    <col min="4612" max="4612" width="11.42578125" style="3"/>
    <col min="4613" max="4613" width="13.42578125" style="3" customWidth="1"/>
    <col min="4614" max="4614" width="12.7109375" style="3" customWidth="1"/>
    <col min="4615" max="4615" width="14" style="3" customWidth="1"/>
    <col min="4616" max="4616" width="7.42578125" style="3" customWidth="1"/>
    <col min="4617" max="4864" width="11.42578125" style="3"/>
    <col min="4865" max="4865" width="15.85546875" style="3" customWidth="1"/>
    <col min="4866" max="4866" width="14.85546875" style="3" customWidth="1"/>
    <col min="4867" max="4867" width="13.28515625" style="3" customWidth="1"/>
    <col min="4868" max="4868" width="11.42578125" style="3"/>
    <col min="4869" max="4869" width="13.42578125" style="3" customWidth="1"/>
    <col min="4870" max="4870" width="12.7109375" style="3" customWidth="1"/>
    <col min="4871" max="4871" width="14" style="3" customWidth="1"/>
    <col min="4872" max="4872" width="7.42578125" style="3" customWidth="1"/>
    <col min="4873" max="5120" width="11.42578125" style="3"/>
    <col min="5121" max="5121" width="15.85546875" style="3" customWidth="1"/>
    <col min="5122" max="5122" width="14.85546875" style="3" customWidth="1"/>
    <col min="5123" max="5123" width="13.28515625" style="3" customWidth="1"/>
    <col min="5124" max="5124" width="11.42578125" style="3"/>
    <col min="5125" max="5125" width="13.42578125" style="3" customWidth="1"/>
    <col min="5126" max="5126" width="12.7109375" style="3" customWidth="1"/>
    <col min="5127" max="5127" width="14" style="3" customWidth="1"/>
    <col min="5128" max="5128" width="7.42578125" style="3" customWidth="1"/>
    <col min="5129" max="5376" width="11.42578125" style="3"/>
    <col min="5377" max="5377" width="15.85546875" style="3" customWidth="1"/>
    <col min="5378" max="5378" width="14.85546875" style="3" customWidth="1"/>
    <col min="5379" max="5379" width="13.28515625" style="3" customWidth="1"/>
    <col min="5380" max="5380" width="11.42578125" style="3"/>
    <col min="5381" max="5381" width="13.42578125" style="3" customWidth="1"/>
    <col min="5382" max="5382" width="12.7109375" style="3" customWidth="1"/>
    <col min="5383" max="5383" width="14" style="3" customWidth="1"/>
    <col min="5384" max="5384" width="7.42578125" style="3" customWidth="1"/>
    <col min="5385" max="5632" width="11.42578125" style="3"/>
    <col min="5633" max="5633" width="15.85546875" style="3" customWidth="1"/>
    <col min="5634" max="5634" width="14.85546875" style="3" customWidth="1"/>
    <col min="5635" max="5635" width="13.28515625" style="3" customWidth="1"/>
    <col min="5636" max="5636" width="11.42578125" style="3"/>
    <col min="5637" max="5637" width="13.42578125" style="3" customWidth="1"/>
    <col min="5638" max="5638" width="12.7109375" style="3" customWidth="1"/>
    <col min="5639" max="5639" width="14" style="3" customWidth="1"/>
    <col min="5640" max="5640" width="7.42578125" style="3" customWidth="1"/>
    <col min="5641" max="5888" width="11.42578125" style="3"/>
    <col min="5889" max="5889" width="15.85546875" style="3" customWidth="1"/>
    <col min="5890" max="5890" width="14.85546875" style="3" customWidth="1"/>
    <col min="5891" max="5891" width="13.28515625" style="3" customWidth="1"/>
    <col min="5892" max="5892" width="11.42578125" style="3"/>
    <col min="5893" max="5893" width="13.42578125" style="3" customWidth="1"/>
    <col min="5894" max="5894" width="12.7109375" style="3" customWidth="1"/>
    <col min="5895" max="5895" width="14" style="3" customWidth="1"/>
    <col min="5896" max="5896" width="7.42578125" style="3" customWidth="1"/>
    <col min="5897" max="6144" width="11.42578125" style="3"/>
    <col min="6145" max="6145" width="15.85546875" style="3" customWidth="1"/>
    <col min="6146" max="6146" width="14.85546875" style="3" customWidth="1"/>
    <col min="6147" max="6147" width="13.28515625" style="3" customWidth="1"/>
    <col min="6148" max="6148" width="11.42578125" style="3"/>
    <col min="6149" max="6149" width="13.42578125" style="3" customWidth="1"/>
    <col min="6150" max="6150" width="12.7109375" style="3" customWidth="1"/>
    <col min="6151" max="6151" width="14" style="3" customWidth="1"/>
    <col min="6152" max="6152" width="7.42578125" style="3" customWidth="1"/>
    <col min="6153" max="6400" width="11.42578125" style="3"/>
    <col min="6401" max="6401" width="15.85546875" style="3" customWidth="1"/>
    <col min="6402" max="6402" width="14.85546875" style="3" customWidth="1"/>
    <col min="6403" max="6403" width="13.28515625" style="3" customWidth="1"/>
    <col min="6404" max="6404" width="11.42578125" style="3"/>
    <col min="6405" max="6405" width="13.42578125" style="3" customWidth="1"/>
    <col min="6406" max="6406" width="12.7109375" style="3" customWidth="1"/>
    <col min="6407" max="6407" width="14" style="3" customWidth="1"/>
    <col min="6408" max="6408" width="7.42578125" style="3" customWidth="1"/>
    <col min="6409" max="6656" width="11.42578125" style="3"/>
    <col min="6657" max="6657" width="15.85546875" style="3" customWidth="1"/>
    <col min="6658" max="6658" width="14.85546875" style="3" customWidth="1"/>
    <col min="6659" max="6659" width="13.28515625" style="3" customWidth="1"/>
    <col min="6660" max="6660" width="11.42578125" style="3"/>
    <col min="6661" max="6661" width="13.42578125" style="3" customWidth="1"/>
    <col min="6662" max="6662" width="12.7109375" style="3" customWidth="1"/>
    <col min="6663" max="6663" width="14" style="3" customWidth="1"/>
    <col min="6664" max="6664" width="7.42578125" style="3" customWidth="1"/>
    <col min="6665" max="6912" width="11.42578125" style="3"/>
    <col min="6913" max="6913" width="15.85546875" style="3" customWidth="1"/>
    <col min="6914" max="6914" width="14.85546875" style="3" customWidth="1"/>
    <col min="6915" max="6915" width="13.28515625" style="3" customWidth="1"/>
    <col min="6916" max="6916" width="11.42578125" style="3"/>
    <col min="6917" max="6917" width="13.42578125" style="3" customWidth="1"/>
    <col min="6918" max="6918" width="12.7109375" style="3" customWidth="1"/>
    <col min="6919" max="6919" width="14" style="3" customWidth="1"/>
    <col min="6920" max="6920" width="7.42578125" style="3" customWidth="1"/>
    <col min="6921" max="7168" width="11.42578125" style="3"/>
    <col min="7169" max="7169" width="15.85546875" style="3" customWidth="1"/>
    <col min="7170" max="7170" width="14.85546875" style="3" customWidth="1"/>
    <col min="7171" max="7171" width="13.28515625" style="3" customWidth="1"/>
    <col min="7172" max="7172" width="11.42578125" style="3"/>
    <col min="7173" max="7173" width="13.42578125" style="3" customWidth="1"/>
    <col min="7174" max="7174" width="12.7109375" style="3" customWidth="1"/>
    <col min="7175" max="7175" width="14" style="3" customWidth="1"/>
    <col min="7176" max="7176" width="7.42578125" style="3" customWidth="1"/>
    <col min="7177" max="7424" width="11.42578125" style="3"/>
    <col min="7425" max="7425" width="15.85546875" style="3" customWidth="1"/>
    <col min="7426" max="7426" width="14.85546875" style="3" customWidth="1"/>
    <col min="7427" max="7427" width="13.28515625" style="3" customWidth="1"/>
    <col min="7428" max="7428" width="11.42578125" style="3"/>
    <col min="7429" max="7429" width="13.42578125" style="3" customWidth="1"/>
    <col min="7430" max="7430" width="12.7109375" style="3" customWidth="1"/>
    <col min="7431" max="7431" width="14" style="3" customWidth="1"/>
    <col min="7432" max="7432" width="7.42578125" style="3" customWidth="1"/>
    <col min="7433" max="7680" width="11.42578125" style="3"/>
    <col min="7681" max="7681" width="15.85546875" style="3" customWidth="1"/>
    <col min="7682" max="7682" width="14.85546875" style="3" customWidth="1"/>
    <col min="7683" max="7683" width="13.28515625" style="3" customWidth="1"/>
    <col min="7684" max="7684" width="11.42578125" style="3"/>
    <col min="7685" max="7685" width="13.42578125" style="3" customWidth="1"/>
    <col min="7686" max="7686" width="12.7109375" style="3" customWidth="1"/>
    <col min="7687" max="7687" width="14" style="3" customWidth="1"/>
    <col min="7688" max="7688" width="7.42578125" style="3" customWidth="1"/>
    <col min="7689" max="7936" width="11.42578125" style="3"/>
    <col min="7937" max="7937" width="15.85546875" style="3" customWidth="1"/>
    <col min="7938" max="7938" width="14.85546875" style="3" customWidth="1"/>
    <col min="7939" max="7939" width="13.28515625" style="3" customWidth="1"/>
    <col min="7940" max="7940" width="11.42578125" style="3"/>
    <col min="7941" max="7941" width="13.42578125" style="3" customWidth="1"/>
    <col min="7942" max="7942" width="12.7109375" style="3" customWidth="1"/>
    <col min="7943" max="7943" width="14" style="3" customWidth="1"/>
    <col min="7944" max="7944" width="7.42578125" style="3" customWidth="1"/>
    <col min="7945" max="8192" width="11.42578125" style="3"/>
    <col min="8193" max="8193" width="15.85546875" style="3" customWidth="1"/>
    <col min="8194" max="8194" width="14.85546875" style="3" customWidth="1"/>
    <col min="8195" max="8195" width="13.28515625" style="3" customWidth="1"/>
    <col min="8196" max="8196" width="11.42578125" style="3"/>
    <col min="8197" max="8197" width="13.42578125" style="3" customWidth="1"/>
    <col min="8198" max="8198" width="12.7109375" style="3" customWidth="1"/>
    <col min="8199" max="8199" width="14" style="3" customWidth="1"/>
    <col min="8200" max="8200" width="7.42578125" style="3" customWidth="1"/>
    <col min="8201" max="8448" width="11.42578125" style="3"/>
    <col min="8449" max="8449" width="15.85546875" style="3" customWidth="1"/>
    <col min="8450" max="8450" width="14.85546875" style="3" customWidth="1"/>
    <col min="8451" max="8451" width="13.28515625" style="3" customWidth="1"/>
    <col min="8452" max="8452" width="11.42578125" style="3"/>
    <col min="8453" max="8453" width="13.42578125" style="3" customWidth="1"/>
    <col min="8454" max="8454" width="12.7109375" style="3" customWidth="1"/>
    <col min="8455" max="8455" width="14" style="3" customWidth="1"/>
    <col min="8456" max="8456" width="7.42578125" style="3" customWidth="1"/>
    <col min="8457" max="8704" width="11.42578125" style="3"/>
    <col min="8705" max="8705" width="15.85546875" style="3" customWidth="1"/>
    <col min="8706" max="8706" width="14.85546875" style="3" customWidth="1"/>
    <col min="8707" max="8707" width="13.28515625" style="3" customWidth="1"/>
    <col min="8708" max="8708" width="11.42578125" style="3"/>
    <col min="8709" max="8709" width="13.42578125" style="3" customWidth="1"/>
    <col min="8710" max="8710" width="12.7109375" style="3" customWidth="1"/>
    <col min="8711" max="8711" width="14" style="3" customWidth="1"/>
    <col min="8712" max="8712" width="7.42578125" style="3" customWidth="1"/>
    <col min="8713" max="8960" width="11.42578125" style="3"/>
    <col min="8961" max="8961" width="15.85546875" style="3" customWidth="1"/>
    <col min="8962" max="8962" width="14.85546875" style="3" customWidth="1"/>
    <col min="8963" max="8963" width="13.28515625" style="3" customWidth="1"/>
    <col min="8964" max="8964" width="11.42578125" style="3"/>
    <col min="8965" max="8965" width="13.42578125" style="3" customWidth="1"/>
    <col min="8966" max="8966" width="12.7109375" style="3" customWidth="1"/>
    <col min="8967" max="8967" width="14" style="3" customWidth="1"/>
    <col min="8968" max="8968" width="7.42578125" style="3" customWidth="1"/>
    <col min="8969" max="9216" width="11.42578125" style="3"/>
    <col min="9217" max="9217" width="15.85546875" style="3" customWidth="1"/>
    <col min="9218" max="9218" width="14.85546875" style="3" customWidth="1"/>
    <col min="9219" max="9219" width="13.28515625" style="3" customWidth="1"/>
    <col min="9220" max="9220" width="11.42578125" style="3"/>
    <col min="9221" max="9221" width="13.42578125" style="3" customWidth="1"/>
    <col min="9222" max="9222" width="12.7109375" style="3" customWidth="1"/>
    <col min="9223" max="9223" width="14" style="3" customWidth="1"/>
    <col min="9224" max="9224" width="7.42578125" style="3" customWidth="1"/>
    <col min="9225" max="9472" width="11.42578125" style="3"/>
    <col min="9473" max="9473" width="15.85546875" style="3" customWidth="1"/>
    <col min="9474" max="9474" width="14.85546875" style="3" customWidth="1"/>
    <col min="9475" max="9475" width="13.28515625" style="3" customWidth="1"/>
    <col min="9476" max="9476" width="11.42578125" style="3"/>
    <col min="9477" max="9477" width="13.42578125" style="3" customWidth="1"/>
    <col min="9478" max="9478" width="12.7109375" style="3" customWidth="1"/>
    <col min="9479" max="9479" width="14" style="3" customWidth="1"/>
    <col min="9480" max="9480" width="7.42578125" style="3" customWidth="1"/>
    <col min="9481" max="9728" width="11.42578125" style="3"/>
    <col min="9729" max="9729" width="15.85546875" style="3" customWidth="1"/>
    <col min="9730" max="9730" width="14.85546875" style="3" customWidth="1"/>
    <col min="9731" max="9731" width="13.28515625" style="3" customWidth="1"/>
    <col min="9732" max="9732" width="11.42578125" style="3"/>
    <col min="9733" max="9733" width="13.42578125" style="3" customWidth="1"/>
    <col min="9734" max="9734" width="12.7109375" style="3" customWidth="1"/>
    <col min="9735" max="9735" width="14" style="3" customWidth="1"/>
    <col min="9736" max="9736" width="7.42578125" style="3" customWidth="1"/>
    <col min="9737" max="9984" width="11.42578125" style="3"/>
    <col min="9985" max="9985" width="15.85546875" style="3" customWidth="1"/>
    <col min="9986" max="9986" width="14.85546875" style="3" customWidth="1"/>
    <col min="9987" max="9987" width="13.28515625" style="3" customWidth="1"/>
    <col min="9988" max="9988" width="11.42578125" style="3"/>
    <col min="9989" max="9989" width="13.42578125" style="3" customWidth="1"/>
    <col min="9990" max="9990" width="12.7109375" style="3" customWidth="1"/>
    <col min="9991" max="9991" width="14" style="3" customWidth="1"/>
    <col min="9992" max="9992" width="7.42578125" style="3" customWidth="1"/>
    <col min="9993" max="10240" width="11.42578125" style="3"/>
    <col min="10241" max="10241" width="15.85546875" style="3" customWidth="1"/>
    <col min="10242" max="10242" width="14.85546875" style="3" customWidth="1"/>
    <col min="10243" max="10243" width="13.28515625" style="3" customWidth="1"/>
    <col min="10244" max="10244" width="11.42578125" style="3"/>
    <col min="10245" max="10245" width="13.42578125" style="3" customWidth="1"/>
    <col min="10246" max="10246" width="12.7109375" style="3" customWidth="1"/>
    <col min="10247" max="10247" width="14" style="3" customWidth="1"/>
    <col min="10248" max="10248" width="7.42578125" style="3" customWidth="1"/>
    <col min="10249" max="10496" width="11.42578125" style="3"/>
    <col min="10497" max="10497" width="15.85546875" style="3" customWidth="1"/>
    <col min="10498" max="10498" width="14.85546875" style="3" customWidth="1"/>
    <col min="10499" max="10499" width="13.28515625" style="3" customWidth="1"/>
    <col min="10500" max="10500" width="11.42578125" style="3"/>
    <col min="10501" max="10501" width="13.42578125" style="3" customWidth="1"/>
    <col min="10502" max="10502" width="12.7109375" style="3" customWidth="1"/>
    <col min="10503" max="10503" width="14" style="3" customWidth="1"/>
    <col min="10504" max="10504" width="7.42578125" style="3" customWidth="1"/>
    <col min="10505" max="10752" width="11.42578125" style="3"/>
    <col min="10753" max="10753" width="15.85546875" style="3" customWidth="1"/>
    <col min="10754" max="10754" width="14.85546875" style="3" customWidth="1"/>
    <col min="10755" max="10755" width="13.28515625" style="3" customWidth="1"/>
    <col min="10756" max="10756" width="11.42578125" style="3"/>
    <col min="10757" max="10757" width="13.42578125" style="3" customWidth="1"/>
    <col min="10758" max="10758" width="12.7109375" style="3" customWidth="1"/>
    <col min="10759" max="10759" width="14" style="3" customWidth="1"/>
    <col min="10760" max="10760" width="7.42578125" style="3" customWidth="1"/>
    <col min="10761" max="11008" width="11.42578125" style="3"/>
    <col min="11009" max="11009" width="15.85546875" style="3" customWidth="1"/>
    <col min="11010" max="11010" width="14.85546875" style="3" customWidth="1"/>
    <col min="11011" max="11011" width="13.28515625" style="3" customWidth="1"/>
    <col min="11012" max="11012" width="11.42578125" style="3"/>
    <col min="11013" max="11013" width="13.42578125" style="3" customWidth="1"/>
    <col min="11014" max="11014" width="12.7109375" style="3" customWidth="1"/>
    <col min="11015" max="11015" width="14" style="3" customWidth="1"/>
    <col min="11016" max="11016" width="7.42578125" style="3" customWidth="1"/>
    <col min="11017" max="11264" width="11.42578125" style="3"/>
    <col min="11265" max="11265" width="15.85546875" style="3" customWidth="1"/>
    <col min="11266" max="11266" width="14.85546875" style="3" customWidth="1"/>
    <col min="11267" max="11267" width="13.28515625" style="3" customWidth="1"/>
    <col min="11268" max="11268" width="11.42578125" style="3"/>
    <col min="11269" max="11269" width="13.42578125" style="3" customWidth="1"/>
    <col min="11270" max="11270" width="12.7109375" style="3" customWidth="1"/>
    <col min="11271" max="11271" width="14" style="3" customWidth="1"/>
    <col min="11272" max="11272" width="7.42578125" style="3" customWidth="1"/>
    <col min="11273" max="11520" width="11.42578125" style="3"/>
    <col min="11521" max="11521" width="15.85546875" style="3" customWidth="1"/>
    <col min="11522" max="11522" width="14.85546875" style="3" customWidth="1"/>
    <col min="11523" max="11523" width="13.28515625" style="3" customWidth="1"/>
    <col min="11524" max="11524" width="11.42578125" style="3"/>
    <col min="11525" max="11525" width="13.42578125" style="3" customWidth="1"/>
    <col min="11526" max="11526" width="12.7109375" style="3" customWidth="1"/>
    <col min="11527" max="11527" width="14" style="3" customWidth="1"/>
    <col min="11528" max="11528" width="7.42578125" style="3" customWidth="1"/>
    <col min="11529" max="11776" width="11.42578125" style="3"/>
    <col min="11777" max="11777" width="15.85546875" style="3" customWidth="1"/>
    <col min="11778" max="11778" width="14.85546875" style="3" customWidth="1"/>
    <col min="11779" max="11779" width="13.28515625" style="3" customWidth="1"/>
    <col min="11780" max="11780" width="11.42578125" style="3"/>
    <col min="11781" max="11781" width="13.42578125" style="3" customWidth="1"/>
    <col min="11782" max="11782" width="12.7109375" style="3" customWidth="1"/>
    <col min="11783" max="11783" width="14" style="3" customWidth="1"/>
    <col min="11784" max="11784" width="7.42578125" style="3" customWidth="1"/>
    <col min="11785" max="12032" width="11.42578125" style="3"/>
    <col min="12033" max="12033" width="15.85546875" style="3" customWidth="1"/>
    <col min="12034" max="12034" width="14.85546875" style="3" customWidth="1"/>
    <col min="12035" max="12035" width="13.28515625" style="3" customWidth="1"/>
    <col min="12036" max="12036" width="11.42578125" style="3"/>
    <col min="12037" max="12037" width="13.42578125" style="3" customWidth="1"/>
    <col min="12038" max="12038" width="12.7109375" style="3" customWidth="1"/>
    <col min="12039" max="12039" width="14" style="3" customWidth="1"/>
    <col min="12040" max="12040" width="7.42578125" style="3" customWidth="1"/>
    <col min="12041" max="12288" width="11.42578125" style="3"/>
    <col min="12289" max="12289" width="15.85546875" style="3" customWidth="1"/>
    <col min="12290" max="12290" width="14.85546875" style="3" customWidth="1"/>
    <col min="12291" max="12291" width="13.28515625" style="3" customWidth="1"/>
    <col min="12292" max="12292" width="11.42578125" style="3"/>
    <col min="12293" max="12293" width="13.42578125" style="3" customWidth="1"/>
    <col min="12294" max="12294" width="12.7109375" style="3" customWidth="1"/>
    <col min="12295" max="12295" width="14" style="3" customWidth="1"/>
    <col min="12296" max="12296" width="7.42578125" style="3" customWidth="1"/>
    <col min="12297" max="12544" width="11.42578125" style="3"/>
    <col min="12545" max="12545" width="15.85546875" style="3" customWidth="1"/>
    <col min="12546" max="12546" width="14.85546875" style="3" customWidth="1"/>
    <col min="12547" max="12547" width="13.28515625" style="3" customWidth="1"/>
    <col min="12548" max="12548" width="11.42578125" style="3"/>
    <col min="12549" max="12549" width="13.42578125" style="3" customWidth="1"/>
    <col min="12550" max="12550" width="12.7109375" style="3" customWidth="1"/>
    <col min="12551" max="12551" width="14" style="3" customWidth="1"/>
    <col min="12552" max="12552" width="7.42578125" style="3" customWidth="1"/>
    <col min="12553" max="12800" width="11.42578125" style="3"/>
    <col min="12801" max="12801" width="15.85546875" style="3" customWidth="1"/>
    <col min="12802" max="12802" width="14.85546875" style="3" customWidth="1"/>
    <col min="12803" max="12803" width="13.28515625" style="3" customWidth="1"/>
    <col min="12804" max="12804" width="11.42578125" style="3"/>
    <col min="12805" max="12805" width="13.42578125" style="3" customWidth="1"/>
    <col min="12806" max="12806" width="12.7109375" style="3" customWidth="1"/>
    <col min="12807" max="12807" width="14" style="3" customWidth="1"/>
    <col min="12808" max="12808" width="7.42578125" style="3" customWidth="1"/>
    <col min="12809" max="13056" width="11.42578125" style="3"/>
    <col min="13057" max="13057" width="15.85546875" style="3" customWidth="1"/>
    <col min="13058" max="13058" width="14.85546875" style="3" customWidth="1"/>
    <col min="13059" max="13059" width="13.28515625" style="3" customWidth="1"/>
    <col min="13060" max="13060" width="11.42578125" style="3"/>
    <col min="13061" max="13061" width="13.42578125" style="3" customWidth="1"/>
    <col min="13062" max="13062" width="12.7109375" style="3" customWidth="1"/>
    <col min="13063" max="13063" width="14" style="3" customWidth="1"/>
    <col min="13064" max="13064" width="7.42578125" style="3" customWidth="1"/>
    <col min="13065" max="13312" width="11.42578125" style="3"/>
    <col min="13313" max="13313" width="15.85546875" style="3" customWidth="1"/>
    <col min="13314" max="13314" width="14.85546875" style="3" customWidth="1"/>
    <col min="13315" max="13315" width="13.28515625" style="3" customWidth="1"/>
    <col min="13316" max="13316" width="11.42578125" style="3"/>
    <col min="13317" max="13317" width="13.42578125" style="3" customWidth="1"/>
    <col min="13318" max="13318" width="12.7109375" style="3" customWidth="1"/>
    <col min="13319" max="13319" width="14" style="3" customWidth="1"/>
    <col min="13320" max="13320" width="7.42578125" style="3" customWidth="1"/>
    <col min="13321" max="13568" width="11.42578125" style="3"/>
    <col min="13569" max="13569" width="15.85546875" style="3" customWidth="1"/>
    <col min="13570" max="13570" width="14.85546875" style="3" customWidth="1"/>
    <col min="13571" max="13571" width="13.28515625" style="3" customWidth="1"/>
    <col min="13572" max="13572" width="11.42578125" style="3"/>
    <col min="13573" max="13573" width="13.42578125" style="3" customWidth="1"/>
    <col min="13574" max="13574" width="12.7109375" style="3" customWidth="1"/>
    <col min="13575" max="13575" width="14" style="3" customWidth="1"/>
    <col min="13576" max="13576" width="7.42578125" style="3" customWidth="1"/>
    <col min="13577" max="13824" width="11.42578125" style="3"/>
    <col min="13825" max="13825" width="15.85546875" style="3" customWidth="1"/>
    <col min="13826" max="13826" width="14.85546875" style="3" customWidth="1"/>
    <col min="13827" max="13827" width="13.28515625" style="3" customWidth="1"/>
    <col min="13828" max="13828" width="11.42578125" style="3"/>
    <col min="13829" max="13829" width="13.42578125" style="3" customWidth="1"/>
    <col min="13830" max="13830" width="12.7109375" style="3" customWidth="1"/>
    <col min="13831" max="13831" width="14" style="3" customWidth="1"/>
    <col min="13832" max="13832" width="7.42578125" style="3" customWidth="1"/>
    <col min="13833" max="14080" width="11.42578125" style="3"/>
    <col min="14081" max="14081" width="15.85546875" style="3" customWidth="1"/>
    <col min="14082" max="14082" width="14.85546875" style="3" customWidth="1"/>
    <col min="14083" max="14083" width="13.28515625" style="3" customWidth="1"/>
    <col min="14084" max="14084" width="11.42578125" style="3"/>
    <col min="14085" max="14085" width="13.42578125" style="3" customWidth="1"/>
    <col min="14086" max="14086" width="12.7109375" style="3" customWidth="1"/>
    <col min="14087" max="14087" width="14" style="3" customWidth="1"/>
    <col min="14088" max="14088" width="7.42578125" style="3" customWidth="1"/>
    <col min="14089" max="14336" width="11.42578125" style="3"/>
    <col min="14337" max="14337" width="15.85546875" style="3" customWidth="1"/>
    <col min="14338" max="14338" width="14.85546875" style="3" customWidth="1"/>
    <col min="14339" max="14339" width="13.28515625" style="3" customWidth="1"/>
    <col min="14340" max="14340" width="11.42578125" style="3"/>
    <col min="14341" max="14341" width="13.42578125" style="3" customWidth="1"/>
    <col min="14342" max="14342" width="12.7109375" style="3" customWidth="1"/>
    <col min="14343" max="14343" width="14" style="3" customWidth="1"/>
    <col min="14344" max="14344" width="7.42578125" style="3" customWidth="1"/>
    <col min="14345" max="14592" width="11.42578125" style="3"/>
    <col min="14593" max="14593" width="15.85546875" style="3" customWidth="1"/>
    <col min="14594" max="14594" width="14.85546875" style="3" customWidth="1"/>
    <col min="14595" max="14595" width="13.28515625" style="3" customWidth="1"/>
    <col min="14596" max="14596" width="11.42578125" style="3"/>
    <col min="14597" max="14597" width="13.42578125" style="3" customWidth="1"/>
    <col min="14598" max="14598" width="12.7109375" style="3" customWidth="1"/>
    <col min="14599" max="14599" width="14" style="3" customWidth="1"/>
    <col min="14600" max="14600" width="7.42578125" style="3" customWidth="1"/>
    <col min="14601" max="14848" width="11.42578125" style="3"/>
    <col min="14849" max="14849" width="15.85546875" style="3" customWidth="1"/>
    <col min="14850" max="14850" width="14.85546875" style="3" customWidth="1"/>
    <col min="14851" max="14851" width="13.28515625" style="3" customWidth="1"/>
    <col min="14852" max="14852" width="11.42578125" style="3"/>
    <col min="14853" max="14853" width="13.42578125" style="3" customWidth="1"/>
    <col min="14854" max="14854" width="12.7109375" style="3" customWidth="1"/>
    <col min="14855" max="14855" width="14" style="3" customWidth="1"/>
    <col min="14856" max="14856" width="7.42578125" style="3" customWidth="1"/>
    <col min="14857" max="15104" width="11.42578125" style="3"/>
    <col min="15105" max="15105" width="15.85546875" style="3" customWidth="1"/>
    <col min="15106" max="15106" width="14.85546875" style="3" customWidth="1"/>
    <col min="15107" max="15107" width="13.28515625" style="3" customWidth="1"/>
    <col min="15108" max="15108" width="11.42578125" style="3"/>
    <col min="15109" max="15109" width="13.42578125" style="3" customWidth="1"/>
    <col min="15110" max="15110" width="12.7109375" style="3" customWidth="1"/>
    <col min="15111" max="15111" width="14" style="3" customWidth="1"/>
    <col min="15112" max="15112" width="7.42578125" style="3" customWidth="1"/>
    <col min="15113" max="15360" width="11.42578125" style="3"/>
    <col min="15361" max="15361" width="15.85546875" style="3" customWidth="1"/>
    <col min="15362" max="15362" width="14.85546875" style="3" customWidth="1"/>
    <col min="15363" max="15363" width="13.28515625" style="3" customWidth="1"/>
    <col min="15364" max="15364" width="11.42578125" style="3"/>
    <col min="15365" max="15365" width="13.42578125" style="3" customWidth="1"/>
    <col min="15366" max="15366" width="12.7109375" style="3" customWidth="1"/>
    <col min="15367" max="15367" width="14" style="3" customWidth="1"/>
    <col min="15368" max="15368" width="7.42578125" style="3" customWidth="1"/>
    <col min="15369" max="15616" width="11.42578125" style="3"/>
    <col min="15617" max="15617" width="15.85546875" style="3" customWidth="1"/>
    <col min="15618" max="15618" width="14.85546875" style="3" customWidth="1"/>
    <col min="15619" max="15619" width="13.28515625" style="3" customWidth="1"/>
    <col min="15620" max="15620" width="11.42578125" style="3"/>
    <col min="15621" max="15621" width="13.42578125" style="3" customWidth="1"/>
    <col min="15622" max="15622" width="12.7109375" style="3" customWidth="1"/>
    <col min="15623" max="15623" width="14" style="3" customWidth="1"/>
    <col min="15624" max="15624" width="7.42578125" style="3" customWidth="1"/>
    <col min="15625" max="15872" width="11.42578125" style="3"/>
    <col min="15873" max="15873" width="15.85546875" style="3" customWidth="1"/>
    <col min="15874" max="15874" width="14.85546875" style="3" customWidth="1"/>
    <col min="15875" max="15875" width="13.28515625" style="3" customWidth="1"/>
    <col min="15876" max="15876" width="11.42578125" style="3"/>
    <col min="15877" max="15877" width="13.42578125" style="3" customWidth="1"/>
    <col min="15878" max="15878" width="12.7109375" style="3" customWidth="1"/>
    <col min="15879" max="15879" width="14" style="3" customWidth="1"/>
    <col min="15880" max="15880" width="7.42578125" style="3" customWidth="1"/>
    <col min="15881" max="16128" width="11.42578125" style="3"/>
    <col min="16129" max="16129" width="15.85546875" style="3" customWidth="1"/>
    <col min="16130" max="16130" width="14.85546875" style="3" customWidth="1"/>
    <col min="16131" max="16131" width="13.28515625" style="3" customWidth="1"/>
    <col min="16132" max="16132" width="11.42578125" style="3"/>
    <col min="16133" max="16133" width="13.42578125" style="3" customWidth="1"/>
    <col min="16134" max="16134" width="12.7109375" style="3" customWidth="1"/>
    <col min="16135" max="16135" width="14" style="3" customWidth="1"/>
    <col min="16136" max="16136" width="7.42578125" style="3" customWidth="1"/>
    <col min="16137" max="16384" width="11.42578125" style="3"/>
  </cols>
  <sheetData>
    <row r="1" spans="1:21" ht="20.25">
      <c r="A1" s="1346" t="str">
        <f>PPTO!D3</f>
        <v>PRESUPUESTO
MUNICIPIO EL BAGRE (ANTIOQUIA).</v>
      </c>
      <c r="B1" s="1347"/>
      <c r="C1" s="1347"/>
      <c r="D1" s="1347"/>
      <c r="E1" s="1347"/>
      <c r="F1" s="1347"/>
      <c r="G1" s="1348"/>
      <c r="H1" s="1"/>
      <c r="I1" s="2"/>
    </row>
    <row r="2" spans="1:21" ht="18" customHeight="1">
      <c r="A2" s="1362" t="s">
        <v>16</v>
      </c>
      <c r="B2" s="1363"/>
      <c r="C2" s="1363"/>
      <c r="D2" s="1363"/>
      <c r="E2" s="1363"/>
      <c r="F2" s="1363"/>
      <c r="G2" s="1364"/>
      <c r="H2" s="1"/>
      <c r="I2" s="2"/>
    </row>
    <row r="3" spans="1:21" ht="27" customHeight="1">
      <c r="A3" s="1367" t="str">
        <f>+PPTO!$D$5</f>
        <v>PROYECTO DE MEJORAMIENTO VIAL, ESPACIO PUBLICO Y OBRAS COMPLEMENTARIAS DE LA AVENIDA LA JUVENTUD Y TRAMOS ADYACENTES Y PRIORITARIOS DEL SECTOR URBANO EN EL MUNICIPIO EL BAGRE ANTIOQUIA.</v>
      </c>
      <c r="B3" s="1368"/>
      <c r="C3" s="1368"/>
      <c r="D3" s="1368"/>
      <c r="E3" s="1368"/>
      <c r="F3" s="1368"/>
      <c r="G3" s="1369"/>
      <c r="H3" s="1"/>
      <c r="I3" s="2"/>
    </row>
    <row r="4" spans="1:21" ht="12" customHeight="1">
      <c r="A4" s="1370"/>
      <c r="B4" s="1368"/>
      <c r="C4" s="1368"/>
      <c r="D4" s="1368"/>
      <c r="E4" s="1368"/>
      <c r="F4" s="1368"/>
      <c r="G4" s="1369"/>
      <c r="H4" s="1"/>
      <c r="I4" s="2"/>
    </row>
    <row r="5" spans="1:21" ht="6.75" customHeight="1">
      <c r="A5" s="222"/>
      <c r="B5" s="6"/>
      <c r="C5" s="24"/>
      <c r="D5" s="25"/>
      <c r="E5" s="6"/>
      <c r="F5" s="6"/>
      <c r="G5" s="223"/>
      <c r="H5" s="9"/>
    </row>
    <row r="6" spans="1:21">
      <c r="A6" s="368">
        <v>6.27</v>
      </c>
      <c r="B6" s="1349" t="str">
        <f>VLOOKUP(A6,PPTO!D9:I136,2,FALSE)</f>
        <v>Suministro e instalación Tee 10" HD con reduccion a 3" PVC  ó Similar</v>
      </c>
      <c r="C6" s="1350"/>
      <c r="D6" s="1350"/>
      <c r="E6" s="1351"/>
      <c r="F6" s="192" t="s">
        <v>118</v>
      </c>
      <c r="G6" s="248" t="str">
        <f>VLOOKUP(A6,PPTO!D9:I136,3,FALSE)</f>
        <v>und</v>
      </c>
      <c r="H6" s="9"/>
    </row>
    <row r="7" spans="1:21" ht="3.75" customHeight="1">
      <c r="A7" s="226"/>
      <c r="B7" s="4"/>
      <c r="C7" s="6"/>
      <c r="D7" s="4"/>
      <c r="E7" s="4"/>
      <c r="F7" s="4"/>
      <c r="G7" s="227"/>
      <c r="H7" s="9"/>
    </row>
    <row r="8" spans="1:21" ht="22.5" customHeight="1">
      <c r="A8" s="1354" t="s">
        <v>69</v>
      </c>
      <c r="B8" s="1355"/>
      <c r="C8" s="1355"/>
      <c r="D8" s="1355"/>
      <c r="E8" s="1355"/>
      <c r="F8" s="1355"/>
      <c r="G8" s="1356"/>
      <c r="H8" s="9"/>
    </row>
    <row r="9" spans="1:21" ht="4.5" customHeight="1">
      <c r="A9" s="226"/>
      <c r="B9" s="4"/>
      <c r="C9" s="6"/>
      <c r="D9" s="4"/>
      <c r="E9" s="4"/>
      <c r="F9" s="4"/>
      <c r="G9" s="227"/>
      <c r="H9" s="9"/>
      <c r="I9" s="5"/>
      <c r="J9" s="5"/>
      <c r="K9" s="5"/>
      <c r="L9" s="26"/>
      <c r="M9" s="5"/>
      <c r="N9" s="5"/>
      <c r="O9" s="5"/>
      <c r="P9" s="5"/>
    </row>
    <row r="10" spans="1:21">
      <c r="A10" s="1373" t="s">
        <v>17</v>
      </c>
      <c r="B10" s="1374"/>
      <c r="C10" s="1374"/>
      <c r="D10" s="353" t="s">
        <v>18</v>
      </c>
      <c r="E10" s="353" t="s">
        <v>19</v>
      </c>
      <c r="F10" s="353" t="s">
        <v>20</v>
      </c>
      <c r="G10" s="228" t="s">
        <v>21</v>
      </c>
      <c r="H10" s="27"/>
      <c r="I10" s="28"/>
      <c r="J10" s="29"/>
      <c r="K10" s="30"/>
      <c r="L10" s="30"/>
      <c r="M10" s="30"/>
      <c r="N10" s="30"/>
      <c r="O10" s="30"/>
      <c r="P10" s="5"/>
    </row>
    <row r="11" spans="1:21">
      <c r="A11" s="1352" t="s">
        <v>47</v>
      </c>
      <c r="B11" s="1353"/>
      <c r="C11" s="1353"/>
      <c r="D11" s="353"/>
      <c r="E11" s="83"/>
      <c r="F11" s="97"/>
      <c r="G11" s="229">
        <f>+G39*10%</f>
        <v>10181</v>
      </c>
      <c r="H11" s="9"/>
      <c r="I11" s="30"/>
      <c r="J11" s="31"/>
      <c r="K11" s="30"/>
      <c r="L11" s="30"/>
      <c r="M11" s="30"/>
      <c r="N11" s="30"/>
      <c r="O11" s="30"/>
      <c r="P11" s="5"/>
    </row>
    <row r="12" spans="1:21">
      <c r="A12" s="1371"/>
      <c r="B12" s="1372"/>
      <c r="C12" s="1372"/>
      <c r="D12" s="83"/>
      <c r="E12" s="83"/>
      <c r="F12" s="93"/>
      <c r="G12" s="229"/>
      <c r="H12" s="9"/>
      <c r="I12" s="16"/>
      <c r="J12" s="13"/>
      <c r="K12" s="8"/>
      <c r="L12" s="8"/>
      <c r="M12" s="8"/>
      <c r="N12" s="8"/>
      <c r="O12" s="8"/>
      <c r="P12" s="5"/>
    </row>
    <row r="13" spans="1:21">
      <c r="A13" s="1371"/>
      <c r="B13" s="1372"/>
      <c r="C13" s="1372"/>
      <c r="D13" s="83"/>
      <c r="E13" s="83"/>
      <c r="F13" s="93"/>
      <c r="G13" s="229"/>
      <c r="H13" s="9"/>
      <c r="I13" s="13"/>
      <c r="J13" s="13"/>
      <c r="K13" s="13"/>
      <c r="L13" s="13"/>
      <c r="M13" s="13"/>
      <c r="N13" s="13"/>
      <c r="O13" s="13"/>
      <c r="P13" s="5"/>
    </row>
    <row r="14" spans="1:21">
      <c r="A14" s="1371"/>
      <c r="B14" s="1372"/>
      <c r="C14" s="1372"/>
      <c r="D14" s="83"/>
      <c r="E14" s="83"/>
      <c r="F14" s="93"/>
      <c r="G14" s="229"/>
      <c r="H14" s="9"/>
      <c r="I14" s="8"/>
      <c r="J14" s="14"/>
      <c r="K14" s="32"/>
      <c r="L14" s="14"/>
      <c r="M14" s="15"/>
      <c r="N14" s="15"/>
      <c r="O14" s="19"/>
      <c r="P14" s="5"/>
    </row>
    <row r="15" spans="1:21">
      <c r="A15" s="1371"/>
      <c r="B15" s="1372"/>
      <c r="C15" s="1372"/>
      <c r="D15" s="83"/>
      <c r="E15" s="83"/>
      <c r="F15" s="98"/>
      <c r="G15" s="229"/>
      <c r="H15" s="9"/>
      <c r="I15" s="8"/>
      <c r="J15" s="33"/>
      <c r="K15" s="32"/>
      <c r="L15" s="14"/>
      <c r="M15" s="15"/>
      <c r="N15" s="15"/>
      <c r="O15" s="19"/>
      <c r="P15" s="5"/>
      <c r="Q15" s="5"/>
      <c r="R15" s="5"/>
      <c r="S15" s="5"/>
      <c r="T15" s="5"/>
      <c r="U15" s="5"/>
    </row>
    <row r="16" spans="1:21">
      <c r="A16" s="1371"/>
      <c r="B16" s="1372"/>
      <c r="C16" s="1372"/>
      <c r="D16" s="85" t="s">
        <v>37</v>
      </c>
      <c r="E16" s="50"/>
      <c r="F16" s="49"/>
      <c r="G16" s="230">
        <f>SUM(G11:G15)</f>
        <v>10181</v>
      </c>
      <c r="H16" s="9"/>
      <c r="I16" s="34"/>
      <c r="J16" s="34"/>
      <c r="K16" s="35"/>
      <c r="L16" s="36"/>
      <c r="M16" s="7"/>
      <c r="N16" s="7"/>
      <c r="O16" s="19"/>
      <c r="P16" s="5"/>
      <c r="Q16" s="5"/>
      <c r="R16" s="5"/>
      <c r="S16" s="5"/>
      <c r="T16" s="5"/>
      <c r="U16" s="5"/>
    </row>
    <row r="17" spans="1:21" ht="4.5" customHeight="1">
      <c r="A17" s="226"/>
      <c r="B17" s="4"/>
      <c r="C17" s="6"/>
      <c r="D17" s="4"/>
      <c r="E17" s="4"/>
      <c r="F17" s="4"/>
      <c r="G17" s="227"/>
      <c r="H17" s="9"/>
      <c r="I17" s="34"/>
      <c r="J17" s="34"/>
      <c r="K17" s="35"/>
      <c r="L17" s="36"/>
      <c r="M17" s="7"/>
      <c r="N17" s="7"/>
      <c r="O17" s="19"/>
      <c r="P17" s="5"/>
      <c r="Q17" s="5"/>
      <c r="R17" s="5"/>
      <c r="S17" s="5"/>
      <c r="T17" s="5"/>
      <c r="U17" s="5"/>
    </row>
    <row r="18" spans="1:21" ht="22.5" customHeight="1">
      <c r="A18" s="1354" t="s">
        <v>70</v>
      </c>
      <c r="B18" s="1355"/>
      <c r="C18" s="1355"/>
      <c r="D18" s="1355"/>
      <c r="E18" s="1355"/>
      <c r="F18" s="1355"/>
      <c r="G18" s="1356"/>
      <c r="H18" s="9"/>
    </row>
    <row r="19" spans="1:21" ht="4.5" customHeight="1">
      <c r="A19" s="226"/>
      <c r="B19" s="4"/>
      <c r="C19" s="6"/>
      <c r="D19" s="4"/>
      <c r="E19" s="4"/>
      <c r="F19" s="38"/>
      <c r="G19" s="227"/>
      <c r="H19" s="9"/>
      <c r="I19" s="34"/>
      <c r="J19" s="34"/>
      <c r="K19" s="35"/>
      <c r="L19" s="39"/>
      <c r="M19" s="7"/>
      <c r="N19" s="7"/>
      <c r="O19" s="8"/>
      <c r="P19" s="5"/>
      <c r="Q19" s="5"/>
      <c r="R19" s="5"/>
      <c r="S19" s="5"/>
      <c r="T19" s="5"/>
      <c r="U19" s="5"/>
    </row>
    <row r="20" spans="1:21">
      <c r="A20" s="1373" t="s">
        <v>17</v>
      </c>
      <c r="B20" s="1374"/>
      <c r="C20" s="1374"/>
      <c r="D20" s="353" t="s">
        <v>3</v>
      </c>
      <c r="E20" s="353" t="s">
        <v>4</v>
      </c>
      <c r="F20" s="353" t="s">
        <v>25</v>
      </c>
      <c r="G20" s="228" t="s">
        <v>21</v>
      </c>
      <c r="H20" s="27"/>
      <c r="I20" s="34"/>
      <c r="J20" s="34"/>
      <c r="K20" s="35"/>
      <c r="L20" s="39"/>
      <c r="M20" s="7"/>
      <c r="N20" s="7"/>
      <c r="O20" s="8"/>
      <c r="P20" s="5"/>
      <c r="Q20" s="5"/>
      <c r="R20" s="5"/>
      <c r="S20" s="5"/>
      <c r="T20" s="5"/>
      <c r="U20" s="5"/>
    </row>
    <row r="21" spans="1:21" ht="31.5" customHeight="1">
      <c r="A21" s="1441" t="str">
        <f>MID(I21,25,50)</f>
        <v xml:space="preserve"> Tee 10" HD con reduccion a 3" PVC  ó Similar</v>
      </c>
      <c r="B21" s="1442"/>
      <c r="C21" s="1443"/>
      <c r="D21" s="118" t="s">
        <v>119</v>
      </c>
      <c r="E21" s="119">
        <v>1</v>
      </c>
      <c r="F21" s="87">
        <f>1590000*1.19*IPC</f>
        <v>1952269</v>
      </c>
      <c r="G21" s="231">
        <f>ROUND(F21*E21,0)</f>
        <v>1952269</v>
      </c>
      <c r="H21" s="9"/>
      <c r="I21" s="34" t="str">
        <f>B6</f>
        <v>Suministro e instalación Tee 10" HD con reduccion a 3" PVC  ó Similar</v>
      </c>
      <c r="J21" s="34"/>
      <c r="K21" s="35"/>
      <c r="L21" s="36"/>
      <c r="M21" s="7"/>
      <c r="N21" s="7"/>
      <c r="O21" s="19"/>
      <c r="P21" s="5"/>
      <c r="Q21" s="5"/>
      <c r="R21" s="5"/>
      <c r="S21" s="5"/>
      <c r="T21" s="5"/>
      <c r="U21" s="5"/>
    </row>
    <row r="22" spans="1:21">
      <c r="A22" s="1444" t="s">
        <v>1003</v>
      </c>
      <c r="B22" s="1403"/>
      <c r="C22" s="1404"/>
      <c r="D22" s="116" t="s">
        <v>119</v>
      </c>
      <c r="E22" s="117">
        <v>1</v>
      </c>
      <c r="F22" s="91">
        <v>387000</v>
      </c>
      <c r="G22" s="231">
        <f>ROUND(F22*E22,0)</f>
        <v>387000</v>
      </c>
      <c r="H22" s="9"/>
      <c r="I22" s="10"/>
      <c r="J22" s="10"/>
      <c r="K22" s="12"/>
      <c r="L22" s="39"/>
      <c r="M22" s="7"/>
      <c r="N22" s="7"/>
      <c r="O22" s="15"/>
      <c r="P22" s="5"/>
      <c r="Q22" s="5"/>
      <c r="R22" s="5"/>
      <c r="S22" s="5"/>
      <c r="T22" s="5"/>
      <c r="U22" s="5"/>
    </row>
    <row r="23" spans="1:21">
      <c r="A23" s="1386"/>
      <c r="B23" s="1353"/>
      <c r="C23" s="1353"/>
      <c r="D23" s="79"/>
      <c r="E23" s="82"/>
      <c r="F23" s="83"/>
      <c r="G23" s="67"/>
      <c r="H23" s="9"/>
      <c r="I23" s="10"/>
      <c r="J23" s="10"/>
      <c r="K23" s="12"/>
      <c r="L23" s="39"/>
      <c r="M23" s="7"/>
      <c r="N23" s="7"/>
      <c r="O23" s="15"/>
      <c r="P23" s="5"/>
      <c r="Q23" s="5"/>
      <c r="R23" s="5"/>
      <c r="S23" s="5"/>
      <c r="T23" s="5"/>
      <c r="U23" s="5"/>
    </row>
    <row r="24" spans="1:21">
      <c r="A24" s="1352"/>
      <c r="B24" s="1353"/>
      <c r="C24" s="1353"/>
      <c r="D24" s="81"/>
      <c r="E24" s="88"/>
      <c r="F24" s="78"/>
      <c r="G24" s="231"/>
      <c r="H24" s="9"/>
      <c r="I24" s="10"/>
      <c r="J24" s="40"/>
      <c r="K24" s="12"/>
      <c r="L24" s="13"/>
      <c r="M24" s="14"/>
      <c r="N24" s="14"/>
      <c r="O24" s="15"/>
      <c r="P24" s="5"/>
      <c r="Q24" s="5"/>
      <c r="R24" s="5"/>
      <c r="S24" s="5"/>
      <c r="T24" s="5"/>
      <c r="U24" s="5"/>
    </row>
    <row r="25" spans="1:21">
      <c r="A25" s="1352"/>
      <c r="B25" s="1353"/>
      <c r="C25" s="1353"/>
      <c r="D25" s="81"/>
      <c r="E25" s="82"/>
      <c r="F25" s="78"/>
      <c r="G25" s="231"/>
      <c r="H25" s="9"/>
      <c r="I25" s="10"/>
      <c r="J25" s="11"/>
      <c r="K25" s="12"/>
      <c r="L25" s="13"/>
      <c r="M25" s="14"/>
      <c r="N25" s="14"/>
      <c r="O25" s="15"/>
      <c r="P25" s="5"/>
      <c r="Q25" s="5"/>
      <c r="R25" s="5"/>
      <c r="S25" s="5"/>
      <c r="T25" s="5"/>
      <c r="U25" s="5"/>
    </row>
    <row r="26" spans="1:21">
      <c r="A26" s="1352"/>
      <c r="B26" s="1353"/>
      <c r="C26" s="1353"/>
      <c r="D26" s="79"/>
      <c r="E26" s="82"/>
      <c r="F26" s="78"/>
      <c r="G26" s="231"/>
      <c r="H26" s="9"/>
      <c r="I26" s="10"/>
      <c r="J26" s="11"/>
      <c r="K26" s="12"/>
      <c r="L26" s="13"/>
      <c r="M26" s="14"/>
      <c r="N26" s="14"/>
      <c r="O26" s="15"/>
      <c r="P26" s="5"/>
      <c r="Q26" s="5"/>
      <c r="R26" s="5"/>
      <c r="S26" s="5"/>
      <c r="T26" s="5"/>
      <c r="U26" s="5"/>
    </row>
    <row r="27" spans="1:21">
      <c r="A27" s="1352"/>
      <c r="B27" s="1353"/>
      <c r="C27" s="1353"/>
      <c r="D27" s="79"/>
      <c r="E27" s="82"/>
      <c r="F27" s="78"/>
      <c r="G27" s="231"/>
      <c r="H27" s="9"/>
      <c r="I27" s="10"/>
      <c r="J27" s="11"/>
      <c r="K27" s="12"/>
      <c r="L27" s="13"/>
      <c r="M27" s="14"/>
      <c r="N27" s="14"/>
      <c r="O27" s="15"/>
      <c r="P27" s="5"/>
      <c r="Q27" s="5"/>
      <c r="R27" s="5"/>
      <c r="S27" s="5"/>
      <c r="T27" s="5"/>
      <c r="U27" s="5"/>
    </row>
    <row r="28" spans="1:21">
      <c r="A28" s="1352"/>
      <c r="B28" s="1353"/>
      <c r="C28" s="1353"/>
      <c r="D28" s="79"/>
      <c r="E28" s="82"/>
      <c r="F28" s="83"/>
      <c r="G28" s="231"/>
      <c r="H28" s="9"/>
      <c r="I28" s="41"/>
      <c r="J28" s="41"/>
      <c r="K28" s="12"/>
      <c r="L28" s="13"/>
      <c r="M28" s="14"/>
      <c r="N28" s="14"/>
      <c r="O28" s="15"/>
      <c r="P28" s="5"/>
      <c r="Q28" s="5"/>
      <c r="R28" s="5"/>
      <c r="S28" s="5"/>
      <c r="T28" s="5"/>
      <c r="U28" s="5"/>
    </row>
    <row r="29" spans="1:21">
      <c r="A29" s="1352"/>
      <c r="B29" s="1353"/>
      <c r="C29" s="1353"/>
      <c r="D29" s="84"/>
      <c r="E29" s="84"/>
      <c r="F29" s="83"/>
      <c r="G29" s="231"/>
      <c r="H29" s="9"/>
      <c r="I29" s="42"/>
      <c r="J29" s="42"/>
      <c r="K29" s="42"/>
      <c r="L29" s="13"/>
      <c r="M29" s="14"/>
      <c r="N29" s="14"/>
      <c r="O29" s="15"/>
      <c r="P29" s="5"/>
      <c r="Q29" s="5"/>
      <c r="R29" s="5"/>
      <c r="S29" s="5"/>
      <c r="T29" s="5"/>
      <c r="U29" s="5"/>
    </row>
    <row r="30" spans="1:21">
      <c r="A30" s="1352"/>
      <c r="B30" s="1353"/>
      <c r="C30" s="1353"/>
      <c r="D30" s="85" t="s">
        <v>28</v>
      </c>
      <c r="E30" s="50"/>
      <c r="F30" s="49"/>
      <c r="G30" s="230">
        <f>SUM(G21:G29)</f>
        <v>2339269</v>
      </c>
      <c r="H30" s="9"/>
      <c r="I30" s="8"/>
      <c r="J30" s="13"/>
      <c r="K30" s="8"/>
      <c r="L30" s="13"/>
      <c r="M30" s="14"/>
      <c r="N30" s="14"/>
      <c r="O30" s="15"/>
      <c r="P30" s="5"/>
    </row>
    <row r="31" spans="1:21" ht="3.75" customHeight="1">
      <c r="A31" s="226"/>
      <c r="B31" s="4"/>
      <c r="C31" s="6"/>
      <c r="D31" s="4"/>
      <c r="E31" s="4"/>
      <c r="F31" s="4"/>
      <c r="G31" s="227"/>
      <c r="H31" s="9"/>
      <c r="I31" s="8"/>
      <c r="J31" s="13"/>
      <c r="K31" s="18"/>
      <c r="L31" s="13"/>
      <c r="M31" s="33"/>
      <c r="N31" s="33"/>
      <c r="O31" s="15"/>
      <c r="P31" s="5"/>
    </row>
    <row r="32" spans="1:21" ht="22.5" customHeight="1">
      <c r="A32" s="1354" t="s">
        <v>71</v>
      </c>
      <c r="B32" s="1355"/>
      <c r="C32" s="1355"/>
      <c r="D32" s="1355"/>
      <c r="E32" s="1355"/>
      <c r="F32" s="1355"/>
      <c r="G32" s="1356"/>
      <c r="H32" s="9"/>
    </row>
    <row r="33" spans="1:16" ht="3.75" customHeight="1">
      <c r="A33" s="226"/>
      <c r="B33" s="4"/>
      <c r="C33" s="6"/>
      <c r="D33" s="4"/>
      <c r="E33" s="4"/>
      <c r="F33" s="4"/>
      <c r="G33" s="227"/>
      <c r="H33" s="9"/>
      <c r="I33" s="8"/>
      <c r="J33" s="13"/>
      <c r="K33" s="8"/>
      <c r="L33" s="8"/>
      <c r="M33" s="8"/>
      <c r="N33" s="8"/>
      <c r="O33" s="15"/>
      <c r="P33" s="5"/>
    </row>
    <row r="34" spans="1:16">
      <c r="A34" s="232" t="s">
        <v>5</v>
      </c>
      <c r="B34" s="60" t="s">
        <v>29</v>
      </c>
      <c r="C34" s="60" t="s">
        <v>30</v>
      </c>
      <c r="D34" s="60" t="s">
        <v>31</v>
      </c>
      <c r="E34" s="60" t="s">
        <v>32</v>
      </c>
      <c r="F34" s="60" t="s">
        <v>20</v>
      </c>
      <c r="G34" s="228" t="s">
        <v>33</v>
      </c>
      <c r="H34" s="27"/>
      <c r="I34" s="8"/>
      <c r="J34" s="13"/>
      <c r="K34" s="8"/>
      <c r="L34" s="8"/>
      <c r="M34" s="8"/>
      <c r="N34" s="8"/>
      <c r="O34" s="15"/>
      <c r="P34" s="5"/>
    </row>
    <row r="35" spans="1:16">
      <c r="A35" s="233" t="s">
        <v>41</v>
      </c>
      <c r="B35" s="63">
        <f>BOF</f>
        <v>51749</v>
      </c>
      <c r="C35" s="68">
        <f>ffpp</f>
        <v>0.64539999999999997</v>
      </c>
      <c r="D35" s="72">
        <v>1</v>
      </c>
      <c r="E35" s="66">
        <f>OF</f>
        <v>88696</v>
      </c>
      <c r="F35" s="65">
        <v>3</v>
      </c>
      <c r="G35" s="231">
        <f>ROUND(+D35*E35/F35,0)</f>
        <v>29565</v>
      </c>
      <c r="H35" s="9"/>
      <c r="I35" s="16"/>
      <c r="J35" s="13"/>
      <c r="K35" s="8"/>
      <c r="L35" s="8"/>
      <c r="M35" s="8"/>
      <c r="N35" s="8"/>
      <c r="O35" s="15"/>
      <c r="P35" s="5"/>
    </row>
    <row r="36" spans="1:16">
      <c r="A36" s="233" t="s">
        <v>38</v>
      </c>
      <c r="B36" s="63">
        <f>BOB</f>
        <v>41749</v>
      </c>
      <c r="C36" s="68">
        <f>ffpp</f>
        <v>0.64539999999999997</v>
      </c>
      <c r="D36" s="72">
        <v>3</v>
      </c>
      <c r="E36" s="66">
        <f>OB</f>
        <v>72242</v>
      </c>
      <c r="F36" s="65">
        <f>F35</f>
        <v>3</v>
      </c>
      <c r="G36" s="231">
        <f>ROUND(+D36*E36/F36,0)</f>
        <v>72242</v>
      </c>
      <c r="H36" s="9"/>
      <c r="I36" s="8"/>
      <c r="J36" s="8"/>
      <c r="K36" s="13"/>
      <c r="L36" s="13"/>
      <c r="M36" s="13"/>
      <c r="N36" s="13"/>
      <c r="O36" s="13"/>
      <c r="P36" s="5"/>
    </row>
    <row r="37" spans="1:16">
      <c r="A37" s="234"/>
      <c r="B37" s="50"/>
      <c r="C37" s="961"/>
      <c r="D37" s="50"/>
      <c r="E37" s="66"/>
      <c r="F37" s="65"/>
      <c r="G37" s="231"/>
      <c r="H37" s="9"/>
      <c r="I37" s="8"/>
      <c r="J37" s="13"/>
      <c r="K37" s="13"/>
      <c r="L37" s="13"/>
      <c r="M37" s="33"/>
      <c r="N37" s="33"/>
      <c r="O37" s="43"/>
      <c r="P37" s="5"/>
    </row>
    <row r="38" spans="1:16">
      <c r="A38" s="233"/>
      <c r="B38" s="65"/>
      <c r="C38" s="68"/>
      <c r="D38" s="65"/>
      <c r="E38" s="69"/>
      <c r="F38" s="69"/>
      <c r="G38" s="236"/>
      <c r="H38" s="9"/>
      <c r="I38" s="8"/>
      <c r="J38" s="13"/>
      <c r="K38" s="13"/>
      <c r="L38" s="13"/>
      <c r="M38" s="33"/>
      <c r="N38" s="33"/>
      <c r="O38" s="43"/>
      <c r="P38" s="5"/>
    </row>
    <row r="39" spans="1:16">
      <c r="A39" s="249"/>
      <c r="B39" s="71"/>
      <c r="C39" s="71"/>
      <c r="D39" s="71" t="s">
        <v>34</v>
      </c>
      <c r="E39" s="71"/>
      <c r="F39" s="71"/>
      <c r="G39" s="250">
        <f>SUM(G35:G38)</f>
        <v>101807</v>
      </c>
      <c r="H39" s="9"/>
      <c r="I39" s="8"/>
      <c r="J39" s="13"/>
      <c r="K39" s="13"/>
      <c r="L39" s="13"/>
      <c r="M39" s="14"/>
      <c r="N39" s="14"/>
      <c r="O39" s="15"/>
      <c r="P39" s="5"/>
    </row>
    <row r="40" spans="1:16">
      <c r="A40" s="226"/>
      <c r="B40" s="4"/>
      <c r="C40" s="6"/>
      <c r="D40" s="4"/>
      <c r="E40" s="4"/>
      <c r="F40" s="4"/>
      <c r="G40" s="227"/>
      <c r="H40" s="9"/>
      <c r="I40" s="8"/>
      <c r="J40" s="13"/>
      <c r="K40" s="13"/>
      <c r="L40" s="13"/>
      <c r="M40" s="14"/>
      <c r="N40" s="14"/>
      <c r="O40" s="19"/>
      <c r="P40" s="5"/>
    </row>
    <row r="41" spans="1:16">
      <c r="A41" s="226"/>
      <c r="B41" s="4"/>
      <c r="C41" s="6"/>
      <c r="D41" s="4"/>
      <c r="E41" s="4"/>
      <c r="F41" s="4"/>
      <c r="G41" s="227"/>
      <c r="H41" s="9"/>
      <c r="I41" s="8"/>
      <c r="J41" s="13"/>
      <c r="K41" s="13"/>
      <c r="L41" s="13"/>
      <c r="M41" s="17"/>
      <c r="N41" s="17"/>
      <c r="O41" s="37"/>
      <c r="P41" s="5"/>
    </row>
    <row r="42" spans="1:16" ht="14.25">
      <c r="A42" s="226"/>
      <c r="B42" s="4"/>
      <c r="C42" s="6"/>
      <c r="D42" s="1357" t="s">
        <v>35</v>
      </c>
      <c r="E42" s="1358"/>
      <c r="F42" s="1359"/>
      <c r="G42" s="239">
        <f>+G39+G30+G16</f>
        <v>2451257</v>
      </c>
      <c r="H42" s="9"/>
      <c r="I42" s="48"/>
      <c r="J42" s="20"/>
      <c r="K42" s="8"/>
      <c r="L42" s="8"/>
      <c r="M42" s="8"/>
      <c r="N42" s="8"/>
      <c r="O42" s="8"/>
      <c r="P42" s="5"/>
    </row>
    <row r="43" spans="1:16" ht="14.25">
      <c r="A43" s="240"/>
      <c r="B43" s="57"/>
      <c r="C43" s="58"/>
      <c r="D43" s="99"/>
      <c r="E43" s="99"/>
      <c r="F43" s="99"/>
      <c r="G43" s="251"/>
      <c r="H43" s="9"/>
      <c r="I43" s="48"/>
      <c r="J43" s="20"/>
      <c r="K43" s="8"/>
      <c r="L43" s="8"/>
      <c r="M43" s="8"/>
      <c r="N43" s="8"/>
      <c r="O43" s="8"/>
      <c r="P43" s="5"/>
    </row>
    <row r="44" spans="1:16" ht="14.25">
      <c r="A44" s="374"/>
      <c r="B44" s="375"/>
      <c r="C44" s="375"/>
      <c r="D44" s="99"/>
      <c r="E44" s="99"/>
      <c r="F44" s="99"/>
      <c r="G44" s="251"/>
      <c r="H44" s="9"/>
      <c r="I44" s="48"/>
      <c r="J44" s="20"/>
      <c r="K44" s="8"/>
      <c r="L44" s="8"/>
      <c r="M44" s="8"/>
      <c r="N44" s="8"/>
      <c r="O44" s="8"/>
      <c r="P44" s="5"/>
    </row>
    <row r="45" spans="1:16" ht="14.25">
      <c r="A45" s="373"/>
      <c r="B45" s="376"/>
      <c r="C45" s="376"/>
      <c r="D45" s="99"/>
      <c r="E45" s="99"/>
      <c r="F45" s="99"/>
      <c r="G45" s="251"/>
      <c r="H45" s="9"/>
      <c r="I45" s="48"/>
      <c r="J45" s="20"/>
      <c r="K45" s="8"/>
      <c r="L45" s="8"/>
      <c r="M45" s="8"/>
      <c r="N45" s="8"/>
      <c r="O45" s="8"/>
      <c r="P45" s="5"/>
    </row>
    <row r="46" spans="1:16" ht="14.25">
      <c r="A46" s="373"/>
      <c r="B46" s="376"/>
      <c r="C46" s="376"/>
      <c r="D46" s="44"/>
      <c r="E46" s="45"/>
      <c r="F46" s="45"/>
      <c r="G46" s="251"/>
      <c r="H46" s="9"/>
      <c r="I46" s="8"/>
      <c r="J46" s="13"/>
      <c r="K46" s="8"/>
      <c r="L46" s="8"/>
      <c r="M46" s="8"/>
      <c r="N46" s="8"/>
      <c r="O46" s="8"/>
      <c r="P46" s="5"/>
    </row>
    <row r="47" spans="1:16" ht="15" thickBot="1">
      <c r="A47" s="242"/>
      <c r="B47" s="243"/>
      <c r="C47" s="244"/>
      <c r="D47" s="245"/>
      <c r="E47" s="246"/>
      <c r="F47" s="246"/>
      <c r="G47" s="247"/>
      <c r="H47" s="9"/>
      <c r="I47" s="8"/>
      <c r="J47" s="13"/>
      <c r="K47" s="8"/>
      <c r="L47" s="8"/>
      <c r="M47" s="8"/>
      <c r="N47" s="8"/>
      <c r="O47" s="8"/>
      <c r="P47" s="5"/>
    </row>
    <row r="48" spans="1:16">
      <c r="I48" s="5"/>
      <c r="J48" s="5"/>
      <c r="K48" s="5"/>
      <c r="L48" s="5"/>
      <c r="M48" s="5"/>
      <c r="N48" s="5"/>
      <c r="O48" s="5"/>
      <c r="P48" s="5"/>
    </row>
    <row r="49" spans="9:16">
      <c r="I49" s="5"/>
      <c r="J49" s="5"/>
      <c r="K49" s="5"/>
      <c r="L49" s="5"/>
      <c r="M49" s="5"/>
      <c r="N49" s="5"/>
      <c r="O49" s="5"/>
      <c r="P49" s="5"/>
    </row>
  </sheetData>
  <mergeCells count="26">
    <mergeCell ref="A10:C10"/>
    <mergeCell ref="A1:G1"/>
    <mergeCell ref="A2:G2"/>
    <mergeCell ref="A3:G4"/>
    <mergeCell ref="B6:E6"/>
    <mergeCell ref="A8:G8"/>
    <mergeCell ref="A24:C24"/>
    <mergeCell ref="A11:C11"/>
    <mergeCell ref="A12:C12"/>
    <mergeCell ref="A13:C13"/>
    <mergeCell ref="A14:C14"/>
    <mergeCell ref="A15:C15"/>
    <mergeCell ref="A16:C16"/>
    <mergeCell ref="A18:G18"/>
    <mergeCell ref="A20:C20"/>
    <mergeCell ref="A21:C21"/>
    <mergeCell ref="A22:C22"/>
    <mergeCell ref="A23:C23"/>
    <mergeCell ref="A32:G32"/>
    <mergeCell ref="D42:F42"/>
    <mergeCell ref="A25:C25"/>
    <mergeCell ref="A26:C26"/>
    <mergeCell ref="A27:C27"/>
    <mergeCell ref="A28:C28"/>
    <mergeCell ref="A29:C29"/>
    <mergeCell ref="A30:C30"/>
  </mergeCells>
  <printOptions horizontalCentered="1" verticalCentered="1"/>
  <pageMargins left="0.74803149606299213" right="0.74803149606299213" top="0" bottom="0.98425196850393704" header="0" footer="0"/>
  <pageSetup scale="90" orientation="portrait" r:id="rId1"/>
  <headerFooter alignWithMargins="0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82"/>
  <dimension ref="A1:U49"/>
  <sheetViews>
    <sheetView view="pageBreakPreview" zoomScaleNormal="100" zoomScaleSheetLayoutView="100" workbookViewId="0">
      <selection activeCell="F22" sqref="F22"/>
    </sheetView>
  </sheetViews>
  <sheetFormatPr baseColWidth="10" defaultColWidth="10.7109375" defaultRowHeight="12.75"/>
  <cols>
    <col min="1" max="1" width="15.85546875" style="3" customWidth="1"/>
    <col min="2" max="2" width="14.85546875" style="3" customWidth="1"/>
    <col min="3" max="3" width="13.28515625" style="3" customWidth="1"/>
    <col min="4" max="4" width="11.42578125" style="3"/>
    <col min="5" max="5" width="13.42578125" style="3" customWidth="1"/>
    <col min="6" max="6" width="12.7109375" style="3" customWidth="1"/>
    <col min="7" max="7" width="14" style="3" customWidth="1"/>
    <col min="8" max="8" width="7.42578125" style="3" customWidth="1"/>
    <col min="9" max="256" width="11.42578125" style="3"/>
    <col min="257" max="257" width="15.85546875" style="3" customWidth="1"/>
    <col min="258" max="258" width="14.85546875" style="3" customWidth="1"/>
    <col min="259" max="259" width="13.28515625" style="3" customWidth="1"/>
    <col min="260" max="260" width="11.42578125" style="3"/>
    <col min="261" max="261" width="13.42578125" style="3" customWidth="1"/>
    <col min="262" max="262" width="12.7109375" style="3" customWidth="1"/>
    <col min="263" max="263" width="14" style="3" customWidth="1"/>
    <col min="264" max="264" width="7.42578125" style="3" customWidth="1"/>
    <col min="265" max="512" width="11.42578125" style="3"/>
    <col min="513" max="513" width="15.85546875" style="3" customWidth="1"/>
    <col min="514" max="514" width="14.85546875" style="3" customWidth="1"/>
    <col min="515" max="515" width="13.28515625" style="3" customWidth="1"/>
    <col min="516" max="516" width="11.42578125" style="3"/>
    <col min="517" max="517" width="13.42578125" style="3" customWidth="1"/>
    <col min="518" max="518" width="12.7109375" style="3" customWidth="1"/>
    <col min="519" max="519" width="14" style="3" customWidth="1"/>
    <col min="520" max="520" width="7.42578125" style="3" customWidth="1"/>
    <col min="521" max="768" width="11.42578125" style="3"/>
    <col min="769" max="769" width="15.85546875" style="3" customWidth="1"/>
    <col min="770" max="770" width="14.85546875" style="3" customWidth="1"/>
    <col min="771" max="771" width="13.28515625" style="3" customWidth="1"/>
    <col min="772" max="772" width="11.42578125" style="3"/>
    <col min="773" max="773" width="13.42578125" style="3" customWidth="1"/>
    <col min="774" max="774" width="12.7109375" style="3" customWidth="1"/>
    <col min="775" max="775" width="14" style="3" customWidth="1"/>
    <col min="776" max="776" width="7.42578125" style="3" customWidth="1"/>
    <col min="777" max="1024" width="11.42578125" style="3"/>
    <col min="1025" max="1025" width="15.85546875" style="3" customWidth="1"/>
    <col min="1026" max="1026" width="14.85546875" style="3" customWidth="1"/>
    <col min="1027" max="1027" width="13.28515625" style="3" customWidth="1"/>
    <col min="1028" max="1028" width="11.42578125" style="3"/>
    <col min="1029" max="1029" width="13.42578125" style="3" customWidth="1"/>
    <col min="1030" max="1030" width="12.7109375" style="3" customWidth="1"/>
    <col min="1031" max="1031" width="14" style="3" customWidth="1"/>
    <col min="1032" max="1032" width="7.42578125" style="3" customWidth="1"/>
    <col min="1033" max="1280" width="11.42578125" style="3"/>
    <col min="1281" max="1281" width="15.85546875" style="3" customWidth="1"/>
    <col min="1282" max="1282" width="14.85546875" style="3" customWidth="1"/>
    <col min="1283" max="1283" width="13.28515625" style="3" customWidth="1"/>
    <col min="1284" max="1284" width="11.42578125" style="3"/>
    <col min="1285" max="1285" width="13.42578125" style="3" customWidth="1"/>
    <col min="1286" max="1286" width="12.7109375" style="3" customWidth="1"/>
    <col min="1287" max="1287" width="14" style="3" customWidth="1"/>
    <col min="1288" max="1288" width="7.42578125" style="3" customWidth="1"/>
    <col min="1289" max="1536" width="11.42578125" style="3"/>
    <col min="1537" max="1537" width="15.85546875" style="3" customWidth="1"/>
    <col min="1538" max="1538" width="14.85546875" style="3" customWidth="1"/>
    <col min="1539" max="1539" width="13.28515625" style="3" customWidth="1"/>
    <col min="1540" max="1540" width="11.42578125" style="3"/>
    <col min="1541" max="1541" width="13.42578125" style="3" customWidth="1"/>
    <col min="1542" max="1542" width="12.7109375" style="3" customWidth="1"/>
    <col min="1543" max="1543" width="14" style="3" customWidth="1"/>
    <col min="1544" max="1544" width="7.42578125" style="3" customWidth="1"/>
    <col min="1545" max="1792" width="11.42578125" style="3"/>
    <col min="1793" max="1793" width="15.85546875" style="3" customWidth="1"/>
    <col min="1794" max="1794" width="14.85546875" style="3" customWidth="1"/>
    <col min="1795" max="1795" width="13.28515625" style="3" customWidth="1"/>
    <col min="1796" max="1796" width="11.42578125" style="3"/>
    <col min="1797" max="1797" width="13.42578125" style="3" customWidth="1"/>
    <col min="1798" max="1798" width="12.7109375" style="3" customWidth="1"/>
    <col min="1799" max="1799" width="14" style="3" customWidth="1"/>
    <col min="1800" max="1800" width="7.42578125" style="3" customWidth="1"/>
    <col min="1801" max="2048" width="11.42578125" style="3"/>
    <col min="2049" max="2049" width="15.85546875" style="3" customWidth="1"/>
    <col min="2050" max="2050" width="14.85546875" style="3" customWidth="1"/>
    <col min="2051" max="2051" width="13.28515625" style="3" customWidth="1"/>
    <col min="2052" max="2052" width="11.42578125" style="3"/>
    <col min="2053" max="2053" width="13.42578125" style="3" customWidth="1"/>
    <col min="2054" max="2054" width="12.7109375" style="3" customWidth="1"/>
    <col min="2055" max="2055" width="14" style="3" customWidth="1"/>
    <col min="2056" max="2056" width="7.42578125" style="3" customWidth="1"/>
    <col min="2057" max="2304" width="11.42578125" style="3"/>
    <col min="2305" max="2305" width="15.85546875" style="3" customWidth="1"/>
    <col min="2306" max="2306" width="14.85546875" style="3" customWidth="1"/>
    <col min="2307" max="2307" width="13.28515625" style="3" customWidth="1"/>
    <col min="2308" max="2308" width="11.42578125" style="3"/>
    <col min="2309" max="2309" width="13.42578125" style="3" customWidth="1"/>
    <col min="2310" max="2310" width="12.7109375" style="3" customWidth="1"/>
    <col min="2311" max="2311" width="14" style="3" customWidth="1"/>
    <col min="2312" max="2312" width="7.42578125" style="3" customWidth="1"/>
    <col min="2313" max="2560" width="11.42578125" style="3"/>
    <col min="2561" max="2561" width="15.85546875" style="3" customWidth="1"/>
    <col min="2562" max="2562" width="14.85546875" style="3" customWidth="1"/>
    <col min="2563" max="2563" width="13.28515625" style="3" customWidth="1"/>
    <col min="2564" max="2564" width="11.42578125" style="3"/>
    <col min="2565" max="2565" width="13.42578125" style="3" customWidth="1"/>
    <col min="2566" max="2566" width="12.7109375" style="3" customWidth="1"/>
    <col min="2567" max="2567" width="14" style="3" customWidth="1"/>
    <col min="2568" max="2568" width="7.42578125" style="3" customWidth="1"/>
    <col min="2569" max="2816" width="11.42578125" style="3"/>
    <col min="2817" max="2817" width="15.85546875" style="3" customWidth="1"/>
    <col min="2818" max="2818" width="14.85546875" style="3" customWidth="1"/>
    <col min="2819" max="2819" width="13.28515625" style="3" customWidth="1"/>
    <col min="2820" max="2820" width="11.42578125" style="3"/>
    <col min="2821" max="2821" width="13.42578125" style="3" customWidth="1"/>
    <col min="2822" max="2822" width="12.7109375" style="3" customWidth="1"/>
    <col min="2823" max="2823" width="14" style="3" customWidth="1"/>
    <col min="2824" max="2824" width="7.42578125" style="3" customWidth="1"/>
    <col min="2825" max="3072" width="11.42578125" style="3"/>
    <col min="3073" max="3073" width="15.85546875" style="3" customWidth="1"/>
    <col min="3074" max="3074" width="14.85546875" style="3" customWidth="1"/>
    <col min="3075" max="3075" width="13.28515625" style="3" customWidth="1"/>
    <col min="3076" max="3076" width="11.42578125" style="3"/>
    <col min="3077" max="3077" width="13.42578125" style="3" customWidth="1"/>
    <col min="3078" max="3078" width="12.7109375" style="3" customWidth="1"/>
    <col min="3079" max="3079" width="14" style="3" customWidth="1"/>
    <col min="3080" max="3080" width="7.42578125" style="3" customWidth="1"/>
    <col min="3081" max="3328" width="11.42578125" style="3"/>
    <col min="3329" max="3329" width="15.85546875" style="3" customWidth="1"/>
    <col min="3330" max="3330" width="14.85546875" style="3" customWidth="1"/>
    <col min="3331" max="3331" width="13.28515625" style="3" customWidth="1"/>
    <col min="3332" max="3332" width="11.42578125" style="3"/>
    <col min="3333" max="3333" width="13.42578125" style="3" customWidth="1"/>
    <col min="3334" max="3334" width="12.7109375" style="3" customWidth="1"/>
    <col min="3335" max="3335" width="14" style="3" customWidth="1"/>
    <col min="3336" max="3336" width="7.42578125" style="3" customWidth="1"/>
    <col min="3337" max="3584" width="11.42578125" style="3"/>
    <col min="3585" max="3585" width="15.85546875" style="3" customWidth="1"/>
    <col min="3586" max="3586" width="14.85546875" style="3" customWidth="1"/>
    <col min="3587" max="3587" width="13.28515625" style="3" customWidth="1"/>
    <col min="3588" max="3588" width="11.42578125" style="3"/>
    <col min="3589" max="3589" width="13.42578125" style="3" customWidth="1"/>
    <col min="3590" max="3590" width="12.7109375" style="3" customWidth="1"/>
    <col min="3591" max="3591" width="14" style="3" customWidth="1"/>
    <col min="3592" max="3592" width="7.42578125" style="3" customWidth="1"/>
    <col min="3593" max="3840" width="11.42578125" style="3"/>
    <col min="3841" max="3841" width="15.85546875" style="3" customWidth="1"/>
    <col min="3842" max="3842" width="14.85546875" style="3" customWidth="1"/>
    <col min="3843" max="3843" width="13.28515625" style="3" customWidth="1"/>
    <col min="3844" max="3844" width="11.42578125" style="3"/>
    <col min="3845" max="3845" width="13.42578125" style="3" customWidth="1"/>
    <col min="3846" max="3846" width="12.7109375" style="3" customWidth="1"/>
    <col min="3847" max="3847" width="14" style="3" customWidth="1"/>
    <col min="3848" max="3848" width="7.42578125" style="3" customWidth="1"/>
    <col min="3849" max="4096" width="11.42578125" style="3"/>
    <col min="4097" max="4097" width="15.85546875" style="3" customWidth="1"/>
    <col min="4098" max="4098" width="14.85546875" style="3" customWidth="1"/>
    <col min="4099" max="4099" width="13.28515625" style="3" customWidth="1"/>
    <col min="4100" max="4100" width="11.42578125" style="3"/>
    <col min="4101" max="4101" width="13.42578125" style="3" customWidth="1"/>
    <col min="4102" max="4102" width="12.7109375" style="3" customWidth="1"/>
    <col min="4103" max="4103" width="14" style="3" customWidth="1"/>
    <col min="4104" max="4104" width="7.42578125" style="3" customWidth="1"/>
    <col min="4105" max="4352" width="11.42578125" style="3"/>
    <col min="4353" max="4353" width="15.85546875" style="3" customWidth="1"/>
    <col min="4354" max="4354" width="14.85546875" style="3" customWidth="1"/>
    <col min="4355" max="4355" width="13.28515625" style="3" customWidth="1"/>
    <col min="4356" max="4356" width="11.42578125" style="3"/>
    <col min="4357" max="4357" width="13.42578125" style="3" customWidth="1"/>
    <col min="4358" max="4358" width="12.7109375" style="3" customWidth="1"/>
    <col min="4359" max="4359" width="14" style="3" customWidth="1"/>
    <col min="4360" max="4360" width="7.42578125" style="3" customWidth="1"/>
    <col min="4361" max="4608" width="11.42578125" style="3"/>
    <col min="4609" max="4609" width="15.85546875" style="3" customWidth="1"/>
    <col min="4610" max="4610" width="14.85546875" style="3" customWidth="1"/>
    <col min="4611" max="4611" width="13.28515625" style="3" customWidth="1"/>
    <col min="4612" max="4612" width="11.42578125" style="3"/>
    <col min="4613" max="4613" width="13.42578125" style="3" customWidth="1"/>
    <col min="4614" max="4614" width="12.7109375" style="3" customWidth="1"/>
    <col min="4615" max="4615" width="14" style="3" customWidth="1"/>
    <col min="4616" max="4616" width="7.42578125" style="3" customWidth="1"/>
    <col min="4617" max="4864" width="11.42578125" style="3"/>
    <col min="4865" max="4865" width="15.85546875" style="3" customWidth="1"/>
    <col min="4866" max="4866" width="14.85546875" style="3" customWidth="1"/>
    <col min="4867" max="4867" width="13.28515625" style="3" customWidth="1"/>
    <col min="4868" max="4868" width="11.42578125" style="3"/>
    <col min="4869" max="4869" width="13.42578125" style="3" customWidth="1"/>
    <col min="4870" max="4870" width="12.7109375" style="3" customWidth="1"/>
    <col min="4871" max="4871" width="14" style="3" customWidth="1"/>
    <col min="4872" max="4872" width="7.42578125" style="3" customWidth="1"/>
    <col min="4873" max="5120" width="11.42578125" style="3"/>
    <col min="5121" max="5121" width="15.85546875" style="3" customWidth="1"/>
    <col min="5122" max="5122" width="14.85546875" style="3" customWidth="1"/>
    <col min="5123" max="5123" width="13.28515625" style="3" customWidth="1"/>
    <col min="5124" max="5124" width="11.42578125" style="3"/>
    <col min="5125" max="5125" width="13.42578125" style="3" customWidth="1"/>
    <col min="5126" max="5126" width="12.7109375" style="3" customWidth="1"/>
    <col min="5127" max="5127" width="14" style="3" customWidth="1"/>
    <col min="5128" max="5128" width="7.42578125" style="3" customWidth="1"/>
    <col min="5129" max="5376" width="11.42578125" style="3"/>
    <col min="5377" max="5377" width="15.85546875" style="3" customWidth="1"/>
    <col min="5378" max="5378" width="14.85546875" style="3" customWidth="1"/>
    <col min="5379" max="5379" width="13.28515625" style="3" customWidth="1"/>
    <col min="5380" max="5380" width="11.42578125" style="3"/>
    <col min="5381" max="5381" width="13.42578125" style="3" customWidth="1"/>
    <col min="5382" max="5382" width="12.7109375" style="3" customWidth="1"/>
    <col min="5383" max="5383" width="14" style="3" customWidth="1"/>
    <col min="5384" max="5384" width="7.42578125" style="3" customWidth="1"/>
    <col min="5385" max="5632" width="11.42578125" style="3"/>
    <col min="5633" max="5633" width="15.85546875" style="3" customWidth="1"/>
    <col min="5634" max="5634" width="14.85546875" style="3" customWidth="1"/>
    <col min="5635" max="5635" width="13.28515625" style="3" customWidth="1"/>
    <col min="5636" max="5636" width="11.42578125" style="3"/>
    <col min="5637" max="5637" width="13.42578125" style="3" customWidth="1"/>
    <col min="5638" max="5638" width="12.7109375" style="3" customWidth="1"/>
    <col min="5639" max="5639" width="14" style="3" customWidth="1"/>
    <col min="5640" max="5640" width="7.42578125" style="3" customWidth="1"/>
    <col min="5641" max="5888" width="11.42578125" style="3"/>
    <col min="5889" max="5889" width="15.85546875" style="3" customWidth="1"/>
    <col min="5890" max="5890" width="14.85546875" style="3" customWidth="1"/>
    <col min="5891" max="5891" width="13.28515625" style="3" customWidth="1"/>
    <col min="5892" max="5892" width="11.42578125" style="3"/>
    <col min="5893" max="5893" width="13.42578125" style="3" customWidth="1"/>
    <col min="5894" max="5894" width="12.7109375" style="3" customWidth="1"/>
    <col min="5895" max="5895" width="14" style="3" customWidth="1"/>
    <col min="5896" max="5896" width="7.42578125" style="3" customWidth="1"/>
    <col min="5897" max="6144" width="11.42578125" style="3"/>
    <col min="6145" max="6145" width="15.85546875" style="3" customWidth="1"/>
    <col min="6146" max="6146" width="14.85546875" style="3" customWidth="1"/>
    <col min="6147" max="6147" width="13.28515625" style="3" customWidth="1"/>
    <col min="6148" max="6148" width="11.42578125" style="3"/>
    <col min="6149" max="6149" width="13.42578125" style="3" customWidth="1"/>
    <col min="6150" max="6150" width="12.7109375" style="3" customWidth="1"/>
    <col min="6151" max="6151" width="14" style="3" customWidth="1"/>
    <col min="6152" max="6152" width="7.42578125" style="3" customWidth="1"/>
    <col min="6153" max="6400" width="11.42578125" style="3"/>
    <col min="6401" max="6401" width="15.85546875" style="3" customWidth="1"/>
    <col min="6402" max="6402" width="14.85546875" style="3" customWidth="1"/>
    <col min="6403" max="6403" width="13.28515625" style="3" customWidth="1"/>
    <col min="6404" max="6404" width="11.42578125" style="3"/>
    <col min="6405" max="6405" width="13.42578125" style="3" customWidth="1"/>
    <col min="6406" max="6406" width="12.7109375" style="3" customWidth="1"/>
    <col min="6407" max="6407" width="14" style="3" customWidth="1"/>
    <col min="6408" max="6408" width="7.42578125" style="3" customWidth="1"/>
    <col min="6409" max="6656" width="11.42578125" style="3"/>
    <col min="6657" max="6657" width="15.85546875" style="3" customWidth="1"/>
    <col min="6658" max="6658" width="14.85546875" style="3" customWidth="1"/>
    <col min="6659" max="6659" width="13.28515625" style="3" customWidth="1"/>
    <col min="6660" max="6660" width="11.42578125" style="3"/>
    <col min="6661" max="6661" width="13.42578125" style="3" customWidth="1"/>
    <col min="6662" max="6662" width="12.7109375" style="3" customWidth="1"/>
    <col min="6663" max="6663" width="14" style="3" customWidth="1"/>
    <col min="6664" max="6664" width="7.42578125" style="3" customWidth="1"/>
    <col min="6665" max="6912" width="11.42578125" style="3"/>
    <col min="6913" max="6913" width="15.85546875" style="3" customWidth="1"/>
    <col min="6914" max="6914" width="14.85546875" style="3" customWidth="1"/>
    <col min="6915" max="6915" width="13.28515625" style="3" customWidth="1"/>
    <col min="6916" max="6916" width="11.42578125" style="3"/>
    <col min="6917" max="6917" width="13.42578125" style="3" customWidth="1"/>
    <col min="6918" max="6918" width="12.7109375" style="3" customWidth="1"/>
    <col min="6919" max="6919" width="14" style="3" customWidth="1"/>
    <col min="6920" max="6920" width="7.42578125" style="3" customWidth="1"/>
    <col min="6921" max="7168" width="11.42578125" style="3"/>
    <col min="7169" max="7169" width="15.85546875" style="3" customWidth="1"/>
    <col min="7170" max="7170" width="14.85546875" style="3" customWidth="1"/>
    <col min="7171" max="7171" width="13.28515625" style="3" customWidth="1"/>
    <col min="7172" max="7172" width="11.42578125" style="3"/>
    <col min="7173" max="7173" width="13.42578125" style="3" customWidth="1"/>
    <col min="7174" max="7174" width="12.7109375" style="3" customWidth="1"/>
    <col min="7175" max="7175" width="14" style="3" customWidth="1"/>
    <col min="7176" max="7176" width="7.42578125" style="3" customWidth="1"/>
    <col min="7177" max="7424" width="11.42578125" style="3"/>
    <col min="7425" max="7425" width="15.85546875" style="3" customWidth="1"/>
    <col min="7426" max="7426" width="14.85546875" style="3" customWidth="1"/>
    <col min="7427" max="7427" width="13.28515625" style="3" customWidth="1"/>
    <col min="7428" max="7428" width="11.42578125" style="3"/>
    <col min="7429" max="7429" width="13.42578125" style="3" customWidth="1"/>
    <col min="7430" max="7430" width="12.7109375" style="3" customWidth="1"/>
    <col min="7431" max="7431" width="14" style="3" customWidth="1"/>
    <col min="7432" max="7432" width="7.42578125" style="3" customWidth="1"/>
    <col min="7433" max="7680" width="11.42578125" style="3"/>
    <col min="7681" max="7681" width="15.85546875" style="3" customWidth="1"/>
    <col min="7682" max="7682" width="14.85546875" style="3" customWidth="1"/>
    <col min="7683" max="7683" width="13.28515625" style="3" customWidth="1"/>
    <col min="7684" max="7684" width="11.42578125" style="3"/>
    <col min="7685" max="7685" width="13.42578125" style="3" customWidth="1"/>
    <col min="7686" max="7686" width="12.7109375" style="3" customWidth="1"/>
    <col min="7687" max="7687" width="14" style="3" customWidth="1"/>
    <col min="7688" max="7688" width="7.42578125" style="3" customWidth="1"/>
    <col min="7689" max="7936" width="11.42578125" style="3"/>
    <col min="7937" max="7937" width="15.85546875" style="3" customWidth="1"/>
    <col min="7938" max="7938" width="14.85546875" style="3" customWidth="1"/>
    <col min="7939" max="7939" width="13.28515625" style="3" customWidth="1"/>
    <col min="7940" max="7940" width="11.42578125" style="3"/>
    <col min="7941" max="7941" width="13.42578125" style="3" customWidth="1"/>
    <col min="7942" max="7942" width="12.7109375" style="3" customWidth="1"/>
    <col min="7943" max="7943" width="14" style="3" customWidth="1"/>
    <col min="7944" max="7944" width="7.42578125" style="3" customWidth="1"/>
    <col min="7945" max="8192" width="11.42578125" style="3"/>
    <col min="8193" max="8193" width="15.85546875" style="3" customWidth="1"/>
    <col min="8194" max="8194" width="14.85546875" style="3" customWidth="1"/>
    <col min="8195" max="8195" width="13.28515625" style="3" customWidth="1"/>
    <col min="8196" max="8196" width="11.42578125" style="3"/>
    <col min="8197" max="8197" width="13.42578125" style="3" customWidth="1"/>
    <col min="8198" max="8198" width="12.7109375" style="3" customWidth="1"/>
    <col min="8199" max="8199" width="14" style="3" customWidth="1"/>
    <col min="8200" max="8200" width="7.42578125" style="3" customWidth="1"/>
    <col min="8201" max="8448" width="11.42578125" style="3"/>
    <col min="8449" max="8449" width="15.85546875" style="3" customWidth="1"/>
    <col min="8450" max="8450" width="14.85546875" style="3" customWidth="1"/>
    <col min="8451" max="8451" width="13.28515625" style="3" customWidth="1"/>
    <col min="8452" max="8452" width="11.42578125" style="3"/>
    <col min="8453" max="8453" width="13.42578125" style="3" customWidth="1"/>
    <col min="8454" max="8454" width="12.7109375" style="3" customWidth="1"/>
    <col min="8455" max="8455" width="14" style="3" customWidth="1"/>
    <col min="8456" max="8456" width="7.42578125" style="3" customWidth="1"/>
    <col min="8457" max="8704" width="11.42578125" style="3"/>
    <col min="8705" max="8705" width="15.85546875" style="3" customWidth="1"/>
    <col min="8706" max="8706" width="14.85546875" style="3" customWidth="1"/>
    <col min="8707" max="8707" width="13.28515625" style="3" customWidth="1"/>
    <col min="8708" max="8708" width="11.42578125" style="3"/>
    <col min="8709" max="8709" width="13.42578125" style="3" customWidth="1"/>
    <col min="8710" max="8710" width="12.7109375" style="3" customWidth="1"/>
    <col min="8711" max="8711" width="14" style="3" customWidth="1"/>
    <col min="8712" max="8712" width="7.42578125" style="3" customWidth="1"/>
    <col min="8713" max="8960" width="11.42578125" style="3"/>
    <col min="8961" max="8961" width="15.85546875" style="3" customWidth="1"/>
    <col min="8962" max="8962" width="14.85546875" style="3" customWidth="1"/>
    <col min="8963" max="8963" width="13.28515625" style="3" customWidth="1"/>
    <col min="8964" max="8964" width="11.42578125" style="3"/>
    <col min="8965" max="8965" width="13.42578125" style="3" customWidth="1"/>
    <col min="8966" max="8966" width="12.7109375" style="3" customWidth="1"/>
    <col min="8967" max="8967" width="14" style="3" customWidth="1"/>
    <col min="8968" max="8968" width="7.42578125" style="3" customWidth="1"/>
    <col min="8969" max="9216" width="11.42578125" style="3"/>
    <col min="9217" max="9217" width="15.85546875" style="3" customWidth="1"/>
    <col min="9218" max="9218" width="14.85546875" style="3" customWidth="1"/>
    <col min="9219" max="9219" width="13.28515625" style="3" customWidth="1"/>
    <col min="9220" max="9220" width="11.42578125" style="3"/>
    <col min="9221" max="9221" width="13.42578125" style="3" customWidth="1"/>
    <col min="9222" max="9222" width="12.7109375" style="3" customWidth="1"/>
    <col min="9223" max="9223" width="14" style="3" customWidth="1"/>
    <col min="9224" max="9224" width="7.42578125" style="3" customWidth="1"/>
    <col min="9225" max="9472" width="11.42578125" style="3"/>
    <col min="9473" max="9473" width="15.85546875" style="3" customWidth="1"/>
    <col min="9474" max="9474" width="14.85546875" style="3" customWidth="1"/>
    <col min="9475" max="9475" width="13.28515625" style="3" customWidth="1"/>
    <col min="9476" max="9476" width="11.42578125" style="3"/>
    <col min="9477" max="9477" width="13.42578125" style="3" customWidth="1"/>
    <col min="9478" max="9478" width="12.7109375" style="3" customWidth="1"/>
    <col min="9479" max="9479" width="14" style="3" customWidth="1"/>
    <col min="9480" max="9480" width="7.42578125" style="3" customWidth="1"/>
    <col min="9481" max="9728" width="11.42578125" style="3"/>
    <col min="9729" max="9729" width="15.85546875" style="3" customWidth="1"/>
    <col min="9730" max="9730" width="14.85546875" style="3" customWidth="1"/>
    <col min="9731" max="9731" width="13.28515625" style="3" customWidth="1"/>
    <col min="9732" max="9732" width="11.42578125" style="3"/>
    <col min="9733" max="9733" width="13.42578125" style="3" customWidth="1"/>
    <col min="9734" max="9734" width="12.7109375" style="3" customWidth="1"/>
    <col min="9735" max="9735" width="14" style="3" customWidth="1"/>
    <col min="9736" max="9736" width="7.42578125" style="3" customWidth="1"/>
    <col min="9737" max="9984" width="11.42578125" style="3"/>
    <col min="9985" max="9985" width="15.85546875" style="3" customWidth="1"/>
    <col min="9986" max="9986" width="14.85546875" style="3" customWidth="1"/>
    <col min="9987" max="9987" width="13.28515625" style="3" customWidth="1"/>
    <col min="9988" max="9988" width="11.42578125" style="3"/>
    <col min="9989" max="9989" width="13.42578125" style="3" customWidth="1"/>
    <col min="9990" max="9990" width="12.7109375" style="3" customWidth="1"/>
    <col min="9991" max="9991" width="14" style="3" customWidth="1"/>
    <col min="9992" max="9992" width="7.42578125" style="3" customWidth="1"/>
    <col min="9993" max="10240" width="11.42578125" style="3"/>
    <col min="10241" max="10241" width="15.85546875" style="3" customWidth="1"/>
    <col min="10242" max="10242" width="14.85546875" style="3" customWidth="1"/>
    <col min="10243" max="10243" width="13.28515625" style="3" customWidth="1"/>
    <col min="10244" max="10244" width="11.42578125" style="3"/>
    <col min="10245" max="10245" width="13.42578125" style="3" customWidth="1"/>
    <col min="10246" max="10246" width="12.7109375" style="3" customWidth="1"/>
    <col min="10247" max="10247" width="14" style="3" customWidth="1"/>
    <col min="10248" max="10248" width="7.42578125" style="3" customWidth="1"/>
    <col min="10249" max="10496" width="11.42578125" style="3"/>
    <col min="10497" max="10497" width="15.85546875" style="3" customWidth="1"/>
    <col min="10498" max="10498" width="14.85546875" style="3" customWidth="1"/>
    <col min="10499" max="10499" width="13.28515625" style="3" customWidth="1"/>
    <col min="10500" max="10500" width="11.42578125" style="3"/>
    <col min="10501" max="10501" width="13.42578125" style="3" customWidth="1"/>
    <col min="10502" max="10502" width="12.7109375" style="3" customWidth="1"/>
    <col min="10503" max="10503" width="14" style="3" customWidth="1"/>
    <col min="10504" max="10504" width="7.42578125" style="3" customWidth="1"/>
    <col min="10505" max="10752" width="11.42578125" style="3"/>
    <col min="10753" max="10753" width="15.85546875" style="3" customWidth="1"/>
    <col min="10754" max="10754" width="14.85546875" style="3" customWidth="1"/>
    <col min="10755" max="10755" width="13.28515625" style="3" customWidth="1"/>
    <col min="10756" max="10756" width="11.42578125" style="3"/>
    <col min="10757" max="10757" width="13.42578125" style="3" customWidth="1"/>
    <col min="10758" max="10758" width="12.7109375" style="3" customWidth="1"/>
    <col min="10759" max="10759" width="14" style="3" customWidth="1"/>
    <col min="10760" max="10760" width="7.42578125" style="3" customWidth="1"/>
    <col min="10761" max="11008" width="11.42578125" style="3"/>
    <col min="11009" max="11009" width="15.85546875" style="3" customWidth="1"/>
    <col min="11010" max="11010" width="14.85546875" style="3" customWidth="1"/>
    <col min="11011" max="11011" width="13.28515625" style="3" customWidth="1"/>
    <col min="11012" max="11012" width="11.42578125" style="3"/>
    <col min="11013" max="11013" width="13.42578125" style="3" customWidth="1"/>
    <col min="11014" max="11014" width="12.7109375" style="3" customWidth="1"/>
    <col min="11015" max="11015" width="14" style="3" customWidth="1"/>
    <col min="11016" max="11016" width="7.42578125" style="3" customWidth="1"/>
    <col min="11017" max="11264" width="11.42578125" style="3"/>
    <col min="11265" max="11265" width="15.85546875" style="3" customWidth="1"/>
    <col min="11266" max="11266" width="14.85546875" style="3" customWidth="1"/>
    <col min="11267" max="11267" width="13.28515625" style="3" customWidth="1"/>
    <col min="11268" max="11268" width="11.42578125" style="3"/>
    <col min="11269" max="11269" width="13.42578125" style="3" customWidth="1"/>
    <col min="11270" max="11270" width="12.7109375" style="3" customWidth="1"/>
    <col min="11271" max="11271" width="14" style="3" customWidth="1"/>
    <col min="11272" max="11272" width="7.42578125" style="3" customWidth="1"/>
    <col min="11273" max="11520" width="11.42578125" style="3"/>
    <col min="11521" max="11521" width="15.85546875" style="3" customWidth="1"/>
    <col min="11522" max="11522" width="14.85546875" style="3" customWidth="1"/>
    <col min="11523" max="11523" width="13.28515625" style="3" customWidth="1"/>
    <col min="11524" max="11524" width="11.42578125" style="3"/>
    <col min="11525" max="11525" width="13.42578125" style="3" customWidth="1"/>
    <col min="11526" max="11526" width="12.7109375" style="3" customWidth="1"/>
    <col min="11527" max="11527" width="14" style="3" customWidth="1"/>
    <col min="11528" max="11528" width="7.42578125" style="3" customWidth="1"/>
    <col min="11529" max="11776" width="11.42578125" style="3"/>
    <col min="11777" max="11777" width="15.85546875" style="3" customWidth="1"/>
    <col min="11778" max="11778" width="14.85546875" style="3" customWidth="1"/>
    <col min="11779" max="11779" width="13.28515625" style="3" customWidth="1"/>
    <col min="11780" max="11780" width="11.42578125" style="3"/>
    <col min="11781" max="11781" width="13.42578125" style="3" customWidth="1"/>
    <col min="11782" max="11782" width="12.7109375" style="3" customWidth="1"/>
    <col min="11783" max="11783" width="14" style="3" customWidth="1"/>
    <col min="11784" max="11784" width="7.42578125" style="3" customWidth="1"/>
    <col min="11785" max="12032" width="11.42578125" style="3"/>
    <col min="12033" max="12033" width="15.85546875" style="3" customWidth="1"/>
    <col min="12034" max="12034" width="14.85546875" style="3" customWidth="1"/>
    <col min="12035" max="12035" width="13.28515625" style="3" customWidth="1"/>
    <col min="12036" max="12036" width="11.42578125" style="3"/>
    <col min="12037" max="12037" width="13.42578125" style="3" customWidth="1"/>
    <col min="12038" max="12038" width="12.7109375" style="3" customWidth="1"/>
    <col min="12039" max="12039" width="14" style="3" customWidth="1"/>
    <col min="12040" max="12040" width="7.42578125" style="3" customWidth="1"/>
    <col min="12041" max="12288" width="11.42578125" style="3"/>
    <col min="12289" max="12289" width="15.85546875" style="3" customWidth="1"/>
    <col min="12290" max="12290" width="14.85546875" style="3" customWidth="1"/>
    <col min="12291" max="12291" width="13.28515625" style="3" customWidth="1"/>
    <col min="12292" max="12292" width="11.42578125" style="3"/>
    <col min="12293" max="12293" width="13.42578125" style="3" customWidth="1"/>
    <col min="12294" max="12294" width="12.7109375" style="3" customWidth="1"/>
    <col min="12295" max="12295" width="14" style="3" customWidth="1"/>
    <col min="12296" max="12296" width="7.42578125" style="3" customWidth="1"/>
    <col min="12297" max="12544" width="11.42578125" style="3"/>
    <col min="12545" max="12545" width="15.85546875" style="3" customWidth="1"/>
    <col min="12546" max="12546" width="14.85546875" style="3" customWidth="1"/>
    <col min="12547" max="12547" width="13.28515625" style="3" customWidth="1"/>
    <col min="12548" max="12548" width="11.42578125" style="3"/>
    <col min="12549" max="12549" width="13.42578125" style="3" customWidth="1"/>
    <col min="12550" max="12550" width="12.7109375" style="3" customWidth="1"/>
    <col min="12551" max="12551" width="14" style="3" customWidth="1"/>
    <col min="12552" max="12552" width="7.42578125" style="3" customWidth="1"/>
    <col min="12553" max="12800" width="11.42578125" style="3"/>
    <col min="12801" max="12801" width="15.85546875" style="3" customWidth="1"/>
    <col min="12802" max="12802" width="14.85546875" style="3" customWidth="1"/>
    <col min="12803" max="12803" width="13.28515625" style="3" customWidth="1"/>
    <col min="12804" max="12804" width="11.42578125" style="3"/>
    <col min="12805" max="12805" width="13.42578125" style="3" customWidth="1"/>
    <col min="12806" max="12806" width="12.7109375" style="3" customWidth="1"/>
    <col min="12807" max="12807" width="14" style="3" customWidth="1"/>
    <col min="12808" max="12808" width="7.42578125" style="3" customWidth="1"/>
    <col min="12809" max="13056" width="11.42578125" style="3"/>
    <col min="13057" max="13057" width="15.85546875" style="3" customWidth="1"/>
    <col min="13058" max="13058" width="14.85546875" style="3" customWidth="1"/>
    <col min="13059" max="13059" width="13.28515625" style="3" customWidth="1"/>
    <col min="13060" max="13060" width="11.42578125" style="3"/>
    <col min="13061" max="13061" width="13.42578125" style="3" customWidth="1"/>
    <col min="13062" max="13062" width="12.7109375" style="3" customWidth="1"/>
    <col min="13063" max="13063" width="14" style="3" customWidth="1"/>
    <col min="13064" max="13064" width="7.42578125" style="3" customWidth="1"/>
    <col min="13065" max="13312" width="11.42578125" style="3"/>
    <col min="13313" max="13313" width="15.85546875" style="3" customWidth="1"/>
    <col min="13314" max="13314" width="14.85546875" style="3" customWidth="1"/>
    <col min="13315" max="13315" width="13.28515625" style="3" customWidth="1"/>
    <col min="13316" max="13316" width="11.42578125" style="3"/>
    <col min="13317" max="13317" width="13.42578125" style="3" customWidth="1"/>
    <col min="13318" max="13318" width="12.7109375" style="3" customWidth="1"/>
    <col min="13319" max="13319" width="14" style="3" customWidth="1"/>
    <col min="13320" max="13320" width="7.42578125" style="3" customWidth="1"/>
    <col min="13321" max="13568" width="11.42578125" style="3"/>
    <col min="13569" max="13569" width="15.85546875" style="3" customWidth="1"/>
    <col min="13570" max="13570" width="14.85546875" style="3" customWidth="1"/>
    <col min="13571" max="13571" width="13.28515625" style="3" customWidth="1"/>
    <col min="13572" max="13572" width="11.42578125" style="3"/>
    <col min="13573" max="13573" width="13.42578125" style="3" customWidth="1"/>
    <col min="13574" max="13574" width="12.7109375" style="3" customWidth="1"/>
    <col min="13575" max="13575" width="14" style="3" customWidth="1"/>
    <col min="13576" max="13576" width="7.42578125" style="3" customWidth="1"/>
    <col min="13577" max="13824" width="11.42578125" style="3"/>
    <col min="13825" max="13825" width="15.85546875" style="3" customWidth="1"/>
    <col min="13826" max="13826" width="14.85546875" style="3" customWidth="1"/>
    <col min="13827" max="13827" width="13.28515625" style="3" customWidth="1"/>
    <col min="13828" max="13828" width="11.42578125" style="3"/>
    <col min="13829" max="13829" width="13.42578125" style="3" customWidth="1"/>
    <col min="13830" max="13830" width="12.7109375" style="3" customWidth="1"/>
    <col min="13831" max="13831" width="14" style="3" customWidth="1"/>
    <col min="13832" max="13832" width="7.42578125" style="3" customWidth="1"/>
    <col min="13833" max="14080" width="11.42578125" style="3"/>
    <col min="14081" max="14081" width="15.85546875" style="3" customWidth="1"/>
    <col min="14082" max="14082" width="14.85546875" style="3" customWidth="1"/>
    <col min="14083" max="14083" width="13.28515625" style="3" customWidth="1"/>
    <col min="14084" max="14084" width="11.42578125" style="3"/>
    <col min="14085" max="14085" width="13.42578125" style="3" customWidth="1"/>
    <col min="14086" max="14086" width="12.7109375" style="3" customWidth="1"/>
    <col min="14087" max="14087" width="14" style="3" customWidth="1"/>
    <col min="14088" max="14088" width="7.42578125" style="3" customWidth="1"/>
    <col min="14089" max="14336" width="11.42578125" style="3"/>
    <col min="14337" max="14337" width="15.85546875" style="3" customWidth="1"/>
    <col min="14338" max="14338" width="14.85546875" style="3" customWidth="1"/>
    <col min="14339" max="14339" width="13.28515625" style="3" customWidth="1"/>
    <col min="14340" max="14340" width="11.42578125" style="3"/>
    <col min="14341" max="14341" width="13.42578125" style="3" customWidth="1"/>
    <col min="14342" max="14342" width="12.7109375" style="3" customWidth="1"/>
    <col min="14343" max="14343" width="14" style="3" customWidth="1"/>
    <col min="14344" max="14344" width="7.42578125" style="3" customWidth="1"/>
    <col min="14345" max="14592" width="11.42578125" style="3"/>
    <col min="14593" max="14593" width="15.85546875" style="3" customWidth="1"/>
    <col min="14594" max="14594" width="14.85546875" style="3" customWidth="1"/>
    <col min="14595" max="14595" width="13.28515625" style="3" customWidth="1"/>
    <col min="14596" max="14596" width="11.42578125" style="3"/>
    <col min="14597" max="14597" width="13.42578125" style="3" customWidth="1"/>
    <col min="14598" max="14598" width="12.7109375" style="3" customWidth="1"/>
    <col min="14599" max="14599" width="14" style="3" customWidth="1"/>
    <col min="14600" max="14600" width="7.42578125" style="3" customWidth="1"/>
    <col min="14601" max="14848" width="11.42578125" style="3"/>
    <col min="14849" max="14849" width="15.85546875" style="3" customWidth="1"/>
    <col min="14850" max="14850" width="14.85546875" style="3" customWidth="1"/>
    <col min="14851" max="14851" width="13.28515625" style="3" customWidth="1"/>
    <col min="14852" max="14852" width="11.42578125" style="3"/>
    <col min="14853" max="14853" width="13.42578125" style="3" customWidth="1"/>
    <col min="14854" max="14854" width="12.7109375" style="3" customWidth="1"/>
    <col min="14855" max="14855" width="14" style="3" customWidth="1"/>
    <col min="14856" max="14856" width="7.42578125" style="3" customWidth="1"/>
    <col min="14857" max="15104" width="11.42578125" style="3"/>
    <col min="15105" max="15105" width="15.85546875" style="3" customWidth="1"/>
    <col min="15106" max="15106" width="14.85546875" style="3" customWidth="1"/>
    <col min="15107" max="15107" width="13.28515625" style="3" customWidth="1"/>
    <col min="15108" max="15108" width="11.42578125" style="3"/>
    <col min="15109" max="15109" width="13.42578125" style="3" customWidth="1"/>
    <col min="15110" max="15110" width="12.7109375" style="3" customWidth="1"/>
    <col min="15111" max="15111" width="14" style="3" customWidth="1"/>
    <col min="15112" max="15112" width="7.42578125" style="3" customWidth="1"/>
    <col min="15113" max="15360" width="11.42578125" style="3"/>
    <col min="15361" max="15361" width="15.85546875" style="3" customWidth="1"/>
    <col min="15362" max="15362" width="14.85546875" style="3" customWidth="1"/>
    <col min="15363" max="15363" width="13.28515625" style="3" customWidth="1"/>
    <col min="15364" max="15364" width="11.42578125" style="3"/>
    <col min="15365" max="15365" width="13.42578125" style="3" customWidth="1"/>
    <col min="15366" max="15366" width="12.7109375" style="3" customWidth="1"/>
    <col min="15367" max="15367" width="14" style="3" customWidth="1"/>
    <col min="15368" max="15368" width="7.42578125" style="3" customWidth="1"/>
    <col min="15369" max="15616" width="11.42578125" style="3"/>
    <col min="15617" max="15617" width="15.85546875" style="3" customWidth="1"/>
    <col min="15618" max="15618" width="14.85546875" style="3" customWidth="1"/>
    <col min="15619" max="15619" width="13.28515625" style="3" customWidth="1"/>
    <col min="15620" max="15620" width="11.42578125" style="3"/>
    <col min="15621" max="15621" width="13.42578125" style="3" customWidth="1"/>
    <col min="15622" max="15622" width="12.7109375" style="3" customWidth="1"/>
    <col min="15623" max="15623" width="14" style="3" customWidth="1"/>
    <col min="15624" max="15624" width="7.42578125" style="3" customWidth="1"/>
    <col min="15625" max="15872" width="11.42578125" style="3"/>
    <col min="15873" max="15873" width="15.85546875" style="3" customWidth="1"/>
    <col min="15874" max="15874" width="14.85546875" style="3" customWidth="1"/>
    <col min="15875" max="15875" width="13.28515625" style="3" customWidth="1"/>
    <col min="15876" max="15876" width="11.42578125" style="3"/>
    <col min="15877" max="15877" width="13.42578125" style="3" customWidth="1"/>
    <col min="15878" max="15878" width="12.7109375" style="3" customWidth="1"/>
    <col min="15879" max="15879" width="14" style="3" customWidth="1"/>
    <col min="15880" max="15880" width="7.42578125" style="3" customWidth="1"/>
    <col min="15881" max="16128" width="11.42578125" style="3"/>
    <col min="16129" max="16129" width="15.85546875" style="3" customWidth="1"/>
    <col min="16130" max="16130" width="14.85546875" style="3" customWidth="1"/>
    <col min="16131" max="16131" width="13.28515625" style="3" customWidth="1"/>
    <col min="16132" max="16132" width="11.42578125" style="3"/>
    <col min="16133" max="16133" width="13.42578125" style="3" customWidth="1"/>
    <col min="16134" max="16134" width="12.7109375" style="3" customWidth="1"/>
    <col min="16135" max="16135" width="14" style="3" customWidth="1"/>
    <col min="16136" max="16136" width="7.42578125" style="3" customWidth="1"/>
    <col min="16137" max="16384" width="11.42578125" style="3"/>
  </cols>
  <sheetData>
    <row r="1" spans="1:21" ht="20.25">
      <c r="A1" s="1346" t="str">
        <f>PPTO!D3</f>
        <v>PRESUPUESTO
MUNICIPIO EL BAGRE (ANTIOQUIA).</v>
      </c>
      <c r="B1" s="1347"/>
      <c r="C1" s="1347"/>
      <c r="D1" s="1347"/>
      <c r="E1" s="1347"/>
      <c r="F1" s="1347"/>
      <c r="G1" s="1348"/>
      <c r="H1" s="1"/>
      <c r="I1" s="2"/>
    </row>
    <row r="2" spans="1:21" ht="18" customHeight="1">
      <c r="A2" s="1362" t="s">
        <v>16</v>
      </c>
      <c r="B2" s="1363"/>
      <c r="C2" s="1363"/>
      <c r="D2" s="1363"/>
      <c r="E2" s="1363"/>
      <c r="F2" s="1363"/>
      <c r="G2" s="1364"/>
      <c r="H2" s="1"/>
      <c r="I2" s="2"/>
    </row>
    <row r="3" spans="1:21" ht="27" customHeight="1">
      <c r="A3" s="1367" t="str">
        <f>+PPTO!$D$5</f>
        <v>PROYECTO DE MEJORAMIENTO VIAL, ESPACIO PUBLICO Y OBRAS COMPLEMENTARIAS DE LA AVENIDA LA JUVENTUD Y TRAMOS ADYACENTES Y PRIORITARIOS DEL SECTOR URBANO EN EL MUNICIPIO EL BAGRE ANTIOQUIA.</v>
      </c>
      <c r="B3" s="1368"/>
      <c r="C3" s="1368"/>
      <c r="D3" s="1368"/>
      <c r="E3" s="1368"/>
      <c r="F3" s="1368"/>
      <c r="G3" s="1369"/>
      <c r="H3" s="1"/>
      <c r="I3" s="2"/>
    </row>
    <row r="4" spans="1:21" ht="17.25" customHeight="1">
      <c r="A4" s="1370"/>
      <c r="B4" s="1368"/>
      <c r="C4" s="1368"/>
      <c r="D4" s="1368"/>
      <c r="E4" s="1368"/>
      <c r="F4" s="1368"/>
      <c r="G4" s="1369"/>
      <c r="H4" s="1"/>
      <c r="I4" s="2"/>
    </row>
    <row r="5" spans="1:21" ht="6.75" customHeight="1">
      <c r="A5" s="222"/>
      <c r="B5" s="6"/>
      <c r="C5" s="24"/>
      <c r="D5" s="25"/>
      <c r="E5" s="6"/>
      <c r="F5" s="6"/>
      <c r="G5" s="223"/>
      <c r="H5" s="9"/>
    </row>
    <row r="6" spans="1:21">
      <c r="A6" s="368">
        <v>6.28</v>
      </c>
      <c r="B6" s="1349" t="str">
        <f>VLOOKUP(A6,PPTO!D9:I136,2,FALSE)</f>
        <v>Suministro e instalación Reducción 4" a 3" PVC ó Similar</v>
      </c>
      <c r="C6" s="1350"/>
      <c r="D6" s="1350"/>
      <c r="E6" s="1351"/>
      <c r="F6" s="192" t="s">
        <v>118</v>
      </c>
      <c r="G6" s="248" t="str">
        <f>VLOOKUP(A6,PPTO!D9:I136,3,FALSE)</f>
        <v>und</v>
      </c>
      <c r="H6" s="9"/>
    </row>
    <row r="7" spans="1:21" ht="3.75" customHeight="1">
      <c r="A7" s="226"/>
      <c r="B7" s="4"/>
      <c r="C7" s="6"/>
      <c r="D7" s="4"/>
      <c r="E7" s="4"/>
      <c r="F7" s="4"/>
      <c r="G7" s="227"/>
      <c r="H7" s="9"/>
    </row>
    <row r="8" spans="1:21" ht="22.5" customHeight="1">
      <c r="A8" s="1354" t="s">
        <v>69</v>
      </c>
      <c r="B8" s="1355"/>
      <c r="C8" s="1355"/>
      <c r="D8" s="1355"/>
      <c r="E8" s="1355"/>
      <c r="F8" s="1355"/>
      <c r="G8" s="1356"/>
      <c r="H8" s="9"/>
    </row>
    <row r="9" spans="1:21" ht="4.5" customHeight="1">
      <c r="A9" s="226"/>
      <c r="B9" s="4"/>
      <c r="C9" s="6"/>
      <c r="D9" s="4"/>
      <c r="E9" s="4"/>
      <c r="F9" s="4"/>
      <c r="G9" s="227"/>
      <c r="H9" s="9"/>
      <c r="I9" s="5"/>
      <c r="J9" s="5"/>
      <c r="K9" s="5"/>
      <c r="L9" s="26"/>
      <c r="M9" s="5"/>
      <c r="N9" s="5"/>
      <c r="O9" s="5"/>
      <c r="P9" s="5"/>
    </row>
    <row r="10" spans="1:21">
      <c r="A10" s="1373" t="s">
        <v>17</v>
      </c>
      <c r="B10" s="1374"/>
      <c r="C10" s="1374"/>
      <c r="D10" s="353" t="s">
        <v>18</v>
      </c>
      <c r="E10" s="353" t="s">
        <v>19</v>
      </c>
      <c r="F10" s="353" t="s">
        <v>20</v>
      </c>
      <c r="G10" s="228" t="s">
        <v>21</v>
      </c>
      <c r="H10" s="27"/>
      <c r="I10" s="28"/>
      <c r="J10" s="29"/>
      <c r="K10" s="30"/>
      <c r="L10" s="30"/>
      <c r="M10" s="30"/>
      <c r="N10" s="30"/>
      <c r="O10" s="30"/>
      <c r="P10" s="5"/>
    </row>
    <row r="11" spans="1:21">
      <c r="A11" s="1352" t="s">
        <v>47</v>
      </c>
      <c r="B11" s="1353"/>
      <c r="C11" s="1353"/>
      <c r="D11" s="353"/>
      <c r="E11" s="83"/>
      <c r="F11" s="97"/>
      <c r="G11" s="229">
        <f>+G39*10%</f>
        <v>2036</v>
      </c>
      <c r="H11" s="9"/>
      <c r="I11" s="30"/>
      <c r="J11" s="31"/>
      <c r="K11" s="30"/>
      <c r="L11" s="30"/>
      <c r="M11" s="30"/>
      <c r="N11" s="30"/>
      <c r="O11" s="30"/>
      <c r="P11" s="5"/>
    </row>
    <row r="12" spans="1:21">
      <c r="A12" s="1371"/>
      <c r="B12" s="1372"/>
      <c r="C12" s="1372"/>
      <c r="D12" s="83"/>
      <c r="E12" s="83"/>
      <c r="F12" s="93"/>
      <c r="G12" s="229"/>
      <c r="H12" s="9"/>
      <c r="I12" s="16"/>
      <c r="J12" s="13"/>
      <c r="K12" s="8"/>
      <c r="L12" s="8"/>
      <c r="M12" s="8"/>
      <c r="N12" s="8"/>
      <c r="O12" s="8"/>
      <c r="P12" s="5"/>
    </row>
    <row r="13" spans="1:21">
      <c r="A13" s="1371"/>
      <c r="B13" s="1372"/>
      <c r="C13" s="1372"/>
      <c r="D13" s="83"/>
      <c r="E13" s="83"/>
      <c r="F13" s="93"/>
      <c r="G13" s="229"/>
      <c r="H13" s="9"/>
      <c r="I13" s="13"/>
      <c r="J13" s="13"/>
      <c r="K13" s="13"/>
      <c r="L13" s="13"/>
      <c r="M13" s="13"/>
      <c r="N13" s="13"/>
      <c r="O13" s="13"/>
      <c r="P13" s="5"/>
    </row>
    <row r="14" spans="1:21">
      <c r="A14" s="1371"/>
      <c r="B14" s="1372"/>
      <c r="C14" s="1372"/>
      <c r="D14" s="83"/>
      <c r="E14" s="83"/>
      <c r="F14" s="93"/>
      <c r="G14" s="229"/>
      <c r="H14" s="9"/>
      <c r="I14" s="8"/>
      <c r="J14" s="14"/>
      <c r="K14" s="32"/>
      <c r="L14" s="14"/>
      <c r="M14" s="15"/>
      <c r="N14" s="15"/>
      <c r="O14" s="19"/>
      <c r="P14" s="5"/>
    </row>
    <row r="15" spans="1:21">
      <c r="A15" s="1371"/>
      <c r="B15" s="1372"/>
      <c r="C15" s="1372"/>
      <c r="D15" s="83"/>
      <c r="E15" s="83"/>
      <c r="F15" s="98"/>
      <c r="G15" s="229"/>
      <c r="H15" s="9"/>
      <c r="I15" s="8"/>
      <c r="J15" s="33"/>
      <c r="K15" s="32"/>
      <c r="L15" s="14"/>
      <c r="M15" s="15"/>
      <c r="N15" s="15"/>
      <c r="O15" s="19"/>
      <c r="P15" s="5"/>
      <c r="Q15" s="5"/>
      <c r="R15" s="5"/>
      <c r="S15" s="5"/>
      <c r="T15" s="5"/>
      <c r="U15" s="5"/>
    </row>
    <row r="16" spans="1:21">
      <c r="A16" s="1371"/>
      <c r="B16" s="1372"/>
      <c r="C16" s="1372"/>
      <c r="D16" s="85" t="s">
        <v>37</v>
      </c>
      <c r="E16" s="50"/>
      <c r="F16" s="49"/>
      <c r="G16" s="230">
        <f>SUM(G11:G15)</f>
        <v>2036</v>
      </c>
      <c r="H16" s="9"/>
      <c r="I16" s="34"/>
      <c r="J16" s="34"/>
      <c r="K16" s="35"/>
      <c r="L16" s="36"/>
      <c r="M16" s="7"/>
      <c r="N16" s="7"/>
      <c r="O16" s="19"/>
      <c r="P16" s="5"/>
      <c r="Q16" s="5"/>
      <c r="R16" s="5"/>
      <c r="S16" s="5"/>
      <c r="T16" s="5"/>
      <c r="U16" s="5"/>
    </row>
    <row r="17" spans="1:21" ht="4.5" customHeight="1">
      <c r="A17" s="226"/>
      <c r="B17" s="4"/>
      <c r="C17" s="6"/>
      <c r="D17" s="4"/>
      <c r="E17" s="4"/>
      <c r="F17" s="4"/>
      <c r="G17" s="227"/>
      <c r="H17" s="9"/>
      <c r="I17" s="34"/>
      <c r="J17" s="34"/>
      <c r="K17" s="35"/>
      <c r="L17" s="36"/>
      <c r="M17" s="7"/>
      <c r="N17" s="7"/>
      <c r="O17" s="19"/>
      <c r="P17" s="5"/>
      <c r="Q17" s="5"/>
      <c r="R17" s="5"/>
      <c r="S17" s="5"/>
      <c r="T17" s="5"/>
      <c r="U17" s="5"/>
    </row>
    <row r="18" spans="1:21" ht="22.5" customHeight="1">
      <c r="A18" s="1354" t="s">
        <v>70</v>
      </c>
      <c r="B18" s="1355"/>
      <c r="C18" s="1355"/>
      <c r="D18" s="1355"/>
      <c r="E18" s="1355"/>
      <c r="F18" s="1355"/>
      <c r="G18" s="1356"/>
      <c r="H18" s="9"/>
    </row>
    <row r="19" spans="1:21" ht="4.5" customHeight="1">
      <c r="A19" s="226"/>
      <c r="B19" s="4"/>
      <c r="C19" s="6"/>
      <c r="D19" s="4"/>
      <c r="E19" s="4"/>
      <c r="F19" s="38"/>
      <c r="G19" s="227"/>
      <c r="H19" s="9"/>
      <c r="I19" s="34"/>
      <c r="J19" s="34"/>
      <c r="K19" s="35"/>
      <c r="L19" s="39"/>
      <c r="M19" s="7"/>
      <c r="N19" s="7"/>
      <c r="O19" s="8"/>
      <c r="P19" s="5"/>
      <c r="Q19" s="5"/>
      <c r="R19" s="5"/>
      <c r="S19" s="5"/>
      <c r="T19" s="5"/>
      <c r="U19" s="5"/>
    </row>
    <row r="20" spans="1:21">
      <c r="A20" s="1373" t="s">
        <v>17</v>
      </c>
      <c r="B20" s="1374"/>
      <c r="C20" s="1374"/>
      <c r="D20" s="353" t="s">
        <v>3</v>
      </c>
      <c r="E20" s="353" t="s">
        <v>4</v>
      </c>
      <c r="F20" s="353" t="s">
        <v>25</v>
      </c>
      <c r="G20" s="228" t="s">
        <v>21</v>
      </c>
      <c r="H20" s="27"/>
      <c r="I20" s="34"/>
      <c r="J20" s="34"/>
      <c r="K20" s="35"/>
      <c r="L20" s="39"/>
      <c r="M20" s="7"/>
      <c r="N20" s="7"/>
      <c r="O20" s="8"/>
      <c r="P20" s="5"/>
      <c r="Q20" s="5"/>
      <c r="R20" s="5"/>
      <c r="S20" s="5"/>
      <c r="T20" s="5"/>
      <c r="U20" s="5"/>
    </row>
    <row r="21" spans="1:21" ht="31.5" customHeight="1">
      <c r="A21" s="1441" t="str">
        <f>MID(I21,25,50)</f>
        <v xml:space="preserve"> Reducción 4" a 3" PVC ó Similar</v>
      </c>
      <c r="B21" s="1442"/>
      <c r="C21" s="1443"/>
      <c r="D21" s="118" t="s">
        <v>119</v>
      </c>
      <c r="E21" s="119">
        <v>1</v>
      </c>
      <c r="F21" s="87">
        <f>79332*IPC</f>
        <v>81855</v>
      </c>
      <c r="G21" s="231">
        <f>ROUND(F21*E21,0)</f>
        <v>81855</v>
      </c>
      <c r="H21" s="9"/>
      <c r="I21" s="34" t="str">
        <f>B6</f>
        <v>Suministro e instalación Reducción 4" a 3" PVC ó Similar</v>
      </c>
      <c r="J21" s="34"/>
      <c r="K21" s="35"/>
      <c r="L21" s="36"/>
      <c r="M21" s="7"/>
      <c r="N21" s="7"/>
      <c r="O21" s="19"/>
      <c r="P21" s="5"/>
      <c r="Q21" s="5"/>
      <c r="R21" s="5"/>
      <c r="S21" s="5"/>
      <c r="T21" s="5"/>
      <c r="U21" s="5"/>
    </row>
    <row r="22" spans="1:21">
      <c r="A22" s="1444"/>
      <c r="B22" s="1403"/>
      <c r="C22" s="1404"/>
      <c r="D22" s="116"/>
      <c r="E22" s="117"/>
      <c r="F22" s="91"/>
      <c r="G22" s="231"/>
      <c r="H22" s="9"/>
      <c r="I22" s="10"/>
      <c r="J22" s="10"/>
      <c r="K22" s="12"/>
      <c r="L22" s="39"/>
      <c r="M22" s="7"/>
      <c r="N22" s="7"/>
      <c r="O22" s="15"/>
      <c r="P22" s="5"/>
      <c r="Q22" s="5"/>
      <c r="R22" s="5"/>
      <c r="S22" s="5"/>
      <c r="T22" s="5"/>
      <c r="U22" s="5"/>
    </row>
    <row r="23" spans="1:21">
      <c r="A23" s="1386"/>
      <c r="B23" s="1353"/>
      <c r="C23" s="1353"/>
      <c r="D23" s="79"/>
      <c r="E23" s="82"/>
      <c r="F23" s="83"/>
      <c r="G23" s="67"/>
      <c r="H23" s="9"/>
      <c r="I23" s="10"/>
      <c r="J23" s="10"/>
      <c r="K23" s="12"/>
      <c r="L23" s="39"/>
      <c r="M23" s="7"/>
      <c r="N23" s="7"/>
      <c r="O23" s="15"/>
      <c r="P23" s="5"/>
      <c r="Q23" s="5"/>
      <c r="R23" s="5"/>
      <c r="S23" s="5"/>
      <c r="T23" s="5"/>
      <c r="U23" s="5"/>
    </row>
    <row r="24" spans="1:21">
      <c r="A24" s="1352"/>
      <c r="B24" s="1353"/>
      <c r="C24" s="1353"/>
      <c r="D24" s="81"/>
      <c r="E24" s="88"/>
      <c r="F24" s="78"/>
      <c r="G24" s="231"/>
      <c r="H24" s="9"/>
      <c r="I24" s="10"/>
      <c r="J24" s="40"/>
      <c r="K24" s="12"/>
      <c r="L24" s="13"/>
      <c r="M24" s="14"/>
      <c r="N24" s="14"/>
      <c r="O24" s="15"/>
      <c r="P24" s="5"/>
      <c r="Q24" s="5"/>
      <c r="R24" s="5"/>
      <c r="S24" s="5"/>
      <c r="T24" s="5"/>
      <c r="U24" s="5"/>
    </row>
    <row r="25" spans="1:21">
      <c r="A25" s="1352"/>
      <c r="B25" s="1353"/>
      <c r="C25" s="1353"/>
      <c r="D25" s="81"/>
      <c r="E25" s="82"/>
      <c r="F25" s="78"/>
      <c r="G25" s="231"/>
      <c r="H25" s="9"/>
      <c r="I25" s="10"/>
      <c r="J25" s="11"/>
      <c r="K25" s="12"/>
      <c r="L25" s="13"/>
      <c r="M25" s="14"/>
      <c r="N25" s="14"/>
      <c r="O25" s="15"/>
      <c r="P25" s="5"/>
      <c r="Q25" s="5"/>
      <c r="R25" s="5"/>
      <c r="S25" s="5"/>
      <c r="T25" s="5"/>
      <c r="U25" s="5"/>
    </row>
    <row r="26" spans="1:21">
      <c r="A26" s="1352"/>
      <c r="B26" s="1353"/>
      <c r="C26" s="1353"/>
      <c r="D26" s="79"/>
      <c r="E26" s="82"/>
      <c r="F26" s="78"/>
      <c r="G26" s="231"/>
      <c r="H26" s="9"/>
      <c r="I26" s="10"/>
      <c r="J26" s="11"/>
      <c r="K26" s="12"/>
      <c r="L26" s="13"/>
      <c r="M26" s="14"/>
      <c r="N26" s="14"/>
      <c r="O26" s="15"/>
      <c r="P26" s="5"/>
      <c r="Q26" s="5"/>
      <c r="R26" s="5"/>
      <c r="S26" s="5"/>
      <c r="T26" s="5"/>
      <c r="U26" s="5"/>
    </row>
    <row r="27" spans="1:21">
      <c r="A27" s="1352"/>
      <c r="B27" s="1353"/>
      <c r="C27" s="1353"/>
      <c r="D27" s="79"/>
      <c r="E27" s="82"/>
      <c r="F27" s="78"/>
      <c r="G27" s="231"/>
      <c r="H27" s="9"/>
      <c r="I27" s="10"/>
      <c r="J27" s="11"/>
      <c r="K27" s="12"/>
      <c r="L27" s="13"/>
      <c r="M27" s="14"/>
      <c r="N27" s="14"/>
      <c r="O27" s="15"/>
      <c r="P27" s="5"/>
      <c r="Q27" s="5"/>
      <c r="R27" s="5"/>
      <c r="S27" s="5"/>
      <c r="T27" s="5"/>
      <c r="U27" s="5"/>
    </row>
    <row r="28" spans="1:21">
      <c r="A28" s="1352"/>
      <c r="B28" s="1353"/>
      <c r="C28" s="1353"/>
      <c r="D28" s="79"/>
      <c r="E28" s="82"/>
      <c r="F28" s="83"/>
      <c r="G28" s="231"/>
      <c r="H28" s="9"/>
      <c r="I28" s="41"/>
      <c r="J28" s="41"/>
      <c r="K28" s="12"/>
      <c r="L28" s="13"/>
      <c r="M28" s="14"/>
      <c r="N28" s="14"/>
      <c r="O28" s="15"/>
      <c r="P28" s="5"/>
      <c r="Q28" s="5"/>
      <c r="R28" s="5"/>
      <c r="S28" s="5"/>
      <c r="T28" s="5"/>
      <c r="U28" s="5"/>
    </row>
    <row r="29" spans="1:21">
      <c r="A29" s="1352"/>
      <c r="B29" s="1353"/>
      <c r="C29" s="1353"/>
      <c r="D29" s="84"/>
      <c r="E29" s="84"/>
      <c r="F29" s="83"/>
      <c r="G29" s="231"/>
      <c r="H29" s="9"/>
      <c r="I29" s="42"/>
      <c r="J29" s="42"/>
      <c r="K29" s="42"/>
      <c r="L29" s="13"/>
      <c r="M29" s="14"/>
      <c r="N29" s="14"/>
      <c r="O29" s="15"/>
      <c r="P29" s="5"/>
      <c r="Q29" s="5"/>
      <c r="R29" s="5"/>
      <c r="S29" s="5"/>
      <c r="T29" s="5"/>
      <c r="U29" s="5"/>
    </row>
    <row r="30" spans="1:21">
      <c r="A30" s="1352"/>
      <c r="B30" s="1353"/>
      <c r="C30" s="1353"/>
      <c r="D30" s="85" t="s">
        <v>28</v>
      </c>
      <c r="E30" s="50"/>
      <c r="F30" s="49"/>
      <c r="G30" s="230">
        <f>SUM(G21:G29)</f>
        <v>81855</v>
      </c>
      <c r="H30" s="9"/>
      <c r="I30" s="8"/>
      <c r="J30" s="13"/>
      <c r="K30" s="8"/>
      <c r="L30" s="13"/>
      <c r="M30" s="14"/>
      <c r="N30" s="14"/>
      <c r="O30" s="15"/>
      <c r="P30" s="5"/>
    </row>
    <row r="31" spans="1:21" ht="3.75" customHeight="1">
      <c r="A31" s="226"/>
      <c r="B31" s="4"/>
      <c r="C31" s="6"/>
      <c r="D31" s="4"/>
      <c r="E31" s="4"/>
      <c r="F31" s="4"/>
      <c r="G31" s="227"/>
      <c r="H31" s="9"/>
      <c r="I31" s="8"/>
      <c r="J31" s="13"/>
      <c r="K31" s="18"/>
      <c r="L31" s="13"/>
      <c r="M31" s="33"/>
      <c r="N31" s="33"/>
      <c r="O31" s="15"/>
      <c r="P31" s="5"/>
    </row>
    <row r="32" spans="1:21" ht="22.5" customHeight="1">
      <c r="A32" s="1354" t="s">
        <v>71</v>
      </c>
      <c r="B32" s="1355"/>
      <c r="C32" s="1355"/>
      <c r="D32" s="1355"/>
      <c r="E32" s="1355"/>
      <c r="F32" s="1355"/>
      <c r="G32" s="1356"/>
      <c r="H32" s="9"/>
    </row>
    <row r="33" spans="1:16" ht="3.75" customHeight="1">
      <c r="A33" s="226"/>
      <c r="B33" s="4"/>
      <c r="C33" s="6"/>
      <c r="D33" s="4"/>
      <c r="E33" s="4"/>
      <c r="F33" s="4"/>
      <c r="G33" s="227"/>
      <c r="H33" s="9"/>
      <c r="I33" s="8"/>
      <c r="J33" s="13"/>
      <c r="K33" s="8"/>
      <c r="L33" s="8"/>
      <c r="M33" s="8"/>
      <c r="N33" s="8"/>
      <c r="O33" s="15"/>
      <c r="P33" s="5"/>
    </row>
    <row r="34" spans="1:16">
      <c r="A34" s="232" t="s">
        <v>5</v>
      </c>
      <c r="B34" s="60" t="s">
        <v>29</v>
      </c>
      <c r="C34" s="60" t="s">
        <v>30</v>
      </c>
      <c r="D34" s="60" t="s">
        <v>31</v>
      </c>
      <c r="E34" s="60" t="s">
        <v>32</v>
      </c>
      <c r="F34" s="60" t="s">
        <v>20</v>
      </c>
      <c r="G34" s="228" t="s">
        <v>33</v>
      </c>
      <c r="H34" s="27"/>
      <c r="I34" s="8"/>
      <c r="J34" s="13"/>
      <c r="K34" s="8"/>
      <c r="L34" s="8"/>
      <c r="M34" s="8"/>
      <c r="N34" s="8"/>
      <c r="O34" s="15"/>
      <c r="P34" s="5"/>
    </row>
    <row r="35" spans="1:16">
      <c r="A35" s="233" t="s">
        <v>41</v>
      </c>
      <c r="B35" s="63">
        <f>BOF</f>
        <v>51749</v>
      </c>
      <c r="C35" s="68">
        <f>ffpp</f>
        <v>0.64539999999999997</v>
      </c>
      <c r="D35" s="72">
        <v>1</v>
      </c>
      <c r="E35" s="66">
        <f>OF</f>
        <v>88696</v>
      </c>
      <c r="F35" s="65">
        <v>15</v>
      </c>
      <c r="G35" s="231">
        <f>ROUND(+D35*E35/F35,0)</f>
        <v>5913</v>
      </c>
      <c r="H35" s="9"/>
      <c r="I35" s="16"/>
      <c r="J35" s="13"/>
      <c r="K35" s="8"/>
      <c r="L35" s="8"/>
      <c r="M35" s="8"/>
      <c r="N35" s="8"/>
      <c r="O35" s="15"/>
      <c r="P35" s="5"/>
    </row>
    <row r="36" spans="1:16">
      <c r="A36" s="233" t="s">
        <v>38</v>
      </c>
      <c r="B36" s="63">
        <f>BOB</f>
        <v>41749</v>
      </c>
      <c r="C36" s="68">
        <f>ffpp</f>
        <v>0.64539999999999997</v>
      </c>
      <c r="D36" s="72">
        <v>3</v>
      </c>
      <c r="E36" s="66">
        <f>OB</f>
        <v>72242</v>
      </c>
      <c r="F36" s="65">
        <f>F35</f>
        <v>15</v>
      </c>
      <c r="G36" s="231">
        <f>ROUND(+D36*E36/F36,0)</f>
        <v>14448</v>
      </c>
      <c r="H36" s="9"/>
      <c r="I36" s="8"/>
      <c r="J36" s="8"/>
      <c r="K36" s="13"/>
      <c r="L36" s="13"/>
      <c r="M36" s="13"/>
      <c r="N36" s="13"/>
      <c r="O36" s="13"/>
      <c r="P36" s="5"/>
    </row>
    <row r="37" spans="1:16">
      <c r="A37" s="234"/>
      <c r="B37" s="50"/>
      <c r="C37" s="961"/>
      <c r="D37" s="50"/>
      <c r="E37" s="66"/>
      <c r="F37" s="65"/>
      <c r="G37" s="231"/>
      <c r="H37" s="9"/>
      <c r="I37" s="8"/>
      <c r="J37" s="13"/>
      <c r="K37" s="13"/>
      <c r="L37" s="13"/>
      <c r="M37" s="33"/>
      <c r="N37" s="33"/>
      <c r="O37" s="43"/>
      <c r="P37" s="5"/>
    </row>
    <row r="38" spans="1:16">
      <c r="A38" s="233"/>
      <c r="B38" s="65"/>
      <c r="C38" s="68"/>
      <c r="D38" s="65"/>
      <c r="E38" s="69"/>
      <c r="F38" s="69"/>
      <c r="G38" s="236"/>
      <c r="H38" s="9"/>
      <c r="I38" s="8"/>
      <c r="J38" s="13"/>
      <c r="K38" s="13"/>
      <c r="L38" s="13"/>
      <c r="M38" s="33"/>
      <c r="N38" s="33"/>
      <c r="O38" s="43"/>
      <c r="P38" s="5"/>
    </row>
    <row r="39" spans="1:16">
      <c r="A39" s="249"/>
      <c r="B39" s="71"/>
      <c r="C39" s="71"/>
      <c r="D39" s="71" t="s">
        <v>34</v>
      </c>
      <c r="E39" s="71"/>
      <c r="F39" s="71"/>
      <c r="G39" s="250">
        <f>SUM(G35:G38)</f>
        <v>20361</v>
      </c>
      <c r="H39" s="9"/>
      <c r="I39" s="8"/>
      <c r="J39" s="13"/>
      <c r="K39" s="13"/>
      <c r="L39" s="13"/>
      <c r="M39" s="14"/>
      <c r="N39" s="14"/>
      <c r="O39" s="15"/>
      <c r="P39" s="5"/>
    </row>
    <row r="40" spans="1:16">
      <c r="A40" s="226"/>
      <c r="B40" s="4"/>
      <c r="C40" s="6"/>
      <c r="D40" s="4"/>
      <c r="E40" s="4"/>
      <c r="F40" s="4"/>
      <c r="G40" s="227"/>
      <c r="H40" s="9"/>
      <c r="I40" s="8"/>
      <c r="J40" s="13"/>
      <c r="K40" s="13"/>
      <c r="L40" s="13"/>
      <c r="M40" s="14"/>
      <c r="N40" s="14"/>
      <c r="O40" s="19"/>
      <c r="P40" s="5"/>
    </row>
    <row r="41" spans="1:16">
      <c r="A41" s="226"/>
      <c r="B41" s="4"/>
      <c r="C41" s="6"/>
      <c r="D41" s="4"/>
      <c r="E41" s="4"/>
      <c r="F41" s="4"/>
      <c r="G41" s="227"/>
      <c r="H41" s="9"/>
      <c r="I41" s="8"/>
      <c r="J41" s="13"/>
      <c r="K41" s="13"/>
      <c r="L41" s="13"/>
      <c r="M41" s="17"/>
      <c r="N41" s="17"/>
      <c r="O41" s="37"/>
      <c r="P41" s="5"/>
    </row>
    <row r="42" spans="1:16" ht="14.25">
      <c r="A42" s="226"/>
      <c r="B42" s="4"/>
      <c r="C42" s="6"/>
      <c r="D42" s="1357" t="s">
        <v>35</v>
      </c>
      <c r="E42" s="1358"/>
      <c r="F42" s="1359"/>
      <c r="G42" s="239">
        <f>+G39+G30+G16</f>
        <v>104252</v>
      </c>
      <c r="H42" s="9"/>
      <c r="I42" s="48"/>
      <c r="J42" s="20"/>
      <c r="K42" s="8"/>
      <c r="L42" s="8"/>
      <c r="M42" s="8"/>
      <c r="N42" s="8"/>
      <c r="O42" s="8"/>
      <c r="P42" s="5"/>
    </row>
    <row r="43" spans="1:16" ht="14.25">
      <c r="A43" s="240"/>
      <c r="B43" s="57"/>
      <c r="C43" s="58"/>
      <c r="D43" s="99"/>
      <c r="E43" s="99"/>
      <c r="F43" s="99"/>
      <c r="G43" s="251"/>
      <c r="H43" s="9"/>
      <c r="I43" s="48"/>
      <c r="J43" s="20"/>
      <c r="K43" s="8"/>
      <c r="L43" s="8"/>
      <c r="M43" s="8"/>
      <c r="N43" s="8"/>
      <c r="O43" s="8"/>
      <c r="P43" s="5"/>
    </row>
    <row r="44" spans="1:16" ht="14.25">
      <c r="A44" s="374"/>
      <c r="B44" s="375"/>
      <c r="C44" s="375"/>
      <c r="D44" s="99"/>
      <c r="E44" s="99"/>
      <c r="F44" s="99"/>
      <c r="G44" s="251"/>
      <c r="H44" s="9"/>
      <c r="I44" s="48"/>
      <c r="J44" s="20"/>
      <c r="K44" s="8"/>
      <c r="L44" s="8"/>
      <c r="M44" s="8"/>
      <c r="N44" s="8"/>
      <c r="O44" s="8"/>
      <c r="P44" s="5"/>
    </row>
    <row r="45" spans="1:16" ht="14.25">
      <c r="A45" s="373"/>
      <c r="B45" s="376"/>
      <c r="C45" s="376"/>
      <c r="D45" s="99"/>
      <c r="E45" s="99"/>
      <c r="F45" s="99"/>
      <c r="G45" s="251"/>
      <c r="H45" s="9"/>
      <c r="I45" s="48"/>
      <c r="J45" s="20"/>
      <c r="K45" s="8"/>
      <c r="L45" s="8"/>
      <c r="M45" s="8"/>
      <c r="N45" s="8"/>
      <c r="O45" s="8"/>
      <c r="P45" s="5"/>
    </row>
    <row r="46" spans="1:16" ht="14.25">
      <c r="A46" s="373"/>
      <c r="B46" s="376"/>
      <c r="C46" s="376"/>
      <c r="D46" s="44"/>
      <c r="E46" s="45"/>
      <c r="F46" s="45"/>
      <c r="G46" s="251"/>
      <c r="H46" s="9"/>
      <c r="I46" s="8"/>
      <c r="J46" s="13"/>
      <c r="K46" s="8"/>
      <c r="L46" s="8"/>
      <c r="M46" s="8"/>
      <c r="N46" s="8"/>
      <c r="O46" s="8"/>
      <c r="P46" s="5"/>
    </row>
    <row r="47" spans="1:16" ht="15" thickBot="1">
      <c r="A47" s="242"/>
      <c r="B47" s="243"/>
      <c r="C47" s="244"/>
      <c r="D47" s="245"/>
      <c r="E47" s="246"/>
      <c r="F47" s="246"/>
      <c r="G47" s="247"/>
      <c r="H47" s="9"/>
      <c r="I47" s="8"/>
      <c r="J47" s="13"/>
      <c r="K47" s="8"/>
      <c r="L47" s="8"/>
      <c r="M47" s="8"/>
      <c r="N47" s="8"/>
      <c r="O47" s="8"/>
      <c r="P47" s="5"/>
    </row>
    <row r="48" spans="1:16">
      <c r="I48" s="5"/>
      <c r="J48" s="5"/>
      <c r="K48" s="5"/>
      <c r="L48" s="5"/>
      <c r="M48" s="5"/>
      <c r="N48" s="5"/>
      <c r="O48" s="5"/>
      <c r="P48" s="5"/>
    </row>
    <row r="49" spans="9:16">
      <c r="I49" s="5"/>
      <c r="J49" s="5"/>
      <c r="K49" s="5"/>
      <c r="L49" s="5"/>
      <c r="M49" s="5"/>
      <c r="N49" s="5"/>
      <c r="O49" s="5"/>
      <c r="P49" s="5"/>
    </row>
  </sheetData>
  <mergeCells count="26">
    <mergeCell ref="A10:C10"/>
    <mergeCell ref="A1:G1"/>
    <mergeCell ref="A2:G2"/>
    <mergeCell ref="A3:G4"/>
    <mergeCell ref="B6:E6"/>
    <mergeCell ref="A8:G8"/>
    <mergeCell ref="A24:C24"/>
    <mergeCell ref="A11:C11"/>
    <mergeCell ref="A12:C12"/>
    <mergeCell ref="A13:C13"/>
    <mergeCell ref="A14:C14"/>
    <mergeCell ref="A15:C15"/>
    <mergeCell ref="A16:C16"/>
    <mergeCell ref="A18:G18"/>
    <mergeCell ref="A20:C20"/>
    <mergeCell ref="A21:C21"/>
    <mergeCell ref="A22:C22"/>
    <mergeCell ref="A23:C23"/>
    <mergeCell ref="A32:G32"/>
    <mergeCell ref="D42:F42"/>
    <mergeCell ref="A25:C25"/>
    <mergeCell ref="A26:C26"/>
    <mergeCell ref="A27:C27"/>
    <mergeCell ref="A28:C28"/>
    <mergeCell ref="A29:C29"/>
    <mergeCell ref="A30:C30"/>
  </mergeCells>
  <printOptions horizontalCentered="1" verticalCentered="1"/>
  <pageMargins left="0.74803149606299213" right="0.74803149606299213" top="0" bottom="0.98425196850393704" header="0" footer="0"/>
  <pageSetup scale="90" orientation="portrait" r:id="rId1"/>
  <headerFooter alignWithMargins="0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83"/>
  <dimension ref="A1:U49"/>
  <sheetViews>
    <sheetView view="pageBreakPreview" topLeftCell="A2" zoomScaleNormal="100" zoomScaleSheetLayoutView="100" workbookViewId="0">
      <selection activeCell="F22" sqref="F22"/>
    </sheetView>
  </sheetViews>
  <sheetFormatPr baseColWidth="10" defaultColWidth="10.7109375" defaultRowHeight="12.75"/>
  <cols>
    <col min="1" max="1" width="15.85546875" style="3" customWidth="1"/>
    <col min="2" max="2" width="14.85546875" style="3" customWidth="1"/>
    <col min="3" max="3" width="13.28515625" style="3" customWidth="1"/>
    <col min="4" max="4" width="11.42578125" style="3"/>
    <col min="5" max="5" width="13.42578125" style="3" customWidth="1"/>
    <col min="6" max="6" width="12.7109375" style="3" customWidth="1"/>
    <col min="7" max="7" width="14" style="3" customWidth="1"/>
    <col min="8" max="8" width="7.42578125" style="3" customWidth="1"/>
    <col min="9" max="256" width="11.42578125" style="3"/>
    <col min="257" max="257" width="15.85546875" style="3" customWidth="1"/>
    <col min="258" max="258" width="14.85546875" style="3" customWidth="1"/>
    <col min="259" max="259" width="13.28515625" style="3" customWidth="1"/>
    <col min="260" max="260" width="11.42578125" style="3"/>
    <col min="261" max="261" width="13.42578125" style="3" customWidth="1"/>
    <col min="262" max="262" width="12.7109375" style="3" customWidth="1"/>
    <col min="263" max="263" width="14" style="3" customWidth="1"/>
    <col min="264" max="264" width="7.42578125" style="3" customWidth="1"/>
    <col min="265" max="512" width="11.42578125" style="3"/>
    <col min="513" max="513" width="15.85546875" style="3" customWidth="1"/>
    <col min="514" max="514" width="14.85546875" style="3" customWidth="1"/>
    <col min="515" max="515" width="13.28515625" style="3" customWidth="1"/>
    <col min="516" max="516" width="11.42578125" style="3"/>
    <col min="517" max="517" width="13.42578125" style="3" customWidth="1"/>
    <col min="518" max="518" width="12.7109375" style="3" customWidth="1"/>
    <col min="519" max="519" width="14" style="3" customWidth="1"/>
    <col min="520" max="520" width="7.42578125" style="3" customWidth="1"/>
    <col min="521" max="768" width="11.42578125" style="3"/>
    <col min="769" max="769" width="15.85546875" style="3" customWidth="1"/>
    <col min="770" max="770" width="14.85546875" style="3" customWidth="1"/>
    <col min="771" max="771" width="13.28515625" style="3" customWidth="1"/>
    <col min="772" max="772" width="11.42578125" style="3"/>
    <col min="773" max="773" width="13.42578125" style="3" customWidth="1"/>
    <col min="774" max="774" width="12.7109375" style="3" customWidth="1"/>
    <col min="775" max="775" width="14" style="3" customWidth="1"/>
    <col min="776" max="776" width="7.42578125" style="3" customWidth="1"/>
    <col min="777" max="1024" width="11.42578125" style="3"/>
    <col min="1025" max="1025" width="15.85546875" style="3" customWidth="1"/>
    <col min="1026" max="1026" width="14.85546875" style="3" customWidth="1"/>
    <col min="1027" max="1027" width="13.28515625" style="3" customWidth="1"/>
    <col min="1028" max="1028" width="11.42578125" style="3"/>
    <col min="1029" max="1029" width="13.42578125" style="3" customWidth="1"/>
    <col min="1030" max="1030" width="12.7109375" style="3" customWidth="1"/>
    <col min="1031" max="1031" width="14" style="3" customWidth="1"/>
    <col min="1032" max="1032" width="7.42578125" style="3" customWidth="1"/>
    <col min="1033" max="1280" width="11.42578125" style="3"/>
    <col min="1281" max="1281" width="15.85546875" style="3" customWidth="1"/>
    <col min="1282" max="1282" width="14.85546875" style="3" customWidth="1"/>
    <col min="1283" max="1283" width="13.28515625" style="3" customWidth="1"/>
    <col min="1284" max="1284" width="11.42578125" style="3"/>
    <col min="1285" max="1285" width="13.42578125" style="3" customWidth="1"/>
    <col min="1286" max="1286" width="12.7109375" style="3" customWidth="1"/>
    <col min="1287" max="1287" width="14" style="3" customWidth="1"/>
    <col min="1288" max="1288" width="7.42578125" style="3" customWidth="1"/>
    <col min="1289" max="1536" width="11.42578125" style="3"/>
    <col min="1537" max="1537" width="15.85546875" style="3" customWidth="1"/>
    <col min="1538" max="1538" width="14.85546875" style="3" customWidth="1"/>
    <col min="1539" max="1539" width="13.28515625" style="3" customWidth="1"/>
    <col min="1540" max="1540" width="11.42578125" style="3"/>
    <col min="1541" max="1541" width="13.42578125" style="3" customWidth="1"/>
    <col min="1542" max="1542" width="12.7109375" style="3" customWidth="1"/>
    <col min="1543" max="1543" width="14" style="3" customWidth="1"/>
    <col min="1544" max="1544" width="7.42578125" style="3" customWidth="1"/>
    <col min="1545" max="1792" width="11.42578125" style="3"/>
    <col min="1793" max="1793" width="15.85546875" style="3" customWidth="1"/>
    <col min="1794" max="1794" width="14.85546875" style="3" customWidth="1"/>
    <col min="1795" max="1795" width="13.28515625" style="3" customWidth="1"/>
    <col min="1796" max="1796" width="11.42578125" style="3"/>
    <col min="1797" max="1797" width="13.42578125" style="3" customWidth="1"/>
    <col min="1798" max="1798" width="12.7109375" style="3" customWidth="1"/>
    <col min="1799" max="1799" width="14" style="3" customWidth="1"/>
    <col min="1800" max="1800" width="7.42578125" style="3" customWidth="1"/>
    <col min="1801" max="2048" width="11.42578125" style="3"/>
    <col min="2049" max="2049" width="15.85546875" style="3" customWidth="1"/>
    <col min="2050" max="2050" width="14.85546875" style="3" customWidth="1"/>
    <col min="2051" max="2051" width="13.28515625" style="3" customWidth="1"/>
    <col min="2052" max="2052" width="11.42578125" style="3"/>
    <col min="2053" max="2053" width="13.42578125" style="3" customWidth="1"/>
    <col min="2054" max="2054" width="12.7109375" style="3" customWidth="1"/>
    <col min="2055" max="2055" width="14" style="3" customWidth="1"/>
    <col min="2056" max="2056" width="7.42578125" style="3" customWidth="1"/>
    <col min="2057" max="2304" width="11.42578125" style="3"/>
    <col min="2305" max="2305" width="15.85546875" style="3" customWidth="1"/>
    <col min="2306" max="2306" width="14.85546875" style="3" customWidth="1"/>
    <col min="2307" max="2307" width="13.28515625" style="3" customWidth="1"/>
    <col min="2308" max="2308" width="11.42578125" style="3"/>
    <col min="2309" max="2309" width="13.42578125" style="3" customWidth="1"/>
    <col min="2310" max="2310" width="12.7109375" style="3" customWidth="1"/>
    <col min="2311" max="2311" width="14" style="3" customWidth="1"/>
    <col min="2312" max="2312" width="7.42578125" style="3" customWidth="1"/>
    <col min="2313" max="2560" width="11.42578125" style="3"/>
    <col min="2561" max="2561" width="15.85546875" style="3" customWidth="1"/>
    <col min="2562" max="2562" width="14.85546875" style="3" customWidth="1"/>
    <col min="2563" max="2563" width="13.28515625" style="3" customWidth="1"/>
    <col min="2564" max="2564" width="11.42578125" style="3"/>
    <col min="2565" max="2565" width="13.42578125" style="3" customWidth="1"/>
    <col min="2566" max="2566" width="12.7109375" style="3" customWidth="1"/>
    <col min="2567" max="2567" width="14" style="3" customWidth="1"/>
    <col min="2568" max="2568" width="7.42578125" style="3" customWidth="1"/>
    <col min="2569" max="2816" width="11.42578125" style="3"/>
    <col min="2817" max="2817" width="15.85546875" style="3" customWidth="1"/>
    <col min="2818" max="2818" width="14.85546875" style="3" customWidth="1"/>
    <col min="2819" max="2819" width="13.28515625" style="3" customWidth="1"/>
    <col min="2820" max="2820" width="11.42578125" style="3"/>
    <col min="2821" max="2821" width="13.42578125" style="3" customWidth="1"/>
    <col min="2822" max="2822" width="12.7109375" style="3" customWidth="1"/>
    <col min="2823" max="2823" width="14" style="3" customWidth="1"/>
    <col min="2824" max="2824" width="7.42578125" style="3" customWidth="1"/>
    <col min="2825" max="3072" width="11.42578125" style="3"/>
    <col min="3073" max="3073" width="15.85546875" style="3" customWidth="1"/>
    <col min="3074" max="3074" width="14.85546875" style="3" customWidth="1"/>
    <col min="3075" max="3075" width="13.28515625" style="3" customWidth="1"/>
    <col min="3076" max="3076" width="11.42578125" style="3"/>
    <col min="3077" max="3077" width="13.42578125" style="3" customWidth="1"/>
    <col min="3078" max="3078" width="12.7109375" style="3" customWidth="1"/>
    <col min="3079" max="3079" width="14" style="3" customWidth="1"/>
    <col min="3080" max="3080" width="7.42578125" style="3" customWidth="1"/>
    <col min="3081" max="3328" width="11.42578125" style="3"/>
    <col min="3329" max="3329" width="15.85546875" style="3" customWidth="1"/>
    <col min="3330" max="3330" width="14.85546875" style="3" customWidth="1"/>
    <col min="3331" max="3331" width="13.28515625" style="3" customWidth="1"/>
    <col min="3332" max="3332" width="11.42578125" style="3"/>
    <col min="3333" max="3333" width="13.42578125" style="3" customWidth="1"/>
    <col min="3334" max="3334" width="12.7109375" style="3" customWidth="1"/>
    <col min="3335" max="3335" width="14" style="3" customWidth="1"/>
    <col min="3336" max="3336" width="7.42578125" style="3" customWidth="1"/>
    <col min="3337" max="3584" width="11.42578125" style="3"/>
    <col min="3585" max="3585" width="15.85546875" style="3" customWidth="1"/>
    <col min="3586" max="3586" width="14.85546875" style="3" customWidth="1"/>
    <col min="3587" max="3587" width="13.28515625" style="3" customWidth="1"/>
    <col min="3588" max="3588" width="11.42578125" style="3"/>
    <col min="3589" max="3589" width="13.42578125" style="3" customWidth="1"/>
    <col min="3590" max="3590" width="12.7109375" style="3" customWidth="1"/>
    <col min="3591" max="3591" width="14" style="3" customWidth="1"/>
    <col min="3592" max="3592" width="7.42578125" style="3" customWidth="1"/>
    <col min="3593" max="3840" width="11.42578125" style="3"/>
    <col min="3841" max="3841" width="15.85546875" style="3" customWidth="1"/>
    <col min="3842" max="3842" width="14.85546875" style="3" customWidth="1"/>
    <col min="3843" max="3843" width="13.28515625" style="3" customWidth="1"/>
    <col min="3844" max="3844" width="11.42578125" style="3"/>
    <col min="3845" max="3845" width="13.42578125" style="3" customWidth="1"/>
    <col min="3846" max="3846" width="12.7109375" style="3" customWidth="1"/>
    <col min="3847" max="3847" width="14" style="3" customWidth="1"/>
    <col min="3848" max="3848" width="7.42578125" style="3" customWidth="1"/>
    <col min="3849" max="4096" width="11.42578125" style="3"/>
    <col min="4097" max="4097" width="15.85546875" style="3" customWidth="1"/>
    <col min="4098" max="4098" width="14.85546875" style="3" customWidth="1"/>
    <col min="4099" max="4099" width="13.28515625" style="3" customWidth="1"/>
    <col min="4100" max="4100" width="11.42578125" style="3"/>
    <col min="4101" max="4101" width="13.42578125" style="3" customWidth="1"/>
    <col min="4102" max="4102" width="12.7109375" style="3" customWidth="1"/>
    <col min="4103" max="4103" width="14" style="3" customWidth="1"/>
    <col min="4104" max="4104" width="7.42578125" style="3" customWidth="1"/>
    <col min="4105" max="4352" width="11.42578125" style="3"/>
    <col min="4353" max="4353" width="15.85546875" style="3" customWidth="1"/>
    <col min="4354" max="4354" width="14.85546875" style="3" customWidth="1"/>
    <col min="4355" max="4355" width="13.28515625" style="3" customWidth="1"/>
    <col min="4356" max="4356" width="11.42578125" style="3"/>
    <col min="4357" max="4357" width="13.42578125" style="3" customWidth="1"/>
    <col min="4358" max="4358" width="12.7109375" style="3" customWidth="1"/>
    <col min="4359" max="4359" width="14" style="3" customWidth="1"/>
    <col min="4360" max="4360" width="7.42578125" style="3" customWidth="1"/>
    <col min="4361" max="4608" width="11.42578125" style="3"/>
    <col min="4609" max="4609" width="15.85546875" style="3" customWidth="1"/>
    <col min="4610" max="4610" width="14.85546875" style="3" customWidth="1"/>
    <col min="4611" max="4611" width="13.28515625" style="3" customWidth="1"/>
    <col min="4612" max="4612" width="11.42578125" style="3"/>
    <col min="4613" max="4613" width="13.42578125" style="3" customWidth="1"/>
    <col min="4614" max="4614" width="12.7109375" style="3" customWidth="1"/>
    <col min="4615" max="4615" width="14" style="3" customWidth="1"/>
    <col min="4616" max="4616" width="7.42578125" style="3" customWidth="1"/>
    <col min="4617" max="4864" width="11.42578125" style="3"/>
    <col min="4865" max="4865" width="15.85546875" style="3" customWidth="1"/>
    <col min="4866" max="4866" width="14.85546875" style="3" customWidth="1"/>
    <col min="4867" max="4867" width="13.28515625" style="3" customWidth="1"/>
    <col min="4868" max="4868" width="11.42578125" style="3"/>
    <col min="4869" max="4869" width="13.42578125" style="3" customWidth="1"/>
    <col min="4870" max="4870" width="12.7109375" style="3" customWidth="1"/>
    <col min="4871" max="4871" width="14" style="3" customWidth="1"/>
    <col min="4872" max="4872" width="7.42578125" style="3" customWidth="1"/>
    <col min="4873" max="5120" width="11.42578125" style="3"/>
    <col min="5121" max="5121" width="15.85546875" style="3" customWidth="1"/>
    <col min="5122" max="5122" width="14.85546875" style="3" customWidth="1"/>
    <col min="5123" max="5123" width="13.28515625" style="3" customWidth="1"/>
    <col min="5124" max="5124" width="11.42578125" style="3"/>
    <col min="5125" max="5125" width="13.42578125" style="3" customWidth="1"/>
    <col min="5126" max="5126" width="12.7109375" style="3" customWidth="1"/>
    <col min="5127" max="5127" width="14" style="3" customWidth="1"/>
    <col min="5128" max="5128" width="7.42578125" style="3" customWidth="1"/>
    <col min="5129" max="5376" width="11.42578125" style="3"/>
    <col min="5377" max="5377" width="15.85546875" style="3" customWidth="1"/>
    <col min="5378" max="5378" width="14.85546875" style="3" customWidth="1"/>
    <col min="5379" max="5379" width="13.28515625" style="3" customWidth="1"/>
    <col min="5380" max="5380" width="11.42578125" style="3"/>
    <col min="5381" max="5381" width="13.42578125" style="3" customWidth="1"/>
    <col min="5382" max="5382" width="12.7109375" style="3" customWidth="1"/>
    <col min="5383" max="5383" width="14" style="3" customWidth="1"/>
    <col min="5384" max="5384" width="7.42578125" style="3" customWidth="1"/>
    <col min="5385" max="5632" width="11.42578125" style="3"/>
    <col min="5633" max="5633" width="15.85546875" style="3" customWidth="1"/>
    <col min="5634" max="5634" width="14.85546875" style="3" customWidth="1"/>
    <col min="5635" max="5635" width="13.28515625" style="3" customWidth="1"/>
    <col min="5636" max="5636" width="11.42578125" style="3"/>
    <col min="5637" max="5637" width="13.42578125" style="3" customWidth="1"/>
    <col min="5638" max="5638" width="12.7109375" style="3" customWidth="1"/>
    <col min="5639" max="5639" width="14" style="3" customWidth="1"/>
    <col min="5640" max="5640" width="7.42578125" style="3" customWidth="1"/>
    <col min="5641" max="5888" width="11.42578125" style="3"/>
    <col min="5889" max="5889" width="15.85546875" style="3" customWidth="1"/>
    <col min="5890" max="5890" width="14.85546875" style="3" customWidth="1"/>
    <col min="5891" max="5891" width="13.28515625" style="3" customWidth="1"/>
    <col min="5892" max="5892" width="11.42578125" style="3"/>
    <col min="5893" max="5893" width="13.42578125" style="3" customWidth="1"/>
    <col min="5894" max="5894" width="12.7109375" style="3" customWidth="1"/>
    <col min="5895" max="5895" width="14" style="3" customWidth="1"/>
    <col min="5896" max="5896" width="7.42578125" style="3" customWidth="1"/>
    <col min="5897" max="6144" width="11.42578125" style="3"/>
    <col min="6145" max="6145" width="15.85546875" style="3" customWidth="1"/>
    <col min="6146" max="6146" width="14.85546875" style="3" customWidth="1"/>
    <col min="6147" max="6147" width="13.28515625" style="3" customWidth="1"/>
    <col min="6148" max="6148" width="11.42578125" style="3"/>
    <col min="6149" max="6149" width="13.42578125" style="3" customWidth="1"/>
    <col min="6150" max="6150" width="12.7109375" style="3" customWidth="1"/>
    <col min="6151" max="6151" width="14" style="3" customWidth="1"/>
    <col min="6152" max="6152" width="7.42578125" style="3" customWidth="1"/>
    <col min="6153" max="6400" width="11.42578125" style="3"/>
    <col min="6401" max="6401" width="15.85546875" style="3" customWidth="1"/>
    <col min="6402" max="6402" width="14.85546875" style="3" customWidth="1"/>
    <col min="6403" max="6403" width="13.28515625" style="3" customWidth="1"/>
    <col min="6404" max="6404" width="11.42578125" style="3"/>
    <col min="6405" max="6405" width="13.42578125" style="3" customWidth="1"/>
    <col min="6406" max="6406" width="12.7109375" style="3" customWidth="1"/>
    <col min="6407" max="6407" width="14" style="3" customWidth="1"/>
    <col min="6408" max="6408" width="7.42578125" style="3" customWidth="1"/>
    <col min="6409" max="6656" width="11.42578125" style="3"/>
    <col min="6657" max="6657" width="15.85546875" style="3" customWidth="1"/>
    <col min="6658" max="6658" width="14.85546875" style="3" customWidth="1"/>
    <col min="6659" max="6659" width="13.28515625" style="3" customWidth="1"/>
    <col min="6660" max="6660" width="11.42578125" style="3"/>
    <col min="6661" max="6661" width="13.42578125" style="3" customWidth="1"/>
    <col min="6662" max="6662" width="12.7109375" style="3" customWidth="1"/>
    <col min="6663" max="6663" width="14" style="3" customWidth="1"/>
    <col min="6664" max="6664" width="7.42578125" style="3" customWidth="1"/>
    <col min="6665" max="6912" width="11.42578125" style="3"/>
    <col min="6913" max="6913" width="15.85546875" style="3" customWidth="1"/>
    <col min="6914" max="6914" width="14.85546875" style="3" customWidth="1"/>
    <col min="6915" max="6915" width="13.28515625" style="3" customWidth="1"/>
    <col min="6916" max="6916" width="11.42578125" style="3"/>
    <col min="6917" max="6917" width="13.42578125" style="3" customWidth="1"/>
    <col min="6918" max="6918" width="12.7109375" style="3" customWidth="1"/>
    <col min="6919" max="6919" width="14" style="3" customWidth="1"/>
    <col min="6920" max="6920" width="7.42578125" style="3" customWidth="1"/>
    <col min="6921" max="7168" width="11.42578125" style="3"/>
    <col min="7169" max="7169" width="15.85546875" style="3" customWidth="1"/>
    <col min="7170" max="7170" width="14.85546875" style="3" customWidth="1"/>
    <col min="7171" max="7171" width="13.28515625" style="3" customWidth="1"/>
    <col min="7172" max="7172" width="11.42578125" style="3"/>
    <col min="7173" max="7173" width="13.42578125" style="3" customWidth="1"/>
    <col min="7174" max="7174" width="12.7109375" style="3" customWidth="1"/>
    <col min="7175" max="7175" width="14" style="3" customWidth="1"/>
    <col min="7176" max="7176" width="7.42578125" style="3" customWidth="1"/>
    <col min="7177" max="7424" width="11.42578125" style="3"/>
    <col min="7425" max="7425" width="15.85546875" style="3" customWidth="1"/>
    <col min="7426" max="7426" width="14.85546875" style="3" customWidth="1"/>
    <col min="7427" max="7427" width="13.28515625" style="3" customWidth="1"/>
    <col min="7428" max="7428" width="11.42578125" style="3"/>
    <col min="7429" max="7429" width="13.42578125" style="3" customWidth="1"/>
    <col min="7430" max="7430" width="12.7109375" style="3" customWidth="1"/>
    <col min="7431" max="7431" width="14" style="3" customWidth="1"/>
    <col min="7432" max="7432" width="7.42578125" style="3" customWidth="1"/>
    <col min="7433" max="7680" width="11.42578125" style="3"/>
    <col min="7681" max="7681" width="15.85546875" style="3" customWidth="1"/>
    <col min="7682" max="7682" width="14.85546875" style="3" customWidth="1"/>
    <col min="7683" max="7683" width="13.28515625" style="3" customWidth="1"/>
    <col min="7684" max="7684" width="11.42578125" style="3"/>
    <col min="7685" max="7685" width="13.42578125" style="3" customWidth="1"/>
    <col min="7686" max="7686" width="12.7109375" style="3" customWidth="1"/>
    <col min="7687" max="7687" width="14" style="3" customWidth="1"/>
    <col min="7688" max="7688" width="7.42578125" style="3" customWidth="1"/>
    <col min="7689" max="7936" width="11.42578125" style="3"/>
    <col min="7937" max="7937" width="15.85546875" style="3" customWidth="1"/>
    <col min="7938" max="7938" width="14.85546875" style="3" customWidth="1"/>
    <col min="7939" max="7939" width="13.28515625" style="3" customWidth="1"/>
    <col min="7940" max="7940" width="11.42578125" style="3"/>
    <col min="7941" max="7941" width="13.42578125" style="3" customWidth="1"/>
    <col min="7942" max="7942" width="12.7109375" style="3" customWidth="1"/>
    <col min="7943" max="7943" width="14" style="3" customWidth="1"/>
    <col min="7944" max="7944" width="7.42578125" style="3" customWidth="1"/>
    <col min="7945" max="8192" width="11.42578125" style="3"/>
    <col min="8193" max="8193" width="15.85546875" style="3" customWidth="1"/>
    <col min="8194" max="8194" width="14.85546875" style="3" customWidth="1"/>
    <col min="8195" max="8195" width="13.28515625" style="3" customWidth="1"/>
    <col min="8196" max="8196" width="11.42578125" style="3"/>
    <col min="8197" max="8197" width="13.42578125" style="3" customWidth="1"/>
    <col min="8198" max="8198" width="12.7109375" style="3" customWidth="1"/>
    <col min="8199" max="8199" width="14" style="3" customWidth="1"/>
    <col min="8200" max="8200" width="7.42578125" style="3" customWidth="1"/>
    <col min="8201" max="8448" width="11.42578125" style="3"/>
    <col min="8449" max="8449" width="15.85546875" style="3" customWidth="1"/>
    <col min="8450" max="8450" width="14.85546875" style="3" customWidth="1"/>
    <col min="8451" max="8451" width="13.28515625" style="3" customWidth="1"/>
    <col min="8452" max="8452" width="11.42578125" style="3"/>
    <col min="8453" max="8453" width="13.42578125" style="3" customWidth="1"/>
    <col min="8454" max="8454" width="12.7109375" style="3" customWidth="1"/>
    <col min="8455" max="8455" width="14" style="3" customWidth="1"/>
    <col min="8456" max="8456" width="7.42578125" style="3" customWidth="1"/>
    <col min="8457" max="8704" width="11.42578125" style="3"/>
    <col min="8705" max="8705" width="15.85546875" style="3" customWidth="1"/>
    <col min="8706" max="8706" width="14.85546875" style="3" customWidth="1"/>
    <col min="8707" max="8707" width="13.28515625" style="3" customWidth="1"/>
    <col min="8708" max="8708" width="11.42578125" style="3"/>
    <col min="8709" max="8709" width="13.42578125" style="3" customWidth="1"/>
    <col min="8710" max="8710" width="12.7109375" style="3" customWidth="1"/>
    <col min="8711" max="8711" width="14" style="3" customWidth="1"/>
    <col min="8712" max="8712" width="7.42578125" style="3" customWidth="1"/>
    <col min="8713" max="8960" width="11.42578125" style="3"/>
    <col min="8961" max="8961" width="15.85546875" style="3" customWidth="1"/>
    <col min="8962" max="8962" width="14.85546875" style="3" customWidth="1"/>
    <col min="8963" max="8963" width="13.28515625" style="3" customWidth="1"/>
    <col min="8964" max="8964" width="11.42578125" style="3"/>
    <col min="8965" max="8965" width="13.42578125" style="3" customWidth="1"/>
    <col min="8966" max="8966" width="12.7109375" style="3" customWidth="1"/>
    <col min="8967" max="8967" width="14" style="3" customWidth="1"/>
    <col min="8968" max="8968" width="7.42578125" style="3" customWidth="1"/>
    <col min="8969" max="9216" width="11.42578125" style="3"/>
    <col min="9217" max="9217" width="15.85546875" style="3" customWidth="1"/>
    <col min="9218" max="9218" width="14.85546875" style="3" customWidth="1"/>
    <col min="9219" max="9219" width="13.28515625" style="3" customWidth="1"/>
    <col min="9220" max="9220" width="11.42578125" style="3"/>
    <col min="9221" max="9221" width="13.42578125" style="3" customWidth="1"/>
    <col min="9222" max="9222" width="12.7109375" style="3" customWidth="1"/>
    <col min="9223" max="9223" width="14" style="3" customWidth="1"/>
    <col min="9224" max="9224" width="7.42578125" style="3" customWidth="1"/>
    <col min="9225" max="9472" width="11.42578125" style="3"/>
    <col min="9473" max="9473" width="15.85546875" style="3" customWidth="1"/>
    <col min="9474" max="9474" width="14.85546875" style="3" customWidth="1"/>
    <col min="9475" max="9475" width="13.28515625" style="3" customWidth="1"/>
    <col min="9476" max="9476" width="11.42578125" style="3"/>
    <col min="9477" max="9477" width="13.42578125" style="3" customWidth="1"/>
    <col min="9478" max="9478" width="12.7109375" style="3" customWidth="1"/>
    <col min="9479" max="9479" width="14" style="3" customWidth="1"/>
    <col min="9480" max="9480" width="7.42578125" style="3" customWidth="1"/>
    <col min="9481" max="9728" width="11.42578125" style="3"/>
    <col min="9729" max="9729" width="15.85546875" style="3" customWidth="1"/>
    <col min="9730" max="9730" width="14.85546875" style="3" customWidth="1"/>
    <col min="9731" max="9731" width="13.28515625" style="3" customWidth="1"/>
    <col min="9732" max="9732" width="11.42578125" style="3"/>
    <col min="9733" max="9733" width="13.42578125" style="3" customWidth="1"/>
    <col min="9734" max="9734" width="12.7109375" style="3" customWidth="1"/>
    <col min="9735" max="9735" width="14" style="3" customWidth="1"/>
    <col min="9736" max="9736" width="7.42578125" style="3" customWidth="1"/>
    <col min="9737" max="9984" width="11.42578125" style="3"/>
    <col min="9985" max="9985" width="15.85546875" style="3" customWidth="1"/>
    <col min="9986" max="9986" width="14.85546875" style="3" customWidth="1"/>
    <col min="9987" max="9987" width="13.28515625" style="3" customWidth="1"/>
    <col min="9988" max="9988" width="11.42578125" style="3"/>
    <col min="9989" max="9989" width="13.42578125" style="3" customWidth="1"/>
    <col min="9990" max="9990" width="12.7109375" style="3" customWidth="1"/>
    <col min="9991" max="9991" width="14" style="3" customWidth="1"/>
    <col min="9992" max="9992" width="7.42578125" style="3" customWidth="1"/>
    <col min="9993" max="10240" width="11.42578125" style="3"/>
    <col min="10241" max="10241" width="15.85546875" style="3" customWidth="1"/>
    <col min="10242" max="10242" width="14.85546875" style="3" customWidth="1"/>
    <col min="10243" max="10243" width="13.28515625" style="3" customWidth="1"/>
    <col min="10244" max="10244" width="11.42578125" style="3"/>
    <col min="10245" max="10245" width="13.42578125" style="3" customWidth="1"/>
    <col min="10246" max="10246" width="12.7109375" style="3" customWidth="1"/>
    <col min="10247" max="10247" width="14" style="3" customWidth="1"/>
    <col min="10248" max="10248" width="7.42578125" style="3" customWidth="1"/>
    <col min="10249" max="10496" width="11.42578125" style="3"/>
    <col min="10497" max="10497" width="15.85546875" style="3" customWidth="1"/>
    <col min="10498" max="10498" width="14.85546875" style="3" customWidth="1"/>
    <col min="10499" max="10499" width="13.28515625" style="3" customWidth="1"/>
    <col min="10500" max="10500" width="11.42578125" style="3"/>
    <col min="10501" max="10501" width="13.42578125" style="3" customWidth="1"/>
    <col min="10502" max="10502" width="12.7109375" style="3" customWidth="1"/>
    <col min="10503" max="10503" width="14" style="3" customWidth="1"/>
    <col min="10504" max="10504" width="7.42578125" style="3" customWidth="1"/>
    <col min="10505" max="10752" width="11.42578125" style="3"/>
    <col min="10753" max="10753" width="15.85546875" style="3" customWidth="1"/>
    <col min="10754" max="10754" width="14.85546875" style="3" customWidth="1"/>
    <col min="10755" max="10755" width="13.28515625" style="3" customWidth="1"/>
    <col min="10756" max="10756" width="11.42578125" style="3"/>
    <col min="10757" max="10757" width="13.42578125" style="3" customWidth="1"/>
    <col min="10758" max="10758" width="12.7109375" style="3" customWidth="1"/>
    <col min="10759" max="10759" width="14" style="3" customWidth="1"/>
    <col min="10760" max="10760" width="7.42578125" style="3" customWidth="1"/>
    <col min="10761" max="11008" width="11.42578125" style="3"/>
    <col min="11009" max="11009" width="15.85546875" style="3" customWidth="1"/>
    <col min="11010" max="11010" width="14.85546875" style="3" customWidth="1"/>
    <col min="11011" max="11011" width="13.28515625" style="3" customWidth="1"/>
    <col min="11012" max="11012" width="11.42578125" style="3"/>
    <col min="11013" max="11013" width="13.42578125" style="3" customWidth="1"/>
    <col min="11014" max="11014" width="12.7109375" style="3" customWidth="1"/>
    <col min="11015" max="11015" width="14" style="3" customWidth="1"/>
    <col min="11016" max="11016" width="7.42578125" style="3" customWidth="1"/>
    <col min="11017" max="11264" width="11.42578125" style="3"/>
    <col min="11265" max="11265" width="15.85546875" style="3" customWidth="1"/>
    <col min="11266" max="11266" width="14.85546875" style="3" customWidth="1"/>
    <col min="11267" max="11267" width="13.28515625" style="3" customWidth="1"/>
    <col min="11268" max="11268" width="11.42578125" style="3"/>
    <col min="11269" max="11269" width="13.42578125" style="3" customWidth="1"/>
    <col min="11270" max="11270" width="12.7109375" style="3" customWidth="1"/>
    <col min="11271" max="11271" width="14" style="3" customWidth="1"/>
    <col min="11272" max="11272" width="7.42578125" style="3" customWidth="1"/>
    <col min="11273" max="11520" width="11.42578125" style="3"/>
    <col min="11521" max="11521" width="15.85546875" style="3" customWidth="1"/>
    <col min="11522" max="11522" width="14.85546875" style="3" customWidth="1"/>
    <col min="11523" max="11523" width="13.28515625" style="3" customWidth="1"/>
    <col min="11524" max="11524" width="11.42578125" style="3"/>
    <col min="11525" max="11525" width="13.42578125" style="3" customWidth="1"/>
    <col min="11526" max="11526" width="12.7109375" style="3" customWidth="1"/>
    <col min="11527" max="11527" width="14" style="3" customWidth="1"/>
    <col min="11528" max="11528" width="7.42578125" style="3" customWidth="1"/>
    <col min="11529" max="11776" width="11.42578125" style="3"/>
    <col min="11777" max="11777" width="15.85546875" style="3" customWidth="1"/>
    <col min="11778" max="11778" width="14.85546875" style="3" customWidth="1"/>
    <col min="11779" max="11779" width="13.28515625" style="3" customWidth="1"/>
    <col min="11780" max="11780" width="11.42578125" style="3"/>
    <col min="11781" max="11781" width="13.42578125" style="3" customWidth="1"/>
    <col min="11782" max="11782" width="12.7109375" style="3" customWidth="1"/>
    <col min="11783" max="11783" width="14" style="3" customWidth="1"/>
    <col min="11784" max="11784" width="7.42578125" style="3" customWidth="1"/>
    <col min="11785" max="12032" width="11.42578125" style="3"/>
    <col min="12033" max="12033" width="15.85546875" style="3" customWidth="1"/>
    <col min="12034" max="12034" width="14.85546875" style="3" customWidth="1"/>
    <col min="12035" max="12035" width="13.28515625" style="3" customWidth="1"/>
    <col min="12036" max="12036" width="11.42578125" style="3"/>
    <col min="12037" max="12037" width="13.42578125" style="3" customWidth="1"/>
    <col min="12038" max="12038" width="12.7109375" style="3" customWidth="1"/>
    <col min="12039" max="12039" width="14" style="3" customWidth="1"/>
    <col min="12040" max="12040" width="7.42578125" style="3" customWidth="1"/>
    <col min="12041" max="12288" width="11.42578125" style="3"/>
    <col min="12289" max="12289" width="15.85546875" style="3" customWidth="1"/>
    <col min="12290" max="12290" width="14.85546875" style="3" customWidth="1"/>
    <col min="12291" max="12291" width="13.28515625" style="3" customWidth="1"/>
    <col min="12292" max="12292" width="11.42578125" style="3"/>
    <col min="12293" max="12293" width="13.42578125" style="3" customWidth="1"/>
    <col min="12294" max="12294" width="12.7109375" style="3" customWidth="1"/>
    <col min="12295" max="12295" width="14" style="3" customWidth="1"/>
    <col min="12296" max="12296" width="7.42578125" style="3" customWidth="1"/>
    <col min="12297" max="12544" width="11.42578125" style="3"/>
    <col min="12545" max="12545" width="15.85546875" style="3" customWidth="1"/>
    <col min="12546" max="12546" width="14.85546875" style="3" customWidth="1"/>
    <col min="12547" max="12547" width="13.28515625" style="3" customWidth="1"/>
    <col min="12548" max="12548" width="11.42578125" style="3"/>
    <col min="12549" max="12549" width="13.42578125" style="3" customWidth="1"/>
    <col min="12550" max="12550" width="12.7109375" style="3" customWidth="1"/>
    <col min="12551" max="12551" width="14" style="3" customWidth="1"/>
    <col min="12552" max="12552" width="7.42578125" style="3" customWidth="1"/>
    <col min="12553" max="12800" width="11.42578125" style="3"/>
    <col min="12801" max="12801" width="15.85546875" style="3" customWidth="1"/>
    <col min="12802" max="12802" width="14.85546875" style="3" customWidth="1"/>
    <col min="12803" max="12803" width="13.28515625" style="3" customWidth="1"/>
    <col min="12804" max="12804" width="11.42578125" style="3"/>
    <col min="12805" max="12805" width="13.42578125" style="3" customWidth="1"/>
    <col min="12806" max="12806" width="12.7109375" style="3" customWidth="1"/>
    <col min="12807" max="12807" width="14" style="3" customWidth="1"/>
    <col min="12808" max="12808" width="7.42578125" style="3" customWidth="1"/>
    <col min="12809" max="13056" width="11.42578125" style="3"/>
    <col min="13057" max="13057" width="15.85546875" style="3" customWidth="1"/>
    <col min="13058" max="13058" width="14.85546875" style="3" customWidth="1"/>
    <col min="13059" max="13059" width="13.28515625" style="3" customWidth="1"/>
    <col min="13060" max="13060" width="11.42578125" style="3"/>
    <col min="13061" max="13061" width="13.42578125" style="3" customWidth="1"/>
    <col min="13062" max="13062" width="12.7109375" style="3" customWidth="1"/>
    <col min="13063" max="13063" width="14" style="3" customWidth="1"/>
    <col min="13064" max="13064" width="7.42578125" style="3" customWidth="1"/>
    <col min="13065" max="13312" width="11.42578125" style="3"/>
    <col min="13313" max="13313" width="15.85546875" style="3" customWidth="1"/>
    <col min="13314" max="13314" width="14.85546875" style="3" customWidth="1"/>
    <col min="13315" max="13315" width="13.28515625" style="3" customWidth="1"/>
    <col min="13316" max="13316" width="11.42578125" style="3"/>
    <col min="13317" max="13317" width="13.42578125" style="3" customWidth="1"/>
    <col min="13318" max="13318" width="12.7109375" style="3" customWidth="1"/>
    <col min="13319" max="13319" width="14" style="3" customWidth="1"/>
    <col min="13320" max="13320" width="7.42578125" style="3" customWidth="1"/>
    <col min="13321" max="13568" width="11.42578125" style="3"/>
    <col min="13569" max="13569" width="15.85546875" style="3" customWidth="1"/>
    <col min="13570" max="13570" width="14.85546875" style="3" customWidth="1"/>
    <col min="13571" max="13571" width="13.28515625" style="3" customWidth="1"/>
    <col min="13572" max="13572" width="11.42578125" style="3"/>
    <col min="13573" max="13573" width="13.42578125" style="3" customWidth="1"/>
    <col min="13574" max="13574" width="12.7109375" style="3" customWidth="1"/>
    <col min="13575" max="13575" width="14" style="3" customWidth="1"/>
    <col min="13576" max="13576" width="7.42578125" style="3" customWidth="1"/>
    <col min="13577" max="13824" width="11.42578125" style="3"/>
    <col min="13825" max="13825" width="15.85546875" style="3" customWidth="1"/>
    <col min="13826" max="13826" width="14.85546875" style="3" customWidth="1"/>
    <col min="13827" max="13827" width="13.28515625" style="3" customWidth="1"/>
    <col min="13828" max="13828" width="11.42578125" style="3"/>
    <col min="13829" max="13829" width="13.42578125" style="3" customWidth="1"/>
    <col min="13830" max="13830" width="12.7109375" style="3" customWidth="1"/>
    <col min="13831" max="13831" width="14" style="3" customWidth="1"/>
    <col min="13832" max="13832" width="7.42578125" style="3" customWidth="1"/>
    <col min="13833" max="14080" width="11.42578125" style="3"/>
    <col min="14081" max="14081" width="15.85546875" style="3" customWidth="1"/>
    <col min="14082" max="14082" width="14.85546875" style="3" customWidth="1"/>
    <col min="14083" max="14083" width="13.28515625" style="3" customWidth="1"/>
    <col min="14084" max="14084" width="11.42578125" style="3"/>
    <col min="14085" max="14085" width="13.42578125" style="3" customWidth="1"/>
    <col min="14086" max="14086" width="12.7109375" style="3" customWidth="1"/>
    <col min="14087" max="14087" width="14" style="3" customWidth="1"/>
    <col min="14088" max="14088" width="7.42578125" style="3" customWidth="1"/>
    <col min="14089" max="14336" width="11.42578125" style="3"/>
    <col min="14337" max="14337" width="15.85546875" style="3" customWidth="1"/>
    <col min="14338" max="14338" width="14.85546875" style="3" customWidth="1"/>
    <col min="14339" max="14339" width="13.28515625" style="3" customWidth="1"/>
    <col min="14340" max="14340" width="11.42578125" style="3"/>
    <col min="14341" max="14341" width="13.42578125" style="3" customWidth="1"/>
    <col min="14342" max="14342" width="12.7109375" style="3" customWidth="1"/>
    <col min="14343" max="14343" width="14" style="3" customWidth="1"/>
    <col min="14344" max="14344" width="7.42578125" style="3" customWidth="1"/>
    <col min="14345" max="14592" width="11.42578125" style="3"/>
    <col min="14593" max="14593" width="15.85546875" style="3" customWidth="1"/>
    <col min="14594" max="14594" width="14.85546875" style="3" customWidth="1"/>
    <col min="14595" max="14595" width="13.28515625" style="3" customWidth="1"/>
    <col min="14596" max="14596" width="11.42578125" style="3"/>
    <col min="14597" max="14597" width="13.42578125" style="3" customWidth="1"/>
    <col min="14598" max="14598" width="12.7109375" style="3" customWidth="1"/>
    <col min="14599" max="14599" width="14" style="3" customWidth="1"/>
    <col min="14600" max="14600" width="7.42578125" style="3" customWidth="1"/>
    <col min="14601" max="14848" width="11.42578125" style="3"/>
    <col min="14849" max="14849" width="15.85546875" style="3" customWidth="1"/>
    <col min="14850" max="14850" width="14.85546875" style="3" customWidth="1"/>
    <col min="14851" max="14851" width="13.28515625" style="3" customWidth="1"/>
    <col min="14852" max="14852" width="11.42578125" style="3"/>
    <col min="14853" max="14853" width="13.42578125" style="3" customWidth="1"/>
    <col min="14854" max="14854" width="12.7109375" style="3" customWidth="1"/>
    <col min="14855" max="14855" width="14" style="3" customWidth="1"/>
    <col min="14856" max="14856" width="7.42578125" style="3" customWidth="1"/>
    <col min="14857" max="15104" width="11.42578125" style="3"/>
    <col min="15105" max="15105" width="15.85546875" style="3" customWidth="1"/>
    <col min="15106" max="15106" width="14.85546875" style="3" customWidth="1"/>
    <col min="15107" max="15107" width="13.28515625" style="3" customWidth="1"/>
    <col min="15108" max="15108" width="11.42578125" style="3"/>
    <col min="15109" max="15109" width="13.42578125" style="3" customWidth="1"/>
    <col min="15110" max="15110" width="12.7109375" style="3" customWidth="1"/>
    <col min="15111" max="15111" width="14" style="3" customWidth="1"/>
    <col min="15112" max="15112" width="7.42578125" style="3" customWidth="1"/>
    <col min="15113" max="15360" width="11.42578125" style="3"/>
    <col min="15361" max="15361" width="15.85546875" style="3" customWidth="1"/>
    <col min="15362" max="15362" width="14.85546875" style="3" customWidth="1"/>
    <col min="15363" max="15363" width="13.28515625" style="3" customWidth="1"/>
    <col min="15364" max="15364" width="11.42578125" style="3"/>
    <col min="15365" max="15365" width="13.42578125" style="3" customWidth="1"/>
    <col min="15366" max="15366" width="12.7109375" style="3" customWidth="1"/>
    <col min="15367" max="15367" width="14" style="3" customWidth="1"/>
    <col min="15368" max="15368" width="7.42578125" style="3" customWidth="1"/>
    <col min="15369" max="15616" width="11.42578125" style="3"/>
    <col min="15617" max="15617" width="15.85546875" style="3" customWidth="1"/>
    <col min="15618" max="15618" width="14.85546875" style="3" customWidth="1"/>
    <col min="15619" max="15619" width="13.28515625" style="3" customWidth="1"/>
    <col min="15620" max="15620" width="11.42578125" style="3"/>
    <col min="15621" max="15621" width="13.42578125" style="3" customWidth="1"/>
    <col min="15622" max="15622" width="12.7109375" style="3" customWidth="1"/>
    <col min="15623" max="15623" width="14" style="3" customWidth="1"/>
    <col min="15624" max="15624" width="7.42578125" style="3" customWidth="1"/>
    <col min="15625" max="15872" width="11.42578125" style="3"/>
    <col min="15873" max="15873" width="15.85546875" style="3" customWidth="1"/>
    <col min="15874" max="15874" width="14.85546875" style="3" customWidth="1"/>
    <col min="15875" max="15875" width="13.28515625" style="3" customWidth="1"/>
    <col min="15876" max="15876" width="11.42578125" style="3"/>
    <col min="15877" max="15877" width="13.42578125" style="3" customWidth="1"/>
    <col min="15878" max="15878" width="12.7109375" style="3" customWidth="1"/>
    <col min="15879" max="15879" width="14" style="3" customWidth="1"/>
    <col min="15880" max="15880" width="7.42578125" style="3" customWidth="1"/>
    <col min="15881" max="16128" width="11.42578125" style="3"/>
    <col min="16129" max="16129" width="15.85546875" style="3" customWidth="1"/>
    <col min="16130" max="16130" width="14.85546875" style="3" customWidth="1"/>
    <col min="16131" max="16131" width="13.28515625" style="3" customWidth="1"/>
    <col min="16132" max="16132" width="11.42578125" style="3"/>
    <col min="16133" max="16133" width="13.42578125" style="3" customWidth="1"/>
    <col min="16134" max="16134" width="12.7109375" style="3" customWidth="1"/>
    <col min="16135" max="16135" width="14" style="3" customWidth="1"/>
    <col min="16136" max="16136" width="7.42578125" style="3" customWidth="1"/>
    <col min="16137" max="16384" width="11.42578125" style="3"/>
  </cols>
  <sheetData>
    <row r="1" spans="1:21" ht="20.25">
      <c r="A1" s="1346" t="str">
        <f>PPTO!D3</f>
        <v>PRESUPUESTO
MUNICIPIO EL BAGRE (ANTIOQUIA).</v>
      </c>
      <c r="B1" s="1347"/>
      <c r="C1" s="1347"/>
      <c r="D1" s="1347"/>
      <c r="E1" s="1347"/>
      <c r="F1" s="1347"/>
      <c r="G1" s="1348"/>
      <c r="H1" s="1"/>
      <c r="I1" s="2"/>
    </row>
    <row r="2" spans="1:21" ht="18" customHeight="1">
      <c r="A2" s="1362" t="s">
        <v>16</v>
      </c>
      <c r="B2" s="1363"/>
      <c r="C2" s="1363"/>
      <c r="D2" s="1363"/>
      <c r="E2" s="1363"/>
      <c r="F2" s="1363"/>
      <c r="G2" s="1364"/>
      <c r="H2" s="1"/>
      <c r="I2" s="2"/>
    </row>
    <row r="3" spans="1:21" ht="27" customHeight="1">
      <c r="A3" s="1367" t="str">
        <f>+PPTO!$D$5</f>
        <v>PROYECTO DE MEJORAMIENTO VIAL, ESPACIO PUBLICO Y OBRAS COMPLEMENTARIAS DE LA AVENIDA LA JUVENTUD Y TRAMOS ADYACENTES Y PRIORITARIOS DEL SECTOR URBANO EN EL MUNICIPIO EL BAGRE ANTIOQUIA.</v>
      </c>
      <c r="B3" s="1368"/>
      <c r="C3" s="1368"/>
      <c r="D3" s="1368"/>
      <c r="E3" s="1368"/>
      <c r="F3" s="1368"/>
      <c r="G3" s="1369"/>
      <c r="H3" s="1"/>
      <c r="I3" s="2"/>
    </row>
    <row r="4" spans="1:21" ht="30" customHeight="1">
      <c r="A4" s="1370"/>
      <c r="B4" s="1368"/>
      <c r="C4" s="1368"/>
      <c r="D4" s="1368"/>
      <c r="E4" s="1368"/>
      <c r="F4" s="1368"/>
      <c r="G4" s="1369"/>
      <c r="H4" s="1"/>
      <c r="I4" s="2"/>
    </row>
    <row r="5" spans="1:21" ht="6.75" customHeight="1">
      <c r="A5" s="222"/>
      <c r="B5" s="6"/>
      <c r="C5" s="24"/>
      <c r="D5" s="25"/>
      <c r="E5" s="6"/>
      <c r="F5" s="6"/>
      <c r="G5" s="223"/>
      <c r="H5" s="9"/>
    </row>
    <row r="6" spans="1:21">
      <c r="A6" s="368">
        <v>6.29</v>
      </c>
      <c r="B6" s="1349" t="str">
        <f>VLOOKUP(A6,PPTO!D9:I136,2,FALSE)</f>
        <v>Suministro e instalación Reducción 6" a 4" PVC ó Similar</v>
      </c>
      <c r="C6" s="1350"/>
      <c r="D6" s="1350"/>
      <c r="E6" s="1351"/>
      <c r="F6" s="192" t="s">
        <v>118</v>
      </c>
      <c r="G6" s="248" t="str">
        <f>VLOOKUP(A6,PPTO!D9:I136,3,FALSE)</f>
        <v>und</v>
      </c>
      <c r="H6" s="9"/>
    </row>
    <row r="7" spans="1:21" ht="3.75" customHeight="1">
      <c r="A7" s="226"/>
      <c r="B7" s="4"/>
      <c r="C7" s="6"/>
      <c r="D7" s="4"/>
      <c r="E7" s="4"/>
      <c r="F7" s="4"/>
      <c r="G7" s="227"/>
      <c r="H7" s="9"/>
    </row>
    <row r="8" spans="1:21" ht="22.5" customHeight="1">
      <c r="A8" s="1354" t="s">
        <v>69</v>
      </c>
      <c r="B8" s="1355"/>
      <c r="C8" s="1355"/>
      <c r="D8" s="1355"/>
      <c r="E8" s="1355"/>
      <c r="F8" s="1355"/>
      <c r="G8" s="1356"/>
      <c r="H8" s="9"/>
    </row>
    <row r="9" spans="1:21" ht="4.5" customHeight="1">
      <c r="A9" s="226"/>
      <c r="B9" s="4"/>
      <c r="C9" s="6"/>
      <c r="D9" s="4"/>
      <c r="E9" s="4"/>
      <c r="F9" s="4"/>
      <c r="G9" s="227"/>
      <c r="H9" s="9"/>
      <c r="I9" s="5"/>
      <c r="J9" s="5"/>
      <c r="K9" s="5"/>
      <c r="L9" s="26"/>
      <c r="M9" s="5"/>
      <c r="N9" s="5"/>
      <c r="O9" s="5"/>
      <c r="P9" s="5"/>
    </row>
    <row r="10" spans="1:21">
      <c r="A10" s="1373" t="s">
        <v>17</v>
      </c>
      <c r="B10" s="1374"/>
      <c r="C10" s="1374"/>
      <c r="D10" s="353" t="s">
        <v>18</v>
      </c>
      <c r="E10" s="353" t="s">
        <v>19</v>
      </c>
      <c r="F10" s="353" t="s">
        <v>20</v>
      </c>
      <c r="G10" s="228" t="s">
        <v>21</v>
      </c>
      <c r="H10" s="27"/>
      <c r="I10" s="28"/>
      <c r="J10" s="29"/>
      <c r="K10" s="30"/>
      <c r="L10" s="30"/>
      <c r="M10" s="30"/>
      <c r="N10" s="30"/>
      <c r="O10" s="30"/>
      <c r="P10" s="5"/>
    </row>
    <row r="11" spans="1:21">
      <c r="A11" s="1352" t="s">
        <v>47</v>
      </c>
      <c r="B11" s="1353"/>
      <c r="C11" s="1353"/>
      <c r="D11" s="353"/>
      <c r="E11" s="83"/>
      <c r="F11" s="97"/>
      <c r="G11" s="229">
        <f>+G39*10%</f>
        <v>2036</v>
      </c>
      <c r="H11" s="9"/>
      <c r="I11" s="30"/>
      <c r="J11" s="31"/>
      <c r="K11" s="30"/>
      <c r="L11" s="30"/>
      <c r="M11" s="30"/>
      <c r="N11" s="30"/>
      <c r="O11" s="30"/>
      <c r="P11" s="5"/>
    </row>
    <row r="12" spans="1:21">
      <c r="A12" s="1371"/>
      <c r="B12" s="1372"/>
      <c r="C12" s="1372"/>
      <c r="D12" s="83"/>
      <c r="E12" s="83"/>
      <c r="F12" s="93"/>
      <c r="G12" s="229"/>
      <c r="H12" s="9"/>
      <c r="I12" s="16"/>
      <c r="J12" s="13"/>
      <c r="K12" s="8"/>
      <c r="L12" s="8"/>
      <c r="M12" s="8"/>
      <c r="N12" s="8"/>
      <c r="O12" s="8"/>
      <c r="P12" s="5"/>
    </row>
    <row r="13" spans="1:21">
      <c r="A13" s="1371"/>
      <c r="B13" s="1372"/>
      <c r="C13" s="1372"/>
      <c r="D13" s="83"/>
      <c r="E13" s="83"/>
      <c r="F13" s="93"/>
      <c r="G13" s="229"/>
      <c r="H13" s="9"/>
      <c r="I13" s="13"/>
      <c r="J13" s="13"/>
      <c r="K13" s="13"/>
      <c r="L13" s="13"/>
      <c r="M13" s="13"/>
      <c r="N13" s="13"/>
      <c r="O13" s="13"/>
      <c r="P13" s="5"/>
    </row>
    <row r="14" spans="1:21">
      <c r="A14" s="1371"/>
      <c r="B14" s="1372"/>
      <c r="C14" s="1372"/>
      <c r="D14" s="83"/>
      <c r="E14" s="83"/>
      <c r="F14" s="93"/>
      <c r="G14" s="229"/>
      <c r="H14" s="9"/>
      <c r="I14" s="8"/>
      <c r="J14" s="14"/>
      <c r="K14" s="32"/>
      <c r="L14" s="14"/>
      <c r="M14" s="15"/>
      <c r="N14" s="15"/>
      <c r="O14" s="19"/>
      <c r="P14" s="5"/>
    </row>
    <row r="15" spans="1:21">
      <c r="A15" s="1371"/>
      <c r="B15" s="1372"/>
      <c r="C15" s="1372"/>
      <c r="D15" s="83"/>
      <c r="E15" s="83"/>
      <c r="F15" s="98"/>
      <c r="G15" s="229"/>
      <c r="H15" s="9"/>
      <c r="I15" s="8"/>
      <c r="J15" s="33"/>
      <c r="K15" s="32"/>
      <c r="L15" s="14"/>
      <c r="M15" s="15"/>
      <c r="N15" s="15"/>
      <c r="O15" s="19"/>
      <c r="P15" s="5"/>
      <c r="Q15" s="5"/>
      <c r="R15" s="5"/>
      <c r="S15" s="5"/>
      <c r="T15" s="5"/>
      <c r="U15" s="5"/>
    </row>
    <row r="16" spans="1:21">
      <c r="A16" s="1371"/>
      <c r="B16" s="1372"/>
      <c r="C16" s="1372"/>
      <c r="D16" s="85" t="s">
        <v>37</v>
      </c>
      <c r="E16" s="50"/>
      <c r="F16" s="49"/>
      <c r="G16" s="230">
        <f>SUM(G11:G15)</f>
        <v>2036</v>
      </c>
      <c r="H16" s="9"/>
      <c r="I16" s="34"/>
      <c r="J16" s="34"/>
      <c r="K16" s="35"/>
      <c r="L16" s="36"/>
      <c r="M16" s="7"/>
      <c r="N16" s="7"/>
      <c r="O16" s="19"/>
      <c r="P16" s="5"/>
      <c r="Q16" s="5"/>
      <c r="R16" s="5"/>
      <c r="S16" s="5"/>
      <c r="T16" s="5"/>
      <c r="U16" s="5"/>
    </row>
    <row r="17" spans="1:21" ht="4.5" customHeight="1">
      <c r="A17" s="226"/>
      <c r="B17" s="4"/>
      <c r="C17" s="6"/>
      <c r="D17" s="4"/>
      <c r="E17" s="4"/>
      <c r="F17" s="4"/>
      <c r="G17" s="227"/>
      <c r="H17" s="9"/>
      <c r="I17" s="34"/>
      <c r="J17" s="34"/>
      <c r="K17" s="35"/>
      <c r="L17" s="36"/>
      <c r="M17" s="7"/>
      <c r="N17" s="7"/>
      <c r="O17" s="19"/>
      <c r="P17" s="5"/>
      <c r="Q17" s="5"/>
      <c r="R17" s="5"/>
      <c r="S17" s="5"/>
      <c r="T17" s="5"/>
      <c r="U17" s="5"/>
    </row>
    <row r="18" spans="1:21" ht="22.5" customHeight="1">
      <c r="A18" s="1354" t="s">
        <v>70</v>
      </c>
      <c r="B18" s="1355"/>
      <c r="C18" s="1355"/>
      <c r="D18" s="1355"/>
      <c r="E18" s="1355"/>
      <c r="F18" s="1355"/>
      <c r="G18" s="1356"/>
      <c r="H18" s="9"/>
    </row>
    <row r="19" spans="1:21" ht="4.5" customHeight="1">
      <c r="A19" s="226"/>
      <c r="B19" s="4"/>
      <c r="C19" s="6"/>
      <c r="D19" s="4"/>
      <c r="E19" s="4"/>
      <c r="F19" s="38"/>
      <c r="G19" s="227"/>
      <c r="H19" s="9"/>
      <c r="I19" s="34"/>
      <c r="J19" s="34"/>
      <c r="K19" s="35"/>
      <c r="L19" s="39"/>
      <c r="M19" s="7"/>
      <c r="N19" s="7"/>
      <c r="O19" s="8"/>
      <c r="P19" s="5"/>
      <c r="Q19" s="5"/>
      <c r="R19" s="5"/>
      <c r="S19" s="5"/>
      <c r="T19" s="5"/>
      <c r="U19" s="5"/>
    </row>
    <row r="20" spans="1:21">
      <c r="A20" s="1373" t="s">
        <v>17</v>
      </c>
      <c r="B20" s="1374"/>
      <c r="C20" s="1374"/>
      <c r="D20" s="353" t="s">
        <v>3</v>
      </c>
      <c r="E20" s="353" t="s">
        <v>4</v>
      </c>
      <c r="F20" s="353" t="s">
        <v>25</v>
      </c>
      <c r="G20" s="228" t="s">
        <v>21</v>
      </c>
      <c r="H20" s="27"/>
      <c r="I20" s="34"/>
      <c r="J20" s="34"/>
      <c r="K20" s="35"/>
      <c r="L20" s="39"/>
      <c r="M20" s="7"/>
      <c r="N20" s="7"/>
      <c r="O20" s="8"/>
      <c r="P20" s="5"/>
      <c r="Q20" s="5"/>
      <c r="R20" s="5"/>
      <c r="S20" s="5"/>
      <c r="T20" s="5"/>
      <c r="U20" s="5"/>
    </row>
    <row r="21" spans="1:21" ht="31.5" customHeight="1">
      <c r="A21" s="1441" t="str">
        <f>MID(I21,25,50)</f>
        <v xml:space="preserve"> Reducción 6" a 4" PVC ó Similar</v>
      </c>
      <c r="B21" s="1442"/>
      <c r="C21" s="1443"/>
      <c r="D21" s="118" t="s">
        <v>119</v>
      </c>
      <c r="E21" s="119">
        <v>1</v>
      </c>
      <c r="F21" s="87">
        <f>166747*IPC</f>
        <v>172050</v>
      </c>
      <c r="G21" s="231">
        <f>ROUND(F21*E21,0)</f>
        <v>172050</v>
      </c>
      <c r="H21" s="9"/>
      <c r="I21" s="34" t="str">
        <f>B6</f>
        <v>Suministro e instalación Reducción 6" a 4" PVC ó Similar</v>
      </c>
      <c r="J21" s="34"/>
      <c r="K21" s="35"/>
      <c r="L21" s="36"/>
      <c r="M21" s="7"/>
      <c r="N21" s="7"/>
      <c r="O21" s="19"/>
      <c r="P21" s="5"/>
      <c r="Q21" s="5"/>
      <c r="R21" s="5"/>
      <c r="S21" s="5"/>
      <c r="T21" s="5"/>
      <c r="U21" s="5"/>
    </row>
    <row r="22" spans="1:21">
      <c r="A22" s="1444"/>
      <c r="B22" s="1403"/>
      <c r="C22" s="1404"/>
      <c r="D22" s="116"/>
      <c r="E22" s="117"/>
      <c r="F22" s="91"/>
      <c r="G22" s="231"/>
      <c r="H22" s="9"/>
      <c r="I22" s="10"/>
      <c r="J22" s="10"/>
      <c r="K22" s="12"/>
      <c r="L22" s="39"/>
      <c r="M22" s="7"/>
      <c r="N22" s="7"/>
      <c r="O22" s="15"/>
      <c r="P22" s="5"/>
      <c r="Q22" s="5"/>
      <c r="R22" s="5"/>
      <c r="S22" s="5"/>
      <c r="T22" s="5"/>
      <c r="U22" s="5"/>
    </row>
    <row r="23" spans="1:21">
      <c r="A23" s="1386"/>
      <c r="B23" s="1353"/>
      <c r="C23" s="1353"/>
      <c r="D23" s="79"/>
      <c r="E23" s="82"/>
      <c r="F23" s="83"/>
      <c r="G23" s="67"/>
      <c r="H23" s="9"/>
      <c r="I23" s="10"/>
      <c r="J23" s="10"/>
      <c r="K23" s="12"/>
      <c r="L23" s="39"/>
      <c r="M23" s="7"/>
      <c r="N23" s="7"/>
      <c r="O23" s="15"/>
      <c r="P23" s="5"/>
      <c r="Q23" s="5"/>
      <c r="R23" s="5"/>
      <c r="S23" s="5"/>
      <c r="T23" s="5"/>
      <c r="U23" s="5"/>
    </row>
    <row r="24" spans="1:21">
      <c r="A24" s="1352"/>
      <c r="B24" s="1353"/>
      <c r="C24" s="1353"/>
      <c r="D24" s="81"/>
      <c r="E24" s="88"/>
      <c r="F24" s="78"/>
      <c r="G24" s="231"/>
      <c r="H24" s="9"/>
      <c r="I24" s="10"/>
      <c r="J24" s="40"/>
      <c r="K24" s="12"/>
      <c r="L24" s="13"/>
      <c r="M24" s="14"/>
      <c r="N24" s="14"/>
      <c r="O24" s="15"/>
      <c r="P24" s="5"/>
      <c r="Q24" s="5"/>
      <c r="R24" s="5"/>
      <c r="S24" s="5"/>
      <c r="T24" s="5"/>
      <c r="U24" s="5"/>
    </row>
    <row r="25" spans="1:21">
      <c r="A25" s="1352"/>
      <c r="B25" s="1353"/>
      <c r="C25" s="1353"/>
      <c r="D25" s="81"/>
      <c r="E25" s="82"/>
      <c r="F25" s="78"/>
      <c r="G25" s="231"/>
      <c r="H25" s="9"/>
      <c r="I25" s="10"/>
      <c r="J25" s="11"/>
      <c r="K25" s="12"/>
      <c r="L25" s="13"/>
      <c r="M25" s="14"/>
      <c r="N25" s="14"/>
      <c r="O25" s="15"/>
      <c r="P25" s="5"/>
      <c r="Q25" s="5"/>
      <c r="R25" s="5"/>
      <c r="S25" s="5"/>
      <c r="T25" s="5"/>
      <c r="U25" s="5"/>
    </row>
    <row r="26" spans="1:21">
      <c r="A26" s="1352"/>
      <c r="B26" s="1353"/>
      <c r="C26" s="1353"/>
      <c r="D26" s="79"/>
      <c r="E26" s="82"/>
      <c r="F26" s="78"/>
      <c r="G26" s="231"/>
      <c r="H26" s="9"/>
      <c r="I26" s="10"/>
      <c r="J26" s="11"/>
      <c r="K26" s="12"/>
      <c r="L26" s="13"/>
      <c r="M26" s="14"/>
      <c r="N26" s="14"/>
      <c r="O26" s="15"/>
      <c r="P26" s="5"/>
      <c r="Q26" s="5"/>
      <c r="R26" s="5"/>
      <c r="S26" s="5"/>
      <c r="T26" s="5"/>
      <c r="U26" s="5"/>
    </row>
    <row r="27" spans="1:21">
      <c r="A27" s="1352"/>
      <c r="B27" s="1353"/>
      <c r="C27" s="1353"/>
      <c r="D27" s="79"/>
      <c r="E27" s="82"/>
      <c r="F27" s="78"/>
      <c r="G27" s="231"/>
      <c r="H27" s="9"/>
      <c r="I27" s="10"/>
      <c r="J27" s="11"/>
      <c r="K27" s="12"/>
      <c r="L27" s="13"/>
      <c r="M27" s="14"/>
      <c r="N27" s="14"/>
      <c r="O27" s="15"/>
      <c r="P27" s="5"/>
      <c r="Q27" s="5"/>
      <c r="R27" s="5"/>
      <c r="S27" s="5"/>
      <c r="T27" s="5"/>
      <c r="U27" s="5"/>
    </row>
    <row r="28" spans="1:21">
      <c r="A28" s="1352"/>
      <c r="B28" s="1353"/>
      <c r="C28" s="1353"/>
      <c r="D28" s="79"/>
      <c r="E28" s="82"/>
      <c r="F28" s="83"/>
      <c r="G28" s="231"/>
      <c r="H28" s="9"/>
      <c r="I28" s="41"/>
      <c r="J28" s="41"/>
      <c r="K28" s="12"/>
      <c r="L28" s="13"/>
      <c r="M28" s="14"/>
      <c r="N28" s="14"/>
      <c r="O28" s="15"/>
      <c r="P28" s="5"/>
      <c r="Q28" s="5"/>
      <c r="R28" s="5"/>
      <c r="S28" s="5"/>
      <c r="T28" s="5"/>
      <c r="U28" s="5"/>
    </row>
    <row r="29" spans="1:21">
      <c r="A29" s="1352"/>
      <c r="B29" s="1353"/>
      <c r="C29" s="1353"/>
      <c r="D29" s="84"/>
      <c r="E29" s="84"/>
      <c r="F29" s="83"/>
      <c r="G29" s="231"/>
      <c r="H29" s="9"/>
      <c r="I29" s="42"/>
      <c r="J29" s="42"/>
      <c r="K29" s="42"/>
      <c r="L29" s="13"/>
      <c r="M29" s="14"/>
      <c r="N29" s="14"/>
      <c r="O29" s="15"/>
      <c r="P29" s="5"/>
      <c r="Q29" s="5"/>
      <c r="R29" s="5"/>
      <c r="S29" s="5"/>
      <c r="T29" s="5"/>
      <c r="U29" s="5"/>
    </row>
    <row r="30" spans="1:21">
      <c r="A30" s="1352"/>
      <c r="B30" s="1353"/>
      <c r="C30" s="1353"/>
      <c r="D30" s="85" t="s">
        <v>28</v>
      </c>
      <c r="E30" s="50"/>
      <c r="F30" s="49"/>
      <c r="G30" s="230">
        <f>SUM(G21:G29)</f>
        <v>172050</v>
      </c>
      <c r="H30" s="9"/>
      <c r="I30" s="8"/>
      <c r="J30" s="13"/>
      <c r="K30" s="8"/>
      <c r="L30" s="13"/>
      <c r="M30" s="14"/>
      <c r="N30" s="14"/>
      <c r="O30" s="15"/>
      <c r="P30" s="5"/>
    </row>
    <row r="31" spans="1:21" ht="3.75" customHeight="1">
      <c r="A31" s="226"/>
      <c r="B31" s="4"/>
      <c r="C31" s="6"/>
      <c r="D31" s="4"/>
      <c r="E31" s="4"/>
      <c r="F31" s="4"/>
      <c r="G31" s="227"/>
      <c r="H31" s="9"/>
      <c r="I31" s="8"/>
      <c r="J31" s="13"/>
      <c r="K31" s="18"/>
      <c r="L31" s="13"/>
      <c r="M31" s="33"/>
      <c r="N31" s="33"/>
      <c r="O31" s="15"/>
      <c r="P31" s="5"/>
    </row>
    <row r="32" spans="1:21" ht="22.5" customHeight="1">
      <c r="A32" s="1354" t="s">
        <v>71</v>
      </c>
      <c r="B32" s="1355"/>
      <c r="C32" s="1355"/>
      <c r="D32" s="1355"/>
      <c r="E32" s="1355"/>
      <c r="F32" s="1355"/>
      <c r="G32" s="1356"/>
      <c r="H32" s="9"/>
    </row>
    <row r="33" spans="1:16" ht="3.75" customHeight="1">
      <c r="A33" s="226"/>
      <c r="B33" s="4"/>
      <c r="C33" s="6"/>
      <c r="D33" s="4"/>
      <c r="E33" s="4"/>
      <c r="F33" s="4"/>
      <c r="G33" s="227"/>
      <c r="H33" s="9"/>
      <c r="I33" s="8"/>
      <c r="J33" s="13"/>
      <c r="K33" s="8"/>
      <c r="L33" s="8"/>
      <c r="M33" s="8"/>
      <c r="N33" s="8"/>
      <c r="O33" s="15"/>
      <c r="P33" s="5"/>
    </row>
    <row r="34" spans="1:16">
      <c r="A34" s="232" t="s">
        <v>5</v>
      </c>
      <c r="B34" s="60" t="s">
        <v>29</v>
      </c>
      <c r="C34" s="60" t="s">
        <v>30</v>
      </c>
      <c r="D34" s="60" t="s">
        <v>31</v>
      </c>
      <c r="E34" s="60" t="s">
        <v>32</v>
      </c>
      <c r="F34" s="60" t="s">
        <v>20</v>
      </c>
      <c r="G34" s="228" t="s">
        <v>33</v>
      </c>
      <c r="H34" s="27"/>
      <c r="I34" s="8"/>
      <c r="J34" s="13"/>
      <c r="K34" s="8"/>
      <c r="L34" s="8"/>
      <c r="M34" s="8"/>
      <c r="N34" s="8"/>
      <c r="O34" s="15"/>
      <c r="P34" s="5"/>
    </row>
    <row r="35" spans="1:16">
      <c r="A35" s="233" t="s">
        <v>41</v>
      </c>
      <c r="B35" s="63">
        <f>BOF</f>
        <v>51749</v>
      </c>
      <c r="C35" s="68">
        <f>ffpp</f>
        <v>0.64539999999999997</v>
      </c>
      <c r="D35" s="72">
        <v>1</v>
      </c>
      <c r="E35" s="66">
        <f>OF</f>
        <v>88696</v>
      </c>
      <c r="F35" s="65">
        <v>15</v>
      </c>
      <c r="G35" s="231">
        <f>ROUND(+D35*E35/F35,0)</f>
        <v>5913</v>
      </c>
      <c r="H35" s="9"/>
      <c r="I35" s="16"/>
      <c r="J35" s="13"/>
      <c r="K35" s="8"/>
      <c r="L35" s="8"/>
      <c r="M35" s="8"/>
      <c r="N35" s="8"/>
      <c r="O35" s="15"/>
      <c r="P35" s="5"/>
    </row>
    <row r="36" spans="1:16">
      <c r="A36" s="233" t="s">
        <v>38</v>
      </c>
      <c r="B36" s="63">
        <f>BOB</f>
        <v>41749</v>
      </c>
      <c r="C36" s="68">
        <f>ffpp</f>
        <v>0.64539999999999997</v>
      </c>
      <c r="D36" s="72">
        <v>3</v>
      </c>
      <c r="E36" s="66">
        <f>OB</f>
        <v>72242</v>
      </c>
      <c r="F36" s="65">
        <f>F35</f>
        <v>15</v>
      </c>
      <c r="G36" s="231">
        <f>ROUND(+D36*E36/F36,0)</f>
        <v>14448</v>
      </c>
      <c r="H36" s="9"/>
      <c r="I36" s="8"/>
      <c r="J36" s="8"/>
      <c r="K36" s="13"/>
      <c r="L36" s="13"/>
      <c r="M36" s="13"/>
      <c r="N36" s="13"/>
      <c r="O36" s="13"/>
      <c r="P36" s="5"/>
    </row>
    <row r="37" spans="1:16">
      <c r="A37" s="234"/>
      <c r="B37" s="50"/>
      <c r="C37" s="961"/>
      <c r="D37" s="50"/>
      <c r="E37" s="66"/>
      <c r="F37" s="65"/>
      <c r="G37" s="231"/>
      <c r="H37" s="9"/>
      <c r="I37" s="8"/>
      <c r="J37" s="13"/>
      <c r="K37" s="13"/>
      <c r="L37" s="13"/>
      <c r="M37" s="33"/>
      <c r="N37" s="33"/>
      <c r="O37" s="43"/>
      <c r="P37" s="5"/>
    </row>
    <row r="38" spans="1:16">
      <c r="A38" s="233"/>
      <c r="B38" s="65"/>
      <c r="C38" s="68"/>
      <c r="D38" s="65"/>
      <c r="E38" s="69"/>
      <c r="F38" s="69"/>
      <c r="G38" s="236"/>
      <c r="H38" s="9"/>
      <c r="I38" s="8"/>
      <c r="J38" s="13"/>
      <c r="K38" s="13"/>
      <c r="L38" s="13"/>
      <c r="M38" s="33"/>
      <c r="N38" s="33"/>
      <c r="O38" s="43"/>
      <c r="P38" s="5"/>
    </row>
    <row r="39" spans="1:16">
      <c r="A39" s="249"/>
      <c r="B39" s="71"/>
      <c r="C39" s="71"/>
      <c r="D39" s="71" t="s">
        <v>34</v>
      </c>
      <c r="E39" s="71"/>
      <c r="F39" s="71"/>
      <c r="G39" s="250">
        <f>SUM(G35:G38)</f>
        <v>20361</v>
      </c>
      <c r="H39" s="9"/>
      <c r="I39" s="8"/>
      <c r="J39" s="13"/>
      <c r="K39" s="13"/>
      <c r="L39" s="13"/>
      <c r="M39" s="14"/>
      <c r="N39" s="14"/>
      <c r="O39" s="15"/>
      <c r="P39" s="5"/>
    </row>
    <row r="40" spans="1:16">
      <c r="A40" s="226"/>
      <c r="B40" s="4"/>
      <c r="C40" s="6"/>
      <c r="D40" s="4"/>
      <c r="E40" s="4"/>
      <c r="F40" s="4"/>
      <c r="G40" s="227"/>
      <c r="H40" s="9"/>
      <c r="I40" s="8"/>
      <c r="J40" s="13"/>
      <c r="K40" s="13"/>
      <c r="L40" s="13"/>
      <c r="M40" s="14"/>
      <c r="N40" s="14"/>
      <c r="O40" s="19"/>
      <c r="P40" s="5"/>
    </row>
    <row r="41" spans="1:16">
      <c r="A41" s="226"/>
      <c r="B41" s="4"/>
      <c r="C41" s="6"/>
      <c r="D41" s="4"/>
      <c r="E41" s="4"/>
      <c r="F41" s="4"/>
      <c r="G41" s="227"/>
      <c r="H41" s="9"/>
      <c r="I41" s="8"/>
      <c r="J41" s="13"/>
      <c r="K41" s="13"/>
      <c r="L41" s="13"/>
      <c r="M41" s="17"/>
      <c r="N41" s="17"/>
      <c r="O41" s="37"/>
      <c r="P41" s="5"/>
    </row>
    <row r="42" spans="1:16" ht="14.25">
      <c r="A42" s="226"/>
      <c r="B42" s="4"/>
      <c r="C42" s="6"/>
      <c r="D42" s="1357" t="s">
        <v>35</v>
      </c>
      <c r="E42" s="1358"/>
      <c r="F42" s="1359"/>
      <c r="G42" s="239">
        <f>+G39+G30+G16</f>
        <v>194447</v>
      </c>
      <c r="H42" s="9"/>
      <c r="I42" s="48"/>
      <c r="J42" s="20"/>
      <c r="K42" s="8"/>
      <c r="L42" s="8"/>
      <c r="M42" s="8"/>
      <c r="N42" s="8"/>
      <c r="O42" s="8"/>
      <c r="P42" s="5"/>
    </row>
    <row r="43" spans="1:16" ht="14.25">
      <c r="A43" s="240"/>
      <c r="B43" s="57"/>
      <c r="C43" s="58"/>
      <c r="D43" s="99"/>
      <c r="E43" s="99"/>
      <c r="F43" s="99"/>
      <c r="G43" s="251"/>
      <c r="H43" s="9"/>
      <c r="I43" s="48"/>
      <c r="J43" s="20"/>
      <c r="K43" s="8"/>
      <c r="L43" s="8"/>
      <c r="M43" s="8"/>
      <c r="N43" s="8"/>
      <c r="O43" s="8"/>
      <c r="P43" s="5"/>
    </row>
    <row r="44" spans="1:16" ht="14.25">
      <c r="A44" s="374"/>
      <c r="B44" s="375"/>
      <c r="C44" s="375"/>
      <c r="D44" s="99"/>
      <c r="E44" s="99"/>
      <c r="F44" s="99"/>
      <c r="G44" s="251"/>
      <c r="H44" s="9"/>
      <c r="I44" s="48"/>
      <c r="J44" s="20"/>
      <c r="K44" s="8"/>
      <c r="L44" s="8"/>
      <c r="M44" s="8"/>
      <c r="N44" s="8"/>
      <c r="O44" s="8"/>
      <c r="P44" s="5"/>
    </row>
    <row r="45" spans="1:16" ht="14.25">
      <c r="A45" s="373"/>
      <c r="B45" s="376"/>
      <c r="C45" s="376"/>
      <c r="D45" s="99"/>
      <c r="E45" s="99"/>
      <c r="F45" s="99"/>
      <c r="G45" s="251"/>
      <c r="H45" s="9"/>
      <c r="I45" s="48"/>
      <c r="J45" s="20"/>
      <c r="K45" s="8"/>
      <c r="L45" s="8"/>
      <c r="M45" s="8"/>
      <c r="N45" s="8"/>
      <c r="O45" s="8"/>
      <c r="P45" s="5"/>
    </row>
    <row r="46" spans="1:16" ht="14.25">
      <c r="A46" s="373"/>
      <c r="B46" s="376"/>
      <c r="C46" s="376"/>
      <c r="D46" s="44"/>
      <c r="E46" s="45"/>
      <c r="F46" s="45"/>
      <c r="G46" s="251"/>
      <c r="H46" s="9"/>
      <c r="I46" s="8"/>
      <c r="J46" s="13"/>
      <c r="K46" s="8"/>
      <c r="L46" s="8"/>
      <c r="M46" s="8"/>
      <c r="N46" s="8"/>
      <c r="O46" s="8"/>
      <c r="P46" s="5"/>
    </row>
    <row r="47" spans="1:16" ht="15" thickBot="1">
      <c r="A47" s="242"/>
      <c r="B47" s="243"/>
      <c r="C47" s="244"/>
      <c r="D47" s="245"/>
      <c r="E47" s="246"/>
      <c r="F47" s="246"/>
      <c r="G47" s="247"/>
      <c r="H47" s="9"/>
      <c r="I47" s="8"/>
      <c r="J47" s="13"/>
      <c r="K47" s="8"/>
      <c r="L47" s="8"/>
      <c r="M47" s="8"/>
      <c r="N47" s="8"/>
      <c r="O47" s="8"/>
      <c r="P47" s="5"/>
    </row>
    <row r="48" spans="1:16">
      <c r="I48" s="5"/>
      <c r="J48" s="5"/>
      <c r="K48" s="5"/>
      <c r="L48" s="5"/>
      <c r="M48" s="5"/>
      <c r="N48" s="5"/>
      <c r="O48" s="5"/>
      <c r="P48" s="5"/>
    </row>
    <row r="49" spans="9:16">
      <c r="I49" s="5"/>
      <c r="J49" s="5"/>
      <c r="K49" s="5"/>
      <c r="L49" s="5"/>
      <c r="M49" s="5"/>
      <c r="N49" s="5"/>
      <c r="O49" s="5"/>
      <c r="P49" s="5"/>
    </row>
  </sheetData>
  <mergeCells count="26">
    <mergeCell ref="A10:C10"/>
    <mergeCell ref="A1:G1"/>
    <mergeCell ref="A2:G2"/>
    <mergeCell ref="A3:G4"/>
    <mergeCell ref="B6:E6"/>
    <mergeCell ref="A8:G8"/>
    <mergeCell ref="A24:C24"/>
    <mergeCell ref="A11:C11"/>
    <mergeCell ref="A12:C12"/>
    <mergeCell ref="A13:C13"/>
    <mergeCell ref="A14:C14"/>
    <mergeCell ref="A15:C15"/>
    <mergeCell ref="A16:C16"/>
    <mergeCell ref="A18:G18"/>
    <mergeCell ref="A20:C20"/>
    <mergeCell ref="A21:C21"/>
    <mergeCell ref="A22:C22"/>
    <mergeCell ref="A23:C23"/>
    <mergeCell ref="A32:G32"/>
    <mergeCell ref="D42:F42"/>
    <mergeCell ref="A25:C25"/>
    <mergeCell ref="A26:C26"/>
    <mergeCell ref="A27:C27"/>
    <mergeCell ref="A28:C28"/>
    <mergeCell ref="A29:C29"/>
    <mergeCell ref="A30:C30"/>
  </mergeCells>
  <printOptions horizontalCentered="1" verticalCentered="1"/>
  <pageMargins left="0.74803149606299213" right="0.74803149606299213" top="0" bottom="0.98425196850393704" header="0" footer="0"/>
  <pageSetup scale="90" orientation="portrait" r:id="rId1"/>
  <headerFooter alignWithMargins="0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84"/>
  <dimension ref="A1:U49"/>
  <sheetViews>
    <sheetView view="pageBreakPreview" zoomScaleNormal="100" zoomScaleSheetLayoutView="100" workbookViewId="0">
      <selection activeCell="I7" sqref="I7"/>
    </sheetView>
  </sheetViews>
  <sheetFormatPr baseColWidth="10" defaultColWidth="10.7109375" defaultRowHeight="12.75"/>
  <cols>
    <col min="1" max="1" width="15.85546875" style="3" customWidth="1"/>
    <col min="2" max="2" width="14.85546875" style="3" customWidth="1"/>
    <col min="3" max="3" width="13.28515625" style="3" customWidth="1"/>
    <col min="4" max="4" width="11.42578125" style="3"/>
    <col min="5" max="5" width="13.42578125" style="3" customWidth="1"/>
    <col min="6" max="6" width="12.7109375" style="3" customWidth="1"/>
    <col min="7" max="7" width="14" style="3" customWidth="1"/>
    <col min="8" max="8" width="7.42578125" style="3" customWidth="1"/>
    <col min="9" max="256" width="11.42578125" style="3"/>
    <col min="257" max="257" width="15.85546875" style="3" customWidth="1"/>
    <col min="258" max="258" width="14.85546875" style="3" customWidth="1"/>
    <col min="259" max="259" width="13.28515625" style="3" customWidth="1"/>
    <col min="260" max="260" width="11.42578125" style="3"/>
    <col min="261" max="261" width="13.42578125" style="3" customWidth="1"/>
    <col min="262" max="262" width="12.7109375" style="3" customWidth="1"/>
    <col min="263" max="263" width="14" style="3" customWidth="1"/>
    <col min="264" max="264" width="7.42578125" style="3" customWidth="1"/>
    <col min="265" max="512" width="11.42578125" style="3"/>
    <col min="513" max="513" width="15.85546875" style="3" customWidth="1"/>
    <col min="514" max="514" width="14.85546875" style="3" customWidth="1"/>
    <col min="515" max="515" width="13.28515625" style="3" customWidth="1"/>
    <col min="516" max="516" width="11.42578125" style="3"/>
    <col min="517" max="517" width="13.42578125" style="3" customWidth="1"/>
    <col min="518" max="518" width="12.7109375" style="3" customWidth="1"/>
    <col min="519" max="519" width="14" style="3" customWidth="1"/>
    <col min="520" max="520" width="7.42578125" style="3" customWidth="1"/>
    <col min="521" max="768" width="11.42578125" style="3"/>
    <col min="769" max="769" width="15.85546875" style="3" customWidth="1"/>
    <col min="770" max="770" width="14.85546875" style="3" customWidth="1"/>
    <col min="771" max="771" width="13.28515625" style="3" customWidth="1"/>
    <col min="772" max="772" width="11.42578125" style="3"/>
    <col min="773" max="773" width="13.42578125" style="3" customWidth="1"/>
    <col min="774" max="774" width="12.7109375" style="3" customWidth="1"/>
    <col min="775" max="775" width="14" style="3" customWidth="1"/>
    <col min="776" max="776" width="7.42578125" style="3" customWidth="1"/>
    <col min="777" max="1024" width="11.42578125" style="3"/>
    <col min="1025" max="1025" width="15.85546875" style="3" customWidth="1"/>
    <col min="1026" max="1026" width="14.85546875" style="3" customWidth="1"/>
    <col min="1027" max="1027" width="13.28515625" style="3" customWidth="1"/>
    <col min="1028" max="1028" width="11.42578125" style="3"/>
    <col min="1029" max="1029" width="13.42578125" style="3" customWidth="1"/>
    <col min="1030" max="1030" width="12.7109375" style="3" customWidth="1"/>
    <col min="1031" max="1031" width="14" style="3" customWidth="1"/>
    <col min="1032" max="1032" width="7.42578125" style="3" customWidth="1"/>
    <col min="1033" max="1280" width="11.42578125" style="3"/>
    <col min="1281" max="1281" width="15.85546875" style="3" customWidth="1"/>
    <col min="1282" max="1282" width="14.85546875" style="3" customWidth="1"/>
    <col min="1283" max="1283" width="13.28515625" style="3" customWidth="1"/>
    <col min="1284" max="1284" width="11.42578125" style="3"/>
    <col min="1285" max="1285" width="13.42578125" style="3" customWidth="1"/>
    <col min="1286" max="1286" width="12.7109375" style="3" customWidth="1"/>
    <col min="1287" max="1287" width="14" style="3" customWidth="1"/>
    <col min="1288" max="1288" width="7.42578125" style="3" customWidth="1"/>
    <col min="1289" max="1536" width="11.42578125" style="3"/>
    <col min="1537" max="1537" width="15.85546875" style="3" customWidth="1"/>
    <col min="1538" max="1538" width="14.85546875" style="3" customWidth="1"/>
    <col min="1539" max="1539" width="13.28515625" style="3" customWidth="1"/>
    <col min="1540" max="1540" width="11.42578125" style="3"/>
    <col min="1541" max="1541" width="13.42578125" style="3" customWidth="1"/>
    <col min="1542" max="1542" width="12.7109375" style="3" customWidth="1"/>
    <col min="1543" max="1543" width="14" style="3" customWidth="1"/>
    <col min="1544" max="1544" width="7.42578125" style="3" customWidth="1"/>
    <col min="1545" max="1792" width="11.42578125" style="3"/>
    <col min="1793" max="1793" width="15.85546875" style="3" customWidth="1"/>
    <col min="1794" max="1794" width="14.85546875" style="3" customWidth="1"/>
    <col min="1795" max="1795" width="13.28515625" style="3" customWidth="1"/>
    <col min="1796" max="1796" width="11.42578125" style="3"/>
    <col min="1797" max="1797" width="13.42578125" style="3" customWidth="1"/>
    <col min="1798" max="1798" width="12.7109375" style="3" customWidth="1"/>
    <col min="1799" max="1799" width="14" style="3" customWidth="1"/>
    <col min="1800" max="1800" width="7.42578125" style="3" customWidth="1"/>
    <col min="1801" max="2048" width="11.42578125" style="3"/>
    <col min="2049" max="2049" width="15.85546875" style="3" customWidth="1"/>
    <col min="2050" max="2050" width="14.85546875" style="3" customWidth="1"/>
    <col min="2051" max="2051" width="13.28515625" style="3" customWidth="1"/>
    <col min="2052" max="2052" width="11.42578125" style="3"/>
    <col min="2053" max="2053" width="13.42578125" style="3" customWidth="1"/>
    <col min="2054" max="2054" width="12.7109375" style="3" customWidth="1"/>
    <col min="2055" max="2055" width="14" style="3" customWidth="1"/>
    <col min="2056" max="2056" width="7.42578125" style="3" customWidth="1"/>
    <col min="2057" max="2304" width="11.42578125" style="3"/>
    <col min="2305" max="2305" width="15.85546875" style="3" customWidth="1"/>
    <col min="2306" max="2306" width="14.85546875" style="3" customWidth="1"/>
    <col min="2307" max="2307" width="13.28515625" style="3" customWidth="1"/>
    <col min="2308" max="2308" width="11.42578125" style="3"/>
    <col min="2309" max="2309" width="13.42578125" style="3" customWidth="1"/>
    <col min="2310" max="2310" width="12.7109375" style="3" customWidth="1"/>
    <col min="2311" max="2311" width="14" style="3" customWidth="1"/>
    <col min="2312" max="2312" width="7.42578125" style="3" customWidth="1"/>
    <col min="2313" max="2560" width="11.42578125" style="3"/>
    <col min="2561" max="2561" width="15.85546875" style="3" customWidth="1"/>
    <col min="2562" max="2562" width="14.85546875" style="3" customWidth="1"/>
    <col min="2563" max="2563" width="13.28515625" style="3" customWidth="1"/>
    <col min="2564" max="2564" width="11.42578125" style="3"/>
    <col min="2565" max="2565" width="13.42578125" style="3" customWidth="1"/>
    <col min="2566" max="2566" width="12.7109375" style="3" customWidth="1"/>
    <col min="2567" max="2567" width="14" style="3" customWidth="1"/>
    <col min="2568" max="2568" width="7.42578125" style="3" customWidth="1"/>
    <col min="2569" max="2816" width="11.42578125" style="3"/>
    <col min="2817" max="2817" width="15.85546875" style="3" customWidth="1"/>
    <col min="2818" max="2818" width="14.85546875" style="3" customWidth="1"/>
    <col min="2819" max="2819" width="13.28515625" style="3" customWidth="1"/>
    <col min="2820" max="2820" width="11.42578125" style="3"/>
    <col min="2821" max="2821" width="13.42578125" style="3" customWidth="1"/>
    <col min="2822" max="2822" width="12.7109375" style="3" customWidth="1"/>
    <col min="2823" max="2823" width="14" style="3" customWidth="1"/>
    <col min="2824" max="2824" width="7.42578125" style="3" customWidth="1"/>
    <col min="2825" max="3072" width="11.42578125" style="3"/>
    <col min="3073" max="3073" width="15.85546875" style="3" customWidth="1"/>
    <col min="3074" max="3074" width="14.85546875" style="3" customWidth="1"/>
    <col min="3075" max="3075" width="13.28515625" style="3" customWidth="1"/>
    <col min="3076" max="3076" width="11.42578125" style="3"/>
    <col min="3077" max="3077" width="13.42578125" style="3" customWidth="1"/>
    <col min="3078" max="3078" width="12.7109375" style="3" customWidth="1"/>
    <col min="3079" max="3079" width="14" style="3" customWidth="1"/>
    <col min="3080" max="3080" width="7.42578125" style="3" customWidth="1"/>
    <col min="3081" max="3328" width="11.42578125" style="3"/>
    <col min="3329" max="3329" width="15.85546875" style="3" customWidth="1"/>
    <col min="3330" max="3330" width="14.85546875" style="3" customWidth="1"/>
    <col min="3331" max="3331" width="13.28515625" style="3" customWidth="1"/>
    <col min="3332" max="3332" width="11.42578125" style="3"/>
    <col min="3333" max="3333" width="13.42578125" style="3" customWidth="1"/>
    <col min="3334" max="3334" width="12.7109375" style="3" customWidth="1"/>
    <col min="3335" max="3335" width="14" style="3" customWidth="1"/>
    <col min="3336" max="3336" width="7.42578125" style="3" customWidth="1"/>
    <col min="3337" max="3584" width="11.42578125" style="3"/>
    <col min="3585" max="3585" width="15.85546875" style="3" customWidth="1"/>
    <col min="3586" max="3586" width="14.85546875" style="3" customWidth="1"/>
    <col min="3587" max="3587" width="13.28515625" style="3" customWidth="1"/>
    <col min="3588" max="3588" width="11.42578125" style="3"/>
    <col min="3589" max="3589" width="13.42578125" style="3" customWidth="1"/>
    <col min="3590" max="3590" width="12.7109375" style="3" customWidth="1"/>
    <col min="3591" max="3591" width="14" style="3" customWidth="1"/>
    <col min="3592" max="3592" width="7.42578125" style="3" customWidth="1"/>
    <col min="3593" max="3840" width="11.42578125" style="3"/>
    <col min="3841" max="3841" width="15.85546875" style="3" customWidth="1"/>
    <col min="3842" max="3842" width="14.85546875" style="3" customWidth="1"/>
    <col min="3843" max="3843" width="13.28515625" style="3" customWidth="1"/>
    <col min="3844" max="3844" width="11.42578125" style="3"/>
    <col min="3845" max="3845" width="13.42578125" style="3" customWidth="1"/>
    <col min="3846" max="3846" width="12.7109375" style="3" customWidth="1"/>
    <col min="3847" max="3847" width="14" style="3" customWidth="1"/>
    <col min="3848" max="3848" width="7.42578125" style="3" customWidth="1"/>
    <col min="3849" max="4096" width="11.42578125" style="3"/>
    <col min="4097" max="4097" width="15.85546875" style="3" customWidth="1"/>
    <col min="4098" max="4098" width="14.85546875" style="3" customWidth="1"/>
    <col min="4099" max="4099" width="13.28515625" style="3" customWidth="1"/>
    <col min="4100" max="4100" width="11.42578125" style="3"/>
    <col min="4101" max="4101" width="13.42578125" style="3" customWidth="1"/>
    <col min="4102" max="4102" width="12.7109375" style="3" customWidth="1"/>
    <col min="4103" max="4103" width="14" style="3" customWidth="1"/>
    <col min="4104" max="4104" width="7.42578125" style="3" customWidth="1"/>
    <col min="4105" max="4352" width="11.42578125" style="3"/>
    <col min="4353" max="4353" width="15.85546875" style="3" customWidth="1"/>
    <col min="4354" max="4354" width="14.85546875" style="3" customWidth="1"/>
    <col min="4355" max="4355" width="13.28515625" style="3" customWidth="1"/>
    <col min="4356" max="4356" width="11.42578125" style="3"/>
    <col min="4357" max="4357" width="13.42578125" style="3" customWidth="1"/>
    <col min="4358" max="4358" width="12.7109375" style="3" customWidth="1"/>
    <col min="4359" max="4359" width="14" style="3" customWidth="1"/>
    <col min="4360" max="4360" width="7.42578125" style="3" customWidth="1"/>
    <col min="4361" max="4608" width="11.42578125" style="3"/>
    <col min="4609" max="4609" width="15.85546875" style="3" customWidth="1"/>
    <col min="4610" max="4610" width="14.85546875" style="3" customWidth="1"/>
    <col min="4611" max="4611" width="13.28515625" style="3" customWidth="1"/>
    <col min="4612" max="4612" width="11.42578125" style="3"/>
    <col min="4613" max="4613" width="13.42578125" style="3" customWidth="1"/>
    <col min="4614" max="4614" width="12.7109375" style="3" customWidth="1"/>
    <col min="4615" max="4615" width="14" style="3" customWidth="1"/>
    <col min="4616" max="4616" width="7.42578125" style="3" customWidth="1"/>
    <col min="4617" max="4864" width="11.42578125" style="3"/>
    <col min="4865" max="4865" width="15.85546875" style="3" customWidth="1"/>
    <col min="4866" max="4866" width="14.85546875" style="3" customWidth="1"/>
    <col min="4867" max="4867" width="13.28515625" style="3" customWidth="1"/>
    <col min="4868" max="4868" width="11.42578125" style="3"/>
    <col min="4869" max="4869" width="13.42578125" style="3" customWidth="1"/>
    <col min="4870" max="4870" width="12.7109375" style="3" customWidth="1"/>
    <col min="4871" max="4871" width="14" style="3" customWidth="1"/>
    <col min="4872" max="4872" width="7.42578125" style="3" customWidth="1"/>
    <col min="4873" max="5120" width="11.42578125" style="3"/>
    <col min="5121" max="5121" width="15.85546875" style="3" customWidth="1"/>
    <col min="5122" max="5122" width="14.85546875" style="3" customWidth="1"/>
    <col min="5123" max="5123" width="13.28515625" style="3" customWidth="1"/>
    <col min="5124" max="5124" width="11.42578125" style="3"/>
    <col min="5125" max="5125" width="13.42578125" style="3" customWidth="1"/>
    <col min="5126" max="5126" width="12.7109375" style="3" customWidth="1"/>
    <col min="5127" max="5127" width="14" style="3" customWidth="1"/>
    <col min="5128" max="5128" width="7.42578125" style="3" customWidth="1"/>
    <col min="5129" max="5376" width="11.42578125" style="3"/>
    <col min="5377" max="5377" width="15.85546875" style="3" customWidth="1"/>
    <col min="5378" max="5378" width="14.85546875" style="3" customWidth="1"/>
    <col min="5379" max="5379" width="13.28515625" style="3" customWidth="1"/>
    <col min="5380" max="5380" width="11.42578125" style="3"/>
    <col min="5381" max="5381" width="13.42578125" style="3" customWidth="1"/>
    <col min="5382" max="5382" width="12.7109375" style="3" customWidth="1"/>
    <col min="5383" max="5383" width="14" style="3" customWidth="1"/>
    <col min="5384" max="5384" width="7.42578125" style="3" customWidth="1"/>
    <col min="5385" max="5632" width="11.42578125" style="3"/>
    <col min="5633" max="5633" width="15.85546875" style="3" customWidth="1"/>
    <col min="5634" max="5634" width="14.85546875" style="3" customWidth="1"/>
    <col min="5635" max="5635" width="13.28515625" style="3" customWidth="1"/>
    <col min="5636" max="5636" width="11.42578125" style="3"/>
    <col min="5637" max="5637" width="13.42578125" style="3" customWidth="1"/>
    <col min="5638" max="5638" width="12.7109375" style="3" customWidth="1"/>
    <col min="5639" max="5639" width="14" style="3" customWidth="1"/>
    <col min="5640" max="5640" width="7.42578125" style="3" customWidth="1"/>
    <col min="5641" max="5888" width="11.42578125" style="3"/>
    <col min="5889" max="5889" width="15.85546875" style="3" customWidth="1"/>
    <col min="5890" max="5890" width="14.85546875" style="3" customWidth="1"/>
    <col min="5891" max="5891" width="13.28515625" style="3" customWidth="1"/>
    <col min="5892" max="5892" width="11.42578125" style="3"/>
    <col min="5893" max="5893" width="13.42578125" style="3" customWidth="1"/>
    <col min="5894" max="5894" width="12.7109375" style="3" customWidth="1"/>
    <col min="5895" max="5895" width="14" style="3" customWidth="1"/>
    <col min="5896" max="5896" width="7.42578125" style="3" customWidth="1"/>
    <col min="5897" max="6144" width="11.42578125" style="3"/>
    <col min="6145" max="6145" width="15.85546875" style="3" customWidth="1"/>
    <col min="6146" max="6146" width="14.85546875" style="3" customWidth="1"/>
    <col min="6147" max="6147" width="13.28515625" style="3" customWidth="1"/>
    <col min="6148" max="6148" width="11.42578125" style="3"/>
    <col min="6149" max="6149" width="13.42578125" style="3" customWidth="1"/>
    <col min="6150" max="6150" width="12.7109375" style="3" customWidth="1"/>
    <col min="6151" max="6151" width="14" style="3" customWidth="1"/>
    <col min="6152" max="6152" width="7.42578125" style="3" customWidth="1"/>
    <col min="6153" max="6400" width="11.42578125" style="3"/>
    <col min="6401" max="6401" width="15.85546875" style="3" customWidth="1"/>
    <col min="6402" max="6402" width="14.85546875" style="3" customWidth="1"/>
    <col min="6403" max="6403" width="13.28515625" style="3" customWidth="1"/>
    <col min="6404" max="6404" width="11.42578125" style="3"/>
    <col min="6405" max="6405" width="13.42578125" style="3" customWidth="1"/>
    <col min="6406" max="6406" width="12.7109375" style="3" customWidth="1"/>
    <col min="6407" max="6407" width="14" style="3" customWidth="1"/>
    <col min="6408" max="6408" width="7.42578125" style="3" customWidth="1"/>
    <col min="6409" max="6656" width="11.42578125" style="3"/>
    <col min="6657" max="6657" width="15.85546875" style="3" customWidth="1"/>
    <col min="6658" max="6658" width="14.85546875" style="3" customWidth="1"/>
    <col min="6659" max="6659" width="13.28515625" style="3" customWidth="1"/>
    <col min="6660" max="6660" width="11.42578125" style="3"/>
    <col min="6661" max="6661" width="13.42578125" style="3" customWidth="1"/>
    <col min="6662" max="6662" width="12.7109375" style="3" customWidth="1"/>
    <col min="6663" max="6663" width="14" style="3" customWidth="1"/>
    <col min="6664" max="6664" width="7.42578125" style="3" customWidth="1"/>
    <col min="6665" max="6912" width="11.42578125" style="3"/>
    <col min="6913" max="6913" width="15.85546875" style="3" customWidth="1"/>
    <col min="6914" max="6914" width="14.85546875" style="3" customWidth="1"/>
    <col min="6915" max="6915" width="13.28515625" style="3" customWidth="1"/>
    <col min="6916" max="6916" width="11.42578125" style="3"/>
    <col min="6917" max="6917" width="13.42578125" style="3" customWidth="1"/>
    <col min="6918" max="6918" width="12.7109375" style="3" customWidth="1"/>
    <col min="6919" max="6919" width="14" style="3" customWidth="1"/>
    <col min="6920" max="6920" width="7.42578125" style="3" customWidth="1"/>
    <col min="6921" max="7168" width="11.42578125" style="3"/>
    <col min="7169" max="7169" width="15.85546875" style="3" customWidth="1"/>
    <col min="7170" max="7170" width="14.85546875" style="3" customWidth="1"/>
    <col min="7171" max="7171" width="13.28515625" style="3" customWidth="1"/>
    <col min="7172" max="7172" width="11.42578125" style="3"/>
    <col min="7173" max="7173" width="13.42578125" style="3" customWidth="1"/>
    <col min="7174" max="7174" width="12.7109375" style="3" customWidth="1"/>
    <col min="7175" max="7175" width="14" style="3" customWidth="1"/>
    <col min="7176" max="7176" width="7.42578125" style="3" customWidth="1"/>
    <col min="7177" max="7424" width="11.42578125" style="3"/>
    <col min="7425" max="7425" width="15.85546875" style="3" customWidth="1"/>
    <col min="7426" max="7426" width="14.85546875" style="3" customWidth="1"/>
    <col min="7427" max="7427" width="13.28515625" style="3" customWidth="1"/>
    <col min="7428" max="7428" width="11.42578125" style="3"/>
    <col min="7429" max="7429" width="13.42578125" style="3" customWidth="1"/>
    <col min="7430" max="7430" width="12.7109375" style="3" customWidth="1"/>
    <col min="7431" max="7431" width="14" style="3" customWidth="1"/>
    <col min="7432" max="7432" width="7.42578125" style="3" customWidth="1"/>
    <col min="7433" max="7680" width="11.42578125" style="3"/>
    <col min="7681" max="7681" width="15.85546875" style="3" customWidth="1"/>
    <col min="7682" max="7682" width="14.85546875" style="3" customWidth="1"/>
    <col min="7683" max="7683" width="13.28515625" style="3" customWidth="1"/>
    <col min="7684" max="7684" width="11.42578125" style="3"/>
    <col min="7685" max="7685" width="13.42578125" style="3" customWidth="1"/>
    <col min="7686" max="7686" width="12.7109375" style="3" customWidth="1"/>
    <col min="7687" max="7687" width="14" style="3" customWidth="1"/>
    <col min="7688" max="7688" width="7.42578125" style="3" customWidth="1"/>
    <col min="7689" max="7936" width="11.42578125" style="3"/>
    <col min="7937" max="7937" width="15.85546875" style="3" customWidth="1"/>
    <col min="7938" max="7938" width="14.85546875" style="3" customWidth="1"/>
    <col min="7939" max="7939" width="13.28515625" style="3" customWidth="1"/>
    <col min="7940" max="7940" width="11.42578125" style="3"/>
    <col min="7941" max="7941" width="13.42578125" style="3" customWidth="1"/>
    <col min="7942" max="7942" width="12.7109375" style="3" customWidth="1"/>
    <col min="7943" max="7943" width="14" style="3" customWidth="1"/>
    <col min="7944" max="7944" width="7.42578125" style="3" customWidth="1"/>
    <col min="7945" max="8192" width="11.42578125" style="3"/>
    <col min="8193" max="8193" width="15.85546875" style="3" customWidth="1"/>
    <col min="8194" max="8194" width="14.85546875" style="3" customWidth="1"/>
    <col min="8195" max="8195" width="13.28515625" style="3" customWidth="1"/>
    <col min="8196" max="8196" width="11.42578125" style="3"/>
    <col min="8197" max="8197" width="13.42578125" style="3" customWidth="1"/>
    <col min="8198" max="8198" width="12.7109375" style="3" customWidth="1"/>
    <col min="8199" max="8199" width="14" style="3" customWidth="1"/>
    <col min="8200" max="8200" width="7.42578125" style="3" customWidth="1"/>
    <col min="8201" max="8448" width="11.42578125" style="3"/>
    <col min="8449" max="8449" width="15.85546875" style="3" customWidth="1"/>
    <col min="8450" max="8450" width="14.85546875" style="3" customWidth="1"/>
    <col min="8451" max="8451" width="13.28515625" style="3" customWidth="1"/>
    <col min="8452" max="8452" width="11.42578125" style="3"/>
    <col min="8453" max="8453" width="13.42578125" style="3" customWidth="1"/>
    <col min="8454" max="8454" width="12.7109375" style="3" customWidth="1"/>
    <col min="8455" max="8455" width="14" style="3" customWidth="1"/>
    <col min="8456" max="8456" width="7.42578125" style="3" customWidth="1"/>
    <col min="8457" max="8704" width="11.42578125" style="3"/>
    <col min="8705" max="8705" width="15.85546875" style="3" customWidth="1"/>
    <col min="8706" max="8706" width="14.85546875" style="3" customWidth="1"/>
    <col min="8707" max="8707" width="13.28515625" style="3" customWidth="1"/>
    <col min="8708" max="8708" width="11.42578125" style="3"/>
    <col min="8709" max="8709" width="13.42578125" style="3" customWidth="1"/>
    <col min="8710" max="8710" width="12.7109375" style="3" customWidth="1"/>
    <col min="8711" max="8711" width="14" style="3" customWidth="1"/>
    <col min="8712" max="8712" width="7.42578125" style="3" customWidth="1"/>
    <col min="8713" max="8960" width="11.42578125" style="3"/>
    <col min="8961" max="8961" width="15.85546875" style="3" customWidth="1"/>
    <col min="8962" max="8962" width="14.85546875" style="3" customWidth="1"/>
    <col min="8963" max="8963" width="13.28515625" style="3" customWidth="1"/>
    <col min="8964" max="8964" width="11.42578125" style="3"/>
    <col min="8965" max="8965" width="13.42578125" style="3" customWidth="1"/>
    <col min="8966" max="8966" width="12.7109375" style="3" customWidth="1"/>
    <col min="8967" max="8967" width="14" style="3" customWidth="1"/>
    <col min="8968" max="8968" width="7.42578125" style="3" customWidth="1"/>
    <col min="8969" max="9216" width="11.42578125" style="3"/>
    <col min="9217" max="9217" width="15.85546875" style="3" customWidth="1"/>
    <col min="9218" max="9218" width="14.85546875" style="3" customWidth="1"/>
    <col min="9219" max="9219" width="13.28515625" style="3" customWidth="1"/>
    <col min="9220" max="9220" width="11.42578125" style="3"/>
    <col min="9221" max="9221" width="13.42578125" style="3" customWidth="1"/>
    <col min="9222" max="9222" width="12.7109375" style="3" customWidth="1"/>
    <col min="9223" max="9223" width="14" style="3" customWidth="1"/>
    <col min="9224" max="9224" width="7.42578125" style="3" customWidth="1"/>
    <col min="9225" max="9472" width="11.42578125" style="3"/>
    <col min="9473" max="9473" width="15.85546875" style="3" customWidth="1"/>
    <col min="9474" max="9474" width="14.85546875" style="3" customWidth="1"/>
    <col min="9475" max="9475" width="13.28515625" style="3" customWidth="1"/>
    <col min="9476" max="9476" width="11.42578125" style="3"/>
    <col min="9477" max="9477" width="13.42578125" style="3" customWidth="1"/>
    <col min="9478" max="9478" width="12.7109375" style="3" customWidth="1"/>
    <col min="9479" max="9479" width="14" style="3" customWidth="1"/>
    <col min="9480" max="9480" width="7.42578125" style="3" customWidth="1"/>
    <col min="9481" max="9728" width="11.42578125" style="3"/>
    <col min="9729" max="9729" width="15.85546875" style="3" customWidth="1"/>
    <col min="9730" max="9730" width="14.85546875" style="3" customWidth="1"/>
    <col min="9731" max="9731" width="13.28515625" style="3" customWidth="1"/>
    <col min="9732" max="9732" width="11.42578125" style="3"/>
    <col min="9733" max="9733" width="13.42578125" style="3" customWidth="1"/>
    <col min="9734" max="9734" width="12.7109375" style="3" customWidth="1"/>
    <col min="9735" max="9735" width="14" style="3" customWidth="1"/>
    <col min="9736" max="9736" width="7.42578125" style="3" customWidth="1"/>
    <col min="9737" max="9984" width="11.42578125" style="3"/>
    <col min="9985" max="9985" width="15.85546875" style="3" customWidth="1"/>
    <col min="9986" max="9986" width="14.85546875" style="3" customWidth="1"/>
    <col min="9987" max="9987" width="13.28515625" style="3" customWidth="1"/>
    <col min="9988" max="9988" width="11.42578125" style="3"/>
    <col min="9989" max="9989" width="13.42578125" style="3" customWidth="1"/>
    <col min="9990" max="9990" width="12.7109375" style="3" customWidth="1"/>
    <col min="9991" max="9991" width="14" style="3" customWidth="1"/>
    <col min="9992" max="9992" width="7.42578125" style="3" customWidth="1"/>
    <col min="9993" max="10240" width="11.42578125" style="3"/>
    <col min="10241" max="10241" width="15.85546875" style="3" customWidth="1"/>
    <col min="10242" max="10242" width="14.85546875" style="3" customWidth="1"/>
    <col min="10243" max="10243" width="13.28515625" style="3" customWidth="1"/>
    <col min="10244" max="10244" width="11.42578125" style="3"/>
    <col min="10245" max="10245" width="13.42578125" style="3" customWidth="1"/>
    <col min="10246" max="10246" width="12.7109375" style="3" customWidth="1"/>
    <col min="10247" max="10247" width="14" style="3" customWidth="1"/>
    <col min="10248" max="10248" width="7.42578125" style="3" customWidth="1"/>
    <col min="10249" max="10496" width="11.42578125" style="3"/>
    <col min="10497" max="10497" width="15.85546875" style="3" customWidth="1"/>
    <col min="10498" max="10498" width="14.85546875" style="3" customWidth="1"/>
    <col min="10499" max="10499" width="13.28515625" style="3" customWidth="1"/>
    <col min="10500" max="10500" width="11.42578125" style="3"/>
    <col min="10501" max="10501" width="13.42578125" style="3" customWidth="1"/>
    <col min="10502" max="10502" width="12.7109375" style="3" customWidth="1"/>
    <col min="10503" max="10503" width="14" style="3" customWidth="1"/>
    <col min="10504" max="10504" width="7.42578125" style="3" customWidth="1"/>
    <col min="10505" max="10752" width="11.42578125" style="3"/>
    <col min="10753" max="10753" width="15.85546875" style="3" customWidth="1"/>
    <col min="10754" max="10754" width="14.85546875" style="3" customWidth="1"/>
    <col min="10755" max="10755" width="13.28515625" style="3" customWidth="1"/>
    <col min="10756" max="10756" width="11.42578125" style="3"/>
    <col min="10757" max="10757" width="13.42578125" style="3" customWidth="1"/>
    <col min="10758" max="10758" width="12.7109375" style="3" customWidth="1"/>
    <col min="10759" max="10759" width="14" style="3" customWidth="1"/>
    <col min="10760" max="10760" width="7.42578125" style="3" customWidth="1"/>
    <col min="10761" max="11008" width="11.42578125" style="3"/>
    <col min="11009" max="11009" width="15.85546875" style="3" customWidth="1"/>
    <col min="11010" max="11010" width="14.85546875" style="3" customWidth="1"/>
    <col min="11011" max="11011" width="13.28515625" style="3" customWidth="1"/>
    <col min="11012" max="11012" width="11.42578125" style="3"/>
    <col min="11013" max="11013" width="13.42578125" style="3" customWidth="1"/>
    <col min="11014" max="11014" width="12.7109375" style="3" customWidth="1"/>
    <col min="11015" max="11015" width="14" style="3" customWidth="1"/>
    <col min="11016" max="11016" width="7.42578125" style="3" customWidth="1"/>
    <col min="11017" max="11264" width="11.42578125" style="3"/>
    <col min="11265" max="11265" width="15.85546875" style="3" customWidth="1"/>
    <col min="11266" max="11266" width="14.85546875" style="3" customWidth="1"/>
    <col min="11267" max="11267" width="13.28515625" style="3" customWidth="1"/>
    <col min="11268" max="11268" width="11.42578125" style="3"/>
    <col min="11269" max="11269" width="13.42578125" style="3" customWidth="1"/>
    <col min="11270" max="11270" width="12.7109375" style="3" customWidth="1"/>
    <col min="11271" max="11271" width="14" style="3" customWidth="1"/>
    <col min="11272" max="11272" width="7.42578125" style="3" customWidth="1"/>
    <col min="11273" max="11520" width="11.42578125" style="3"/>
    <col min="11521" max="11521" width="15.85546875" style="3" customWidth="1"/>
    <col min="11522" max="11522" width="14.85546875" style="3" customWidth="1"/>
    <col min="11523" max="11523" width="13.28515625" style="3" customWidth="1"/>
    <col min="11524" max="11524" width="11.42578125" style="3"/>
    <col min="11525" max="11525" width="13.42578125" style="3" customWidth="1"/>
    <col min="11526" max="11526" width="12.7109375" style="3" customWidth="1"/>
    <col min="11527" max="11527" width="14" style="3" customWidth="1"/>
    <col min="11528" max="11528" width="7.42578125" style="3" customWidth="1"/>
    <col min="11529" max="11776" width="11.42578125" style="3"/>
    <col min="11777" max="11777" width="15.85546875" style="3" customWidth="1"/>
    <col min="11778" max="11778" width="14.85546875" style="3" customWidth="1"/>
    <col min="11779" max="11779" width="13.28515625" style="3" customWidth="1"/>
    <col min="11780" max="11780" width="11.42578125" style="3"/>
    <col min="11781" max="11781" width="13.42578125" style="3" customWidth="1"/>
    <col min="11782" max="11782" width="12.7109375" style="3" customWidth="1"/>
    <col min="11783" max="11783" width="14" style="3" customWidth="1"/>
    <col min="11784" max="11784" width="7.42578125" style="3" customWidth="1"/>
    <col min="11785" max="12032" width="11.42578125" style="3"/>
    <col min="12033" max="12033" width="15.85546875" style="3" customWidth="1"/>
    <col min="12034" max="12034" width="14.85546875" style="3" customWidth="1"/>
    <col min="12035" max="12035" width="13.28515625" style="3" customWidth="1"/>
    <col min="12036" max="12036" width="11.42578125" style="3"/>
    <col min="12037" max="12037" width="13.42578125" style="3" customWidth="1"/>
    <col min="12038" max="12038" width="12.7109375" style="3" customWidth="1"/>
    <col min="12039" max="12039" width="14" style="3" customWidth="1"/>
    <col min="12040" max="12040" width="7.42578125" style="3" customWidth="1"/>
    <col min="12041" max="12288" width="11.42578125" style="3"/>
    <col min="12289" max="12289" width="15.85546875" style="3" customWidth="1"/>
    <col min="12290" max="12290" width="14.85546875" style="3" customWidth="1"/>
    <col min="12291" max="12291" width="13.28515625" style="3" customWidth="1"/>
    <col min="12292" max="12292" width="11.42578125" style="3"/>
    <col min="12293" max="12293" width="13.42578125" style="3" customWidth="1"/>
    <col min="12294" max="12294" width="12.7109375" style="3" customWidth="1"/>
    <col min="12295" max="12295" width="14" style="3" customWidth="1"/>
    <col min="12296" max="12296" width="7.42578125" style="3" customWidth="1"/>
    <col min="12297" max="12544" width="11.42578125" style="3"/>
    <col min="12545" max="12545" width="15.85546875" style="3" customWidth="1"/>
    <col min="12546" max="12546" width="14.85546875" style="3" customWidth="1"/>
    <col min="12547" max="12547" width="13.28515625" style="3" customWidth="1"/>
    <col min="12548" max="12548" width="11.42578125" style="3"/>
    <col min="12549" max="12549" width="13.42578125" style="3" customWidth="1"/>
    <col min="12550" max="12550" width="12.7109375" style="3" customWidth="1"/>
    <col min="12551" max="12551" width="14" style="3" customWidth="1"/>
    <col min="12552" max="12552" width="7.42578125" style="3" customWidth="1"/>
    <col min="12553" max="12800" width="11.42578125" style="3"/>
    <col min="12801" max="12801" width="15.85546875" style="3" customWidth="1"/>
    <col min="12802" max="12802" width="14.85546875" style="3" customWidth="1"/>
    <col min="12803" max="12803" width="13.28515625" style="3" customWidth="1"/>
    <col min="12804" max="12804" width="11.42578125" style="3"/>
    <col min="12805" max="12805" width="13.42578125" style="3" customWidth="1"/>
    <col min="12806" max="12806" width="12.7109375" style="3" customWidth="1"/>
    <col min="12807" max="12807" width="14" style="3" customWidth="1"/>
    <col min="12808" max="12808" width="7.42578125" style="3" customWidth="1"/>
    <col min="12809" max="13056" width="11.42578125" style="3"/>
    <col min="13057" max="13057" width="15.85546875" style="3" customWidth="1"/>
    <col min="13058" max="13058" width="14.85546875" style="3" customWidth="1"/>
    <col min="13059" max="13059" width="13.28515625" style="3" customWidth="1"/>
    <col min="13060" max="13060" width="11.42578125" style="3"/>
    <col min="13061" max="13061" width="13.42578125" style="3" customWidth="1"/>
    <col min="13062" max="13062" width="12.7109375" style="3" customWidth="1"/>
    <col min="13063" max="13063" width="14" style="3" customWidth="1"/>
    <col min="13064" max="13064" width="7.42578125" style="3" customWidth="1"/>
    <col min="13065" max="13312" width="11.42578125" style="3"/>
    <col min="13313" max="13313" width="15.85546875" style="3" customWidth="1"/>
    <col min="13314" max="13314" width="14.85546875" style="3" customWidth="1"/>
    <col min="13315" max="13315" width="13.28515625" style="3" customWidth="1"/>
    <col min="13316" max="13316" width="11.42578125" style="3"/>
    <col min="13317" max="13317" width="13.42578125" style="3" customWidth="1"/>
    <col min="13318" max="13318" width="12.7109375" style="3" customWidth="1"/>
    <col min="13319" max="13319" width="14" style="3" customWidth="1"/>
    <col min="13320" max="13320" width="7.42578125" style="3" customWidth="1"/>
    <col min="13321" max="13568" width="11.42578125" style="3"/>
    <col min="13569" max="13569" width="15.85546875" style="3" customWidth="1"/>
    <col min="13570" max="13570" width="14.85546875" style="3" customWidth="1"/>
    <col min="13571" max="13571" width="13.28515625" style="3" customWidth="1"/>
    <col min="13572" max="13572" width="11.42578125" style="3"/>
    <col min="13573" max="13573" width="13.42578125" style="3" customWidth="1"/>
    <col min="13574" max="13574" width="12.7109375" style="3" customWidth="1"/>
    <col min="13575" max="13575" width="14" style="3" customWidth="1"/>
    <col min="13576" max="13576" width="7.42578125" style="3" customWidth="1"/>
    <col min="13577" max="13824" width="11.42578125" style="3"/>
    <col min="13825" max="13825" width="15.85546875" style="3" customWidth="1"/>
    <col min="13826" max="13826" width="14.85546875" style="3" customWidth="1"/>
    <col min="13827" max="13827" width="13.28515625" style="3" customWidth="1"/>
    <col min="13828" max="13828" width="11.42578125" style="3"/>
    <col min="13829" max="13829" width="13.42578125" style="3" customWidth="1"/>
    <col min="13830" max="13830" width="12.7109375" style="3" customWidth="1"/>
    <col min="13831" max="13831" width="14" style="3" customWidth="1"/>
    <col min="13832" max="13832" width="7.42578125" style="3" customWidth="1"/>
    <col min="13833" max="14080" width="11.42578125" style="3"/>
    <col min="14081" max="14081" width="15.85546875" style="3" customWidth="1"/>
    <col min="14082" max="14082" width="14.85546875" style="3" customWidth="1"/>
    <col min="14083" max="14083" width="13.28515625" style="3" customWidth="1"/>
    <col min="14084" max="14084" width="11.42578125" style="3"/>
    <col min="14085" max="14085" width="13.42578125" style="3" customWidth="1"/>
    <col min="14086" max="14086" width="12.7109375" style="3" customWidth="1"/>
    <col min="14087" max="14087" width="14" style="3" customWidth="1"/>
    <col min="14088" max="14088" width="7.42578125" style="3" customWidth="1"/>
    <col min="14089" max="14336" width="11.42578125" style="3"/>
    <col min="14337" max="14337" width="15.85546875" style="3" customWidth="1"/>
    <col min="14338" max="14338" width="14.85546875" style="3" customWidth="1"/>
    <col min="14339" max="14339" width="13.28515625" style="3" customWidth="1"/>
    <col min="14340" max="14340" width="11.42578125" style="3"/>
    <col min="14341" max="14341" width="13.42578125" style="3" customWidth="1"/>
    <col min="14342" max="14342" width="12.7109375" style="3" customWidth="1"/>
    <col min="14343" max="14343" width="14" style="3" customWidth="1"/>
    <col min="14344" max="14344" width="7.42578125" style="3" customWidth="1"/>
    <col min="14345" max="14592" width="11.42578125" style="3"/>
    <col min="14593" max="14593" width="15.85546875" style="3" customWidth="1"/>
    <col min="14594" max="14594" width="14.85546875" style="3" customWidth="1"/>
    <col min="14595" max="14595" width="13.28515625" style="3" customWidth="1"/>
    <col min="14596" max="14596" width="11.42578125" style="3"/>
    <col min="14597" max="14597" width="13.42578125" style="3" customWidth="1"/>
    <col min="14598" max="14598" width="12.7109375" style="3" customWidth="1"/>
    <col min="14599" max="14599" width="14" style="3" customWidth="1"/>
    <col min="14600" max="14600" width="7.42578125" style="3" customWidth="1"/>
    <col min="14601" max="14848" width="11.42578125" style="3"/>
    <col min="14849" max="14849" width="15.85546875" style="3" customWidth="1"/>
    <col min="14850" max="14850" width="14.85546875" style="3" customWidth="1"/>
    <col min="14851" max="14851" width="13.28515625" style="3" customWidth="1"/>
    <col min="14852" max="14852" width="11.42578125" style="3"/>
    <col min="14853" max="14853" width="13.42578125" style="3" customWidth="1"/>
    <col min="14854" max="14854" width="12.7109375" style="3" customWidth="1"/>
    <col min="14855" max="14855" width="14" style="3" customWidth="1"/>
    <col min="14856" max="14856" width="7.42578125" style="3" customWidth="1"/>
    <col min="14857" max="15104" width="11.42578125" style="3"/>
    <col min="15105" max="15105" width="15.85546875" style="3" customWidth="1"/>
    <col min="15106" max="15106" width="14.85546875" style="3" customWidth="1"/>
    <col min="15107" max="15107" width="13.28515625" style="3" customWidth="1"/>
    <col min="15108" max="15108" width="11.42578125" style="3"/>
    <col min="15109" max="15109" width="13.42578125" style="3" customWidth="1"/>
    <col min="15110" max="15110" width="12.7109375" style="3" customWidth="1"/>
    <col min="15111" max="15111" width="14" style="3" customWidth="1"/>
    <col min="15112" max="15112" width="7.42578125" style="3" customWidth="1"/>
    <col min="15113" max="15360" width="11.42578125" style="3"/>
    <col min="15361" max="15361" width="15.85546875" style="3" customWidth="1"/>
    <col min="15362" max="15362" width="14.85546875" style="3" customWidth="1"/>
    <col min="15363" max="15363" width="13.28515625" style="3" customWidth="1"/>
    <col min="15364" max="15364" width="11.42578125" style="3"/>
    <col min="15365" max="15365" width="13.42578125" style="3" customWidth="1"/>
    <col min="15366" max="15366" width="12.7109375" style="3" customWidth="1"/>
    <col min="15367" max="15367" width="14" style="3" customWidth="1"/>
    <col min="15368" max="15368" width="7.42578125" style="3" customWidth="1"/>
    <col min="15369" max="15616" width="11.42578125" style="3"/>
    <col min="15617" max="15617" width="15.85546875" style="3" customWidth="1"/>
    <col min="15618" max="15618" width="14.85546875" style="3" customWidth="1"/>
    <col min="15619" max="15619" width="13.28515625" style="3" customWidth="1"/>
    <col min="15620" max="15620" width="11.42578125" style="3"/>
    <col min="15621" max="15621" width="13.42578125" style="3" customWidth="1"/>
    <col min="15622" max="15622" width="12.7109375" style="3" customWidth="1"/>
    <col min="15623" max="15623" width="14" style="3" customWidth="1"/>
    <col min="15624" max="15624" width="7.42578125" style="3" customWidth="1"/>
    <col min="15625" max="15872" width="11.42578125" style="3"/>
    <col min="15873" max="15873" width="15.85546875" style="3" customWidth="1"/>
    <col min="15874" max="15874" width="14.85546875" style="3" customWidth="1"/>
    <col min="15875" max="15875" width="13.28515625" style="3" customWidth="1"/>
    <col min="15876" max="15876" width="11.42578125" style="3"/>
    <col min="15877" max="15877" width="13.42578125" style="3" customWidth="1"/>
    <col min="15878" max="15878" width="12.7109375" style="3" customWidth="1"/>
    <col min="15879" max="15879" width="14" style="3" customWidth="1"/>
    <col min="15880" max="15880" width="7.42578125" style="3" customWidth="1"/>
    <col min="15881" max="16128" width="11.42578125" style="3"/>
    <col min="16129" max="16129" width="15.85546875" style="3" customWidth="1"/>
    <col min="16130" max="16130" width="14.85546875" style="3" customWidth="1"/>
    <col min="16131" max="16131" width="13.28515625" style="3" customWidth="1"/>
    <col min="16132" max="16132" width="11.42578125" style="3"/>
    <col min="16133" max="16133" width="13.42578125" style="3" customWidth="1"/>
    <col min="16134" max="16134" width="12.7109375" style="3" customWidth="1"/>
    <col min="16135" max="16135" width="14" style="3" customWidth="1"/>
    <col min="16136" max="16136" width="7.42578125" style="3" customWidth="1"/>
    <col min="16137" max="16384" width="11.42578125" style="3"/>
  </cols>
  <sheetData>
    <row r="1" spans="1:21" ht="20.25">
      <c r="A1" s="1346" t="str">
        <f>PPTO!D3</f>
        <v>PRESUPUESTO
MUNICIPIO EL BAGRE (ANTIOQUIA).</v>
      </c>
      <c r="B1" s="1347"/>
      <c r="C1" s="1347"/>
      <c r="D1" s="1347"/>
      <c r="E1" s="1347"/>
      <c r="F1" s="1347"/>
      <c r="G1" s="1348"/>
      <c r="H1" s="1"/>
      <c r="I1" s="2"/>
    </row>
    <row r="2" spans="1:21" ht="18" customHeight="1">
      <c r="A2" s="1362" t="s">
        <v>16</v>
      </c>
      <c r="B2" s="1363"/>
      <c r="C2" s="1363"/>
      <c r="D2" s="1363"/>
      <c r="E2" s="1363"/>
      <c r="F2" s="1363"/>
      <c r="G2" s="1364"/>
      <c r="H2" s="1"/>
      <c r="I2" s="2"/>
    </row>
    <row r="3" spans="1:21" ht="27" customHeight="1">
      <c r="A3" s="1367" t="str">
        <f>+PPTO!$D$5</f>
        <v>PROYECTO DE MEJORAMIENTO VIAL, ESPACIO PUBLICO Y OBRAS COMPLEMENTARIAS DE LA AVENIDA LA JUVENTUD Y TRAMOS ADYACENTES Y PRIORITARIOS DEL SECTOR URBANO EN EL MUNICIPIO EL BAGRE ANTIOQUIA.</v>
      </c>
      <c r="B3" s="1368"/>
      <c r="C3" s="1368"/>
      <c r="D3" s="1368"/>
      <c r="E3" s="1368"/>
      <c r="F3" s="1368"/>
      <c r="G3" s="1369"/>
      <c r="H3" s="1"/>
      <c r="I3" s="2"/>
    </row>
    <row r="4" spans="1:21" ht="15.75" customHeight="1">
      <c r="A4" s="1370"/>
      <c r="B4" s="1368"/>
      <c r="C4" s="1368"/>
      <c r="D4" s="1368"/>
      <c r="E4" s="1368"/>
      <c r="F4" s="1368"/>
      <c r="G4" s="1369"/>
      <c r="H4" s="1"/>
      <c r="I4" s="2"/>
    </row>
    <row r="5" spans="1:21" ht="6.75" customHeight="1">
      <c r="A5" s="222"/>
      <c r="B5" s="6"/>
      <c r="C5" s="24"/>
      <c r="D5" s="25"/>
      <c r="E5" s="6"/>
      <c r="F5" s="6"/>
      <c r="G5" s="223"/>
      <c r="H5" s="9"/>
    </row>
    <row r="6" spans="1:21">
      <c r="A6" s="371" t="s">
        <v>305</v>
      </c>
      <c r="B6" s="1349" t="e">
        <f>VLOOKUP(A6,PPTO!D9:I136,2,FALSE)</f>
        <v>#N/A</v>
      </c>
      <c r="C6" s="1350"/>
      <c r="D6" s="1350"/>
      <c r="E6" s="1351"/>
      <c r="F6" s="192" t="s">
        <v>118</v>
      </c>
      <c r="G6" s="248" t="e">
        <f>VLOOKUP(A6,PPTO!D9:I136,3,FALSE)</f>
        <v>#N/A</v>
      </c>
      <c r="H6" s="9"/>
    </row>
    <row r="7" spans="1:21" ht="3.75" customHeight="1">
      <c r="A7" s="226"/>
      <c r="B7" s="4"/>
      <c r="C7" s="6"/>
      <c r="D7" s="4"/>
      <c r="E7" s="4"/>
      <c r="F7" s="4"/>
      <c r="G7" s="227"/>
      <c r="H7" s="9"/>
    </row>
    <row r="8" spans="1:21" ht="22.5" customHeight="1">
      <c r="A8" s="1354" t="s">
        <v>69</v>
      </c>
      <c r="B8" s="1355"/>
      <c r="C8" s="1355"/>
      <c r="D8" s="1355"/>
      <c r="E8" s="1355"/>
      <c r="F8" s="1355"/>
      <c r="G8" s="1356"/>
      <c r="H8" s="9"/>
    </row>
    <row r="9" spans="1:21" ht="4.5" customHeight="1">
      <c r="A9" s="226"/>
      <c r="B9" s="4"/>
      <c r="C9" s="6"/>
      <c r="D9" s="4"/>
      <c r="E9" s="4"/>
      <c r="F9" s="4"/>
      <c r="G9" s="227"/>
      <c r="H9" s="9"/>
      <c r="I9" s="5"/>
      <c r="J9" s="5"/>
      <c r="K9" s="5"/>
      <c r="L9" s="26"/>
      <c r="M9" s="5"/>
      <c r="N9" s="5"/>
      <c r="O9" s="5"/>
      <c r="P9" s="5"/>
    </row>
    <row r="10" spans="1:21">
      <c r="A10" s="1373" t="s">
        <v>17</v>
      </c>
      <c r="B10" s="1374"/>
      <c r="C10" s="1374"/>
      <c r="D10" s="353" t="s">
        <v>18</v>
      </c>
      <c r="E10" s="353" t="s">
        <v>19</v>
      </c>
      <c r="F10" s="353" t="s">
        <v>20</v>
      </c>
      <c r="G10" s="228" t="s">
        <v>21</v>
      </c>
      <c r="H10" s="27"/>
      <c r="I10" s="28"/>
      <c r="J10" s="29"/>
      <c r="K10" s="30"/>
      <c r="L10" s="30"/>
      <c r="M10" s="30"/>
      <c r="N10" s="30"/>
      <c r="O10" s="30"/>
      <c r="P10" s="5"/>
    </row>
    <row r="11" spans="1:21">
      <c r="A11" s="1352" t="s">
        <v>47</v>
      </c>
      <c r="B11" s="1353"/>
      <c r="C11" s="1353"/>
      <c r="D11" s="353"/>
      <c r="E11" s="83"/>
      <c r="F11" s="97"/>
      <c r="G11" s="229">
        <f>+G39*10%</f>
        <v>3054</v>
      </c>
      <c r="H11" s="9"/>
      <c r="I11" s="30"/>
      <c r="J11" s="31"/>
      <c r="K11" s="30"/>
      <c r="L11" s="30"/>
      <c r="M11" s="30"/>
      <c r="N11" s="30"/>
      <c r="O11" s="30"/>
      <c r="P11" s="5"/>
    </row>
    <row r="12" spans="1:21">
      <c r="A12" s="1371"/>
      <c r="B12" s="1372"/>
      <c r="C12" s="1372"/>
      <c r="D12" s="83"/>
      <c r="E12" s="83"/>
      <c r="F12" s="93"/>
      <c r="G12" s="229"/>
      <c r="H12" s="9"/>
      <c r="I12" s="16"/>
      <c r="J12" s="13"/>
      <c r="K12" s="8"/>
      <c r="L12" s="8"/>
      <c r="M12" s="8"/>
      <c r="N12" s="8"/>
      <c r="O12" s="8"/>
      <c r="P12" s="5"/>
    </row>
    <row r="13" spans="1:21">
      <c r="A13" s="1371"/>
      <c r="B13" s="1372"/>
      <c r="C13" s="1372"/>
      <c r="D13" s="83"/>
      <c r="E13" s="83"/>
      <c r="F13" s="93"/>
      <c r="G13" s="229"/>
      <c r="H13" s="9"/>
      <c r="I13" s="13"/>
      <c r="J13" s="13"/>
      <c r="K13" s="13"/>
      <c r="L13" s="13"/>
      <c r="M13" s="13"/>
      <c r="N13" s="13"/>
      <c r="O13" s="13"/>
      <c r="P13" s="5"/>
    </row>
    <row r="14" spans="1:21">
      <c r="A14" s="1371"/>
      <c r="B14" s="1372"/>
      <c r="C14" s="1372"/>
      <c r="D14" s="83"/>
      <c r="E14" s="83"/>
      <c r="F14" s="93"/>
      <c r="G14" s="229"/>
      <c r="H14" s="9"/>
      <c r="I14" s="8"/>
      <c r="J14" s="14"/>
      <c r="K14" s="32"/>
      <c r="L14" s="14"/>
      <c r="M14" s="15"/>
      <c r="N14" s="15"/>
      <c r="O14" s="19"/>
      <c r="P14" s="5"/>
    </row>
    <row r="15" spans="1:21">
      <c r="A15" s="1371"/>
      <c r="B15" s="1372"/>
      <c r="C15" s="1372"/>
      <c r="D15" s="83"/>
      <c r="E15" s="83"/>
      <c r="F15" s="98"/>
      <c r="G15" s="229"/>
      <c r="H15" s="9"/>
      <c r="I15" s="8"/>
      <c r="J15" s="33"/>
      <c r="K15" s="32"/>
      <c r="L15" s="14"/>
      <c r="M15" s="15"/>
      <c r="N15" s="15"/>
      <c r="O15" s="19"/>
      <c r="P15" s="5"/>
      <c r="Q15" s="5"/>
      <c r="R15" s="5"/>
      <c r="S15" s="5"/>
      <c r="T15" s="5"/>
      <c r="U15" s="5"/>
    </row>
    <row r="16" spans="1:21">
      <c r="A16" s="1371"/>
      <c r="B16" s="1372"/>
      <c r="C16" s="1372"/>
      <c r="D16" s="85" t="s">
        <v>37</v>
      </c>
      <c r="E16" s="50"/>
      <c r="F16" s="49"/>
      <c r="G16" s="230">
        <f>SUM(G11:G15)</f>
        <v>3054</v>
      </c>
      <c r="H16" s="9"/>
      <c r="I16" s="34"/>
      <c r="J16" s="34"/>
      <c r="K16" s="35"/>
      <c r="L16" s="36"/>
      <c r="M16" s="7"/>
      <c r="N16" s="7"/>
      <c r="O16" s="19"/>
      <c r="P16" s="5"/>
      <c r="Q16" s="5"/>
      <c r="R16" s="5"/>
      <c r="S16" s="5"/>
      <c r="T16" s="5"/>
      <c r="U16" s="5"/>
    </row>
    <row r="17" spans="1:21" ht="4.5" customHeight="1">
      <c r="A17" s="226"/>
      <c r="B17" s="4"/>
      <c r="C17" s="6"/>
      <c r="D17" s="4"/>
      <c r="E17" s="4"/>
      <c r="F17" s="4"/>
      <c r="G17" s="227"/>
      <c r="H17" s="9"/>
      <c r="I17" s="34"/>
      <c r="J17" s="34"/>
      <c r="K17" s="35"/>
      <c r="L17" s="36"/>
      <c r="M17" s="7"/>
      <c r="N17" s="7"/>
      <c r="O17" s="19"/>
      <c r="P17" s="5"/>
      <c r="Q17" s="5"/>
      <c r="R17" s="5"/>
      <c r="S17" s="5"/>
      <c r="T17" s="5"/>
      <c r="U17" s="5"/>
    </row>
    <row r="18" spans="1:21" ht="22.5" customHeight="1">
      <c r="A18" s="1354" t="s">
        <v>70</v>
      </c>
      <c r="B18" s="1355"/>
      <c r="C18" s="1355"/>
      <c r="D18" s="1355"/>
      <c r="E18" s="1355"/>
      <c r="F18" s="1355"/>
      <c r="G18" s="1356"/>
      <c r="H18" s="9"/>
    </row>
    <row r="19" spans="1:21" ht="4.5" customHeight="1">
      <c r="A19" s="226"/>
      <c r="B19" s="4"/>
      <c r="C19" s="6"/>
      <c r="D19" s="4"/>
      <c r="E19" s="4"/>
      <c r="F19" s="38"/>
      <c r="G19" s="227"/>
      <c r="H19" s="9"/>
      <c r="I19" s="34"/>
      <c r="J19" s="34"/>
      <c r="K19" s="35"/>
      <c r="L19" s="39"/>
      <c r="M19" s="7"/>
      <c r="N19" s="7"/>
      <c r="O19" s="8"/>
      <c r="P19" s="5"/>
      <c r="Q19" s="5"/>
      <c r="R19" s="5"/>
      <c r="S19" s="5"/>
      <c r="T19" s="5"/>
      <c r="U19" s="5"/>
    </row>
    <row r="20" spans="1:21">
      <c r="A20" s="1373" t="s">
        <v>17</v>
      </c>
      <c r="B20" s="1374"/>
      <c r="C20" s="1374"/>
      <c r="D20" s="353" t="s">
        <v>3</v>
      </c>
      <c r="E20" s="353" t="s">
        <v>4</v>
      </c>
      <c r="F20" s="353" t="s">
        <v>25</v>
      </c>
      <c r="G20" s="228" t="s">
        <v>21</v>
      </c>
      <c r="H20" s="27"/>
      <c r="I20" s="34"/>
      <c r="J20" s="34"/>
      <c r="K20" s="35"/>
      <c r="L20" s="39"/>
      <c r="M20" s="7"/>
      <c r="N20" s="7"/>
      <c r="O20" s="8"/>
      <c r="P20" s="5"/>
      <c r="Q20" s="5"/>
      <c r="R20" s="5"/>
      <c r="S20" s="5"/>
      <c r="T20" s="5"/>
      <c r="U20" s="5"/>
    </row>
    <row r="21" spans="1:21" ht="31.5" customHeight="1">
      <c r="A21" s="1441" t="e">
        <f>MID(I21,25,50)</f>
        <v>#N/A</v>
      </c>
      <c r="B21" s="1442"/>
      <c r="C21" s="1443"/>
      <c r="D21" s="118" t="s">
        <v>119</v>
      </c>
      <c r="E21" s="119">
        <v>1</v>
      </c>
      <c r="F21" s="87">
        <f>1256000*IPC</f>
        <v>1295941</v>
      </c>
      <c r="G21" s="231">
        <f>ROUND(F21*E21,0)</f>
        <v>1295941</v>
      </c>
      <c r="H21" s="9"/>
      <c r="I21" s="34" t="e">
        <f>B6</f>
        <v>#N/A</v>
      </c>
      <c r="J21" s="34"/>
      <c r="K21" s="35"/>
      <c r="L21" s="36"/>
      <c r="M21" s="7"/>
      <c r="N21" s="7"/>
      <c r="O21" s="19"/>
      <c r="P21" s="5"/>
      <c r="Q21" s="5"/>
      <c r="R21" s="5"/>
      <c r="S21" s="5"/>
      <c r="T21" s="5"/>
      <c r="U21" s="5"/>
    </row>
    <row r="22" spans="1:21">
      <c r="A22" s="1444"/>
      <c r="B22" s="1403"/>
      <c r="C22" s="1404"/>
      <c r="D22" s="116"/>
      <c r="E22" s="117"/>
      <c r="F22" s="91"/>
      <c r="G22" s="231"/>
      <c r="H22" s="9"/>
      <c r="I22" s="10"/>
      <c r="J22" s="10"/>
      <c r="K22" s="12"/>
      <c r="L22" s="39"/>
      <c r="M22" s="7"/>
      <c r="N22" s="7"/>
      <c r="O22" s="15"/>
      <c r="P22" s="5"/>
      <c r="Q22" s="5"/>
      <c r="R22" s="5"/>
      <c r="S22" s="5"/>
      <c r="T22" s="5"/>
      <c r="U22" s="5"/>
    </row>
    <row r="23" spans="1:21">
      <c r="A23" s="1386"/>
      <c r="B23" s="1353"/>
      <c r="C23" s="1353"/>
      <c r="D23" s="79"/>
      <c r="E23" s="82"/>
      <c r="F23" s="83"/>
      <c r="G23" s="67"/>
      <c r="H23" s="9"/>
      <c r="I23" s="10"/>
      <c r="J23" s="10"/>
      <c r="K23" s="12"/>
      <c r="L23" s="39"/>
      <c r="M23" s="7"/>
      <c r="N23" s="7"/>
      <c r="O23" s="15"/>
      <c r="P23" s="5"/>
      <c r="Q23" s="5"/>
      <c r="R23" s="5"/>
      <c r="S23" s="5"/>
      <c r="T23" s="5"/>
      <c r="U23" s="5"/>
    </row>
    <row r="24" spans="1:21">
      <c r="A24" s="1352"/>
      <c r="B24" s="1353"/>
      <c r="C24" s="1353"/>
      <c r="D24" s="81"/>
      <c r="E24" s="88"/>
      <c r="F24" s="78"/>
      <c r="G24" s="231"/>
      <c r="H24" s="9"/>
      <c r="I24" s="10"/>
      <c r="J24" s="40"/>
      <c r="K24" s="12"/>
      <c r="L24" s="13"/>
      <c r="M24" s="14"/>
      <c r="N24" s="14"/>
      <c r="O24" s="15"/>
      <c r="P24" s="5"/>
      <c r="Q24" s="5"/>
      <c r="R24" s="5"/>
      <c r="S24" s="5"/>
      <c r="T24" s="5"/>
      <c r="U24" s="5"/>
    </row>
    <row r="25" spans="1:21">
      <c r="A25" s="1352"/>
      <c r="B25" s="1353"/>
      <c r="C25" s="1353"/>
      <c r="D25" s="81"/>
      <c r="E25" s="82"/>
      <c r="F25" s="78"/>
      <c r="G25" s="231"/>
      <c r="H25" s="9"/>
      <c r="I25" s="10"/>
      <c r="J25" s="11"/>
      <c r="K25" s="12"/>
      <c r="L25" s="13"/>
      <c r="M25" s="14"/>
      <c r="N25" s="14"/>
      <c r="O25" s="15"/>
      <c r="P25" s="5"/>
      <c r="Q25" s="5"/>
      <c r="R25" s="5"/>
      <c r="S25" s="5"/>
      <c r="T25" s="5"/>
      <c r="U25" s="5"/>
    </row>
    <row r="26" spans="1:21">
      <c r="A26" s="1352"/>
      <c r="B26" s="1353"/>
      <c r="C26" s="1353"/>
      <c r="D26" s="79"/>
      <c r="E26" s="82"/>
      <c r="F26" s="78"/>
      <c r="G26" s="231"/>
      <c r="H26" s="9"/>
      <c r="I26" s="10"/>
      <c r="J26" s="11"/>
      <c r="K26" s="12"/>
      <c r="L26" s="13"/>
      <c r="M26" s="14"/>
      <c r="N26" s="14"/>
      <c r="O26" s="15"/>
      <c r="P26" s="5"/>
      <c r="Q26" s="5"/>
      <c r="R26" s="5"/>
      <c r="S26" s="5"/>
      <c r="T26" s="5"/>
      <c r="U26" s="5"/>
    </row>
    <row r="27" spans="1:21">
      <c r="A27" s="1352"/>
      <c r="B27" s="1353"/>
      <c r="C27" s="1353"/>
      <c r="D27" s="79"/>
      <c r="E27" s="82"/>
      <c r="F27" s="78"/>
      <c r="G27" s="231"/>
      <c r="H27" s="9"/>
      <c r="I27" s="10"/>
      <c r="J27" s="11"/>
      <c r="K27" s="12"/>
      <c r="L27" s="13"/>
      <c r="M27" s="14"/>
      <c r="N27" s="14"/>
      <c r="O27" s="15"/>
      <c r="P27" s="5"/>
      <c r="Q27" s="5"/>
      <c r="R27" s="5"/>
      <c r="S27" s="5"/>
      <c r="T27" s="5"/>
      <c r="U27" s="5"/>
    </row>
    <row r="28" spans="1:21">
      <c r="A28" s="1352"/>
      <c r="B28" s="1353"/>
      <c r="C28" s="1353"/>
      <c r="D28" s="79"/>
      <c r="E28" s="82"/>
      <c r="F28" s="83"/>
      <c r="G28" s="231"/>
      <c r="H28" s="9"/>
      <c r="I28" s="41"/>
      <c r="J28" s="41"/>
      <c r="K28" s="12"/>
      <c r="L28" s="13"/>
      <c r="M28" s="14"/>
      <c r="N28" s="14"/>
      <c r="O28" s="15"/>
      <c r="P28" s="5"/>
      <c r="Q28" s="5"/>
      <c r="R28" s="5"/>
      <c r="S28" s="5"/>
      <c r="T28" s="5"/>
      <c r="U28" s="5"/>
    </row>
    <row r="29" spans="1:21">
      <c r="A29" s="1352"/>
      <c r="B29" s="1353"/>
      <c r="C29" s="1353"/>
      <c r="D29" s="84"/>
      <c r="E29" s="84"/>
      <c r="F29" s="83"/>
      <c r="G29" s="231"/>
      <c r="H29" s="9"/>
      <c r="I29" s="42"/>
      <c r="J29" s="42"/>
      <c r="K29" s="42"/>
      <c r="L29" s="13"/>
      <c r="M29" s="14"/>
      <c r="N29" s="14"/>
      <c r="O29" s="15"/>
      <c r="P29" s="5"/>
      <c r="Q29" s="5"/>
      <c r="R29" s="5"/>
      <c r="S29" s="5"/>
      <c r="T29" s="5"/>
      <c r="U29" s="5"/>
    </row>
    <row r="30" spans="1:21">
      <c r="A30" s="1352"/>
      <c r="B30" s="1353"/>
      <c r="C30" s="1353"/>
      <c r="D30" s="85" t="s">
        <v>28</v>
      </c>
      <c r="E30" s="50"/>
      <c r="F30" s="49"/>
      <c r="G30" s="230">
        <f>SUM(G21:G29)</f>
        <v>1295941</v>
      </c>
      <c r="H30" s="9"/>
      <c r="I30" s="8"/>
      <c r="J30" s="13"/>
      <c r="K30" s="8"/>
      <c r="L30" s="13"/>
      <c r="M30" s="14"/>
      <c r="N30" s="14"/>
      <c r="O30" s="15"/>
      <c r="P30" s="5"/>
    </row>
    <row r="31" spans="1:21" ht="3.75" customHeight="1">
      <c r="A31" s="226"/>
      <c r="B31" s="4"/>
      <c r="C31" s="6"/>
      <c r="D31" s="4"/>
      <c r="E31" s="4"/>
      <c r="F31" s="4"/>
      <c r="G31" s="227"/>
      <c r="H31" s="9"/>
      <c r="I31" s="8"/>
      <c r="J31" s="13"/>
      <c r="K31" s="18"/>
      <c r="L31" s="13"/>
      <c r="M31" s="33"/>
      <c r="N31" s="33"/>
      <c r="O31" s="15"/>
      <c r="P31" s="5"/>
    </row>
    <row r="32" spans="1:21" ht="22.5" customHeight="1">
      <c r="A32" s="1354" t="s">
        <v>71</v>
      </c>
      <c r="B32" s="1355"/>
      <c r="C32" s="1355"/>
      <c r="D32" s="1355"/>
      <c r="E32" s="1355"/>
      <c r="F32" s="1355"/>
      <c r="G32" s="1356"/>
      <c r="H32" s="9"/>
    </row>
    <row r="33" spans="1:16" ht="3.75" customHeight="1">
      <c r="A33" s="226"/>
      <c r="B33" s="4"/>
      <c r="C33" s="6"/>
      <c r="D33" s="4"/>
      <c r="E33" s="4"/>
      <c r="F33" s="4"/>
      <c r="G33" s="227"/>
      <c r="H33" s="9"/>
      <c r="I33" s="8"/>
      <c r="J33" s="13"/>
      <c r="K33" s="8"/>
      <c r="L33" s="8"/>
      <c r="M33" s="8"/>
      <c r="N33" s="8"/>
      <c r="O33" s="15"/>
      <c r="P33" s="5"/>
    </row>
    <row r="34" spans="1:16">
      <c r="A34" s="232" t="s">
        <v>5</v>
      </c>
      <c r="B34" s="60" t="s">
        <v>29</v>
      </c>
      <c r="C34" s="60" t="s">
        <v>30</v>
      </c>
      <c r="D34" s="60" t="s">
        <v>31</v>
      </c>
      <c r="E34" s="60" t="s">
        <v>32</v>
      </c>
      <c r="F34" s="60" t="s">
        <v>20</v>
      </c>
      <c r="G34" s="228" t="s">
        <v>33</v>
      </c>
      <c r="H34" s="27"/>
      <c r="I34" s="8"/>
      <c r="J34" s="13"/>
      <c r="K34" s="8"/>
      <c r="L34" s="8"/>
      <c r="M34" s="8"/>
      <c r="N34" s="8"/>
      <c r="O34" s="15"/>
      <c r="P34" s="5"/>
    </row>
    <row r="35" spans="1:16">
      <c r="A35" s="233" t="s">
        <v>41</v>
      </c>
      <c r="B35" s="63">
        <f>BOF</f>
        <v>51749</v>
      </c>
      <c r="C35" s="68">
        <f>ffpp</f>
        <v>0.64539999999999997</v>
      </c>
      <c r="D35" s="72">
        <v>1</v>
      </c>
      <c r="E35" s="66">
        <f>OF</f>
        <v>88696</v>
      </c>
      <c r="F35" s="65">
        <v>10</v>
      </c>
      <c r="G35" s="231">
        <f>ROUND(+D35*E35/F35,0)</f>
        <v>8870</v>
      </c>
      <c r="H35" s="9"/>
      <c r="I35" s="16"/>
      <c r="J35" s="13"/>
      <c r="K35" s="8"/>
      <c r="L35" s="8"/>
      <c r="M35" s="8"/>
      <c r="N35" s="8"/>
      <c r="O35" s="15"/>
      <c r="P35" s="5"/>
    </row>
    <row r="36" spans="1:16">
      <c r="A36" s="233" t="s">
        <v>38</v>
      </c>
      <c r="B36" s="63">
        <f>BOB</f>
        <v>41749</v>
      </c>
      <c r="C36" s="68">
        <f>ffpp</f>
        <v>0.64539999999999997</v>
      </c>
      <c r="D36" s="72">
        <v>3</v>
      </c>
      <c r="E36" s="66">
        <f>OB</f>
        <v>72242</v>
      </c>
      <c r="F36" s="65">
        <f>F35</f>
        <v>10</v>
      </c>
      <c r="G36" s="231">
        <f>ROUND(+D36*E36/F36,0)</f>
        <v>21673</v>
      </c>
      <c r="H36" s="9"/>
      <c r="I36" s="8"/>
      <c r="J36" s="8"/>
      <c r="K36" s="13"/>
      <c r="L36" s="13"/>
      <c r="M36" s="13"/>
      <c r="N36" s="13"/>
      <c r="O36" s="13"/>
      <c r="P36" s="5"/>
    </row>
    <row r="37" spans="1:16">
      <c r="A37" s="234"/>
      <c r="B37" s="50"/>
      <c r="C37" s="961"/>
      <c r="D37" s="50"/>
      <c r="E37" s="66"/>
      <c r="F37" s="65"/>
      <c r="G37" s="231"/>
      <c r="H37" s="9"/>
      <c r="I37" s="8"/>
      <c r="J37" s="13"/>
      <c r="K37" s="13"/>
      <c r="L37" s="13"/>
      <c r="M37" s="33"/>
      <c r="N37" s="33"/>
      <c r="O37" s="43"/>
      <c r="P37" s="5"/>
    </row>
    <row r="38" spans="1:16">
      <c r="A38" s="233"/>
      <c r="B38" s="65"/>
      <c r="C38" s="68"/>
      <c r="D38" s="65"/>
      <c r="E38" s="69"/>
      <c r="F38" s="69"/>
      <c r="G38" s="236"/>
      <c r="H38" s="9"/>
      <c r="I38" s="8"/>
      <c r="J38" s="13"/>
      <c r="K38" s="13"/>
      <c r="L38" s="13"/>
      <c r="M38" s="33"/>
      <c r="N38" s="33"/>
      <c r="O38" s="43"/>
      <c r="P38" s="5"/>
    </row>
    <row r="39" spans="1:16">
      <c r="A39" s="249"/>
      <c r="B39" s="71"/>
      <c r="C39" s="71"/>
      <c r="D39" s="71" t="s">
        <v>34</v>
      </c>
      <c r="E39" s="71"/>
      <c r="F39" s="71"/>
      <c r="G39" s="250">
        <f>SUM(G35:G38)</f>
        <v>30543</v>
      </c>
      <c r="H39" s="9"/>
      <c r="I39" s="8"/>
      <c r="J39" s="13"/>
      <c r="K39" s="13"/>
      <c r="L39" s="13"/>
      <c r="M39" s="14"/>
      <c r="N39" s="14"/>
      <c r="O39" s="15"/>
      <c r="P39" s="5"/>
    </row>
    <row r="40" spans="1:16">
      <c r="A40" s="226"/>
      <c r="B40" s="4"/>
      <c r="C40" s="6"/>
      <c r="D40" s="4"/>
      <c r="E40" s="4"/>
      <c r="F40" s="4"/>
      <c r="G40" s="227"/>
      <c r="H40" s="9"/>
      <c r="I40" s="8"/>
      <c r="J40" s="13"/>
      <c r="K40" s="13"/>
      <c r="L40" s="13"/>
      <c r="M40" s="14"/>
      <c r="N40" s="14"/>
      <c r="O40" s="19"/>
      <c r="P40" s="5"/>
    </row>
    <row r="41" spans="1:16">
      <c r="A41" s="226"/>
      <c r="B41" s="4"/>
      <c r="C41" s="6"/>
      <c r="D41" s="4"/>
      <c r="E41" s="4"/>
      <c r="F41" s="4"/>
      <c r="G41" s="227"/>
      <c r="H41" s="9"/>
      <c r="I41" s="8"/>
      <c r="J41" s="13"/>
      <c r="K41" s="13"/>
      <c r="L41" s="13"/>
      <c r="M41" s="17"/>
      <c r="N41" s="17"/>
      <c r="O41" s="37"/>
      <c r="P41" s="5"/>
    </row>
    <row r="42" spans="1:16" ht="14.25">
      <c r="A42" s="226"/>
      <c r="B42" s="4"/>
      <c r="C42" s="6"/>
      <c r="D42" s="1357" t="s">
        <v>35</v>
      </c>
      <c r="E42" s="1358"/>
      <c r="F42" s="1359"/>
      <c r="G42" s="239">
        <f>+G39+G30+G16</f>
        <v>1329538</v>
      </c>
      <c r="H42" s="9"/>
      <c r="I42" s="48"/>
      <c r="J42" s="20"/>
      <c r="K42" s="8"/>
      <c r="L42" s="8"/>
      <c r="M42" s="8"/>
      <c r="N42" s="8"/>
      <c r="O42" s="8"/>
      <c r="P42" s="5"/>
    </row>
    <row r="43" spans="1:16" ht="14.25">
      <c r="A43" s="240"/>
      <c r="B43" s="57"/>
      <c r="C43" s="58"/>
      <c r="D43" s="99"/>
      <c r="E43" s="99"/>
      <c r="F43" s="99"/>
      <c r="G43" s="251"/>
      <c r="H43" s="9"/>
      <c r="I43" s="48"/>
      <c r="J43" s="20"/>
      <c r="K43" s="8"/>
      <c r="L43" s="8"/>
      <c r="M43" s="8"/>
      <c r="N43" s="8"/>
      <c r="O43" s="8"/>
      <c r="P43" s="5"/>
    </row>
    <row r="44" spans="1:16" ht="14.25">
      <c r="A44" s="374"/>
      <c r="B44" s="375"/>
      <c r="C44" s="375"/>
      <c r="D44" s="99"/>
      <c r="E44" s="99"/>
      <c r="F44" s="99"/>
      <c r="G44" s="251"/>
      <c r="H44" s="9"/>
      <c r="I44" s="48"/>
      <c r="J44" s="20"/>
      <c r="K44" s="8"/>
      <c r="L44" s="8"/>
      <c r="M44" s="8"/>
      <c r="N44" s="8"/>
      <c r="O44" s="8"/>
      <c r="P44" s="5"/>
    </row>
    <row r="45" spans="1:16" ht="14.25">
      <c r="A45" s="373"/>
      <c r="B45" s="376"/>
      <c r="C45" s="376"/>
      <c r="D45" s="99"/>
      <c r="E45" s="99"/>
      <c r="F45" s="99"/>
      <c r="G45" s="251"/>
      <c r="H45" s="9"/>
      <c r="I45" s="48"/>
      <c r="J45" s="20"/>
      <c r="K45" s="8"/>
      <c r="L45" s="8"/>
      <c r="M45" s="8"/>
      <c r="N45" s="8"/>
      <c r="O45" s="8"/>
      <c r="P45" s="5"/>
    </row>
    <row r="46" spans="1:16" ht="14.25">
      <c r="A46" s="373"/>
      <c r="B46" s="376"/>
      <c r="C46" s="376"/>
      <c r="D46" s="44"/>
      <c r="E46" s="45"/>
      <c r="F46" s="45"/>
      <c r="G46" s="251"/>
      <c r="H46" s="9"/>
      <c r="I46" s="8"/>
      <c r="J46" s="13"/>
      <c r="K46" s="8"/>
      <c r="L46" s="8"/>
      <c r="M46" s="8"/>
      <c r="N46" s="8"/>
      <c r="O46" s="8"/>
      <c r="P46" s="5"/>
    </row>
    <row r="47" spans="1:16" ht="15" thickBot="1">
      <c r="A47" s="242"/>
      <c r="B47" s="243"/>
      <c r="C47" s="244"/>
      <c r="D47" s="245"/>
      <c r="E47" s="246"/>
      <c r="F47" s="246"/>
      <c r="G47" s="247"/>
      <c r="H47" s="9"/>
      <c r="I47" s="8"/>
      <c r="J47" s="13"/>
      <c r="K47" s="8"/>
      <c r="L47" s="8"/>
      <c r="M47" s="8"/>
      <c r="N47" s="8"/>
      <c r="O47" s="8"/>
      <c r="P47" s="5"/>
    </row>
    <row r="48" spans="1:16">
      <c r="I48" s="5"/>
      <c r="J48" s="5"/>
      <c r="K48" s="5"/>
      <c r="L48" s="5"/>
      <c r="M48" s="5"/>
      <c r="N48" s="5"/>
      <c r="O48" s="5"/>
      <c r="P48" s="5"/>
    </row>
    <row r="49" spans="9:16">
      <c r="I49" s="5"/>
      <c r="J49" s="5"/>
      <c r="K49" s="5"/>
      <c r="L49" s="5"/>
      <c r="M49" s="5"/>
      <c r="N49" s="5"/>
      <c r="O49" s="5"/>
      <c r="P49" s="5"/>
    </row>
  </sheetData>
  <mergeCells count="26">
    <mergeCell ref="A10:C10"/>
    <mergeCell ref="A1:G1"/>
    <mergeCell ref="A2:G2"/>
    <mergeCell ref="A3:G4"/>
    <mergeCell ref="B6:E6"/>
    <mergeCell ref="A8:G8"/>
    <mergeCell ref="A24:C24"/>
    <mergeCell ref="A11:C11"/>
    <mergeCell ref="A12:C12"/>
    <mergeCell ref="A13:C13"/>
    <mergeCell ref="A14:C14"/>
    <mergeCell ref="A15:C15"/>
    <mergeCell ref="A16:C16"/>
    <mergeCell ref="A18:G18"/>
    <mergeCell ref="A20:C20"/>
    <mergeCell ref="A21:C21"/>
    <mergeCell ref="A22:C22"/>
    <mergeCell ref="A23:C23"/>
    <mergeCell ref="A32:G32"/>
    <mergeCell ref="D42:F42"/>
    <mergeCell ref="A25:C25"/>
    <mergeCell ref="A26:C26"/>
    <mergeCell ref="A27:C27"/>
    <mergeCell ref="A28:C28"/>
    <mergeCell ref="A29:C29"/>
    <mergeCell ref="A30:C30"/>
  </mergeCells>
  <printOptions horizontalCentered="1" verticalCentered="1"/>
  <pageMargins left="0.74803149606299213" right="0.74803149606299213" top="0" bottom="0.98425196850393704" header="0" footer="0"/>
  <pageSetup scale="90" orientation="portrait" r:id="rId1"/>
  <headerFooter alignWithMargins="0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85"/>
  <dimension ref="A1:U49"/>
  <sheetViews>
    <sheetView view="pageBreakPreview" topLeftCell="A6" zoomScaleNormal="100" zoomScaleSheetLayoutView="100" workbookViewId="0">
      <selection activeCell="I7" sqref="I7"/>
    </sheetView>
  </sheetViews>
  <sheetFormatPr baseColWidth="10" defaultColWidth="10.7109375" defaultRowHeight="12.75"/>
  <cols>
    <col min="1" max="1" width="15.85546875" style="3" customWidth="1"/>
    <col min="2" max="2" width="14.85546875" style="3" customWidth="1"/>
    <col min="3" max="3" width="13.28515625" style="3" customWidth="1"/>
    <col min="4" max="4" width="11.42578125" style="3"/>
    <col min="5" max="5" width="13.42578125" style="3" customWidth="1"/>
    <col min="6" max="6" width="12.7109375" style="3" customWidth="1"/>
    <col min="7" max="7" width="14" style="3" customWidth="1"/>
    <col min="8" max="8" width="7.42578125" style="3" customWidth="1"/>
    <col min="9" max="256" width="11.42578125" style="3"/>
    <col min="257" max="257" width="15.85546875" style="3" customWidth="1"/>
    <col min="258" max="258" width="14.85546875" style="3" customWidth="1"/>
    <col min="259" max="259" width="13.28515625" style="3" customWidth="1"/>
    <col min="260" max="260" width="11.42578125" style="3"/>
    <col min="261" max="261" width="13.42578125" style="3" customWidth="1"/>
    <col min="262" max="262" width="12.7109375" style="3" customWidth="1"/>
    <col min="263" max="263" width="14" style="3" customWidth="1"/>
    <col min="264" max="264" width="7.42578125" style="3" customWidth="1"/>
    <col min="265" max="512" width="11.42578125" style="3"/>
    <col min="513" max="513" width="15.85546875" style="3" customWidth="1"/>
    <col min="514" max="514" width="14.85546875" style="3" customWidth="1"/>
    <col min="515" max="515" width="13.28515625" style="3" customWidth="1"/>
    <col min="516" max="516" width="11.42578125" style="3"/>
    <col min="517" max="517" width="13.42578125" style="3" customWidth="1"/>
    <col min="518" max="518" width="12.7109375" style="3" customWidth="1"/>
    <col min="519" max="519" width="14" style="3" customWidth="1"/>
    <col min="520" max="520" width="7.42578125" style="3" customWidth="1"/>
    <col min="521" max="768" width="11.42578125" style="3"/>
    <col min="769" max="769" width="15.85546875" style="3" customWidth="1"/>
    <col min="770" max="770" width="14.85546875" style="3" customWidth="1"/>
    <col min="771" max="771" width="13.28515625" style="3" customWidth="1"/>
    <col min="772" max="772" width="11.42578125" style="3"/>
    <col min="773" max="773" width="13.42578125" style="3" customWidth="1"/>
    <col min="774" max="774" width="12.7109375" style="3" customWidth="1"/>
    <col min="775" max="775" width="14" style="3" customWidth="1"/>
    <col min="776" max="776" width="7.42578125" style="3" customWidth="1"/>
    <col min="777" max="1024" width="11.42578125" style="3"/>
    <col min="1025" max="1025" width="15.85546875" style="3" customWidth="1"/>
    <col min="1026" max="1026" width="14.85546875" style="3" customWidth="1"/>
    <col min="1027" max="1027" width="13.28515625" style="3" customWidth="1"/>
    <col min="1028" max="1028" width="11.42578125" style="3"/>
    <col min="1029" max="1029" width="13.42578125" style="3" customWidth="1"/>
    <col min="1030" max="1030" width="12.7109375" style="3" customWidth="1"/>
    <col min="1031" max="1031" width="14" style="3" customWidth="1"/>
    <col min="1032" max="1032" width="7.42578125" style="3" customWidth="1"/>
    <col min="1033" max="1280" width="11.42578125" style="3"/>
    <col min="1281" max="1281" width="15.85546875" style="3" customWidth="1"/>
    <col min="1282" max="1282" width="14.85546875" style="3" customWidth="1"/>
    <col min="1283" max="1283" width="13.28515625" style="3" customWidth="1"/>
    <col min="1284" max="1284" width="11.42578125" style="3"/>
    <col min="1285" max="1285" width="13.42578125" style="3" customWidth="1"/>
    <col min="1286" max="1286" width="12.7109375" style="3" customWidth="1"/>
    <col min="1287" max="1287" width="14" style="3" customWidth="1"/>
    <col min="1288" max="1288" width="7.42578125" style="3" customWidth="1"/>
    <col min="1289" max="1536" width="11.42578125" style="3"/>
    <col min="1537" max="1537" width="15.85546875" style="3" customWidth="1"/>
    <col min="1538" max="1538" width="14.85546875" style="3" customWidth="1"/>
    <col min="1539" max="1539" width="13.28515625" style="3" customWidth="1"/>
    <col min="1540" max="1540" width="11.42578125" style="3"/>
    <col min="1541" max="1541" width="13.42578125" style="3" customWidth="1"/>
    <col min="1542" max="1542" width="12.7109375" style="3" customWidth="1"/>
    <col min="1543" max="1543" width="14" style="3" customWidth="1"/>
    <col min="1544" max="1544" width="7.42578125" style="3" customWidth="1"/>
    <col min="1545" max="1792" width="11.42578125" style="3"/>
    <col min="1793" max="1793" width="15.85546875" style="3" customWidth="1"/>
    <col min="1794" max="1794" width="14.85546875" style="3" customWidth="1"/>
    <col min="1795" max="1795" width="13.28515625" style="3" customWidth="1"/>
    <col min="1796" max="1796" width="11.42578125" style="3"/>
    <col min="1797" max="1797" width="13.42578125" style="3" customWidth="1"/>
    <col min="1798" max="1798" width="12.7109375" style="3" customWidth="1"/>
    <col min="1799" max="1799" width="14" style="3" customWidth="1"/>
    <col min="1800" max="1800" width="7.42578125" style="3" customWidth="1"/>
    <col min="1801" max="2048" width="11.42578125" style="3"/>
    <col min="2049" max="2049" width="15.85546875" style="3" customWidth="1"/>
    <col min="2050" max="2050" width="14.85546875" style="3" customWidth="1"/>
    <col min="2051" max="2051" width="13.28515625" style="3" customWidth="1"/>
    <col min="2052" max="2052" width="11.42578125" style="3"/>
    <col min="2053" max="2053" width="13.42578125" style="3" customWidth="1"/>
    <col min="2054" max="2054" width="12.7109375" style="3" customWidth="1"/>
    <col min="2055" max="2055" width="14" style="3" customWidth="1"/>
    <col min="2056" max="2056" width="7.42578125" style="3" customWidth="1"/>
    <col min="2057" max="2304" width="11.42578125" style="3"/>
    <col min="2305" max="2305" width="15.85546875" style="3" customWidth="1"/>
    <col min="2306" max="2306" width="14.85546875" style="3" customWidth="1"/>
    <col min="2307" max="2307" width="13.28515625" style="3" customWidth="1"/>
    <col min="2308" max="2308" width="11.42578125" style="3"/>
    <col min="2309" max="2309" width="13.42578125" style="3" customWidth="1"/>
    <col min="2310" max="2310" width="12.7109375" style="3" customWidth="1"/>
    <col min="2311" max="2311" width="14" style="3" customWidth="1"/>
    <col min="2312" max="2312" width="7.42578125" style="3" customWidth="1"/>
    <col min="2313" max="2560" width="11.42578125" style="3"/>
    <col min="2561" max="2561" width="15.85546875" style="3" customWidth="1"/>
    <col min="2562" max="2562" width="14.85546875" style="3" customWidth="1"/>
    <col min="2563" max="2563" width="13.28515625" style="3" customWidth="1"/>
    <col min="2564" max="2564" width="11.42578125" style="3"/>
    <col min="2565" max="2565" width="13.42578125" style="3" customWidth="1"/>
    <col min="2566" max="2566" width="12.7109375" style="3" customWidth="1"/>
    <col min="2567" max="2567" width="14" style="3" customWidth="1"/>
    <col min="2568" max="2568" width="7.42578125" style="3" customWidth="1"/>
    <col min="2569" max="2816" width="11.42578125" style="3"/>
    <col min="2817" max="2817" width="15.85546875" style="3" customWidth="1"/>
    <col min="2818" max="2818" width="14.85546875" style="3" customWidth="1"/>
    <col min="2819" max="2819" width="13.28515625" style="3" customWidth="1"/>
    <col min="2820" max="2820" width="11.42578125" style="3"/>
    <col min="2821" max="2821" width="13.42578125" style="3" customWidth="1"/>
    <col min="2822" max="2822" width="12.7109375" style="3" customWidth="1"/>
    <col min="2823" max="2823" width="14" style="3" customWidth="1"/>
    <col min="2824" max="2824" width="7.42578125" style="3" customWidth="1"/>
    <col min="2825" max="3072" width="11.42578125" style="3"/>
    <col min="3073" max="3073" width="15.85546875" style="3" customWidth="1"/>
    <col min="3074" max="3074" width="14.85546875" style="3" customWidth="1"/>
    <col min="3075" max="3075" width="13.28515625" style="3" customWidth="1"/>
    <col min="3076" max="3076" width="11.42578125" style="3"/>
    <col min="3077" max="3077" width="13.42578125" style="3" customWidth="1"/>
    <col min="3078" max="3078" width="12.7109375" style="3" customWidth="1"/>
    <col min="3079" max="3079" width="14" style="3" customWidth="1"/>
    <col min="3080" max="3080" width="7.42578125" style="3" customWidth="1"/>
    <col min="3081" max="3328" width="11.42578125" style="3"/>
    <col min="3329" max="3329" width="15.85546875" style="3" customWidth="1"/>
    <col min="3330" max="3330" width="14.85546875" style="3" customWidth="1"/>
    <col min="3331" max="3331" width="13.28515625" style="3" customWidth="1"/>
    <col min="3332" max="3332" width="11.42578125" style="3"/>
    <col min="3333" max="3333" width="13.42578125" style="3" customWidth="1"/>
    <col min="3334" max="3334" width="12.7109375" style="3" customWidth="1"/>
    <col min="3335" max="3335" width="14" style="3" customWidth="1"/>
    <col min="3336" max="3336" width="7.42578125" style="3" customWidth="1"/>
    <col min="3337" max="3584" width="11.42578125" style="3"/>
    <col min="3585" max="3585" width="15.85546875" style="3" customWidth="1"/>
    <col min="3586" max="3586" width="14.85546875" style="3" customWidth="1"/>
    <col min="3587" max="3587" width="13.28515625" style="3" customWidth="1"/>
    <col min="3588" max="3588" width="11.42578125" style="3"/>
    <col min="3589" max="3589" width="13.42578125" style="3" customWidth="1"/>
    <col min="3590" max="3590" width="12.7109375" style="3" customWidth="1"/>
    <col min="3591" max="3591" width="14" style="3" customWidth="1"/>
    <col min="3592" max="3592" width="7.42578125" style="3" customWidth="1"/>
    <col min="3593" max="3840" width="11.42578125" style="3"/>
    <col min="3841" max="3841" width="15.85546875" style="3" customWidth="1"/>
    <col min="3842" max="3842" width="14.85546875" style="3" customWidth="1"/>
    <col min="3843" max="3843" width="13.28515625" style="3" customWidth="1"/>
    <col min="3844" max="3844" width="11.42578125" style="3"/>
    <col min="3845" max="3845" width="13.42578125" style="3" customWidth="1"/>
    <col min="3846" max="3846" width="12.7109375" style="3" customWidth="1"/>
    <col min="3847" max="3847" width="14" style="3" customWidth="1"/>
    <col min="3848" max="3848" width="7.42578125" style="3" customWidth="1"/>
    <col min="3849" max="4096" width="11.42578125" style="3"/>
    <col min="4097" max="4097" width="15.85546875" style="3" customWidth="1"/>
    <col min="4098" max="4098" width="14.85546875" style="3" customWidth="1"/>
    <col min="4099" max="4099" width="13.28515625" style="3" customWidth="1"/>
    <col min="4100" max="4100" width="11.42578125" style="3"/>
    <col min="4101" max="4101" width="13.42578125" style="3" customWidth="1"/>
    <col min="4102" max="4102" width="12.7109375" style="3" customWidth="1"/>
    <col min="4103" max="4103" width="14" style="3" customWidth="1"/>
    <col min="4104" max="4104" width="7.42578125" style="3" customWidth="1"/>
    <col min="4105" max="4352" width="11.42578125" style="3"/>
    <col min="4353" max="4353" width="15.85546875" style="3" customWidth="1"/>
    <col min="4354" max="4354" width="14.85546875" style="3" customWidth="1"/>
    <col min="4355" max="4355" width="13.28515625" style="3" customWidth="1"/>
    <col min="4356" max="4356" width="11.42578125" style="3"/>
    <col min="4357" max="4357" width="13.42578125" style="3" customWidth="1"/>
    <col min="4358" max="4358" width="12.7109375" style="3" customWidth="1"/>
    <col min="4359" max="4359" width="14" style="3" customWidth="1"/>
    <col min="4360" max="4360" width="7.42578125" style="3" customWidth="1"/>
    <col min="4361" max="4608" width="11.42578125" style="3"/>
    <col min="4609" max="4609" width="15.85546875" style="3" customWidth="1"/>
    <col min="4610" max="4610" width="14.85546875" style="3" customWidth="1"/>
    <col min="4611" max="4611" width="13.28515625" style="3" customWidth="1"/>
    <col min="4612" max="4612" width="11.42578125" style="3"/>
    <col min="4613" max="4613" width="13.42578125" style="3" customWidth="1"/>
    <col min="4614" max="4614" width="12.7109375" style="3" customWidth="1"/>
    <col min="4615" max="4615" width="14" style="3" customWidth="1"/>
    <col min="4616" max="4616" width="7.42578125" style="3" customWidth="1"/>
    <col min="4617" max="4864" width="11.42578125" style="3"/>
    <col min="4865" max="4865" width="15.85546875" style="3" customWidth="1"/>
    <col min="4866" max="4866" width="14.85546875" style="3" customWidth="1"/>
    <col min="4867" max="4867" width="13.28515625" style="3" customWidth="1"/>
    <col min="4868" max="4868" width="11.42578125" style="3"/>
    <col min="4869" max="4869" width="13.42578125" style="3" customWidth="1"/>
    <col min="4870" max="4870" width="12.7109375" style="3" customWidth="1"/>
    <col min="4871" max="4871" width="14" style="3" customWidth="1"/>
    <col min="4872" max="4872" width="7.42578125" style="3" customWidth="1"/>
    <col min="4873" max="5120" width="11.42578125" style="3"/>
    <col min="5121" max="5121" width="15.85546875" style="3" customWidth="1"/>
    <col min="5122" max="5122" width="14.85546875" style="3" customWidth="1"/>
    <col min="5123" max="5123" width="13.28515625" style="3" customWidth="1"/>
    <col min="5124" max="5124" width="11.42578125" style="3"/>
    <col min="5125" max="5125" width="13.42578125" style="3" customWidth="1"/>
    <col min="5126" max="5126" width="12.7109375" style="3" customWidth="1"/>
    <col min="5127" max="5127" width="14" style="3" customWidth="1"/>
    <col min="5128" max="5128" width="7.42578125" style="3" customWidth="1"/>
    <col min="5129" max="5376" width="11.42578125" style="3"/>
    <col min="5377" max="5377" width="15.85546875" style="3" customWidth="1"/>
    <col min="5378" max="5378" width="14.85546875" style="3" customWidth="1"/>
    <col min="5379" max="5379" width="13.28515625" style="3" customWidth="1"/>
    <col min="5380" max="5380" width="11.42578125" style="3"/>
    <col min="5381" max="5381" width="13.42578125" style="3" customWidth="1"/>
    <col min="5382" max="5382" width="12.7109375" style="3" customWidth="1"/>
    <col min="5383" max="5383" width="14" style="3" customWidth="1"/>
    <col min="5384" max="5384" width="7.42578125" style="3" customWidth="1"/>
    <col min="5385" max="5632" width="11.42578125" style="3"/>
    <col min="5633" max="5633" width="15.85546875" style="3" customWidth="1"/>
    <col min="5634" max="5634" width="14.85546875" style="3" customWidth="1"/>
    <col min="5635" max="5635" width="13.28515625" style="3" customWidth="1"/>
    <col min="5636" max="5636" width="11.42578125" style="3"/>
    <col min="5637" max="5637" width="13.42578125" style="3" customWidth="1"/>
    <col min="5638" max="5638" width="12.7109375" style="3" customWidth="1"/>
    <col min="5639" max="5639" width="14" style="3" customWidth="1"/>
    <col min="5640" max="5640" width="7.42578125" style="3" customWidth="1"/>
    <col min="5641" max="5888" width="11.42578125" style="3"/>
    <col min="5889" max="5889" width="15.85546875" style="3" customWidth="1"/>
    <col min="5890" max="5890" width="14.85546875" style="3" customWidth="1"/>
    <col min="5891" max="5891" width="13.28515625" style="3" customWidth="1"/>
    <col min="5892" max="5892" width="11.42578125" style="3"/>
    <col min="5893" max="5893" width="13.42578125" style="3" customWidth="1"/>
    <col min="5894" max="5894" width="12.7109375" style="3" customWidth="1"/>
    <col min="5895" max="5895" width="14" style="3" customWidth="1"/>
    <col min="5896" max="5896" width="7.42578125" style="3" customWidth="1"/>
    <col min="5897" max="6144" width="11.42578125" style="3"/>
    <col min="6145" max="6145" width="15.85546875" style="3" customWidth="1"/>
    <col min="6146" max="6146" width="14.85546875" style="3" customWidth="1"/>
    <col min="6147" max="6147" width="13.28515625" style="3" customWidth="1"/>
    <col min="6148" max="6148" width="11.42578125" style="3"/>
    <col min="6149" max="6149" width="13.42578125" style="3" customWidth="1"/>
    <col min="6150" max="6150" width="12.7109375" style="3" customWidth="1"/>
    <col min="6151" max="6151" width="14" style="3" customWidth="1"/>
    <col min="6152" max="6152" width="7.42578125" style="3" customWidth="1"/>
    <col min="6153" max="6400" width="11.42578125" style="3"/>
    <col min="6401" max="6401" width="15.85546875" style="3" customWidth="1"/>
    <col min="6402" max="6402" width="14.85546875" style="3" customWidth="1"/>
    <col min="6403" max="6403" width="13.28515625" style="3" customWidth="1"/>
    <col min="6404" max="6404" width="11.42578125" style="3"/>
    <col min="6405" max="6405" width="13.42578125" style="3" customWidth="1"/>
    <col min="6406" max="6406" width="12.7109375" style="3" customWidth="1"/>
    <col min="6407" max="6407" width="14" style="3" customWidth="1"/>
    <col min="6408" max="6408" width="7.42578125" style="3" customWidth="1"/>
    <col min="6409" max="6656" width="11.42578125" style="3"/>
    <col min="6657" max="6657" width="15.85546875" style="3" customWidth="1"/>
    <col min="6658" max="6658" width="14.85546875" style="3" customWidth="1"/>
    <col min="6659" max="6659" width="13.28515625" style="3" customWidth="1"/>
    <col min="6660" max="6660" width="11.42578125" style="3"/>
    <col min="6661" max="6661" width="13.42578125" style="3" customWidth="1"/>
    <col min="6662" max="6662" width="12.7109375" style="3" customWidth="1"/>
    <col min="6663" max="6663" width="14" style="3" customWidth="1"/>
    <col min="6664" max="6664" width="7.42578125" style="3" customWidth="1"/>
    <col min="6665" max="6912" width="11.42578125" style="3"/>
    <col min="6913" max="6913" width="15.85546875" style="3" customWidth="1"/>
    <col min="6914" max="6914" width="14.85546875" style="3" customWidth="1"/>
    <col min="6915" max="6915" width="13.28515625" style="3" customWidth="1"/>
    <col min="6916" max="6916" width="11.42578125" style="3"/>
    <col min="6917" max="6917" width="13.42578125" style="3" customWidth="1"/>
    <col min="6918" max="6918" width="12.7109375" style="3" customWidth="1"/>
    <col min="6919" max="6919" width="14" style="3" customWidth="1"/>
    <col min="6920" max="6920" width="7.42578125" style="3" customWidth="1"/>
    <col min="6921" max="7168" width="11.42578125" style="3"/>
    <col min="7169" max="7169" width="15.85546875" style="3" customWidth="1"/>
    <col min="7170" max="7170" width="14.85546875" style="3" customWidth="1"/>
    <col min="7171" max="7171" width="13.28515625" style="3" customWidth="1"/>
    <col min="7172" max="7172" width="11.42578125" style="3"/>
    <col min="7173" max="7173" width="13.42578125" style="3" customWidth="1"/>
    <col min="7174" max="7174" width="12.7109375" style="3" customWidth="1"/>
    <col min="7175" max="7175" width="14" style="3" customWidth="1"/>
    <col min="7176" max="7176" width="7.42578125" style="3" customWidth="1"/>
    <col min="7177" max="7424" width="11.42578125" style="3"/>
    <col min="7425" max="7425" width="15.85546875" style="3" customWidth="1"/>
    <col min="7426" max="7426" width="14.85546875" style="3" customWidth="1"/>
    <col min="7427" max="7427" width="13.28515625" style="3" customWidth="1"/>
    <col min="7428" max="7428" width="11.42578125" style="3"/>
    <col min="7429" max="7429" width="13.42578125" style="3" customWidth="1"/>
    <col min="7430" max="7430" width="12.7109375" style="3" customWidth="1"/>
    <col min="7431" max="7431" width="14" style="3" customWidth="1"/>
    <col min="7432" max="7432" width="7.42578125" style="3" customWidth="1"/>
    <col min="7433" max="7680" width="11.42578125" style="3"/>
    <col min="7681" max="7681" width="15.85546875" style="3" customWidth="1"/>
    <col min="7682" max="7682" width="14.85546875" style="3" customWidth="1"/>
    <col min="7683" max="7683" width="13.28515625" style="3" customWidth="1"/>
    <col min="7684" max="7684" width="11.42578125" style="3"/>
    <col min="7685" max="7685" width="13.42578125" style="3" customWidth="1"/>
    <col min="7686" max="7686" width="12.7109375" style="3" customWidth="1"/>
    <col min="7687" max="7687" width="14" style="3" customWidth="1"/>
    <col min="7688" max="7688" width="7.42578125" style="3" customWidth="1"/>
    <col min="7689" max="7936" width="11.42578125" style="3"/>
    <col min="7937" max="7937" width="15.85546875" style="3" customWidth="1"/>
    <col min="7938" max="7938" width="14.85546875" style="3" customWidth="1"/>
    <col min="7939" max="7939" width="13.28515625" style="3" customWidth="1"/>
    <col min="7940" max="7940" width="11.42578125" style="3"/>
    <col min="7941" max="7941" width="13.42578125" style="3" customWidth="1"/>
    <col min="7942" max="7942" width="12.7109375" style="3" customWidth="1"/>
    <col min="7943" max="7943" width="14" style="3" customWidth="1"/>
    <col min="7944" max="7944" width="7.42578125" style="3" customWidth="1"/>
    <col min="7945" max="8192" width="11.42578125" style="3"/>
    <col min="8193" max="8193" width="15.85546875" style="3" customWidth="1"/>
    <col min="8194" max="8194" width="14.85546875" style="3" customWidth="1"/>
    <col min="8195" max="8195" width="13.28515625" style="3" customWidth="1"/>
    <col min="8196" max="8196" width="11.42578125" style="3"/>
    <col min="8197" max="8197" width="13.42578125" style="3" customWidth="1"/>
    <col min="8198" max="8198" width="12.7109375" style="3" customWidth="1"/>
    <col min="8199" max="8199" width="14" style="3" customWidth="1"/>
    <col min="8200" max="8200" width="7.42578125" style="3" customWidth="1"/>
    <col min="8201" max="8448" width="11.42578125" style="3"/>
    <col min="8449" max="8449" width="15.85546875" style="3" customWidth="1"/>
    <col min="8450" max="8450" width="14.85546875" style="3" customWidth="1"/>
    <col min="8451" max="8451" width="13.28515625" style="3" customWidth="1"/>
    <col min="8452" max="8452" width="11.42578125" style="3"/>
    <col min="8453" max="8453" width="13.42578125" style="3" customWidth="1"/>
    <col min="8454" max="8454" width="12.7109375" style="3" customWidth="1"/>
    <col min="8455" max="8455" width="14" style="3" customWidth="1"/>
    <col min="8456" max="8456" width="7.42578125" style="3" customWidth="1"/>
    <col min="8457" max="8704" width="11.42578125" style="3"/>
    <col min="8705" max="8705" width="15.85546875" style="3" customWidth="1"/>
    <col min="8706" max="8706" width="14.85546875" style="3" customWidth="1"/>
    <col min="8707" max="8707" width="13.28515625" style="3" customWidth="1"/>
    <col min="8708" max="8708" width="11.42578125" style="3"/>
    <col min="8709" max="8709" width="13.42578125" style="3" customWidth="1"/>
    <col min="8710" max="8710" width="12.7109375" style="3" customWidth="1"/>
    <col min="8711" max="8711" width="14" style="3" customWidth="1"/>
    <col min="8712" max="8712" width="7.42578125" style="3" customWidth="1"/>
    <col min="8713" max="8960" width="11.42578125" style="3"/>
    <col min="8961" max="8961" width="15.85546875" style="3" customWidth="1"/>
    <col min="8962" max="8962" width="14.85546875" style="3" customWidth="1"/>
    <col min="8963" max="8963" width="13.28515625" style="3" customWidth="1"/>
    <col min="8964" max="8964" width="11.42578125" style="3"/>
    <col min="8965" max="8965" width="13.42578125" style="3" customWidth="1"/>
    <col min="8966" max="8966" width="12.7109375" style="3" customWidth="1"/>
    <col min="8967" max="8967" width="14" style="3" customWidth="1"/>
    <col min="8968" max="8968" width="7.42578125" style="3" customWidth="1"/>
    <col min="8969" max="9216" width="11.42578125" style="3"/>
    <col min="9217" max="9217" width="15.85546875" style="3" customWidth="1"/>
    <col min="9218" max="9218" width="14.85546875" style="3" customWidth="1"/>
    <col min="9219" max="9219" width="13.28515625" style="3" customWidth="1"/>
    <col min="9220" max="9220" width="11.42578125" style="3"/>
    <col min="9221" max="9221" width="13.42578125" style="3" customWidth="1"/>
    <col min="9222" max="9222" width="12.7109375" style="3" customWidth="1"/>
    <col min="9223" max="9223" width="14" style="3" customWidth="1"/>
    <col min="9224" max="9224" width="7.42578125" style="3" customWidth="1"/>
    <col min="9225" max="9472" width="11.42578125" style="3"/>
    <col min="9473" max="9473" width="15.85546875" style="3" customWidth="1"/>
    <col min="9474" max="9474" width="14.85546875" style="3" customWidth="1"/>
    <col min="9475" max="9475" width="13.28515625" style="3" customWidth="1"/>
    <col min="9476" max="9476" width="11.42578125" style="3"/>
    <col min="9477" max="9477" width="13.42578125" style="3" customWidth="1"/>
    <col min="9478" max="9478" width="12.7109375" style="3" customWidth="1"/>
    <col min="9479" max="9479" width="14" style="3" customWidth="1"/>
    <col min="9480" max="9480" width="7.42578125" style="3" customWidth="1"/>
    <col min="9481" max="9728" width="11.42578125" style="3"/>
    <col min="9729" max="9729" width="15.85546875" style="3" customWidth="1"/>
    <col min="9730" max="9730" width="14.85546875" style="3" customWidth="1"/>
    <col min="9731" max="9731" width="13.28515625" style="3" customWidth="1"/>
    <col min="9732" max="9732" width="11.42578125" style="3"/>
    <col min="9733" max="9733" width="13.42578125" style="3" customWidth="1"/>
    <col min="9734" max="9734" width="12.7109375" style="3" customWidth="1"/>
    <col min="9735" max="9735" width="14" style="3" customWidth="1"/>
    <col min="9736" max="9736" width="7.42578125" style="3" customWidth="1"/>
    <col min="9737" max="9984" width="11.42578125" style="3"/>
    <col min="9985" max="9985" width="15.85546875" style="3" customWidth="1"/>
    <col min="9986" max="9986" width="14.85546875" style="3" customWidth="1"/>
    <col min="9987" max="9987" width="13.28515625" style="3" customWidth="1"/>
    <col min="9988" max="9988" width="11.42578125" style="3"/>
    <col min="9989" max="9989" width="13.42578125" style="3" customWidth="1"/>
    <col min="9990" max="9990" width="12.7109375" style="3" customWidth="1"/>
    <col min="9991" max="9991" width="14" style="3" customWidth="1"/>
    <col min="9992" max="9992" width="7.42578125" style="3" customWidth="1"/>
    <col min="9993" max="10240" width="11.42578125" style="3"/>
    <col min="10241" max="10241" width="15.85546875" style="3" customWidth="1"/>
    <col min="10242" max="10242" width="14.85546875" style="3" customWidth="1"/>
    <col min="10243" max="10243" width="13.28515625" style="3" customWidth="1"/>
    <col min="10244" max="10244" width="11.42578125" style="3"/>
    <col min="10245" max="10245" width="13.42578125" style="3" customWidth="1"/>
    <col min="10246" max="10246" width="12.7109375" style="3" customWidth="1"/>
    <col min="10247" max="10247" width="14" style="3" customWidth="1"/>
    <col min="10248" max="10248" width="7.42578125" style="3" customWidth="1"/>
    <col min="10249" max="10496" width="11.42578125" style="3"/>
    <col min="10497" max="10497" width="15.85546875" style="3" customWidth="1"/>
    <col min="10498" max="10498" width="14.85546875" style="3" customWidth="1"/>
    <col min="10499" max="10499" width="13.28515625" style="3" customWidth="1"/>
    <col min="10500" max="10500" width="11.42578125" style="3"/>
    <col min="10501" max="10501" width="13.42578125" style="3" customWidth="1"/>
    <col min="10502" max="10502" width="12.7109375" style="3" customWidth="1"/>
    <col min="10503" max="10503" width="14" style="3" customWidth="1"/>
    <col min="10504" max="10504" width="7.42578125" style="3" customWidth="1"/>
    <col min="10505" max="10752" width="11.42578125" style="3"/>
    <col min="10753" max="10753" width="15.85546875" style="3" customWidth="1"/>
    <col min="10754" max="10754" width="14.85546875" style="3" customWidth="1"/>
    <col min="10755" max="10755" width="13.28515625" style="3" customWidth="1"/>
    <col min="10756" max="10756" width="11.42578125" style="3"/>
    <col min="10757" max="10757" width="13.42578125" style="3" customWidth="1"/>
    <col min="10758" max="10758" width="12.7109375" style="3" customWidth="1"/>
    <col min="10759" max="10759" width="14" style="3" customWidth="1"/>
    <col min="10760" max="10760" width="7.42578125" style="3" customWidth="1"/>
    <col min="10761" max="11008" width="11.42578125" style="3"/>
    <col min="11009" max="11009" width="15.85546875" style="3" customWidth="1"/>
    <col min="11010" max="11010" width="14.85546875" style="3" customWidth="1"/>
    <col min="11011" max="11011" width="13.28515625" style="3" customWidth="1"/>
    <col min="11012" max="11012" width="11.42578125" style="3"/>
    <col min="11013" max="11013" width="13.42578125" style="3" customWidth="1"/>
    <col min="11014" max="11014" width="12.7109375" style="3" customWidth="1"/>
    <col min="11015" max="11015" width="14" style="3" customWidth="1"/>
    <col min="11016" max="11016" width="7.42578125" style="3" customWidth="1"/>
    <col min="11017" max="11264" width="11.42578125" style="3"/>
    <col min="11265" max="11265" width="15.85546875" style="3" customWidth="1"/>
    <col min="11266" max="11266" width="14.85546875" style="3" customWidth="1"/>
    <col min="11267" max="11267" width="13.28515625" style="3" customWidth="1"/>
    <col min="11268" max="11268" width="11.42578125" style="3"/>
    <col min="11269" max="11269" width="13.42578125" style="3" customWidth="1"/>
    <col min="11270" max="11270" width="12.7109375" style="3" customWidth="1"/>
    <col min="11271" max="11271" width="14" style="3" customWidth="1"/>
    <col min="11272" max="11272" width="7.42578125" style="3" customWidth="1"/>
    <col min="11273" max="11520" width="11.42578125" style="3"/>
    <col min="11521" max="11521" width="15.85546875" style="3" customWidth="1"/>
    <col min="11522" max="11522" width="14.85546875" style="3" customWidth="1"/>
    <col min="11523" max="11523" width="13.28515625" style="3" customWidth="1"/>
    <col min="11524" max="11524" width="11.42578125" style="3"/>
    <col min="11525" max="11525" width="13.42578125" style="3" customWidth="1"/>
    <col min="11526" max="11526" width="12.7109375" style="3" customWidth="1"/>
    <col min="11527" max="11527" width="14" style="3" customWidth="1"/>
    <col min="11528" max="11528" width="7.42578125" style="3" customWidth="1"/>
    <col min="11529" max="11776" width="11.42578125" style="3"/>
    <col min="11777" max="11777" width="15.85546875" style="3" customWidth="1"/>
    <col min="11778" max="11778" width="14.85546875" style="3" customWidth="1"/>
    <col min="11779" max="11779" width="13.28515625" style="3" customWidth="1"/>
    <col min="11780" max="11780" width="11.42578125" style="3"/>
    <col min="11781" max="11781" width="13.42578125" style="3" customWidth="1"/>
    <col min="11782" max="11782" width="12.7109375" style="3" customWidth="1"/>
    <col min="11783" max="11783" width="14" style="3" customWidth="1"/>
    <col min="11784" max="11784" width="7.42578125" style="3" customWidth="1"/>
    <col min="11785" max="12032" width="11.42578125" style="3"/>
    <col min="12033" max="12033" width="15.85546875" style="3" customWidth="1"/>
    <col min="12034" max="12034" width="14.85546875" style="3" customWidth="1"/>
    <col min="12035" max="12035" width="13.28515625" style="3" customWidth="1"/>
    <col min="12036" max="12036" width="11.42578125" style="3"/>
    <col min="12037" max="12037" width="13.42578125" style="3" customWidth="1"/>
    <col min="12038" max="12038" width="12.7109375" style="3" customWidth="1"/>
    <col min="12039" max="12039" width="14" style="3" customWidth="1"/>
    <col min="12040" max="12040" width="7.42578125" style="3" customWidth="1"/>
    <col min="12041" max="12288" width="11.42578125" style="3"/>
    <col min="12289" max="12289" width="15.85546875" style="3" customWidth="1"/>
    <col min="12290" max="12290" width="14.85546875" style="3" customWidth="1"/>
    <col min="12291" max="12291" width="13.28515625" style="3" customWidth="1"/>
    <col min="12292" max="12292" width="11.42578125" style="3"/>
    <col min="12293" max="12293" width="13.42578125" style="3" customWidth="1"/>
    <col min="12294" max="12294" width="12.7109375" style="3" customWidth="1"/>
    <col min="12295" max="12295" width="14" style="3" customWidth="1"/>
    <col min="12296" max="12296" width="7.42578125" style="3" customWidth="1"/>
    <col min="12297" max="12544" width="11.42578125" style="3"/>
    <col min="12545" max="12545" width="15.85546875" style="3" customWidth="1"/>
    <col min="12546" max="12546" width="14.85546875" style="3" customWidth="1"/>
    <col min="12547" max="12547" width="13.28515625" style="3" customWidth="1"/>
    <col min="12548" max="12548" width="11.42578125" style="3"/>
    <col min="12549" max="12549" width="13.42578125" style="3" customWidth="1"/>
    <col min="12550" max="12550" width="12.7109375" style="3" customWidth="1"/>
    <col min="12551" max="12551" width="14" style="3" customWidth="1"/>
    <col min="12552" max="12552" width="7.42578125" style="3" customWidth="1"/>
    <col min="12553" max="12800" width="11.42578125" style="3"/>
    <col min="12801" max="12801" width="15.85546875" style="3" customWidth="1"/>
    <col min="12802" max="12802" width="14.85546875" style="3" customWidth="1"/>
    <col min="12803" max="12803" width="13.28515625" style="3" customWidth="1"/>
    <col min="12804" max="12804" width="11.42578125" style="3"/>
    <col min="12805" max="12805" width="13.42578125" style="3" customWidth="1"/>
    <col min="12806" max="12806" width="12.7109375" style="3" customWidth="1"/>
    <col min="12807" max="12807" width="14" style="3" customWidth="1"/>
    <col min="12808" max="12808" width="7.42578125" style="3" customWidth="1"/>
    <col min="12809" max="13056" width="11.42578125" style="3"/>
    <col min="13057" max="13057" width="15.85546875" style="3" customWidth="1"/>
    <col min="13058" max="13058" width="14.85546875" style="3" customWidth="1"/>
    <col min="13059" max="13059" width="13.28515625" style="3" customWidth="1"/>
    <col min="13060" max="13060" width="11.42578125" style="3"/>
    <col min="13061" max="13061" width="13.42578125" style="3" customWidth="1"/>
    <col min="13062" max="13062" width="12.7109375" style="3" customWidth="1"/>
    <col min="13063" max="13063" width="14" style="3" customWidth="1"/>
    <col min="13064" max="13064" width="7.42578125" style="3" customWidth="1"/>
    <col min="13065" max="13312" width="11.42578125" style="3"/>
    <col min="13313" max="13313" width="15.85546875" style="3" customWidth="1"/>
    <col min="13314" max="13314" width="14.85546875" style="3" customWidth="1"/>
    <col min="13315" max="13315" width="13.28515625" style="3" customWidth="1"/>
    <col min="13316" max="13316" width="11.42578125" style="3"/>
    <col min="13317" max="13317" width="13.42578125" style="3" customWidth="1"/>
    <col min="13318" max="13318" width="12.7109375" style="3" customWidth="1"/>
    <col min="13319" max="13319" width="14" style="3" customWidth="1"/>
    <col min="13320" max="13320" width="7.42578125" style="3" customWidth="1"/>
    <col min="13321" max="13568" width="11.42578125" style="3"/>
    <col min="13569" max="13569" width="15.85546875" style="3" customWidth="1"/>
    <col min="13570" max="13570" width="14.85546875" style="3" customWidth="1"/>
    <col min="13571" max="13571" width="13.28515625" style="3" customWidth="1"/>
    <col min="13572" max="13572" width="11.42578125" style="3"/>
    <col min="13573" max="13573" width="13.42578125" style="3" customWidth="1"/>
    <col min="13574" max="13574" width="12.7109375" style="3" customWidth="1"/>
    <col min="13575" max="13575" width="14" style="3" customWidth="1"/>
    <col min="13576" max="13576" width="7.42578125" style="3" customWidth="1"/>
    <col min="13577" max="13824" width="11.42578125" style="3"/>
    <col min="13825" max="13825" width="15.85546875" style="3" customWidth="1"/>
    <col min="13826" max="13826" width="14.85546875" style="3" customWidth="1"/>
    <col min="13827" max="13827" width="13.28515625" style="3" customWidth="1"/>
    <col min="13828" max="13828" width="11.42578125" style="3"/>
    <col min="13829" max="13829" width="13.42578125" style="3" customWidth="1"/>
    <col min="13830" max="13830" width="12.7109375" style="3" customWidth="1"/>
    <col min="13831" max="13831" width="14" style="3" customWidth="1"/>
    <col min="13832" max="13832" width="7.42578125" style="3" customWidth="1"/>
    <col min="13833" max="14080" width="11.42578125" style="3"/>
    <col min="14081" max="14081" width="15.85546875" style="3" customWidth="1"/>
    <col min="14082" max="14082" width="14.85546875" style="3" customWidth="1"/>
    <col min="14083" max="14083" width="13.28515625" style="3" customWidth="1"/>
    <col min="14084" max="14084" width="11.42578125" style="3"/>
    <col min="14085" max="14085" width="13.42578125" style="3" customWidth="1"/>
    <col min="14086" max="14086" width="12.7109375" style="3" customWidth="1"/>
    <col min="14087" max="14087" width="14" style="3" customWidth="1"/>
    <col min="14088" max="14088" width="7.42578125" style="3" customWidth="1"/>
    <col min="14089" max="14336" width="11.42578125" style="3"/>
    <col min="14337" max="14337" width="15.85546875" style="3" customWidth="1"/>
    <col min="14338" max="14338" width="14.85546875" style="3" customWidth="1"/>
    <col min="14339" max="14339" width="13.28515625" style="3" customWidth="1"/>
    <col min="14340" max="14340" width="11.42578125" style="3"/>
    <col min="14341" max="14341" width="13.42578125" style="3" customWidth="1"/>
    <col min="14342" max="14342" width="12.7109375" style="3" customWidth="1"/>
    <col min="14343" max="14343" width="14" style="3" customWidth="1"/>
    <col min="14344" max="14344" width="7.42578125" style="3" customWidth="1"/>
    <col min="14345" max="14592" width="11.42578125" style="3"/>
    <col min="14593" max="14593" width="15.85546875" style="3" customWidth="1"/>
    <col min="14594" max="14594" width="14.85546875" style="3" customWidth="1"/>
    <col min="14595" max="14595" width="13.28515625" style="3" customWidth="1"/>
    <col min="14596" max="14596" width="11.42578125" style="3"/>
    <col min="14597" max="14597" width="13.42578125" style="3" customWidth="1"/>
    <col min="14598" max="14598" width="12.7109375" style="3" customWidth="1"/>
    <col min="14599" max="14599" width="14" style="3" customWidth="1"/>
    <col min="14600" max="14600" width="7.42578125" style="3" customWidth="1"/>
    <col min="14601" max="14848" width="11.42578125" style="3"/>
    <col min="14849" max="14849" width="15.85546875" style="3" customWidth="1"/>
    <col min="14850" max="14850" width="14.85546875" style="3" customWidth="1"/>
    <col min="14851" max="14851" width="13.28515625" style="3" customWidth="1"/>
    <col min="14852" max="14852" width="11.42578125" style="3"/>
    <col min="14853" max="14853" width="13.42578125" style="3" customWidth="1"/>
    <col min="14854" max="14854" width="12.7109375" style="3" customWidth="1"/>
    <col min="14855" max="14855" width="14" style="3" customWidth="1"/>
    <col min="14856" max="14856" width="7.42578125" style="3" customWidth="1"/>
    <col min="14857" max="15104" width="11.42578125" style="3"/>
    <col min="15105" max="15105" width="15.85546875" style="3" customWidth="1"/>
    <col min="15106" max="15106" width="14.85546875" style="3" customWidth="1"/>
    <col min="15107" max="15107" width="13.28515625" style="3" customWidth="1"/>
    <col min="15108" max="15108" width="11.42578125" style="3"/>
    <col min="15109" max="15109" width="13.42578125" style="3" customWidth="1"/>
    <col min="15110" max="15110" width="12.7109375" style="3" customWidth="1"/>
    <col min="15111" max="15111" width="14" style="3" customWidth="1"/>
    <col min="15112" max="15112" width="7.42578125" style="3" customWidth="1"/>
    <col min="15113" max="15360" width="11.42578125" style="3"/>
    <col min="15361" max="15361" width="15.85546875" style="3" customWidth="1"/>
    <col min="15362" max="15362" width="14.85546875" style="3" customWidth="1"/>
    <col min="15363" max="15363" width="13.28515625" style="3" customWidth="1"/>
    <col min="15364" max="15364" width="11.42578125" style="3"/>
    <col min="15365" max="15365" width="13.42578125" style="3" customWidth="1"/>
    <col min="15366" max="15366" width="12.7109375" style="3" customWidth="1"/>
    <col min="15367" max="15367" width="14" style="3" customWidth="1"/>
    <col min="15368" max="15368" width="7.42578125" style="3" customWidth="1"/>
    <col min="15369" max="15616" width="11.42578125" style="3"/>
    <col min="15617" max="15617" width="15.85546875" style="3" customWidth="1"/>
    <col min="15618" max="15618" width="14.85546875" style="3" customWidth="1"/>
    <col min="15619" max="15619" width="13.28515625" style="3" customWidth="1"/>
    <col min="15620" max="15620" width="11.42578125" style="3"/>
    <col min="15621" max="15621" width="13.42578125" style="3" customWidth="1"/>
    <col min="15622" max="15622" width="12.7109375" style="3" customWidth="1"/>
    <col min="15623" max="15623" width="14" style="3" customWidth="1"/>
    <col min="15624" max="15624" width="7.42578125" style="3" customWidth="1"/>
    <col min="15625" max="15872" width="11.42578125" style="3"/>
    <col min="15873" max="15873" width="15.85546875" style="3" customWidth="1"/>
    <col min="15874" max="15874" width="14.85546875" style="3" customWidth="1"/>
    <col min="15875" max="15875" width="13.28515625" style="3" customWidth="1"/>
    <col min="15876" max="15876" width="11.42578125" style="3"/>
    <col min="15877" max="15877" width="13.42578125" style="3" customWidth="1"/>
    <col min="15878" max="15878" width="12.7109375" style="3" customWidth="1"/>
    <col min="15879" max="15879" width="14" style="3" customWidth="1"/>
    <col min="15880" max="15880" width="7.42578125" style="3" customWidth="1"/>
    <col min="15881" max="16128" width="11.42578125" style="3"/>
    <col min="16129" max="16129" width="15.85546875" style="3" customWidth="1"/>
    <col min="16130" max="16130" width="14.85546875" style="3" customWidth="1"/>
    <col min="16131" max="16131" width="13.28515625" style="3" customWidth="1"/>
    <col min="16132" max="16132" width="11.42578125" style="3"/>
    <col min="16133" max="16133" width="13.42578125" style="3" customWidth="1"/>
    <col min="16134" max="16134" width="12.7109375" style="3" customWidth="1"/>
    <col min="16135" max="16135" width="14" style="3" customWidth="1"/>
    <col min="16136" max="16136" width="7.42578125" style="3" customWidth="1"/>
    <col min="16137" max="16384" width="11.42578125" style="3"/>
  </cols>
  <sheetData>
    <row r="1" spans="1:21" ht="48" customHeight="1">
      <c r="A1" s="1346" t="str">
        <f>PPTO!D3</f>
        <v>PRESUPUESTO
MUNICIPIO EL BAGRE (ANTIOQUIA).</v>
      </c>
      <c r="B1" s="1347"/>
      <c r="C1" s="1347"/>
      <c r="D1" s="1347"/>
      <c r="E1" s="1347"/>
      <c r="F1" s="1347"/>
      <c r="G1" s="1348"/>
      <c r="H1" s="1"/>
      <c r="I1" s="2"/>
    </row>
    <row r="2" spans="1:21" ht="18" customHeight="1">
      <c r="A2" s="1362" t="s">
        <v>16</v>
      </c>
      <c r="B2" s="1363"/>
      <c r="C2" s="1363"/>
      <c r="D2" s="1363"/>
      <c r="E2" s="1363"/>
      <c r="F2" s="1363"/>
      <c r="G2" s="1364"/>
      <c r="H2" s="1"/>
      <c r="I2" s="2"/>
    </row>
    <row r="3" spans="1:21" ht="27" customHeight="1">
      <c r="A3" s="1367" t="str">
        <f>+PPTO!$D$5</f>
        <v>PROYECTO DE MEJORAMIENTO VIAL, ESPACIO PUBLICO Y OBRAS COMPLEMENTARIAS DE LA AVENIDA LA JUVENTUD Y TRAMOS ADYACENTES Y PRIORITARIOS DEL SECTOR URBANO EN EL MUNICIPIO EL BAGRE ANTIOQUIA.</v>
      </c>
      <c r="B3" s="1368"/>
      <c r="C3" s="1368"/>
      <c r="D3" s="1368"/>
      <c r="E3" s="1368"/>
      <c r="F3" s="1368"/>
      <c r="G3" s="1369"/>
      <c r="H3" s="1"/>
      <c r="I3" s="2"/>
    </row>
    <row r="4" spans="1:21" ht="30" customHeight="1">
      <c r="A4" s="1370"/>
      <c r="B4" s="1368"/>
      <c r="C4" s="1368"/>
      <c r="D4" s="1368"/>
      <c r="E4" s="1368"/>
      <c r="F4" s="1368"/>
      <c r="G4" s="1369"/>
      <c r="H4" s="1"/>
      <c r="I4" s="2"/>
    </row>
    <row r="5" spans="1:21" ht="6.75" customHeight="1">
      <c r="A5" s="222"/>
      <c r="B5" s="6"/>
      <c r="C5" s="24"/>
      <c r="D5" s="25"/>
      <c r="E5" s="6"/>
      <c r="F5" s="6"/>
      <c r="G5" s="223"/>
      <c r="H5" s="9"/>
    </row>
    <row r="6" spans="1:21" ht="52.5" customHeight="1">
      <c r="A6" s="368">
        <v>6.31</v>
      </c>
      <c r="B6" s="1349" t="str">
        <f>VLOOKUP(A6,PPTO!D9:I136,2,FALSE)</f>
        <v>Suministro e instalación Codo HD 3" X 22.5° J.H. ó Similar</v>
      </c>
      <c r="C6" s="1350"/>
      <c r="D6" s="1350"/>
      <c r="E6" s="1351"/>
      <c r="F6" s="192" t="s">
        <v>118</v>
      </c>
      <c r="G6" s="248" t="str">
        <f>VLOOKUP(A6,PPTO!D9:I136,3,FALSE)</f>
        <v>und</v>
      </c>
      <c r="H6" s="9"/>
    </row>
    <row r="7" spans="1:21" ht="3.75" customHeight="1">
      <c r="A7" s="226"/>
      <c r="B7" s="4"/>
      <c r="C7" s="6"/>
      <c r="D7" s="4"/>
      <c r="E7" s="4"/>
      <c r="F7" s="4"/>
      <c r="G7" s="227"/>
      <c r="H7" s="9"/>
    </row>
    <row r="8" spans="1:21" ht="22.5" customHeight="1">
      <c r="A8" s="1354" t="s">
        <v>69</v>
      </c>
      <c r="B8" s="1355"/>
      <c r="C8" s="1355"/>
      <c r="D8" s="1355"/>
      <c r="E8" s="1355"/>
      <c r="F8" s="1355"/>
      <c r="G8" s="1356"/>
      <c r="H8" s="9"/>
    </row>
    <row r="9" spans="1:21" ht="4.5" customHeight="1">
      <c r="A9" s="226"/>
      <c r="B9" s="4"/>
      <c r="C9" s="6"/>
      <c r="D9" s="4"/>
      <c r="E9" s="4"/>
      <c r="F9" s="4"/>
      <c r="G9" s="227"/>
      <c r="H9" s="9"/>
      <c r="I9" s="5"/>
      <c r="J9" s="5"/>
      <c r="K9" s="5"/>
      <c r="L9" s="26"/>
      <c r="M9" s="5"/>
      <c r="N9" s="5"/>
      <c r="O9" s="5"/>
      <c r="P9" s="5"/>
    </row>
    <row r="10" spans="1:21">
      <c r="A10" s="1373" t="s">
        <v>17</v>
      </c>
      <c r="B10" s="1374"/>
      <c r="C10" s="1374"/>
      <c r="D10" s="353" t="s">
        <v>18</v>
      </c>
      <c r="E10" s="353" t="s">
        <v>19</v>
      </c>
      <c r="F10" s="353" t="s">
        <v>20</v>
      </c>
      <c r="G10" s="228" t="s">
        <v>21</v>
      </c>
      <c r="H10" s="27"/>
      <c r="I10" s="28"/>
      <c r="J10" s="29"/>
      <c r="K10" s="30"/>
      <c r="L10" s="30"/>
      <c r="M10" s="30"/>
      <c r="N10" s="30"/>
      <c r="O10" s="30"/>
      <c r="P10" s="5"/>
    </row>
    <row r="11" spans="1:21">
      <c r="A11" s="1352" t="s">
        <v>47</v>
      </c>
      <c r="B11" s="1353"/>
      <c r="C11" s="1353"/>
      <c r="D11" s="353"/>
      <c r="E11" s="83"/>
      <c r="F11" s="97"/>
      <c r="G11" s="229">
        <f>+G39*10%</f>
        <v>2777</v>
      </c>
      <c r="H11" s="9"/>
      <c r="I11" s="30"/>
      <c r="J11" s="31"/>
      <c r="K11" s="30"/>
      <c r="L11" s="30"/>
      <c r="M11" s="30"/>
      <c r="N11" s="30"/>
      <c r="O11" s="30"/>
      <c r="P11" s="5"/>
    </row>
    <row r="12" spans="1:21">
      <c r="A12" s="1371"/>
      <c r="B12" s="1372"/>
      <c r="C12" s="1372"/>
      <c r="D12" s="83"/>
      <c r="E12" s="83"/>
      <c r="F12" s="93"/>
      <c r="G12" s="229"/>
      <c r="H12" s="9"/>
      <c r="I12" s="16"/>
      <c r="J12" s="13"/>
      <c r="K12" s="8"/>
      <c r="L12" s="8"/>
      <c r="M12" s="8"/>
      <c r="N12" s="8"/>
      <c r="O12" s="8"/>
      <c r="P12" s="5"/>
    </row>
    <row r="13" spans="1:21">
      <c r="A13" s="1371"/>
      <c r="B13" s="1372"/>
      <c r="C13" s="1372"/>
      <c r="D13" s="83"/>
      <c r="E13" s="83"/>
      <c r="F13" s="93"/>
      <c r="G13" s="229"/>
      <c r="H13" s="9"/>
      <c r="I13" s="13"/>
      <c r="J13" s="13"/>
      <c r="K13" s="13"/>
      <c r="L13" s="13"/>
      <c r="M13" s="13"/>
      <c r="N13" s="13"/>
      <c r="O13" s="13"/>
      <c r="P13" s="5"/>
    </row>
    <row r="14" spans="1:21">
      <c r="A14" s="1371"/>
      <c r="B14" s="1372"/>
      <c r="C14" s="1372"/>
      <c r="D14" s="83"/>
      <c r="E14" s="83"/>
      <c r="F14" s="93"/>
      <c r="G14" s="229"/>
      <c r="H14" s="9"/>
      <c r="I14" s="8"/>
      <c r="J14" s="14"/>
      <c r="K14" s="32"/>
      <c r="L14" s="14"/>
      <c r="M14" s="15"/>
      <c r="N14" s="15"/>
      <c r="O14" s="19"/>
      <c r="P14" s="5"/>
    </row>
    <row r="15" spans="1:21">
      <c r="A15" s="1371"/>
      <c r="B15" s="1372"/>
      <c r="C15" s="1372"/>
      <c r="D15" s="83"/>
      <c r="E15" s="83"/>
      <c r="F15" s="98"/>
      <c r="G15" s="229"/>
      <c r="H15" s="9"/>
      <c r="I15" s="8"/>
      <c r="J15" s="33"/>
      <c r="K15" s="32"/>
      <c r="L15" s="14"/>
      <c r="M15" s="15"/>
      <c r="N15" s="15"/>
      <c r="O15" s="19"/>
      <c r="P15" s="5"/>
      <c r="Q15" s="5"/>
      <c r="R15" s="5"/>
      <c r="S15" s="5"/>
      <c r="T15" s="5"/>
      <c r="U15" s="5"/>
    </row>
    <row r="16" spans="1:21">
      <c r="A16" s="1371"/>
      <c r="B16" s="1372"/>
      <c r="C16" s="1372"/>
      <c r="D16" s="85" t="s">
        <v>37</v>
      </c>
      <c r="E16" s="50"/>
      <c r="F16" s="49"/>
      <c r="G16" s="230">
        <f>SUM(G11:G15)</f>
        <v>2777</v>
      </c>
      <c r="H16" s="9"/>
      <c r="I16" s="34"/>
      <c r="J16" s="34"/>
      <c r="K16" s="35"/>
      <c r="L16" s="36"/>
      <c r="M16" s="7"/>
      <c r="N16" s="7"/>
      <c r="O16" s="19"/>
      <c r="P16" s="5"/>
      <c r="Q16" s="5"/>
      <c r="R16" s="5"/>
      <c r="S16" s="5"/>
      <c r="T16" s="5"/>
      <c r="U16" s="5"/>
    </row>
    <row r="17" spans="1:21" ht="4.5" customHeight="1">
      <c r="A17" s="226"/>
      <c r="B17" s="4"/>
      <c r="C17" s="6"/>
      <c r="D17" s="4"/>
      <c r="E17" s="4"/>
      <c r="F17" s="4"/>
      <c r="G17" s="227"/>
      <c r="H17" s="9"/>
      <c r="I17" s="34"/>
      <c r="J17" s="34"/>
      <c r="K17" s="35"/>
      <c r="L17" s="36"/>
      <c r="M17" s="7"/>
      <c r="N17" s="7"/>
      <c r="O17" s="19"/>
      <c r="P17" s="5"/>
      <c r="Q17" s="5"/>
      <c r="R17" s="5"/>
      <c r="S17" s="5"/>
      <c r="T17" s="5"/>
      <c r="U17" s="5"/>
    </row>
    <row r="18" spans="1:21" ht="22.5" customHeight="1">
      <c r="A18" s="1354" t="s">
        <v>70</v>
      </c>
      <c r="B18" s="1355"/>
      <c r="C18" s="1355"/>
      <c r="D18" s="1355"/>
      <c r="E18" s="1355"/>
      <c r="F18" s="1355"/>
      <c r="G18" s="1356"/>
      <c r="H18" s="9"/>
    </row>
    <row r="19" spans="1:21" ht="4.5" customHeight="1">
      <c r="A19" s="226"/>
      <c r="B19" s="4"/>
      <c r="C19" s="6"/>
      <c r="D19" s="4"/>
      <c r="E19" s="4"/>
      <c r="F19" s="38"/>
      <c r="G19" s="227"/>
      <c r="H19" s="9"/>
      <c r="I19" s="34"/>
      <c r="J19" s="34"/>
      <c r="K19" s="35"/>
      <c r="L19" s="39"/>
      <c r="M19" s="7"/>
      <c r="N19" s="7"/>
      <c r="O19" s="8"/>
      <c r="P19" s="5"/>
      <c r="Q19" s="5"/>
      <c r="R19" s="5"/>
      <c r="S19" s="5"/>
      <c r="T19" s="5"/>
      <c r="U19" s="5"/>
    </row>
    <row r="20" spans="1:21">
      <c r="A20" s="1373" t="s">
        <v>17</v>
      </c>
      <c r="B20" s="1374"/>
      <c r="C20" s="1374"/>
      <c r="D20" s="353" t="s">
        <v>3</v>
      </c>
      <c r="E20" s="353" t="s">
        <v>4</v>
      </c>
      <c r="F20" s="353" t="s">
        <v>25</v>
      </c>
      <c r="G20" s="228" t="s">
        <v>21</v>
      </c>
      <c r="H20" s="27"/>
      <c r="I20" s="34"/>
      <c r="J20" s="34"/>
      <c r="K20" s="35"/>
      <c r="L20" s="39"/>
      <c r="M20" s="7"/>
      <c r="N20" s="7"/>
      <c r="O20" s="8"/>
      <c r="P20" s="5"/>
      <c r="Q20" s="5"/>
      <c r="R20" s="5"/>
      <c r="S20" s="5"/>
      <c r="T20" s="5"/>
      <c r="U20" s="5"/>
    </row>
    <row r="21" spans="1:21" ht="31.5" customHeight="1">
      <c r="A21" s="1441" t="str">
        <f>MID(I21,25,50)</f>
        <v xml:space="preserve"> Codo HD 3" X 22.5° J.H. ó Similar</v>
      </c>
      <c r="B21" s="1442"/>
      <c r="C21" s="1443"/>
      <c r="D21" s="118" t="s">
        <v>119</v>
      </c>
      <c r="E21" s="119">
        <v>1</v>
      </c>
      <c r="F21" s="87">
        <v>165000</v>
      </c>
      <c r="G21" s="231">
        <f>ROUND(F21*E21,0)</f>
        <v>165000</v>
      </c>
      <c r="H21" s="9"/>
      <c r="I21" s="34" t="str">
        <f>B6</f>
        <v>Suministro e instalación Codo HD 3" X 22.5° J.H. ó Similar</v>
      </c>
      <c r="J21" s="34"/>
      <c r="K21" s="35"/>
      <c r="L21" s="36"/>
      <c r="M21" s="7"/>
      <c r="N21" s="7"/>
      <c r="O21" s="19"/>
      <c r="P21" s="5"/>
      <c r="Q21" s="5"/>
      <c r="R21" s="5"/>
      <c r="S21" s="5"/>
      <c r="T21" s="5"/>
      <c r="U21" s="5"/>
    </row>
    <row r="22" spans="1:21" ht="27.75" customHeight="1">
      <c r="A22" s="1444"/>
      <c r="B22" s="1403"/>
      <c r="C22" s="1404"/>
      <c r="D22" s="116"/>
      <c r="E22" s="117"/>
      <c r="F22" s="91"/>
      <c r="G22" s="231"/>
      <c r="H22" s="9"/>
      <c r="I22" s="10"/>
      <c r="J22" s="10"/>
      <c r="K22" s="12"/>
      <c r="L22" s="39"/>
      <c r="M22" s="7"/>
      <c r="N22" s="7"/>
      <c r="O22" s="15"/>
      <c r="P22" s="5"/>
      <c r="Q22" s="5"/>
      <c r="R22" s="5"/>
      <c r="S22" s="5"/>
      <c r="T22" s="5"/>
      <c r="U22" s="5"/>
    </row>
    <row r="23" spans="1:21">
      <c r="A23" s="1386"/>
      <c r="B23" s="1353"/>
      <c r="C23" s="1353"/>
      <c r="D23" s="79"/>
      <c r="E23" s="82"/>
      <c r="F23" s="83"/>
      <c r="G23" s="67"/>
      <c r="H23" s="9"/>
      <c r="I23" s="10"/>
      <c r="J23" s="10"/>
      <c r="K23" s="12"/>
      <c r="L23" s="39"/>
      <c r="M23" s="7"/>
      <c r="N23" s="7"/>
      <c r="O23" s="15"/>
      <c r="P23" s="5"/>
      <c r="Q23" s="5"/>
      <c r="R23" s="5"/>
      <c r="S23" s="5"/>
      <c r="T23" s="5"/>
      <c r="U23" s="5"/>
    </row>
    <row r="24" spans="1:21">
      <c r="A24" s="1352"/>
      <c r="B24" s="1353"/>
      <c r="C24" s="1353"/>
      <c r="D24" s="81"/>
      <c r="E24" s="88"/>
      <c r="F24" s="78"/>
      <c r="G24" s="231"/>
      <c r="H24" s="9"/>
      <c r="I24" s="10"/>
      <c r="J24" s="40"/>
      <c r="K24" s="12"/>
      <c r="L24" s="13"/>
      <c r="M24" s="14"/>
      <c r="N24" s="14"/>
      <c r="O24" s="15"/>
      <c r="P24" s="5"/>
      <c r="Q24" s="5"/>
      <c r="R24" s="5"/>
      <c r="S24" s="5"/>
      <c r="T24" s="5"/>
      <c r="U24" s="5"/>
    </row>
    <row r="25" spans="1:21">
      <c r="A25" s="1352"/>
      <c r="B25" s="1353"/>
      <c r="C25" s="1353"/>
      <c r="D25" s="81"/>
      <c r="E25" s="82"/>
      <c r="F25" s="78"/>
      <c r="G25" s="231"/>
      <c r="H25" s="9"/>
      <c r="I25" s="10"/>
      <c r="J25" s="11"/>
      <c r="K25" s="12"/>
      <c r="L25" s="13"/>
      <c r="M25" s="14"/>
      <c r="N25" s="14"/>
      <c r="O25" s="15"/>
      <c r="P25" s="5"/>
      <c r="Q25" s="5"/>
      <c r="R25" s="5"/>
      <c r="S25" s="5"/>
      <c r="T25" s="5"/>
      <c r="U25" s="5"/>
    </row>
    <row r="26" spans="1:21">
      <c r="A26" s="1352"/>
      <c r="B26" s="1353"/>
      <c r="C26" s="1353"/>
      <c r="D26" s="79"/>
      <c r="E26" s="82"/>
      <c r="F26" s="78"/>
      <c r="G26" s="231"/>
      <c r="H26" s="9"/>
      <c r="I26" s="10"/>
      <c r="J26" s="11"/>
      <c r="K26" s="12"/>
      <c r="L26" s="13"/>
      <c r="M26" s="14"/>
      <c r="N26" s="14"/>
      <c r="O26" s="15"/>
      <c r="P26" s="5"/>
      <c r="Q26" s="5"/>
      <c r="R26" s="5"/>
      <c r="S26" s="5"/>
      <c r="T26" s="5"/>
      <c r="U26" s="5"/>
    </row>
    <row r="27" spans="1:21">
      <c r="A27" s="1352"/>
      <c r="B27" s="1353"/>
      <c r="C27" s="1353"/>
      <c r="D27" s="79"/>
      <c r="E27" s="82"/>
      <c r="F27" s="78"/>
      <c r="G27" s="231"/>
      <c r="H27" s="9"/>
      <c r="I27" s="10"/>
      <c r="J27" s="11"/>
      <c r="K27" s="12"/>
      <c r="L27" s="13"/>
      <c r="M27" s="14"/>
      <c r="N27" s="14"/>
      <c r="O27" s="15"/>
      <c r="P27" s="5"/>
      <c r="Q27" s="5"/>
      <c r="R27" s="5"/>
      <c r="S27" s="5"/>
      <c r="T27" s="5"/>
      <c r="U27" s="5"/>
    </row>
    <row r="28" spans="1:21">
      <c r="A28" s="1352"/>
      <c r="B28" s="1353"/>
      <c r="C28" s="1353"/>
      <c r="D28" s="79"/>
      <c r="E28" s="82"/>
      <c r="F28" s="83"/>
      <c r="G28" s="231"/>
      <c r="H28" s="9"/>
      <c r="I28" s="41"/>
      <c r="J28" s="41"/>
      <c r="K28" s="12"/>
      <c r="L28" s="13"/>
      <c r="M28" s="14"/>
      <c r="N28" s="14"/>
      <c r="O28" s="15"/>
      <c r="P28" s="5"/>
      <c r="Q28" s="5"/>
      <c r="R28" s="5"/>
      <c r="S28" s="5"/>
      <c r="T28" s="5"/>
      <c r="U28" s="5"/>
    </row>
    <row r="29" spans="1:21">
      <c r="A29" s="1352"/>
      <c r="B29" s="1353"/>
      <c r="C29" s="1353"/>
      <c r="D29" s="84"/>
      <c r="E29" s="84"/>
      <c r="F29" s="83"/>
      <c r="G29" s="231"/>
      <c r="H29" s="9"/>
      <c r="I29" s="42"/>
      <c r="J29" s="42"/>
      <c r="K29" s="42"/>
      <c r="L29" s="13"/>
      <c r="M29" s="14"/>
      <c r="N29" s="14"/>
      <c r="O29" s="15"/>
      <c r="P29" s="5"/>
      <c r="Q29" s="5"/>
      <c r="R29" s="5"/>
      <c r="S29" s="5"/>
      <c r="T29" s="5"/>
      <c r="U29" s="5"/>
    </row>
    <row r="30" spans="1:21">
      <c r="A30" s="1352"/>
      <c r="B30" s="1353"/>
      <c r="C30" s="1353"/>
      <c r="D30" s="85" t="s">
        <v>28</v>
      </c>
      <c r="E30" s="50"/>
      <c r="F30" s="49"/>
      <c r="G30" s="230">
        <f>SUM(G21:G29)</f>
        <v>165000</v>
      </c>
      <c r="H30" s="9"/>
      <c r="I30" s="8"/>
      <c r="J30" s="13"/>
      <c r="K30" s="8"/>
      <c r="L30" s="13"/>
      <c r="M30" s="14"/>
      <c r="N30" s="14"/>
      <c r="O30" s="15"/>
      <c r="P30" s="5"/>
    </row>
    <row r="31" spans="1:21" ht="3.75" customHeight="1">
      <c r="A31" s="226"/>
      <c r="B31" s="4"/>
      <c r="C31" s="6"/>
      <c r="D31" s="4"/>
      <c r="E31" s="4"/>
      <c r="F31" s="4"/>
      <c r="G31" s="227"/>
      <c r="H31" s="9"/>
      <c r="I31" s="8"/>
      <c r="J31" s="13"/>
      <c r="K31" s="18"/>
      <c r="L31" s="13"/>
      <c r="M31" s="33"/>
      <c r="N31" s="33"/>
      <c r="O31" s="15"/>
      <c r="P31" s="5"/>
    </row>
    <row r="32" spans="1:21" ht="22.5" customHeight="1">
      <c r="A32" s="1354" t="s">
        <v>71</v>
      </c>
      <c r="B32" s="1355"/>
      <c r="C32" s="1355"/>
      <c r="D32" s="1355"/>
      <c r="E32" s="1355"/>
      <c r="F32" s="1355"/>
      <c r="G32" s="1356"/>
      <c r="H32" s="9"/>
    </row>
    <row r="33" spans="1:16" ht="3.75" customHeight="1">
      <c r="A33" s="226"/>
      <c r="B33" s="4"/>
      <c r="C33" s="6"/>
      <c r="D33" s="4"/>
      <c r="E33" s="4"/>
      <c r="F33" s="4"/>
      <c r="G33" s="227"/>
      <c r="H33" s="9"/>
      <c r="I33" s="8"/>
      <c r="J33" s="13"/>
      <c r="K33" s="8"/>
      <c r="L33" s="8"/>
      <c r="M33" s="8"/>
      <c r="N33" s="8"/>
      <c r="O33" s="15"/>
      <c r="P33" s="5"/>
    </row>
    <row r="34" spans="1:16">
      <c r="A34" s="232" t="s">
        <v>5</v>
      </c>
      <c r="B34" s="60" t="s">
        <v>29</v>
      </c>
      <c r="C34" s="60" t="s">
        <v>30</v>
      </c>
      <c r="D34" s="60" t="s">
        <v>31</v>
      </c>
      <c r="E34" s="60" t="s">
        <v>32</v>
      </c>
      <c r="F34" s="60" t="s">
        <v>20</v>
      </c>
      <c r="G34" s="228" t="s">
        <v>33</v>
      </c>
      <c r="H34" s="27"/>
      <c r="I34" s="8"/>
      <c r="J34" s="13"/>
      <c r="K34" s="8"/>
      <c r="L34" s="8"/>
      <c r="M34" s="8"/>
      <c r="N34" s="8"/>
      <c r="O34" s="15"/>
      <c r="P34" s="5"/>
    </row>
    <row r="35" spans="1:16">
      <c r="A35" s="233" t="s">
        <v>41</v>
      </c>
      <c r="B35" s="63">
        <f>BOF</f>
        <v>51749</v>
      </c>
      <c r="C35" s="68">
        <f>ffpp</f>
        <v>0.64539999999999997</v>
      </c>
      <c r="D35" s="72">
        <v>1</v>
      </c>
      <c r="E35" s="66">
        <f>OF</f>
        <v>88696</v>
      </c>
      <c r="F35" s="65">
        <v>11</v>
      </c>
      <c r="G35" s="231">
        <f>ROUND(+D35*E35/F35,0)</f>
        <v>8063</v>
      </c>
      <c r="H35" s="9"/>
      <c r="I35" s="16"/>
      <c r="J35" s="13"/>
      <c r="K35" s="8"/>
      <c r="L35" s="8"/>
      <c r="M35" s="8"/>
      <c r="N35" s="8"/>
      <c r="O35" s="15"/>
      <c r="P35" s="5"/>
    </row>
    <row r="36" spans="1:16">
      <c r="A36" s="233" t="s">
        <v>38</v>
      </c>
      <c r="B36" s="63">
        <f>BOB</f>
        <v>41749</v>
      </c>
      <c r="C36" s="68">
        <f>ffpp</f>
        <v>0.64539999999999997</v>
      </c>
      <c r="D36" s="72">
        <v>3</v>
      </c>
      <c r="E36" s="66">
        <f>OB</f>
        <v>72242</v>
      </c>
      <c r="F36" s="65">
        <f>F35</f>
        <v>11</v>
      </c>
      <c r="G36" s="231">
        <f>ROUND(+D36*E36/F36,0)</f>
        <v>19702</v>
      </c>
      <c r="H36" s="9"/>
      <c r="I36" s="8"/>
      <c r="J36" s="8"/>
      <c r="K36" s="13"/>
      <c r="L36" s="13"/>
      <c r="M36" s="13"/>
      <c r="N36" s="13"/>
      <c r="O36" s="13"/>
      <c r="P36" s="5"/>
    </row>
    <row r="37" spans="1:16">
      <c r="A37" s="234"/>
      <c r="B37" s="50"/>
      <c r="C37" s="961"/>
      <c r="D37" s="50"/>
      <c r="E37" s="66"/>
      <c r="F37" s="65"/>
      <c r="G37" s="231"/>
      <c r="H37" s="9"/>
      <c r="I37" s="8"/>
      <c r="J37" s="13"/>
      <c r="K37" s="13"/>
      <c r="L37" s="13"/>
      <c r="M37" s="33"/>
      <c r="N37" s="33"/>
      <c r="O37" s="43"/>
      <c r="P37" s="5"/>
    </row>
    <row r="38" spans="1:16">
      <c r="A38" s="233"/>
      <c r="B38" s="65"/>
      <c r="C38" s="68"/>
      <c r="D38" s="65"/>
      <c r="E38" s="69"/>
      <c r="F38" s="69"/>
      <c r="G38" s="236"/>
      <c r="H38" s="9"/>
      <c r="I38" s="8"/>
      <c r="J38" s="13"/>
      <c r="K38" s="13"/>
      <c r="L38" s="13"/>
      <c r="M38" s="33"/>
      <c r="N38" s="33"/>
      <c r="O38" s="43"/>
      <c r="P38" s="5"/>
    </row>
    <row r="39" spans="1:16">
      <c r="A39" s="249"/>
      <c r="B39" s="71"/>
      <c r="C39" s="71"/>
      <c r="D39" s="71" t="s">
        <v>34</v>
      </c>
      <c r="E39" s="71"/>
      <c r="F39" s="71"/>
      <c r="G39" s="250">
        <f>SUM(G35:G38)</f>
        <v>27765</v>
      </c>
      <c r="H39" s="9"/>
      <c r="I39" s="8"/>
      <c r="J39" s="13"/>
      <c r="K39" s="13"/>
      <c r="L39" s="13"/>
      <c r="M39" s="14"/>
      <c r="N39" s="14"/>
      <c r="O39" s="15"/>
      <c r="P39" s="5"/>
    </row>
    <row r="40" spans="1:16">
      <c r="A40" s="226"/>
      <c r="B40" s="4"/>
      <c r="C40" s="6"/>
      <c r="D40" s="4"/>
      <c r="E40" s="4"/>
      <c r="F40" s="4"/>
      <c r="G40" s="227"/>
      <c r="H40" s="9"/>
      <c r="I40" s="8"/>
      <c r="J40" s="13"/>
      <c r="K40" s="13"/>
      <c r="L40" s="13"/>
      <c r="M40" s="14"/>
      <c r="N40" s="14"/>
      <c r="O40" s="19"/>
      <c r="P40" s="5"/>
    </row>
    <row r="41" spans="1:16">
      <c r="A41" s="226"/>
      <c r="B41" s="4"/>
      <c r="C41" s="6"/>
      <c r="D41" s="4"/>
      <c r="E41" s="4"/>
      <c r="F41" s="4"/>
      <c r="G41" s="227"/>
      <c r="H41" s="9"/>
      <c r="I41" s="8"/>
      <c r="J41" s="13"/>
      <c r="K41" s="13"/>
      <c r="L41" s="13"/>
      <c r="M41" s="17"/>
      <c r="N41" s="17"/>
      <c r="O41" s="37"/>
      <c r="P41" s="5"/>
    </row>
    <row r="42" spans="1:16" ht="14.25">
      <c r="A42" s="226"/>
      <c r="B42" s="4"/>
      <c r="C42" s="6"/>
      <c r="D42" s="1357" t="s">
        <v>35</v>
      </c>
      <c r="E42" s="1358"/>
      <c r="F42" s="1359"/>
      <c r="G42" s="239">
        <f>+G39+G30+G16</f>
        <v>195542</v>
      </c>
      <c r="H42" s="9"/>
      <c r="I42" s="48"/>
      <c r="J42" s="20"/>
      <c r="K42" s="8"/>
      <c r="L42" s="8"/>
      <c r="M42" s="8"/>
      <c r="N42" s="8"/>
      <c r="O42" s="8"/>
      <c r="P42" s="5"/>
    </row>
    <row r="43" spans="1:16" ht="14.25">
      <c r="A43" s="240"/>
      <c r="B43" s="57"/>
      <c r="C43" s="58"/>
      <c r="D43" s="99"/>
      <c r="E43" s="99"/>
      <c r="F43" s="99"/>
      <c r="G43" s="251"/>
      <c r="H43" s="9"/>
      <c r="I43" s="48"/>
      <c r="J43" s="20"/>
      <c r="K43" s="8"/>
      <c r="L43" s="8"/>
      <c r="M43" s="8"/>
      <c r="N43" s="8"/>
      <c r="O43" s="8"/>
      <c r="P43" s="5"/>
    </row>
    <row r="44" spans="1:16" ht="14.25">
      <c r="A44" s="374"/>
      <c r="B44" s="375"/>
      <c r="C44" s="375"/>
      <c r="D44" s="99"/>
      <c r="E44" s="99"/>
      <c r="F44" s="99"/>
      <c r="G44" s="251"/>
      <c r="H44" s="9"/>
      <c r="I44" s="48"/>
      <c r="J44" s="20"/>
      <c r="K44" s="8"/>
      <c r="L44" s="8"/>
      <c r="M44" s="8"/>
      <c r="N44" s="8"/>
      <c r="O44" s="8"/>
      <c r="P44" s="5"/>
    </row>
    <row r="45" spans="1:16" ht="14.25">
      <c r="A45" s="373"/>
      <c r="B45" s="376"/>
      <c r="C45" s="376"/>
      <c r="D45" s="99"/>
      <c r="E45" s="99"/>
      <c r="F45" s="99"/>
      <c r="G45" s="251"/>
      <c r="H45" s="9"/>
      <c r="I45" s="48"/>
      <c r="J45" s="20"/>
      <c r="K45" s="8"/>
      <c r="L45" s="8"/>
      <c r="M45" s="8"/>
      <c r="N45" s="8"/>
      <c r="O45" s="8"/>
      <c r="P45" s="5"/>
    </row>
    <row r="46" spans="1:16" ht="14.25">
      <c r="A46" s="373"/>
      <c r="B46" s="376"/>
      <c r="C46" s="376"/>
      <c r="D46" s="44"/>
      <c r="E46" s="45"/>
      <c r="F46" s="45"/>
      <c r="G46" s="251"/>
      <c r="H46" s="9"/>
      <c r="I46" s="8"/>
      <c r="J46" s="13"/>
      <c r="K46" s="8"/>
      <c r="L46" s="8"/>
      <c r="M46" s="8"/>
      <c r="N46" s="8"/>
      <c r="O46" s="8"/>
      <c r="P46" s="5"/>
    </row>
    <row r="47" spans="1:16" ht="15" thickBot="1">
      <c r="A47" s="242"/>
      <c r="B47" s="243"/>
      <c r="C47" s="244"/>
      <c r="D47" s="245"/>
      <c r="E47" s="246"/>
      <c r="F47" s="246"/>
      <c r="G47" s="247"/>
      <c r="H47" s="9"/>
      <c r="I47" s="8"/>
      <c r="J47" s="13"/>
      <c r="K47" s="8"/>
      <c r="L47" s="8"/>
      <c r="M47" s="8"/>
      <c r="N47" s="8"/>
      <c r="O47" s="8"/>
      <c r="P47" s="5"/>
    </row>
    <row r="48" spans="1:16">
      <c r="I48" s="5"/>
      <c r="J48" s="5"/>
      <c r="K48" s="5"/>
      <c r="L48" s="5"/>
      <c r="M48" s="5"/>
      <c r="N48" s="5"/>
      <c r="O48" s="5"/>
      <c r="P48" s="5"/>
    </row>
    <row r="49" spans="9:16">
      <c r="I49" s="5"/>
      <c r="J49" s="5"/>
      <c r="K49" s="5"/>
      <c r="L49" s="5"/>
      <c r="M49" s="5"/>
      <c r="N49" s="5"/>
      <c r="O49" s="5"/>
      <c r="P49" s="5"/>
    </row>
  </sheetData>
  <mergeCells count="26">
    <mergeCell ref="A10:C10"/>
    <mergeCell ref="A1:G1"/>
    <mergeCell ref="A2:G2"/>
    <mergeCell ref="A3:G4"/>
    <mergeCell ref="B6:E6"/>
    <mergeCell ref="A8:G8"/>
    <mergeCell ref="A24:C24"/>
    <mergeCell ref="A11:C11"/>
    <mergeCell ref="A12:C12"/>
    <mergeCell ref="A13:C13"/>
    <mergeCell ref="A14:C14"/>
    <mergeCell ref="A15:C15"/>
    <mergeCell ref="A16:C16"/>
    <mergeCell ref="A18:G18"/>
    <mergeCell ref="A20:C20"/>
    <mergeCell ref="A21:C21"/>
    <mergeCell ref="A22:C22"/>
    <mergeCell ref="A23:C23"/>
    <mergeCell ref="A32:G32"/>
    <mergeCell ref="D42:F42"/>
    <mergeCell ref="A25:C25"/>
    <mergeCell ref="A26:C26"/>
    <mergeCell ref="A27:C27"/>
    <mergeCell ref="A28:C28"/>
    <mergeCell ref="A29:C29"/>
    <mergeCell ref="A30:C30"/>
  </mergeCells>
  <printOptions horizontalCentered="1" verticalCentered="1"/>
  <pageMargins left="0.74803149606299213" right="0.74803149606299213" top="0" bottom="0.98425196850393704" header="0" footer="0"/>
  <pageSetup scale="90" orientation="portrait" r:id="rId1"/>
  <headerFooter alignWithMargins="0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86"/>
  <dimension ref="A1:U49"/>
  <sheetViews>
    <sheetView view="pageBreakPreview" topLeftCell="A6" zoomScaleNormal="100" zoomScaleSheetLayoutView="100" workbookViewId="0">
      <selection activeCell="I7" sqref="I7"/>
    </sheetView>
  </sheetViews>
  <sheetFormatPr baseColWidth="10" defaultColWidth="10.7109375" defaultRowHeight="12.75"/>
  <cols>
    <col min="1" max="1" width="15.85546875" style="3" customWidth="1"/>
    <col min="2" max="2" width="14.85546875" style="3" customWidth="1"/>
    <col min="3" max="3" width="13.28515625" style="3" customWidth="1"/>
    <col min="4" max="4" width="11.42578125" style="3"/>
    <col min="5" max="5" width="13.42578125" style="3" customWidth="1"/>
    <col min="6" max="6" width="12.7109375" style="3" customWidth="1"/>
    <col min="7" max="7" width="14" style="3" customWidth="1"/>
    <col min="8" max="8" width="7.42578125" style="3" customWidth="1"/>
    <col min="9" max="256" width="11.42578125" style="3"/>
    <col min="257" max="257" width="15.85546875" style="3" customWidth="1"/>
    <col min="258" max="258" width="14.85546875" style="3" customWidth="1"/>
    <col min="259" max="259" width="13.28515625" style="3" customWidth="1"/>
    <col min="260" max="260" width="11.42578125" style="3"/>
    <col min="261" max="261" width="13.42578125" style="3" customWidth="1"/>
    <col min="262" max="262" width="12.7109375" style="3" customWidth="1"/>
    <col min="263" max="263" width="14" style="3" customWidth="1"/>
    <col min="264" max="264" width="7.42578125" style="3" customWidth="1"/>
    <col min="265" max="512" width="11.42578125" style="3"/>
    <col min="513" max="513" width="15.85546875" style="3" customWidth="1"/>
    <col min="514" max="514" width="14.85546875" style="3" customWidth="1"/>
    <col min="515" max="515" width="13.28515625" style="3" customWidth="1"/>
    <col min="516" max="516" width="11.42578125" style="3"/>
    <col min="517" max="517" width="13.42578125" style="3" customWidth="1"/>
    <col min="518" max="518" width="12.7109375" style="3" customWidth="1"/>
    <col min="519" max="519" width="14" style="3" customWidth="1"/>
    <col min="520" max="520" width="7.42578125" style="3" customWidth="1"/>
    <col min="521" max="768" width="11.42578125" style="3"/>
    <col min="769" max="769" width="15.85546875" style="3" customWidth="1"/>
    <col min="770" max="770" width="14.85546875" style="3" customWidth="1"/>
    <col min="771" max="771" width="13.28515625" style="3" customWidth="1"/>
    <col min="772" max="772" width="11.42578125" style="3"/>
    <col min="773" max="773" width="13.42578125" style="3" customWidth="1"/>
    <col min="774" max="774" width="12.7109375" style="3" customWidth="1"/>
    <col min="775" max="775" width="14" style="3" customWidth="1"/>
    <col min="776" max="776" width="7.42578125" style="3" customWidth="1"/>
    <col min="777" max="1024" width="11.42578125" style="3"/>
    <col min="1025" max="1025" width="15.85546875" style="3" customWidth="1"/>
    <col min="1026" max="1026" width="14.85546875" style="3" customWidth="1"/>
    <col min="1027" max="1027" width="13.28515625" style="3" customWidth="1"/>
    <col min="1028" max="1028" width="11.42578125" style="3"/>
    <col min="1029" max="1029" width="13.42578125" style="3" customWidth="1"/>
    <col min="1030" max="1030" width="12.7109375" style="3" customWidth="1"/>
    <col min="1031" max="1031" width="14" style="3" customWidth="1"/>
    <col min="1032" max="1032" width="7.42578125" style="3" customWidth="1"/>
    <col min="1033" max="1280" width="11.42578125" style="3"/>
    <col min="1281" max="1281" width="15.85546875" style="3" customWidth="1"/>
    <col min="1282" max="1282" width="14.85546875" style="3" customWidth="1"/>
    <col min="1283" max="1283" width="13.28515625" style="3" customWidth="1"/>
    <col min="1284" max="1284" width="11.42578125" style="3"/>
    <col min="1285" max="1285" width="13.42578125" style="3" customWidth="1"/>
    <col min="1286" max="1286" width="12.7109375" style="3" customWidth="1"/>
    <col min="1287" max="1287" width="14" style="3" customWidth="1"/>
    <col min="1288" max="1288" width="7.42578125" style="3" customWidth="1"/>
    <col min="1289" max="1536" width="11.42578125" style="3"/>
    <col min="1537" max="1537" width="15.85546875" style="3" customWidth="1"/>
    <col min="1538" max="1538" width="14.85546875" style="3" customWidth="1"/>
    <col min="1539" max="1539" width="13.28515625" style="3" customWidth="1"/>
    <col min="1540" max="1540" width="11.42578125" style="3"/>
    <col min="1541" max="1541" width="13.42578125" style="3" customWidth="1"/>
    <col min="1542" max="1542" width="12.7109375" style="3" customWidth="1"/>
    <col min="1543" max="1543" width="14" style="3" customWidth="1"/>
    <col min="1544" max="1544" width="7.42578125" style="3" customWidth="1"/>
    <col min="1545" max="1792" width="11.42578125" style="3"/>
    <col min="1793" max="1793" width="15.85546875" style="3" customWidth="1"/>
    <col min="1794" max="1794" width="14.85546875" style="3" customWidth="1"/>
    <col min="1795" max="1795" width="13.28515625" style="3" customWidth="1"/>
    <col min="1796" max="1796" width="11.42578125" style="3"/>
    <col min="1797" max="1797" width="13.42578125" style="3" customWidth="1"/>
    <col min="1798" max="1798" width="12.7109375" style="3" customWidth="1"/>
    <col min="1799" max="1799" width="14" style="3" customWidth="1"/>
    <col min="1800" max="1800" width="7.42578125" style="3" customWidth="1"/>
    <col min="1801" max="2048" width="11.42578125" style="3"/>
    <col min="2049" max="2049" width="15.85546875" style="3" customWidth="1"/>
    <col min="2050" max="2050" width="14.85546875" style="3" customWidth="1"/>
    <col min="2051" max="2051" width="13.28515625" style="3" customWidth="1"/>
    <col min="2052" max="2052" width="11.42578125" style="3"/>
    <col min="2053" max="2053" width="13.42578125" style="3" customWidth="1"/>
    <col min="2054" max="2054" width="12.7109375" style="3" customWidth="1"/>
    <col min="2055" max="2055" width="14" style="3" customWidth="1"/>
    <col min="2056" max="2056" width="7.42578125" style="3" customWidth="1"/>
    <col min="2057" max="2304" width="11.42578125" style="3"/>
    <col min="2305" max="2305" width="15.85546875" style="3" customWidth="1"/>
    <col min="2306" max="2306" width="14.85546875" style="3" customWidth="1"/>
    <col min="2307" max="2307" width="13.28515625" style="3" customWidth="1"/>
    <col min="2308" max="2308" width="11.42578125" style="3"/>
    <col min="2309" max="2309" width="13.42578125" style="3" customWidth="1"/>
    <col min="2310" max="2310" width="12.7109375" style="3" customWidth="1"/>
    <col min="2311" max="2311" width="14" style="3" customWidth="1"/>
    <col min="2312" max="2312" width="7.42578125" style="3" customWidth="1"/>
    <col min="2313" max="2560" width="11.42578125" style="3"/>
    <col min="2561" max="2561" width="15.85546875" style="3" customWidth="1"/>
    <col min="2562" max="2562" width="14.85546875" style="3" customWidth="1"/>
    <col min="2563" max="2563" width="13.28515625" style="3" customWidth="1"/>
    <col min="2564" max="2564" width="11.42578125" style="3"/>
    <col min="2565" max="2565" width="13.42578125" style="3" customWidth="1"/>
    <col min="2566" max="2566" width="12.7109375" style="3" customWidth="1"/>
    <col min="2567" max="2567" width="14" style="3" customWidth="1"/>
    <col min="2568" max="2568" width="7.42578125" style="3" customWidth="1"/>
    <col min="2569" max="2816" width="11.42578125" style="3"/>
    <col min="2817" max="2817" width="15.85546875" style="3" customWidth="1"/>
    <col min="2818" max="2818" width="14.85546875" style="3" customWidth="1"/>
    <col min="2819" max="2819" width="13.28515625" style="3" customWidth="1"/>
    <col min="2820" max="2820" width="11.42578125" style="3"/>
    <col min="2821" max="2821" width="13.42578125" style="3" customWidth="1"/>
    <col min="2822" max="2822" width="12.7109375" style="3" customWidth="1"/>
    <col min="2823" max="2823" width="14" style="3" customWidth="1"/>
    <col min="2824" max="2824" width="7.42578125" style="3" customWidth="1"/>
    <col min="2825" max="3072" width="11.42578125" style="3"/>
    <col min="3073" max="3073" width="15.85546875" style="3" customWidth="1"/>
    <col min="3074" max="3074" width="14.85546875" style="3" customWidth="1"/>
    <col min="3075" max="3075" width="13.28515625" style="3" customWidth="1"/>
    <col min="3076" max="3076" width="11.42578125" style="3"/>
    <col min="3077" max="3077" width="13.42578125" style="3" customWidth="1"/>
    <col min="3078" max="3078" width="12.7109375" style="3" customWidth="1"/>
    <col min="3079" max="3079" width="14" style="3" customWidth="1"/>
    <col min="3080" max="3080" width="7.42578125" style="3" customWidth="1"/>
    <col min="3081" max="3328" width="11.42578125" style="3"/>
    <col min="3329" max="3329" width="15.85546875" style="3" customWidth="1"/>
    <col min="3330" max="3330" width="14.85546875" style="3" customWidth="1"/>
    <col min="3331" max="3331" width="13.28515625" style="3" customWidth="1"/>
    <col min="3332" max="3332" width="11.42578125" style="3"/>
    <col min="3333" max="3333" width="13.42578125" style="3" customWidth="1"/>
    <col min="3334" max="3334" width="12.7109375" style="3" customWidth="1"/>
    <col min="3335" max="3335" width="14" style="3" customWidth="1"/>
    <col min="3336" max="3336" width="7.42578125" style="3" customWidth="1"/>
    <col min="3337" max="3584" width="11.42578125" style="3"/>
    <col min="3585" max="3585" width="15.85546875" style="3" customWidth="1"/>
    <col min="3586" max="3586" width="14.85546875" style="3" customWidth="1"/>
    <col min="3587" max="3587" width="13.28515625" style="3" customWidth="1"/>
    <col min="3588" max="3588" width="11.42578125" style="3"/>
    <col min="3589" max="3589" width="13.42578125" style="3" customWidth="1"/>
    <col min="3590" max="3590" width="12.7109375" style="3" customWidth="1"/>
    <col min="3591" max="3591" width="14" style="3" customWidth="1"/>
    <col min="3592" max="3592" width="7.42578125" style="3" customWidth="1"/>
    <col min="3593" max="3840" width="11.42578125" style="3"/>
    <col min="3841" max="3841" width="15.85546875" style="3" customWidth="1"/>
    <col min="3842" max="3842" width="14.85546875" style="3" customWidth="1"/>
    <col min="3843" max="3843" width="13.28515625" style="3" customWidth="1"/>
    <col min="3844" max="3844" width="11.42578125" style="3"/>
    <col min="3845" max="3845" width="13.42578125" style="3" customWidth="1"/>
    <col min="3846" max="3846" width="12.7109375" style="3" customWidth="1"/>
    <col min="3847" max="3847" width="14" style="3" customWidth="1"/>
    <col min="3848" max="3848" width="7.42578125" style="3" customWidth="1"/>
    <col min="3849" max="4096" width="11.42578125" style="3"/>
    <col min="4097" max="4097" width="15.85546875" style="3" customWidth="1"/>
    <col min="4098" max="4098" width="14.85546875" style="3" customWidth="1"/>
    <col min="4099" max="4099" width="13.28515625" style="3" customWidth="1"/>
    <col min="4100" max="4100" width="11.42578125" style="3"/>
    <col min="4101" max="4101" width="13.42578125" style="3" customWidth="1"/>
    <col min="4102" max="4102" width="12.7109375" style="3" customWidth="1"/>
    <col min="4103" max="4103" width="14" style="3" customWidth="1"/>
    <col min="4104" max="4104" width="7.42578125" style="3" customWidth="1"/>
    <col min="4105" max="4352" width="11.42578125" style="3"/>
    <col min="4353" max="4353" width="15.85546875" style="3" customWidth="1"/>
    <col min="4354" max="4354" width="14.85546875" style="3" customWidth="1"/>
    <col min="4355" max="4355" width="13.28515625" style="3" customWidth="1"/>
    <col min="4356" max="4356" width="11.42578125" style="3"/>
    <col min="4357" max="4357" width="13.42578125" style="3" customWidth="1"/>
    <col min="4358" max="4358" width="12.7109375" style="3" customWidth="1"/>
    <col min="4359" max="4359" width="14" style="3" customWidth="1"/>
    <col min="4360" max="4360" width="7.42578125" style="3" customWidth="1"/>
    <col min="4361" max="4608" width="11.42578125" style="3"/>
    <col min="4609" max="4609" width="15.85546875" style="3" customWidth="1"/>
    <col min="4610" max="4610" width="14.85546875" style="3" customWidth="1"/>
    <col min="4611" max="4611" width="13.28515625" style="3" customWidth="1"/>
    <col min="4612" max="4612" width="11.42578125" style="3"/>
    <col min="4613" max="4613" width="13.42578125" style="3" customWidth="1"/>
    <col min="4614" max="4614" width="12.7109375" style="3" customWidth="1"/>
    <col min="4615" max="4615" width="14" style="3" customWidth="1"/>
    <col min="4616" max="4616" width="7.42578125" style="3" customWidth="1"/>
    <col min="4617" max="4864" width="11.42578125" style="3"/>
    <col min="4865" max="4865" width="15.85546875" style="3" customWidth="1"/>
    <col min="4866" max="4866" width="14.85546875" style="3" customWidth="1"/>
    <col min="4867" max="4867" width="13.28515625" style="3" customWidth="1"/>
    <col min="4868" max="4868" width="11.42578125" style="3"/>
    <col min="4869" max="4869" width="13.42578125" style="3" customWidth="1"/>
    <col min="4870" max="4870" width="12.7109375" style="3" customWidth="1"/>
    <col min="4871" max="4871" width="14" style="3" customWidth="1"/>
    <col min="4872" max="4872" width="7.42578125" style="3" customWidth="1"/>
    <col min="4873" max="5120" width="11.42578125" style="3"/>
    <col min="5121" max="5121" width="15.85546875" style="3" customWidth="1"/>
    <col min="5122" max="5122" width="14.85546875" style="3" customWidth="1"/>
    <col min="5123" max="5123" width="13.28515625" style="3" customWidth="1"/>
    <col min="5124" max="5124" width="11.42578125" style="3"/>
    <col min="5125" max="5125" width="13.42578125" style="3" customWidth="1"/>
    <col min="5126" max="5126" width="12.7109375" style="3" customWidth="1"/>
    <col min="5127" max="5127" width="14" style="3" customWidth="1"/>
    <col min="5128" max="5128" width="7.42578125" style="3" customWidth="1"/>
    <col min="5129" max="5376" width="11.42578125" style="3"/>
    <col min="5377" max="5377" width="15.85546875" style="3" customWidth="1"/>
    <col min="5378" max="5378" width="14.85546875" style="3" customWidth="1"/>
    <col min="5379" max="5379" width="13.28515625" style="3" customWidth="1"/>
    <col min="5380" max="5380" width="11.42578125" style="3"/>
    <col min="5381" max="5381" width="13.42578125" style="3" customWidth="1"/>
    <col min="5382" max="5382" width="12.7109375" style="3" customWidth="1"/>
    <col min="5383" max="5383" width="14" style="3" customWidth="1"/>
    <col min="5384" max="5384" width="7.42578125" style="3" customWidth="1"/>
    <col min="5385" max="5632" width="11.42578125" style="3"/>
    <col min="5633" max="5633" width="15.85546875" style="3" customWidth="1"/>
    <col min="5634" max="5634" width="14.85546875" style="3" customWidth="1"/>
    <col min="5635" max="5635" width="13.28515625" style="3" customWidth="1"/>
    <col min="5636" max="5636" width="11.42578125" style="3"/>
    <col min="5637" max="5637" width="13.42578125" style="3" customWidth="1"/>
    <col min="5638" max="5638" width="12.7109375" style="3" customWidth="1"/>
    <col min="5639" max="5639" width="14" style="3" customWidth="1"/>
    <col min="5640" max="5640" width="7.42578125" style="3" customWidth="1"/>
    <col min="5641" max="5888" width="11.42578125" style="3"/>
    <col min="5889" max="5889" width="15.85546875" style="3" customWidth="1"/>
    <col min="5890" max="5890" width="14.85546875" style="3" customWidth="1"/>
    <col min="5891" max="5891" width="13.28515625" style="3" customWidth="1"/>
    <col min="5892" max="5892" width="11.42578125" style="3"/>
    <col min="5893" max="5893" width="13.42578125" style="3" customWidth="1"/>
    <col min="5894" max="5894" width="12.7109375" style="3" customWidth="1"/>
    <col min="5895" max="5895" width="14" style="3" customWidth="1"/>
    <col min="5896" max="5896" width="7.42578125" style="3" customWidth="1"/>
    <col min="5897" max="6144" width="11.42578125" style="3"/>
    <col min="6145" max="6145" width="15.85546875" style="3" customWidth="1"/>
    <col min="6146" max="6146" width="14.85546875" style="3" customWidth="1"/>
    <col min="6147" max="6147" width="13.28515625" style="3" customWidth="1"/>
    <col min="6148" max="6148" width="11.42578125" style="3"/>
    <col min="6149" max="6149" width="13.42578125" style="3" customWidth="1"/>
    <col min="6150" max="6150" width="12.7109375" style="3" customWidth="1"/>
    <col min="6151" max="6151" width="14" style="3" customWidth="1"/>
    <col min="6152" max="6152" width="7.42578125" style="3" customWidth="1"/>
    <col min="6153" max="6400" width="11.42578125" style="3"/>
    <col min="6401" max="6401" width="15.85546875" style="3" customWidth="1"/>
    <col min="6402" max="6402" width="14.85546875" style="3" customWidth="1"/>
    <col min="6403" max="6403" width="13.28515625" style="3" customWidth="1"/>
    <col min="6404" max="6404" width="11.42578125" style="3"/>
    <col min="6405" max="6405" width="13.42578125" style="3" customWidth="1"/>
    <col min="6406" max="6406" width="12.7109375" style="3" customWidth="1"/>
    <col min="6407" max="6407" width="14" style="3" customWidth="1"/>
    <col min="6408" max="6408" width="7.42578125" style="3" customWidth="1"/>
    <col min="6409" max="6656" width="11.42578125" style="3"/>
    <col min="6657" max="6657" width="15.85546875" style="3" customWidth="1"/>
    <col min="6658" max="6658" width="14.85546875" style="3" customWidth="1"/>
    <col min="6659" max="6659" width="13.28515625" style="3" customWidth="1"/>
    <col min="6660" max="6660" width="11.42578125" style="3"/>
    <col min="6661" max="6661" width="13.42578125" style="3" customWidth="1"/>
    <col min="6662" max="6662" width="12.7109375" style="3" customWidth="1"/>
    <col min="6663" max="6663" width="14" style="3" customWidth="1"/>
    <col min="6664" max="6664" width="7.42578125" style="3" customWidth="1"/>
    <col min="6665" max="6912" width="11.42578125" style="3"/>
    <col min="6913" max="6913" width="15.85546875" style="3" customWidth="1"/>
    <col min="6914" max="6914" width="14.85546875" style="3" customWidth="1"/>
    <col min="6915" max="6915" width="13.28515625" style="3" customWidth="1"/>
    <col min="6916" max="6916" width="11.42578125" style="3"/>
    <col min="6917" max="6917" width="13.42578125" style="3" customWidth="1"/>
    <col min="6918" max="6918" width="12.7109375" style="3" customWidth="1"/>
    <col min="6919" max="6919" width="14" style="3" customWidth="1"/>
    <col min="6920" max="6920" width="7.42578125" style="3" customWidth="1"/>
    <col min="6921" max="7168" width="11.42578125" style="3"/>
    <col min="7169" max="7169" width="15.85546875" style="3" customWidth="1"/>
    <col min="7170" max="7170" width="14.85546875" style="3" customWidth="1"/>
    <col min="7171" max="7171" width="13.28515625" style="3" customWidth="1"/>
    <col min="7172" max="7172" width="11.42578125" style="3"/>
    <col min="7173" max="7173" width="13.42578125" style="3" customWidth="1"/>
    <col min="7174" max="7174" width="12.7109375" style="3" customWidth="1"/>
    <col min="7175" max="7175" width="14" style="3" customWidth="1"/>
    <col min="7176" max="7176" width="7.42578125" style="3" customWidth="1"/>
    <col min="7177" max="7424" width="11.42578125" style="3"/>
    <col min="7425" max="7425" width="15.85546875" style="3" customWidth="1"/>
    <col min="7426" max="7426" width="14.85546875" style="3" customWidth="1"/>
    <col min="7427" max="7427" width="13.28515625" style="3" customWidth="1"/>
    <col min="7428" max="7428" width="11.42578125" style="3"/>
    <col min="7429" max="7429" width="13.42578125" style="3" customWidth="1"/>
    <col min="7430" max="7430" width="12.7109375" style="3" customWidth="1"/>
    <col min="7431" max="7431" width="14" style="3" customWidth="1"/>
    <col min="7432" max="7432" width="7.42578125" style="3" customWidth="1"/>
    <col min="7433" max="7680" width="11.42578125" style="3"/>
    <col min="7681" max="7681" width="15.85546875" style="3" customWidth="1"/>
    <col min="7682" max="7682" width="14.85546875" style="3" customWidth="1"/>
    <col min="7683" max="7683" width="13.28515625" style="3" customWidth="1"/>
    <col min="7684" max="7684" width="11.42578125" style="3"/>
    <col min="7685" max="7685" width="13.42578125" style="3" customWidth="1"/>
    <col min="7686" max="7686" width="12.7109375" style="3" customWidth="1"/>
    <col min="7687" max="7687" width="14" style="3" customWidth="1"/>
    <col min="7688" max="7688" width="7.42578125" style="3" customWidth="1"/>
    <col min="7689" max="7936" width="11.42578125" style="3"/>
    <col min="7937" max="7937" width="15.85546875" style="3" customWidth="1"/>
    <col min="7938" max="7938" width="14.85546875" style="3" customWidth="1"/>
    <col min="7939" max="7939" width="13.28515625" style="3" customWidth="1"/>
    <col min="7940" max="7940" width="11.42578125" style="3"/>
    <col min="7941" max="7941" width="13.42578125" style="3" customWidth="1"/>
    <col min="7942" max="7942" width="12.7109375" style="3" customWidth="1"/>
    <col min="7943" max="7943" width="14" style="3" customWidth="1"/>
    <col min="7944" max="7944" width="7.42578125" style="3" customWidth="1"/>
    <col min="7945" max="8192" width="11.42578125" style="3"/>
    <col min="8193" max="8193" width="15.85546875" style="3" customWidth="1"/>
    <col min="8194" max="8194" width="14.85546875" style="3" customWidth="1"/>
    <col min="8195" max="8195" width="13.28515625" style="3" customWidth="1"/>
    <col min="8196" max="8196" width="11.42578125" style="3"/>
    <col min="8197" max="8197" width="13.42578125" style="3" customWidth="1"/>
    <col min="8198" max="8198" width="12.7109375" style="3" customWidth="1"/>
    <col min="8199" max="8199" width="14" style="3" customWidth="1"/>
    <col min="8200" max="8200" width="7.42578125" style="3" customWidth="1"/>
    <col min="8201" max="8448" width="11.42578125" style="3"/>
    <col min="8449" max="8449" width="15.85546875" style="3" customWidth="1"/>
    <col min="8450" max="8450" width="14.85546875" style="3" customWidth="1"/>
    <col min="8451" max="8451" width="13.28515625" style="3" customWidth="1"/>
    <col min="8452" max="8452" width="11.42578125" style="3"/>
    <col min="8453" max="8453" width="13.42578125" style="3" customWidth="1"/>
    <col min="8454" max="8454" width="12.7109375" style="3" customWidth="1"/>
    <col min="8455" max="8455" width="14" style="3" customWidth="1"/>
    <col min="8456" max="8456" width="7.42578125" style="3" customWidth="1"/>
    <col min="8457" max="8704" width="11.42578125" style="3"/>
    <col min="8705" max="8705" width="15.85546875" style="3" customWidth="1"/>
    <col min="8706" max="8706" width="14.85546875" style="3" customWidth="1"/>
    <col min="8707" max="8707" width="13.28515625" style="3" customWidth="1"/>
    <col min="8708" max="8708" width="11.42578125" style="3"/>
    <col min="8709" max="8709" width="13.42578125" style="3" customWidth="1"/>
    <col min="8710" max="8710" width="12.7109375" style="3" customWidth="1"/>
    <col min="8711" max="8711" width="14" style="3" customWidth="1"/>
    <col min="8712" max="8712" width="7.42578125" style="3" customWidth="1"/>
    <col min="8713" max="8960" width="11.42578125" style="3"/>
    <col min="8961" max="8961" width="15.85546875" style="3" customWidth="1"/>
    <col min="8962" max="8962" width="14.85546875" style="3" customWidth="1"/>
    <col min="8963" max="8963" width="13.28515625" style="3" customWidth="1"/>
    <col min="8964" max="8964" width="11.42578125" style="3"/>
    <col min="8965" max="8965" width="13.42578125" style="3" customWidth="1"/>
    <col min="8966" max="8966" width="12.7109375" style="3" customWidth="1"/>
    <col min="8967" max="8967" width="14" style="3" customWidth="1"/>
    <col min="8968" max="8968" width="7.42578125" style="3" customWidth="1"/>
    <col min="8969" max="9216" width="11.42578125" style="3"/>
    <col min="9217" max="9217" width="15.85546875" style="3" customWidth="1"/>
    <col min="9218" max="9218" width="14.85546875" style="3" customWidth="1"/>
    <col min="9219" max="9219" width="13.28515625" style="3" customWidth="1"/>
    <col min="9220" max="9220" width="11.42578125" style="3"/>
    <col min="9221" max="9221" width="13.42578125" style="3" customWidth="1"/>
    <col min="9222" max="9222" width="12.7109375" style="3" customWidth="1"/>
    <col min="9223" max="9223" width="14" style="3" customWidth="1"/>
    <col min="9224" max="9224" width="7.42578125" style="3" customWidth="1"/>
    <col min="9225" max="9472" width="11.42578125" style="3"/>
    <col min="9473" max="9473" width="15.85546875" style="3" customWidth="1"/>
    <col min="9474" max="9474" width="14.85546875" style="3" customWidth="1"/>
    <col min="9475" max="9475" width="13.28515625" style="3" customWidth="1"/>
    <col min="9476" max="9476" width="11.42578125" style="3"/>
    <col min="9477" max="9477" width="13.42578125" style="3" customWidth="1"/>
    <col min="9478" max="9478" width="12.7109375" style="3" customWidth="1"/>
    <col min="9479" max="9479" width="14" style="3" customWidth="1"/>
    <col min="9480" max="9480" width="7.42578125" style="3" customWidth="1"/>
    <col min="9481" max="9728" width="11.42578125" style="3"/>
    <col min="9729" max="9729" width="15.85546875" style="3" customWidth="1"/>
    <col min="9730" max="9730" width="14.85546875" style="3" customWidth="1"/>
    <col min="9731" max="9731" width="13.28515625" style="3" customWidth="1"/>
    <col min="9732" max="9732" width="11.42578125" style="3"/>
    <col min="9733" max="9733" width="13.42578125" style="3" customWidth="1"/>
    <col min="9734" max="9734" width="12.7109375" style="3" customWidth="1"/>
    <col min="9735" max="9735" width="14" style="3" customWidth="1"/>
    <col min="9736" max="9736" width="7.42578125" style="3" customWidth="1"/>
    <col min="9737" max="9984" width="11.42578125" style="3"/>
    <col min="9985" max="9985" width="15.85546875" style="3" customWidth="1"/>
    <col min="9986" max="9986" width="14.85546875" style="3" customWidth="1"/>
    <col min="9987" max="9987" width="13.28515625" style="3" customWidth="1"/>
    <col min="9988" max="9988" width="11.42578125" style="3"/>
    <col min="9989" max="9989" width="13.42578125" style="3" customWidth="1"/>
    <col min="9990" max="9990" width="12.7109375" style="3" customWidth="1"/>
    <col min="9991" max="9991" width="14" style="3" customWidth="1"/>
    <col min="9992" max="9992" width="7.42578125" style="3" customWidth="1"/>
    <col min="9993" max="10240" width="11.42578125" style="3"/>
    <col min="10241" max="10241" width="15.85546875" style="3" customWidth="1"/>
    <col min="10242" max="10242" width="14.85546875" style="3" customWidth="1"/>
    <col min="10243" max="10243" width="13.28515625" style="3" customWidth="1"/>
    <col min="10244" max="10244" width="11.42578125" style="3"/>
    <col min="10245" max="10245" width="13.42578125" style="3" customWidth="1"/>
    <col min="10246" max="10246" width="12.7109375" style="3" customWidth="1"/>
    <col min="10247" max="10247" width="14" style="3" customWidth="1"/>
    <col min="10248" max="10248" width="7.42578125" style="3" customWidth="1"/>
    <col min="10249" max="10496" width="11.42578125" style="3"/>
    <col min="10497" max="10497" width="15.85546875" style="3" customWidth="1"/>
    <col min="10498" max="10498" width="14.85546875" style="3" customWidth="1"/>
    <col min="10499" max="10499" width="13.28515625" style="3" customWidth="1"/>
    <col min="10500" max="10500" width="11.42578125" style="3"/>
    <col min="10501" max="10501" width="13.42578125" style="3" customWidth="1"/>
    <col min="10502" max="10502" width="12.7109375" style="3" customWidth="1"/>
    <col min="10503" max="10503" width="14" style="3" customWidth="1"/>
    <col min="10504" max="10504" width="7.42578125" style="3" customWidth="1"/>
    <col min="10505" max="10752" width="11.42578125" style="3"/>
    <col min="10753" max="10753" width="15.85546875" style="3" customWidth="1"/>
    <col min="10754" max="10754" width="14.85546875" style="3" customWidth="1"/>
    <col min="10755" max="10755" width="13.28515625" style="3" customWidth="1"/>
    <col min="10756" max="10756" width="11.42578125" style="3"/>
    <col min="10757" max="10757" width="13.42578125" style="3" customWidth="1"/>
    <col min="10758" max="10758" width="12.7109375" style="3" customWidth="1"/>
    <col min="10759" max="10759" width="14" style="3" customWidth="1"/>
    <col min="10760" max="10760" width="7.42578125" style="3" customWidth="1"/>
    <col min="10761" max="11008" width="11.42578125" style="3"/>
    <col min="11009" max="11009" width="15.85546875" style="3" customWidth="1"/>
    <col min="11010" max="11010" width="14.85546875" style="3" customWidth="1"/>
    <col min="11011" max="11011" width="13.28515625" style="3" customWidth="1"/>
    <col min="11012" max="11012" width="11.42578125" style="3"/>
    <col min="11013" max="11013" width="13.42578125" style="3" customWidth="1"/>
    <col min="11014" max="11014" width="12.7109375" style="3" customWidth="1"/>
    <col min="11015" max="11015" width="14" style="3" customWidth="1"/>
    <col min="11016" max="11016" width="7.42578125" style="3" customWidth="1"/>
    <col min="11017" max="11264" width="11.42578125" style="3"/>
    <col min="11265" max="11265" width="15.85546875" style="3" customWidth="1"/>
    <col min="11266" max="11266" width="14.85546875" style="3" customWidth="1"/>
    <col min="11267" max="11267" width="13.28515625" style="3" customWidth="1"/>
    <col min="11268" max="11268" width="11.42578125" style="3"/>
    <col min="11269" max="11269" width="13.42578125" style="3" customWidth="1"/>
    <col min="11270" max="11270" width="12.7109375" style="3" customWidth="1"/>
    <col min="11271" max="11271" width="14" style="3" customWidth="1"/>
    <col min="11272" max="11272" width="7.42578125" style="3" customWidth="1"/>
    <col min="11273" max="11520" width="11.42578125" style="3"/>
    <col min="11521" max="11521" width="15.85546875" style="3" customWidth="1"/>
    <col min="11522" max="11522" width="14.85546875" style="3" customWidth="1"/>
    <col min="11523" max="11523" width="13.28515625" style="3" customWidth="1"/>
    <col min="11524" max="11524" width="11.42578125" style="3"/>
    <col min="11525" max="11525" width="13.42578125" style="3" customWidth="1"/>
    <col min="11526" max="11526" width="12.7109375" style="3" customWidth="1"/>
    <col min="11527" max="11527" width="14" style="3" customWidth="1"/>
    <col min="11528" max="11528" width="7.42578125" style="3" customWidth="1"/>
    <col min="11529" max="11776" width="11.42578125" style="3"/>
    <col min="11777" max="11777" width="15.85546875" style="3" customWidth="1"/>
    <col min="11778" max="11778" width="14.85546875" style="3" customWidth="1"/>
    <col min="11779" max="11779" width="13.28515625" style="3" customWidth="1"/>
    <col min="11780" max="11780" width="11.42578125" style="3"/>
    <col min="11781" max="11781" width="13.42578125" style="3" customWidth="1"/>
    <col min="11782" max="11782" width="12.7109375" style="3" customWidth="1"/>
    <col min="11783" max="11783" width="14" style="3" customWidth="1"/>
    <col min="11784" max="11784" width="7.42578125" style="3" customWidth="1"/>
    <col min="11785" max="12032" width="11.42578125" style="3"/>
    <col min="12033" max="12033" width="15.85546875" style="3" customWidth="1"/>
    <col min="12034" max="12034" width="14.85546875" style="3" customWidth="1"/>
    <col min="12035" max="12035" width="13.28515625" style="3" customWidth="1"/>
    <col min="12036" max="12036" width="11.42578125" style="3"/>
    <col min="12037" max="12037" width="13.42578125" style="3" customWidth="1"/>
    <col min="12038" max="12038" width="12.7109375" style="3" customWidth="1"/>
    <col min="12039" max="12039" width="14" style="3" customWidth="1"/>
    <col min="12040" max="12040" width="7.42578125" style="3" customWidth="1"/>
    <col min="12041" max="12288" width="11.42578125" style="3"/>
    <col min="12289" max="12289" width="15.85546875" style="3" customWidth="1"/>
    <col min="12290" max="12290" width="14.85546875" style="3" customWidth="1"/>
    <col min="12291" max="12291" width="13.28515625" style="3" customWidth="1"/>
    <col min="12292" max="12292" width="11.42578125" style="3"/>
    <col min="12293" max="12293" width="13.42578125" style="3" customWidth="1"/>
    <col min="12294" max="12294" width="12.7109375" style="3" customWidth="1"/>
    <col min="12295" max="12295" width="14" style="3" customWidth="1"/>
    <col min="12296" max="12296" width="7.42578125" style="3" customWidth="1"/>
    <col min="12297" max="12544" width="11.42578125" style="3"/>
    <col min="12545" max="12545" width="15.85546875" style="3" customWidth="1"/>
    <col min="12546" max="12546" width="14.85546875" style="3" customWidth="1"/>
    <col min="12547" max="12547" width="13.28515625" style="3" customWidth="1"/>
    <col min="12548" max="12548" width="11.42578125" style="3"/>
    <col min="12549" max="12549" width="13.42578125" style="3" customWidth="1"/>
    <col min="12550" max="12550" width="12.7109375" style="3" customWidth="1"/>
    <col min="12551" max="12551" width="14" style="3" customWidth="1"/>
    <col min="12552" max="12552" width="7.42578125" style="3" customWidth="1"/>
    <col min="12553" max="12800" width="11.42578125" style="3"/>
    <col min="12801" max="12801" width="15.85546875" style="3" customWidth="1"/>
    <col min="12802" max="12802" width="14.85546875" style="3" customWidth="1"/>
    <col min="12803" max="12803" width="13.28515625" style="3" customWidth="1"/>
    <col min="12804" max="12804" width="11.42578125" style="3"/>
    <col min="12805" max="12805" width="13.42578125" style="3" customWidth="1"/>
    <col min="12806" max="12806" width="12.7109375" style="3" customWidth="1"/>
    <col min="12807" max="12807" width="14" style="3" customWidth="1"/>
    <col min="12808" max="12808" width="7.42578125" style="3" customWidth="1"/>
    <col min="12809" max="13056" width="11.42578125" style="3"/>
    <col min="13057" max="13057" width="15.85546875" style="3" customWidth="1"/>
    <col min="13058" max="13058" width="14.85546875" style="3" customWidth="1"/>
    <col min="13059" max="13059" width="13.28515625" style="3" customWidth="1"/>
    <col min="13060" max="13060" width="11.42578125" style="3"/>
    <col min="13061" max="13061" width="13.42578125" style="3" customWidth="1"/>
    <col min="13062" max="13062" width="12.7109375" style="3" customWidth="1"/>
    <col min="13063" max="13063" width="14" style="3" customWidth="1"/>
    <col min="13064" max="13064" width="7.42578125" style="3" customWidth="1"/>
    <col min="13065" max="13312" width="11.42578125" style="3"/>
    <col min="13313" max="13313" width="15.85546875" style="3" customWidth="1"/>
    <col min="13314" max="13314" width="14.85546875" style="3" customWidth="1"/>
    <col min="13315" max="13315" width="13.28515625" style="3" customWidth="1"/>
    <col min="13316" max="13316" width="11.42578125" style="3"/>
    <col min="13317" max="13317" width="13.42578125" style="3" customWidth="1"/>
    <col min="13318" max="13318" width="12.7109375" style="3" customWidth="1"/>
    <col min="13319" max="13319" width="14" style="3" customWidth="1"/>
    <col min="13320" max="13320" width="7.42578125" style="3" customWidth="1"/>
    <col min="13321" max="13568" width="11.42578125" style="3"/>
    <col min="13569" max="13569" width="15.85546875" style="3" customWidth="1"/>
    <col min="13570" max="13570" width="14.85546875" style="3" customWidth="1"/>
    <col min="13571" max="13571" width="13.28515625" style="3" customWidth="1"/>
    <col min="13572" max="13572" width="11.42578125" style="3"/>
    <col min="13573" max="13573" width="13.42578125" style="3" customWidth="1"/>
    <col min="13574" max="13574" width="12.7109375" style="3" customWidth="1"/>
    <col min="13575" max="13575" width="14" style="3" customWidth="1"/>
    <col min="13576" max="13576" width="7.42578125" style="3" customWidth="1"/>
    <col min="13577" max="13824" width="11.42578125" style="3"/>
    <col min="13825" max="13825" width="15.85546875" style="3" customWidth="1"/>
    <col min="13826" max="13826" width="14.85546875" style="3" customWidth="1"/>
    <col min="13827" max="13827" width="13.28515625" style="3" customWidth="1"/>
    <col min="13828" max="13828" width="11.42578125" style="3"/>
    <col min="13829" max="13829" width="13.42578125" style="3" customWidth="1"/>
    <col min="13830" max="13830" width="12.7109375" style="3" customWidth="1"/>
    <col min="13831" max="13831" width="14" style="3" customWidth="1"/>
    <col min="13832" max="13832" width="7.42578125" style="3" customWidth="1"/>
    <col min="13833" max="14080" width="11.42578125" style="3"/>
    <col min="14081" max="14081" width="15.85546875" style="3" customWidth="1"/>
    <col min="14082" max="14082" width="14.85546875" style="3" customWidth="1"/>
    <col min="14083" max="14083" width="13.28515625" style="3" customWidth="1"/>
    <col min="14084" max="14084" width="11.42578125" style="3"/>
    <col min="14085" max="14085" width="13.42578125" style="3" customWidth="1"/>
    <col min="14086" max="14086" width="12.7109375" style="3" customWidth="1"/>
    <col min="14087" max="14087" width="14" style="3" customWidth="1"/>
    <col min="14088" max="14088" width="7.42578125" style="3" customWidth="1"/>
    <col min="14089" max="14336" width="11.42578125" style="3"/>
    <col min="14337" max="14337" width="15.85546875" style="3" customWidth="1"/>
    <col min="14338" max="14338" width="14.85546875" style="3" customWidth="1"/>
    <col min="14339" max="14339" width="13.28515625" style="3" customWidth="1"/>
    <col min="14340" max="14340" width="11.42578125" style="3"/>
    <col min="14341" max="14341" width="13.42578125" style="3" customWidth="1"/>
    <col min="14342" max="14342" width="12.7109375" style="3" customWidth="1"/>
    <col min="14343" max="14343" width="14" style="3" customWidth="1"/>
    <col min="14344" max="14344" width="7.42578125" style="3" customWidth="1"/>
    <col min="14345" max="14592" width="11.42578125" style="3"/>
    <col min="14593" max="14593" width="15.85546875" style="3" customWidth="1"/>
    <col min="14594" max="14594" width="14.85546875" style="3" customWidth="1"/>
    <col min="14595" max="14595" width="13.28515625" style="3" customWidth="1"/>
    <col min="14596" max="14596" width="11.42578125" style="3"/>
    <col min="14597" max="14597" width="13.42578125" style="3" customWidth="1"/>
    <col min="14598" max="14598" width="12.7109375" style="3" customWidth="1"/>
    <col min="14599" max="14599" width="14" style="3" customWidth="1"/>
    <col min="14600" max="14600" width="7.42578125" style="3" customWidth="1"/>
    <col min="14601" max="14848" width="11.42578125" style="3"/>
    <col min="14849" max="14849" width="15.85546875" style="3" customWidth="1"/>
    <col min="14850" max="14850" width="14.85546875" style="3" customWidth="1"/>
    <col min="14851" max="14851" width="13.28515625" style="3" customWidth="1"/>
    <col min="14852" max="14852" width="11.42578125" style="3"/>
    <col min="14853" max="14853" width="13.42578125" style="3" customWidth="1"/>
    <col min="14854" max="14854" width="12.7109375" style="3" customWidth="1"/>
    <col min="14855" max="14855" width="14" style="3" customWidth="1"/>
    <col min="14856" max="14856" width="7.42578125" style="3" customWidth="1"/>
    <col min="14857" max="15104" width="11.42578125" style="3"/>
    <col min="15105" max="15105" width="15.85546875" style="3" customWidth="1"/>
    <col min="15106" max="15106" width="14.85546875" style="3" customWidth="1"/>
    <col min="15107" max="15107" width="13.28515625" style="3" customWidth="1"/>
    <col min="15108" max="15108" width="11.42578125" style="3"/>
    <col min="15109" max="15109" width="13.42578125" style="3" customWidth="1"/>
    <col min="15110" max="15110" width="12.7109375" style="3" customWidth="1"/>
    <col min="15111" max="15111" width="14" style="3" customWidth="1"/>
    <col min="15112" max="15112" width="7.42578125" style="3" customWidth="1"/>
    <col min="15113" max="15360" width="11.42578125" style="3"/>
    <col min="15361" max="15361" width="15.85546875" style="3" customWidth="1"/>
    <col min="15362" max="15362" width="14.85546875" style="3" customWidth="1"/>
    <col min="15363" max="15363" width="13.28515625" style="3" customWidth="1"/>
    <col min="15364" max="15364" width="11.42578125" style="3"/>
    <col min="15365" max="15365" width="13.42578125" style="3" customWidth="1"/>
    <col min="15366" max="15366" width="12.7109375" style="3" customWidth="1"/>
    <col min="15367" max="15367" width="14" style="3" customWidth="1"/>
    <col min="15368" max="15368" width="7.42578125" style="3" customWidth="1"/>
    <col min="15369" max="15616" width="11.42578125" style="3"/>
    <col min="15617" max="15617" width="15.85546875" style="3" customWidth="1"/>
    <col min="15618" max="15618" width="14.85546875" style="3" customWidth="1"/>
    <col min="15619" max="15619" width="13.28515625" style="3" customWidth="1"/>
    <col min="15620" max="15620" width="11.42578125" style="3"/>
    <col min="15621" max="15621" width="13.42578125" style="3" customWidth="1"/>
    <col min="15622" max="15622" width="12.7109375" style="3" customWidth="1"/>
    <col min="15623" max="15623" width="14" style="3" customWidth="1"/>
    <col min="15624" max="15624" width="7.42578125" style="3" customWidth="1"/>
    <col min="15625" max="15872" width="11.42578125" style="3"/>
    <col min="15873" max="15873" width="15.85546875" style="3" customWidth="1"/>
    <col min="15874" max="15874" width="14.85546875" style="3" customWidth="1"/>
    <col min="15875" max="15875" width="13.28515625" style="3" customWidth="1"/>
    <col min="15876" max="15876" width="11.42578125" style="3"/>
    <col min="15877" max="15877" width="13.42578125" style="3" customWidth="1"/>
    <col min="15878" max="15878" width="12.7109375" style="3" customWidth="1"/>
    <col min="15879" max="15879" width="14" style="3" customWidth="1"/>
    <col min="15880" max="15880" width="7.42578125" style="3" customWidth="1"/>
    <col min="15881" max="16128" width="11.42578125" style="3"/>
    <col min="16129" max="16129" width="15.85546875" style="3" customWidth="1"/>
    <col min="16130" max="16130" width="14.85546875" style="3" customWidth="1"/>
    <col min="16131" max="16131" width="13.28515625" style="3" customWidth="1"/>
    <col min="16132" max="16132" width="11.42578125" style="3"/>
    <col min="16133" max="16133" width="13.42578125" style="3" customWidth="1"/>
    <col min="16134" max="16134" width="12.7109375" style="3" customWidth="1"/>
    <col min="16135" max="16135" width="14" style="3" customWidth="1"/>
    <col min="16136" max="16136" width="7.42578125" style="3" customWidth="1"/>
    <col min="16137" max="16384" width="11.42578125" style="3"/>
  </cols>
  <sheetData>
    <row r="1" spans="1:21" ht="48" customHeight="1">
      <c r="A1" s="1346" t="str">
        <f>PPTO!D3</f>
        <v>PRESUPUESTO
MUNICIPIO EL BAGRE (ANTIOQUIA).</v>
      </c>
      <c r="B1" s="1347"/>
      <c r="C1" s="1347"/>
      <c r="D1" s="1347"/>
      <c r="E1" s="1347"/>
      <c r="F1" s="1347"/>
      <c r="G1" s="1348"/>
      <c r="H1" s="1"/>
      <c r="I1" s="2"/>
    </row>
    <row r="2" spans="1:21" ht="18" customHeight="1">
      <c r="A2" s="1362" t="s">
        <v>16</v>
      </c>
      <c r="B2" s="1363"/>
      <c r="C2" s="1363"/>
      <c r="D2" s="1363"/>
      <c r="E2" s="1363"/>
      <c r="F2" s="1363"/>
      <c r="G2" s="1364"/>
      <c r="H2" s="1"/>
      <c r="I2" s="2"/>
    </row>
    <row r="3" spans="1:21" ht="27" customHeight="1">
      <c r="A3" s="1367" t="str">
        <f>+PPTO!$D$5</f>
        <v>PROYECTO DE MEJORAMIENTO VIAL, ESPACIO PUBLICO Y OBRAS COMPLEMENTARIAS DE LA AVENIDA LA JUVENTUD Y TRAMOS ADYACENTES Y PRIORITARIOS DEL SECTOR URBANO EN EL MUNICIPIO EL BAGRE ANTIOQUIA.</v>
      </c>
      <c r="B3" s="1368"/>
      <c r="C3" s="1368"/>
      <c r="D3" s="1368"/>
      <c r="E3" s="1368"/>
      <c r="F3" s="1368"/>
      <c r="G3" s="1369"/>
      <c r="H3" s="1"/>
      <c r="I3" s="2"/>
    </row>
    <row r="4" spans="1:21" ht="30" customHeight="1">
      <c r="A4" s="1370"/>
      <c r="B4" s="1368"/>
      <c r="C4" s="1368"/>
      <c r="D4" s="1368"/>
      <c r="E4" s="1368"/>
      <c r="F4" s="1368"/>
      <c r="G4" s="1369"/>
      <c r="H4" s="1"/>
      <c r="I4" s="2"/>
    </row>
    <row r="5" spans="1:21" ht="6.75" customHeight="1">
      <c r="A5" s="222"/>
      <c r="B5" s="6"/>
      <c r="C5" s="24"/>
      <c r="D5" s="25"/>
      <c r="E5" s="6"/>
      <c r="F5" s="6"/>
      <c r="G5" s="223"/>
      <c r="H5" s="9"/>
    </row>
    <row r="6" spans="1:21" ht="52.5" customHeight="1">
      <c r="A6" s="368">
        <v>6.32</v>
      </c>
      <c r="B6" s="1349" t="str">
        <f>VLOOKUP(A6,PPTO!D9:I136,2,FALSE)</f>
        <v>Suministro e instalación Codo HD 4" X 22.5° J.H. ó Similar</v>
      </c>
      <c r="C6" s="1350"/>
      <c r="D6" s="1350"/>
      <c r="E6" s="1351"/>
      <c r="F6" s="192" t="s">
        <v>118</v>
      </c>
      <c r="G6" s="248" t="str">
        <f>VLOOKUP(A6,PPTO!D9:I136,3,FALSE)</f>
        <v>und</v>
      </c>
      <c r="H6" s="9"/>
    </row>
    <row r="7" spans="1:21" ht="3.75" customHeight="1">
      <c r="A7" s="226"/>
      <c r="B7" s="4"/>
      <c r="C7" s="6"/>
      <c r="D7" s="4"/>
      <c r="E7" s="4"/>
      <c r="F7" s="4"/>
      <c r="G7" s="227"/>
      <c r="H7" s="9"/>
    </row>
    <row r="8" spans="1:21" ht="22.5" customHeight="1">
      <c r="A8" s="1354" t="s">
        <v>69</v>
      </c>
      <c r="B8" s="1355"/>
      <c r="C8" s="1355"/>
      <c r="D8" s="1355"/>
      <c r="E8" s="1355"/>
      <c r="F8" s="1355"/>
      <c r="G8" s="1356"/>
      <c r="H8" s="9"/>
    </row>
    <row r="9" spans="1:21" ht="4.5" customHeight="1">
      <c r="A9" s="226"/>
      <c r="B9" s="4"/>
      <c r="C9" s="6"/>
      <c r="D9" s="4"/>
      <c r="E9" s="4"/>
      <c r="F9" s="4"/>
      <c r="G9" s="227"/>
      <c r="H9" s="9"/>
      <c r="I9" s="5"/>
      <c r="J9" s="5"/>
      <c r="K9" s="5"/>
      <c r="L9" s="26"/>
      <c r="M9" s="5"/>
      <c r="N9" s="5"/>
      <c r="O9" s="5"/>
      <c r="P9" s="5"/>
    </row>
    <row r="10" spans="1:21">
      <c r="A10" s="1373" t="s">
        <v>17</v>
      </c>
      <c r="B10" s="1374"/>
      <c r="C10" s="1374"/>
      <c r="D10" s="353" t="s">
        <v>18</v>
      </c>
      <c r="E10" s="353" t="s">
        <v>19</v>
      </c>
      <c r="F10" s="353" t="s">
        <v>20</v>
      </c>
      <c r="G10" s="228" t="s">
        <v>21</v>
      </c>
      <c r="H10" s="27"/>
      <c r="I10" s="28"/>
      <c r="J10" s="29"/>
      <c r="K10" s="30"/>
      <c r="L10" s="30"/>
      <c r="M10" s="30"/>
      <c r="N10" s="30"/>
      <c r="O10" s="30"/>
      <c r="P10" s="5"/>
    </row>
    <row r="11" spans="1:21">
      <c r="A11" s="1352" t="s">
        <v>47</v>
      </c>
      <c r="B11" s="1353"/>
      <c r="C11" s="1353"/>
      <c r="D11" s="353"/>
      <c r="E11" s="83"/>
      <c r="F11" s="97"/>
      <c r="G11" s="229">
        <f>+G39*10%</f>
        <v>2777</v>
      </c>
      <c r="H11" s="9"/>
      <c r="I11" s="30"/>
      <c r="J11" s="31"/>
      <c r="K11" s="30"/>
      <c r="L11" s="30"/>
      <c r="M11" s="30"/>
      <c r="N11" s="30"/>
      <c r="O11" s="30"/>
      <c r="P11" s="5"/>
    </row>
    <row r="12" spans="1:21">
      <c r="A12" s="1371"/>
      <c r="B12" s="1372"/>
      <c r="C12" s="1372"/>
      <c r="D12" s="83"/>
      <c r="E12" s="83"/>
      <c r="F12" s="93"/>
      <c r="G12" s="229"/>
      <c r="H12" s="9"/>
      <c r="I12" s="16"/>
      <c r="J12" s="13"/>
      <c r="K12" s="8"/>
      <c r="L12" s="8"/>
      <c r="M12" s="8"/>
      <c r="N12" s="8"/>
      <c r="O12" s="8"/>
      <c r="P12" s="5"/>
    </row>
    <row r="13" spans="1:21">
      <c r="A13" s="1371"/>
      <c r="B13" s="1372"/>
      <c r="C13" s="1372"/>
      <c r="D13" s="83"/>
      <c r="E13" s="83"/>
      <c r="F13" s="93"/>
      <c r="G13" s="229"/>
      <c r="H13" s="9"/>
      <c r="I13" s="13"/>
      <c r="J13" s="13"/>
      <c r="K13" s="13"/>
      <c r="L13" s="13"/>
      <c r="M13" s="13"/>
      <c r="N13" s="13"/>
      <c r="O13" s="13"/>
      <c r="P13" s="5"/>
    </row>
    <row r="14" spans="1:21">
      <c r="A14" s="1371"/>
      <c r="B14" s="1372"/>
      <c r="C14" s="1372"/>
      <c r="D14" s="83"/>
      <c r="E14" s="83"/>
      <c r="F14" s="93"/>
      <c r="G14" s="229"/>
      <c r="H14" s="9"/>
      <c r="I14" s="8"/>
      <c r="J14" s="14"/>
      <c r="K14" s="32"/>
      <c r="L14" s="14"/>
      <c r="M14" s="15"/>
      <c r="N14" s="15"/>
      <c r="O14" s="19"/>
      <c r="P14" s="5"/>
    </row>
    <row r="15" spans="1:21">
      <c r="A15" s="1371"/>
      <c r="B15" s="1372"/>
      <c r="C15" s="1372"/>
      <c r="D15" s="83"/>
      <c r="E15" s="83"/>
      <c r="F15" s="98"/>
      <c r="G15" s="229"/>
      <c r="H15" s="9"/>
      <c r="I15" s="8"/>
      <c r="J15" s="33"/>
      <c r="K15" s="32"/>
      <c r="L15" s="14"/>
      <c r="M15" s="15"/>
      <c r="N15" s="15"/>
      <c r="O15" s="19"/>
      <c r="P15" s="5"/>
      <c r="Q15" s="5"/>
      <c r="R15" s="5"/>
      <c r="S15" s="5"/>
      <c r="T15" s="5"/>
      <c r="U15" s="5"/>
    </row>
    <row r="16" spans="1:21">
      <c r="A16" s="1371"/>
      <c r="B16" s="1372"/>
      <c r="C16" s="1372"/>
      <c r="D16" s="85" t="s">
        <v>37</v>
      </c>
      <c r="E16" s="50"/>
      <c r="F16" s="49"/>
      <c r="G16" s="230">
        <f>SUM(G11:G15)</f>
        <v>2777</v>
      </c>
      <c r="H16" s="9"/>
      <c r="I16" s="34"/>
      <c r="J16" s="34"/>
      <c r="K16" s="35"/>
      <c r="L16" s="36"/>
      <c r="M16" s="7"/>
      <c r="N16" s="7"/>
      <c r="O16" s="19"/>
      <c r="P16" s="5"/>
      <c r="Q16" s="5"/>
      <c r="R16" s="5"/>
      <c r="S16" s="5"/>
      <c r="T16" s="5"/>
      <c r="U16" s="5"/>
    </row>
    <row r="17" spans="1:21" ht="4.5" customHeight="1">
      <c r="A17" s="226"/>
      <c r="B17" s="4"/>
      <c r="C17" s="6"/>
      <c r="D17" s="4"/>
      <c r="E17" s="4"/>
      <c r="F17" s="4"/>
      <c r="G17" s="227"/>
      <c r="H17" s="9"/>
      <c r="I17" s="34"/>
      <c r="J17" s="34"/>
      <c r="K17" s="35"/>
      <c r="L17" s="36"/>
      <c r="M17" s="7"/>
      <c r="N17" s="7"/>
      <c r="O17" s="19"/>
      <c r="P17" s="5"/>
      <c r="Q17" s="5"/>
      <c r="R17" s="5"/>
      <c r="S17" s="5"/>
      <c r="T17" s="5"/>
      <c r="U17" s="5"/>
    </row>
    <row r="18" spans="1:21" ht="22.5" customHeight="1">
      <c r="A18" s="1354" t="s">
        <v>70</v>
      </c>
      <c r="B18" s="1355"/>
      <c r="C18" s="1355"/>
      <c r="D18" s="1355"/>
      <c r="E18" s="1355"/>
      <c r="F18" s="1355"/>
      <c r="G18" s="1356"/>
      <c r="H18" s="9"/>
    </row>
    <row r="19" spans="1:21" ht="4.5" customHeight="1">
      <c r="A19" s="226"/>
      <c r="B19" s="4"/>
      <c r="C19" s="6"/>
      <c r="D19" s="4"/>
      <c r="E19" s="4"/>
      <c r="F19" s="38"/>
      <c r="G19" s="227"/>
      <c r="H19" s="9"/>
      <c r="I19" s="34"/>
      <c r="J19" s="34"/>
      <c r="K19" s="35"/>
      <c r="L19" s="39"/>
      <c r="M19" s="7"/>
      <c r="N19" s="7"/>
      <c r="O19" s="8"/>
      <c r="P19" s="5"/>
      <c r="Q19" s="5"/>
      <c r="R19" s="5"/>
      <c r="S19" s="5"/>
      <c r="T19" s="5"/>
      <c r="U19" s="5"/>
    </row>
    <row r="20" spans="1:21">
      <c r="A20" s="1373" t="s">
        <v>17</v>
      </c>
      <c r="B20" s="1374"/>
      <c r="C20" s="1374"/>
      <c r="D20" s="353" t="s">
        <v>3</v>
      </c>
      <c r="E20" s="353" t="s">
        <v>4</v>
      </c>
      <c r="F20" s="353" t="s">
        <v>25</v>
      </c>
      <c r="G20" s="228" t="s">
        <v>21</v>
      </c>
      <c r="H20" s="27"/>
      <c r="I20" s="34"/>
      <c r="J20" s="34"/>
      <c r="K20" s="35"/>
      <c r="L20" s="39"/>
      <c r="M20" s="7"/>
      <c r="N20" s="7"/>
      <c r="O20" s="8"/>
      <c r="P20" s="5"/>
      <c r="Q20" s="5"/>
      <c r="R20" s="5"/>
      <c r="S20" s="5"/>
      <c r="T20" s="5"/>
      <c r="U20" s="5"/>
    </row>
    <row r="21" spans="1:21" ht="31.5" customHeight="1">
      <c r="A21" s="1441" t="str">
        <f>MID(I21,25,50)</f>
        <v xml:space="preserve"> Codo HD 4" X 22.5° J.H. ó Similar</v>
      </c>
      <c r="B21" s="1442"/>
      <c r="C21" s="1443"/>
      <c r="D21" s="118" t="s">
        <v>119</v>
      </c>
      <c r="E21" s="119">
        <v>1</v>
      </c>
      <c r="F21" s="87">
        <v>195000</v>
      </c>
      <c r="G21" s="231">
        <f>ROUND(F21*E21,0)</f>
        <v>195000</v>
      </c>
      <c r="H21" s="9"/>
      <c r="I21" s="34" t="str">
        <f>B6</f>
        <v>Suministro e instalación Codo HD 4" X 22.5° J.H. ó Similar</v>
      </c>
      <c r="J21" s="34"/>
      <c r="K21" s="35"/>
      <c r="L21" s="36"/>
      <c r="M21" s="7"/>
      <c r="N21" s="7"/>
      <c r="O21" s="19"/>
      <c r="P21" s="5"/>
      <c r="Q21" s="5"/>
      <c r="R21" s="5"/>
      <c r="S21" s="5"/>
      <c r="T21" s="5"/>
      <c r="U21" s="5"/>
    </row>
    <row r="22" spans="1:21" ht="27.75" customHeight="1">
      <c r="A22" s="1444"/>
      <c r="B22" s="1403"/>
      <c r="C22" s="1404"/>
      <c r="D22" s="116"/>
      <c r="E22" s="117"/>
      <c r="F22" s="91"/>
      <c r="G22" s="231"/>
      <c r="H22" s="9"/>
      <c r="I22" s="10"/>
      <c r="J22" s="10"/>
      <c r="K22" s="12"/>
      <c r="L22" s="39"/>
      <c r="M22" s="7"/>
      <c r="N22" s="7"/>
      <c r="O22" s="15"/>
      <c r="P22" s="5"/>
      <c r="Q22" s="5"/>
      <c r="R22" s="5"/>
      <c r="S22" s="5"/>
      <c r="T22" s="5"/>
      <c r="U22" s="5"/>
    </row>
    <row r="23" spans="1:21">
      <c r="A23" s="1386"/>
      <c r="B23" s="1353"/>
      <c r="C23" s="1353"/>
      <c r="D23" s="79"/>
      <c r="E23" s="82"/>
      <c r="F23" s="83"/>
      <c r="G23" s="67"/>
      <c r="H23" s="9"/>
      <c r="I23" s="10"/>
      <c r="J23" s="10"/>
      <c r="K23" s="12"/>
      <c r="L23" s="39"/>
      <c r="M23" s="7"/>
      <c r="N23" s="7"/>
      <c r="O23" s="15"/>
      <c r="P23" s="5"/>
      <c r="Q23" s="5"/>
      <c r="R23" s="5"/>
      <c r="S23" s="5"/>
      <c r="T23" s="5"/>
      <c r="U23" s="5"/>
    </row>
    <row r="24" spans="1:21">
      <c r="A24" s="1352"/>
      <c r="B24" s="1353"/>
      <c r="C24" s="1353"/>
      <c r="D24" s="81"/>
      <c r="E24" s="88"/>
      <c r="F24" s="78"/>
      <c r="G24" s="231"/>
      <c r="H24" s="9"/>
      <c r="I24" s="10"/>
      <c r="J24" s="40"/>
      <c r="K24" s="12"/>
      <c r="L24" s="13"/>
      <c r="M24" s="14"/>
      <c r="N24" s="14"/>
      <c r="O24" s="15"/>
      <c r="P24" s="5"/>
      <c r="Q24" s="5"/>
      <c r="R24" s="5"/>
      <c r="S24" s="5"/>
      <c r="T24" s="5"/>
      <c r="U24" s="5"/>
    </row>
    <row r="25" spans="1:21">
      <c r="A25" s="1352"/>
      <c r="B25" s="1353"/>
      <c r="C25" s="1353"/>
      <c r="D25" s="81"/>
      <c r="E25" s="82"/>
      <c r="F25" s="78"/>
      <c r="G25" s="231"/>
      <c r="H25" s="9"/>
      <c r="I25" s="10"/>
      <c r="J25" s="11"/>
      <c r="K25" s="12"/>
      <c r="L25" s="13"/>
      <c r="M25" s="14"/>
      <c r="N25" s="14"/>
      <c r="O25" s="15"/>
      <c r="P25" s="5"/>
      <c r="Q25" s="5"/>
      <c r="R25" s="5"/>
      <c r="S25" s="5"/>
      <c r="T25" s="5"/>
      <c r="U25" s="5"/>
    </row>
    <row r="26" spans="1:21">
      <c r="A26" s="1352"/>
      <c r="B26" s="1353"/>
      <c r="C26" s="1353"/>
      <c r="D26" s="79"/>
      <c r="E26" s="82"/>
      <c r="F26" s="78"/>
      <c r="G26" s="231"/>
      <c r="H26" s="9"/>
      <c r="I26" s="10"/>
      <c r="J26" s="11"/>
      <c r="K26" s="12"/>
      <c r="L26" s="13"/>
      <c r="M26" s="14"/>
      <c r="N26" s="14"/>
      <c r="O26" s="15"/>
      <c r="P26" s="5"/>
      <c r="Q26" s="5"/>
      <c r="R26" s="5"/>
      <c r="S26" s="5"/>
      <c r="T26" s="5"/>
      <c r="U26" s="5"/>
    </row>
    <row r="27" spans="1:21">
      <c r="A27" s="1352"/>
      <c r="B27" s="1353"/>
      <c r="C27" s="1353"/>
      <c r="D27" s="79"/>
      <c r="E27" s="82"/>
      <c r="F27" s="78"/>
      <c r="G27" s="231"/>
      <c r="H27" s="9"/>
      <c r="I27" s="10"/>
      <c r="J27" s="11"/>
      <c r="K27" s="12"/>
      <c r="L27" s="13"/>
      <c r="M27" s="14"/>
      <c r="N27" s="14"/>
      <c r="O27" s="15"/>
      <c r="P27" s="5"/>
      <c r="Q27" s="5"/>
      <c r="R27" s="5"/>
      <c r="S27" s="5"/>
      <c r="T27" s="5"/>
      <c r="U27" s="5"/>
    </row>
    <row r="28" spans="1:21">
      <c r="A28" s="1352"/>
      <c r="B28" s="1353"/>
      <c r="C28" s="1353"/>
      <c r="D28" s="79"/>
      <c r="E28" s="82"/>
      <c r="F28" s="83"/>
      <c r="G28" s="231"/>
      <c r="H28" s="9"/>
      <c r="I28" s="41"/>
      <c r="J28" s="41"/>
      <c r="K28" s="12"/>
      <c r="L28" s="13"/>
      <c r="M28" s="14"/>
      <c r="N28" s="14"/>
      <c r="O28" s="15"/>
      <c r="P28" s="5"/>
      <c r="Q28" s="5"/>
      <c r="R28" s="5"/>
      <c r="S28" s="5"/>
      <c r="T28" s="5"/>
      <c r="U28" s="5"/>
    </row>
    <row r="29" spans="1:21">
      <c r="A29" s="1352"/>
      <c r="B29" s="1353"/>
      <c r="C29" s="1353"/>
      <c r="D29" s="84"/>
      <c r="E29" s="84"/>
      <c r="F29" s="83"/>
      <c r="G29" s="231"/>
      <c r="H29" s="9"/>
      <c r="I29" s="42"/>
      <c r="J29" s="42"/>
      <c r="K29" s="42"/>
      <c r="L29" s="13"/>
      <c r="M29" s="14"/>
      <c r="N29" s="14"/>
      <c r="O29" s="15"/>
      <c r="P29" s="5"/>
      <c r="Q29" s="5"/>
      <c r="R29" s="5"/>
      <c r="S29" s="5"/>
      <c r="T29" s="5"/>
      <c r="U29" s="5"/>
    </row>
    <row r="30" spans="1:21">
      <c r="A30" s="1352"/>
      <c r="B30" s="1353"/>
      <c r="C30" s="1353"/>
      <c r="D30" s="85" t="s">
        <v>28</v>
      </c>
      <c r="E30" s="50"/>
      <c r="F30" s="49"/>
      <c r="G30" s="230">
        <f>SUM(G21:G29)</f>
        <v>195000</v>
      </c>
      <c r="H30" s="9"/>
      <c r="I30" s="8"/>
      <c r="J30" s="13"/>
      <c r="K30" s="8"/>
      <c r="L30" s="13"/>
      <c r="M30" s="14"/>
      <c r="N30" s="14"/>
      <c r="O30" s="15"/>
      <c r="P30" s="5"/>
    </row>
    <row r="31" spans="1:21" ht="3.75" customHeight="1">
      <c r="A31" s="226"/>
      <c r="B31" s="4"/>
      <c r="C31" s="6"/>
      <c r="D31" s="4"/>
      <c r="E31" s="4"/>
      <c r="F31" s="4"/>
      <c r="G31" s="227"/>
      <c r="H31" s="9"/>
      <c r="I31" s="8"/>
      <c r="J31" s="13"/>
      <c r="K31" s="18"/>
      <c r="L31" s="13"/>
      <c r="M31" s="33"/>
      <c r="N31" s="33"/>
      <c r="O31" s="15"/>
      <c r="P31" s="5"/>
    </row>
    <row r="32" spans="1:21" ht="22.5" customHeight="1">
      <c r="A32" s="1354" t="s">
        <v>71</v>
      </c>
      <c r="B32" s="1355"/>
      <c r="C32" s="1355"/>
      <c r="D32" s="1355"/>
      <c r="E32" s="1355"/>
      <c r="F32" s="1355"/>
      <c r="G32" s="1356"/>
      <c r="H32" s="9"/>
    </row>
    <row r="33" spans="1:16" ht="3.75" customHeight="1">
      <c r="A33" s="226"/>
      <c r="B33" s="4"/>
      <c r="C33" s="6"/>
      <c r="D33" s="4"/>
      <c r="E33" s="4"/>
      <c r="F33" s="4"/>
      <c r="G33" s="227"/>
      <c r="H33" s="9"/>
      <c r="I33" s="8"/>
      <c r="J33" s="13"/>
      <c r="K33" s="8"/>
      <c r="L33" s="8"/>
      <c r="M33" s="8"/>
      <c r="N33" s="8"/>
      <c r="O33" s="15"/>
      <c r="P33" s="5"/>
    </row>
    <row r="34" spans="1:16">
      <c r="A34" s="232" t="s">
        <v>5</v>
      </c>
      <c r="B34" s="60" t="s">
        <v>29</v>
      </c>
      <c r="C34" s="60" t="s">
        <v>30</v>
      </c>
      <c r="D34" s="60" t="s">
        <v>31</v>
      </c>
      <c r="E34" s="60" t="s">
        <v>32</v>
      </c>
      <c r="F34" s="60" t="s">
        <v>20</v>
      </c>
      <c r="G34" s="228" t="s">
        <v>33</v>
      </c>
      <c r="H34" s="27"/>
      <c r="I34" s="8"/>
      <c r="J34" s="13"/>
      <c r="K34" s="8"/>
      <c r="L34" s="8"/>
      <c r="M34" s="8"/>
      <c r="N34" s="8"/>
      <c r="O34" s="15"/>
      <c r="P34" s="5"/>
    </row>
    <row r="35" spans="1:16">
      <c r="A35" s="233" t="s">
        <v>41</v>
      </c>
      <c r="B35" s="63">
        <f>BOF</f>
        <v>51749</v>
      </c>
      <c r="C35" s="68">
        <f>ffpp</f>
        <v>0.64539999999999997</v>
      </c>
      <c r="D35" s="72">
        <v>1</v>
      </c>
      <c r="E35" s="66">
        <f>OF</f>
        <v>88696</v>
      </c>
      <c r="F35" s="65">
        <v>11</v>
      </c>
      <c r="G35" s="231">
        <f>ROUND(+D35*E35/F35,0)</f>
        <v>8063</v>
      </c>
      <c r="H35" s="9"/>
      <c r="I35" s="16"/>
      <c r="J35" s="13"/>
      <c r="K35" s="8"/>
      <c r="L35" s="8"/>
      <c r="M35" s="8"/>
      <c r="N35" s="8"/>
      <c r="O35" s="15"/>
      <c r="P35" s="5"/>
    </row>
    <row r="36" spans="1:16">
      <c r="A36" s="233" t="s">
        <v>38</v>
      </c>
      <c r="B36" s="63">
        <f>BOB</f>
        <v>41749</v>
      </c>
      <c r="C36" s="68">
        <f>ffpp</f>
        <v>0.64539999999999997</v>
      </c>
      <c r="D36" s="72">
        <v>3</v>
      </c>
      <c r="E36" s="66">
        <f>OB</f>
        <v>72242</v>
      </c>
      <c r="F36" s="65">
        <f>F35</f>
        <v>11</v>
      </c>
      <c r="G36" s="231">
        <f>ROUND(+D36*E36/F36,0)</f>
        <v>19702</v>
      </c>
      <c r="H36" s="9"/>
      <c r="I36" s="8"/>
      <c r="J36" s="8"/>
      <c r="K36" s="13"/>
      <c r="L36" s="13"/>
      <c r="M36" s="13"/>
      <c r="N36" s="13"/>
      <c r="O36" s="13"/>
      <c r="P36" s="5"/>
    </row>
    <row r="37" spans="1:16">
      <c r="A37" s="234"/>
      <c r="B37" s="50"/>
      <c r="C37" s="961"/>
      <c r="D37" s="50"/>
      <c r="E37" s="66"/>
      <c r="F37" s="65"/>
      <c r="G37" s="231"/>
      <c r="H37" s="9"/>
      <c r="I37" s="8"/>
      <c r="J37" s="13"/>
      <c r="K37" s="13"/>
      <c r="L37" s="13"/>
      <c r="M37" s="33"/>
      <c r="N37" s="33"/>
      <c r="O37" s="43"/>
      <c r="P37" s="5"/>
    </row>
    <row r="38" spans="1:16">
      <c r="A38" s="233"/>
      <c r="B38" s="65"/>
      <c r="C38" s="68"/>
      <c r="D38" s="65"/>
      <c r="E38" s="69"/>
      <c r="F38" s="69"/>
      <c r="G38" s="236"/>
      <c r="H38" s="9"/>
      <c r="I38" s="8"/>
      <c r="J38" s="13"/>
      <c r="K38" s="13"/>
      <c r="L38" s="13"/>
      <c r="M38" s="33"/>
      <c r="N38" s="33"/>
      <c r="O38" s="43"/>
      <c r="P38" s="5"/>
    </row>
    <row r="39" spans="1:16">
      <c r="A39" s="249"/>
      <c r="B39" s="71"/>
      <c r="C39" s="71"/>
      <c r="D39" s="71" t="s">
        <v>34</v>
      </c>
      <c r="E39" s="71"/>
      <c r="F39" s="71"/>
      <c r="G39" s="250">
        <f>SUM(G35:G38)</f>
        <v>27765</v>
      </c>
      <c r="H39" s="9"/>
      <c r="I39" s="8"/>
      <c r="J39" s="13"/>
      <c r="K39" s="13"/>
      <c r="L39" s="13"/>
      <c r="M39" s="14"/>
      <c r="N39" s="14"/>
      <c r="O39" s="15"/>
      <c r="P39" s="5"/>
    </row>
    <row r="40" spans="1:16">
      <c r="A40" s="226"/>
      <c r="B40" s="4"/>
      <c r="C40" s="6"/>
      <c r="D40" s="4"/>
      <c r="E40" s="4"/>
      <c r="F40" s="4"/>
      <c r="G40" s="227"/>
      <c r="H40" s="9"/>
      <c r="I40" s="8"/>
      <c r="J40" s="13"/>
      <c r="K40" s="13"/>
      <c r="L40" s="13"/>
      <c r="M40" s="14"/>
      <c r="N40" s="14"/>
      <c r="O40" s="19"/>
      <c r="P40" s="5"/>
    </row>
    <row r="41" spans="1:16">
      <c r="A41" s="226"/>
      <c r="B41" s="4"/>
      <c r="C41" s="6"/>
      <c r="D41" s="4"/>
      <c r="E41" s="4"/>
      <c r="F41" s="4"/>
      <c r="G41" s="227"/>
      <c r="H41" s="9"/>
      <c r="I41" s="8"/>
      <c r="J41" s="13"/>
      <c r="K41" s="13"/>
      <c r="L41" s="13"/>
      <c r="M41" s="17"/>
      <c r="N41" s="17"/>
      <c r="O41" s="37"/>
      <c r="P41" s="5"/>
    </row>
    <row r="42" spans="1:16" ht="14.25">
      <c r="A42" s="226"/>
      <c r="B42" s="4"/>
      <c r="C42" s="6"/>
      <c r="D42" s="1357" t="s">
        <v>35</v>
      </c>
      <c r="E42" s="1358"/>
      <c r="F42" s="1359"/>
      <c r="G42" s="239">
        <f>+G39+G30+G16</f>
        <v>225542</v>
      </c>
      <c r="H42" s="9"/>
      <c r="I42" s="48"/>
      <c r="J42" s="20"/>
      <c r="K42" s="8"/>
      <c r="L42" s="8"/>
      <c r="M42" s="8"/>
      <c r="N42" s="8"/>
      <c r="O42" s="8"/>
      <c r="P42" s="5"/>
    </row>
    <row r="43" spans="1:16" ht="14.25">
      <c r="A43" s="240"/>
      <c r="B43" s="57"/>
      <c r="C43" s="58"/>
      <c r="D43" s="99"/>
      <c r="E43" s="99"/>
      <c r="F43" s="99"/>
      <c r="G43" s="251"/>
      <c r="H43" s="9"/>
      <c r="I43" s="48"/>
      <c r="J43" s="20"/>
      <c r="K43" s="8"/>
      <c r="L43" s="8"/>
      <c r="M43" s="8"/>
      <c r="N43" s="8"/>
      <c r="O43" s="8"/>
      <c r="P43" s="5"/>
    </row>
    <row r="44" spans="1:16" ht="14.25">
      <c r="A44" s="374"/>
      <c r="B44" s="375"/>
      <c r="C44" s="375"/>
      <c r="D44" s="99"/>
      <c r="E44" s="99"/>
      <c r="F44" s="99"/>
      <c r="G44" s="251"/>
      <c r="H44" s="9"/>
      <c r="I44" s="48"/>
      <c r="J44" s="20"/>
      <c r="K44" s="8"/>
      <c r="L44" s="8"/>
      <c r="M44" s="8"/>
      <c r="N44" s="8"/>
      <c r="O44" s="8"/>
      <c r="P44" s="5"/>
    </row>
    <row r="45" spans="1:16" ht="14.25">
      <c r="A45" s="373"/>
      <c r="B45" s="376"/>
      <c r="C45" s="376"/>
      <c r="D45" s="99"/>
      <c r="E45" s="99"/>
      <c r="F45" s="99"/>
      <c r="G45" s="251"/>
      <c r="H45" s="9"/>
      <c r="I45" s="48"/>
      <c r="J45" s="20"/>
      <c r="K45" s="8"/>
      <c r="L45" s="8"/>
      <c r="M45" s="8"/>
      <c r="N45" s="8"/>
      <c r="O45" s="8"/>
      <c r="P45" s="5"/>
    </row>
    <row r="46" spans="1:16" ht="14.25">
      <c r="A46" s="373"/>
      <c r="B46" s="376"/>
      <c r="C46" s="376"/>
      <c r="D46" s="44"/>
      <c r="E46" s="45"/>
      <c r="F46" s="45"/>
      <c r="G46" s="251"/>
      <c r="H46" s="9"/>
      <c r="I46" s="8"/>
      <c r="J46" s="13"/>
      <c r="K46" s="8"/>
      <c r="L46" s="8"/>
      <c r="M46" s="8"/>
      <c r="N46" s="8"/>
      <c r="O46" s="8"/>
      <c r="P46" s="5"/>
    </row>
    <row r="47" spans="1:16" ht="15" thickBot="1">
      <c r="A47" s="242"/>
      <c r="B47" s="243"/>
      <c r="C47" s="244"/>
      <c r="D47" s="245"/>
      <c r="E47" s="246"/>
      <c r="F47" s="246"/>
      <c r="G47" s="247"/>
      <c r="H47" s="9"/>
      <c r="I47" s="8"/>
      <c r="J47" s="13"/>
      <c r="K47" s="8"/>
      <c r="L47" s="8"/>
      <c r="M47" s="8"/>
      <c r="N47" s="8"/>
      <c r="O47" s="8"/>
      <c r="P47" s="5"/>
    </row>
    <row r="48" spans="1:16">
      <c r="I48" s="5"/>
      <c r="J48" s="5"/>
      <c r="K48" s="5"/>
      <c r="L48" s="5"/>
      <c r="M48" s="5"/>
      <c r="N48" s="5"/>
      <c r="O48" s="5"/>
      <c r="P48" s="5"/>
    </row>
    <row r="49" spans="9:16">
      <c r="I49" s="5"/>
      <c r="J49" s="5"/>
      <c r="K49" s="5"/>
      <c r="L49" s="5"/>
      <c r="M49" s="5"/>
      <c r="N49" s="5"/>
      <c r="O49" s="5"/>
      <c r="P49" s="5"/>
    </row>
  </sheetData>
  <mergeCells count="26">
    <mergeCell ref="A10:C10"/>
    <mergeCell ref="A1:G1"/>
    <mergeCell ref="A2:G2"/>
    <mergeCell ref="A3:G4"/>
    <mergeCell ref="B6:E6"/>
    <mergeCell ref="A8:G8"/>
    <mergeCell ref="A24:C24"/>
    <mergeCell ref="A11:C11"/>
    <mergeCell ref="A12:C12"/>
    <mergeCell ref="A13:C13"/>
    <mergeCell ref="A14:C14"/>
    <mergeCell ref="A15:C15"/>
    <mergeCell ref="A16:C16"/>
    <mergeCell ref="A18:G18"/>
    <mergeCell ref="A20:C20"/>
    <mergeCell ref="A21:C21"/>
    <mergeCell ref="A22:C22"/>
    <mergeCell ref="A23:C23"/>
    <mergeCell ref="A32:G32"/>
    <mergeCell ref="D42:F42"/>
    <mergeCell ref="A25:C25"/>
    <mergeCell ref="A26:C26"/>
    <mergeCell ref="A27:C27"/>
    <mergeCell ref="A28:C28"/>
    <mergeCell ref="A29:C29"/>
    <mergeCell ref="A30:C30"/>
  </mergeCells>
  <printOptions horizontalCentered="1" verticalCentered="1"/>
  <pageMargins left="0.74803149606299213" right="0.74803149606299213" top="0" bottom="0.98425196850393704" header="0" footer="0"/>
  <pageSetup scale="90" orientation="portrait" r:id="rId1"/>
  <headerFooter alignWithMargins="0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87"/>
  <dimension ref="A1:U49"/>
  <sheetViews>
    <sheetView view="pageBreakPreview" topLeftCell="A6" zoomScaleNormal="100" zoomScaleSheetLayoutView="100" workbookViewId="0">
      <selection activeCell="I7" sqref="I7"/>
    </sheetView>
  </sheetViews>
  <sheetFormatPr baseColWidth="10" defaultColWidth="10.7109375" defaultRowHeight="12.75"/>
  <cols>
    <col min="1" max="1" width="15.85546875" style="3" customWidth="1"/>
    <col min="2" max="2" width="14.85546875" style="3" customWidth="1"/>
    <col min="3" max="3" width="13.28515625" style="3" customWidth="1"/>
    <col min="4" max="4" width="11.42578125" style="3"/>
    <col min="5" max="5" width="13.42578125" style="3" customWidth="1"/>
    <col min="6" max="6" width="12.7109375" style="3" customWidth="1"/>
    <col min="7" max="7" width="14" style="3" customWidth="1"/>
    <col min="8" max="8" width="7.42578125" style="3" customWidth="1"/>
    <col min="9" max="256" width="11.42578125" style="3"/>
    <col min="257" max="257" width="15.85546875" style="3" customWidth="1"/>
    <col min="258" max="258" width="14.85546875" style="3" customWidth="1"/>
    <col min="259" max="259" width="13.28515625" style="3" customWidth="1"/>
    <col min="260" max="260" width="11.42578125" style="3"/>
    <col min="261" max="261" width="13.42578125" style="3" customWidth="1"/>
    <col min="262" max="262" width="12.7109375" style="3" customWidth="1"/>
    <col min="263" max="263" width="14" style="3" customWidth="1"/>
    <col min="264" max="264" width="7.42578125" style="3" customWidth="1"/>
    <col min="265" max="512" width="11.42578125" style="3"/>
    <col min="513" max="513" width="15.85546875" style="3" customWidth="1"/>
    <col min="514" max="514" width="14.85546875" style="3" customWidth="1"/>
    <col min="515" max="515" width="13.28515625" style="3" customWidth="1"/>
    <col min="516" max="516" width="11.42578125" style="3"/>
    <col min="517" max="517" width="13.42578125" style="3" customWidth="1"/>
    <col min="518" max="518" width="12.7109375" style="3" customWidth="1"/>
    <col min="519" max="519" width="14" style="3" customWidth="1"/>
    <col min="520" max="520" width="7.42578125" style="3" customWidth="1"/>
    <col min="521" max="768" width="11.42578125" style="3"/>
    <col min="769" max="769" width="15.85546875" style="3" customWidth="1"/>
    <col min="770" max="770" width="14.85546875" style="3" customWidth="1"/>
    <col min="771" max="771" width="13.28515625" style="3" customWidth="1"/>
    <col min="772" max="772" width="11.42578125" style="3"/>
    <col min="773" max="773" width="13.42578125" style="3" customWidth="1"/>
    <col min="774" max="774" width="12.7109375" style="3" customWidth="1"/>
    <col min="775" max="775" width="14" style="3" customWidth="1"/>
    <col min="776" max="776" width="7.42578125" style="3" customWidth="1"/>
    <col min="777" max="1024" width="11.42578125" style="3"/>
    <col min="1025" max="1025" width="15.85546875" style="3" customWidth="1"/>
    <col min="1026" max="1026" width="14.85546875" style="3" customWidth="1"/>
    <col min="1027" max="1027" width="13.28515625" style="3" customWidth="1"/>
    <col min="1028" max="1028" width="11.42578125" style="3"/>
    <col min="1029" max="1029" width="13.42578125" style="3" customWidth="1"/>
    <col min="1030" max="1030" width="12.7109375" style="3" customWidth="1"/>
    <col min="1031" max="1031" width="14" style="3" customWidth="1"/>
    <col min="1032" max="1032" width="7.42578125" style="3" customWidth="1"/>
    <col min="1033" max="1280" width="11.42578125" style="3"/>
    <col min="1281" max="1281" width="15.85546875" style="3" customWidth="1"/>
    <col min="1282" max="1282" width="14.85546875" style="3" customWidth="1"/>
    <col min="1283" max="1283" width="13.28515625" style="3" customWidth="1"/>
    <col min="1284" max="1284" width="11.42578125" style="3"/>
    <col min="1285" max="1285" width="13.42578125" style="3" customWidth="1"/>
    <col min="1286" max="1286" width="12.7109375" style="3" customWidth="1"/>
    <col min="1287" max="1287" width="14" style="3" customWidth="1"/>
    <col min="1288" max="1288" width="7.42578125" style="3" customWidth="1"/>
    <col min="1289" max="1536" width="11.42578125" style="3"/>
    <col min="1537" max="1537" width="15.85546875" style="3" customWidth="1"/>
    <col min="1538" max="1538" width="14.85546875" style="3" customWidth="1"/>
    <col min="1539" max="1539" width="13.28515625" style="3" customWidth="1"/>
    <col min="1540" max="1540" width="11.42578125" style="3"/>
    <col min="1541" max="1541" width="13.42578125" style="3" customWidth="1"/>
    <col min="1542" max="1542" width="12.7109375" style="3" customWidth="1"/>
    <col min="1543" max="1543" width="14" style="3" customWidth="1"/>
    <col min="1544" max="1544" width="7.42578125" style="3" customWidth="1"/>
    <col min="1545" max="1792" width="11.42578125" style="3"/>
    <col min="1793" max="1793" width="15.85546875" style="3" customWidth="1"/>
    <col min="1794" max="1794" width="14.85546875" style="3" customWidth="1"/>
    <col min="1795" max="1795" width="13.28515625" style="3" customWidth="1"/>
    <col min="1796" max="1796" width="11.42578125" style="3"/>
    <col min="1797" max="1797" width="13.42578125" style="3" customWidth="1"/>
    <col min="1798" max="1798" width="12.7109375" style="3" customWidth="1"/>
    <col min="1799" max="1799" width="14" style="3" customWidth="1"/>
    <col min="1800" max="1800" width="7.42578125" style="3" customWidth="1"/>
    <col min="1801" max="2048" width="11.42578125" style="3"/>
    <col min="2049" max="2049" width="15.85546875" style="3" customWidth="1"/>
    <col min="2050" max="2050" width="14.85546875" style="3" customWidth="1"/>
    <col min="2051" max="2051" width="13.28515625" style="3" customWidth="1"/>
    <col min="2052" max="2052" width="11.42578125" style="3"/>
    <col min="2053" max="2053" width="13.42578125" style="3" customWidth="1"/>
    <col min="2054" max="2054" width="12.7109375" style="3" customWidth="1"/>
    <col min="2055" max="2055" width="14" style="3" customWidth="1"/>
    <col min="2056" max="2056" width="7.42578125" style="3" customWidth="1"/>
    <col min="2057" max="2304" width="11.42578125" style="3"/>
    <col min="2305" max="2305" width="15.85546875" style="3" customWidth="1"/>
    <col min="2306" max="2306" width="14.85546875" style="3" customWidth="1"/>
    <col min="2307" max="2307" width="13.28515625" style="3" customWidth="1"/>
    <col min="2308" max="2308" width="11.42578125" style="3"/>
    <col min="2309" max="2309" width="13.42578125" style="3" customWidth="1"/>
    <col min="2310" max="2310" width="12.7109375" style="3" customWidth="1"/>
    <col min="2311" max="2311" width="14" style="3" customWidth="1"/>
    <col min="2312" max="2312" width="7.42578125" style="3" customWidth="1"/>
    <col min="2313" max="2560" width="11.42578125" style="3"/>
    <col min="2561" max="2561" width="15.85546875" style="3" customWidth="1"/>
    <col min="2562" max="2562" width="14.85546875" style="3" customWidth="1"/>
    <col min="2563" max="2563" width="13.28515625" style="3" customWidth="1"/>
    <col min="2564" max="2564" width="11.42578125" style="3"/>
    <col min="2565" max="2565" width="13.42578125" style="3" customWidth="1"/>
    <col min="2566" max="2566" width="12.7109375" style="3" customWidth="1"/>
    <col min="2567" max="2567" width="14" style="3" customWidth="1"/>
    <col min="2568" max="2568" width="7.42578125" style="3" customWidth="1"/>
    <col min="2569" max="2816" width="11.42578125" style="3"/>
    <col min="2817" max="2817" width="15.85546875" style="3" customWidth="1"/>
    <col min="2818" max="2818" width="14.85546875" style="3" customWidth="1"/>
    <col min="2819" max="2819" width="13.28515625" style="3" customWidth="1"/>
    <col min="2820" max="2820" width="11.42578125" style="3"/>
    <col min="2821" max="2821" width="13.42578125" style="3" customWidth="1"/>
    <col min="2822" max="2822" width="12.7109375" style="3" customWidth="1"/>
    <col min="2823" max="2823" width="14" style="3" customWidth="1"/>
    <col min="2824" max="2824" width="7.42578125" style="3" customWidth="1"/>
    <col min="2825" max="3072" width="11.42578125" style="3"/>
    <col min="3073" max="3073" width="15.85546875" style="3" customWidth="1"/>
    <col min="3074" max="3074" width="14.85546875" style="3" customWidth="1"/>
    <col min="3075" max="3075" width="13.28515625" style="3" customWidth="1"/>
    <col min="3076" max="3076" width="11.42578125" style="3"/>
    <col min="3077" max="3077" width="13.42578125" style="3" customWidth="1"/>
    <col min="3078" max="3078" width="12.7109375" style="3" customWidth="1"/>
    <col min="3079" max="3079" width="14" style="3" customWidth="1"/>
    <col min="3080" max="3080" width="7.42578125" style="3" customWidth="1"/>
    <col min="3081" max="3328" width="11.42578125" style="3"/>
    <col min="3329" max="3329" width="15.85546875" style="3" customWidth="1"/>
    <col min="3330" max="3330" width="14.85546875" style="3" customWidth="1"/>
    <col min="3331" max="3331" width="13.28515625" style="3" customWidth="1"/>
    <col min="3332" max="3332" width="11.42578125" style="3"/>
    <col min="3333" max="3333" width="13.42578125" style="3" customWidth="1"/>
    <col min="3334" max="3334" width="12.7109375" style="3" customWidth="1"/>
    <col min="3335" max="3335" width="14" style="3" customWidth="1"/>
    <col min="3336" max="3336" width="7.42578125" style="3" customWidth="1"/>
    <col min="3337" max="3584" width="11.42578125" style="3"/>
    <col min="3585" max="3585" width="15.85546875" style="3" customWidth="1"/>
    <col min="3586" max="3586" width="14.85546875" style="3" customWidth="1"/>
    <col min="3587" max="3587" width="13.28515625" style="3" customWidth="1"/>
    <col min="3588" max="3588" width="11.42578125" style="3"/>
    <col min="3589" max="3589" width="13.42578125" style="3" customWidth="1"/>
    <col min="3590" max="3590" width="12.7109375" style="3" customWidth="1"/>
    <col min="3591" max="3591" width="14" style="3" customWidth="1"/>
    <col min="3592" max="3592" width="7.42578125" style="3" customWidth="1"/>
    <col min="3593" max="3840" width="11.42578125" style="3"/>
    <col min="3841" max="3841" width="15.85546875" style="3" customWidth="1"/>
    <col min="3842" max="3842" width="14.85546875" style="3" customWidth="1"/>
    <col min="3843" max="3843" width="13.28515625" style="3" customWidth="1"/>
    <col min="3844" max="3844" width="11.42578125" style="3"/>
    <col min="3845" max="3845" width="13.42578125" style="3" customWidth="1"/>
    <col min="3846" max="3846" width="12.7109375" style="3" customWidth="1"/>
    <col min="3847" max="3847" width="14" style="3" customWidth="1"/>
    <col min="3848" max="3848" width="7.42578125" style="3" customWidth="1"/>
    <col min="3849" max="4096" width="11.42578125" style="3"/>
    <col min="4097" max="4097" width="15.85546875" style="3" customWidth="1"/>
    <col min="4098" max="4098" width="14.85546875" style="3" customWidth="1"/>
    <col min="4099" max="4099" width="13.28515625" style="3" customWidth="1"/>
    <col min="4100" max="4100" width="11.42578125" style="3"/>
    <col min="4101" max="4101" width="13.42578125" style="3" customWidth="1"/>
    <col min="4102" max="4102" width="12.7109375" style="3" customWidth="1"/>
    <col min="4103" max="4103" width="14" style="3" customWidth="1"/>
    <col min="4104" max="4104" width="7.42578125" style="3" customWidth="1"/>
    <col min="4105" max="4352" width="11.42578125" style="3"/>
    <col min="4353" max="4353" width="15.85546875" style="3" customWidth="1"/>
    <col min="4354" max="4354" width="14.85546875" style="3" customWidth="1"/>
    <col min="4355" max="4355" width="13.28515625" style="3" customWidth="1"/>
    <col min="4356" max="4356" width="11.42578125" style="3"/>
    <col min="4357" max="4357" width="13.42578125" style="3" customWidth="1"/>
    <col min="4358" max="4358" width="12.7109375" style="3" customWidth="1"/>
    <col min="4359" max="4359" width="14" style="3" customWidth="1"/>
    <col min="4360" max="4360" width="7.42578125" style="3" customWidth="1"/>
    <col min="4361" max="4608" width="11.42578125" style="3"/>
    <col min="4609" max="4609" width="15.85546875" style="3" customWidth="1"/>
    <col min="4610" max="4610" width="14.85546875" style="3" customWidth="1"/>
    <col min="4611" max="4611" width="13.28515625" style="3" customWidth="1"/>
    <col min="4612" max="4612" width="11.42578125" style="3"/>
    <col min="4613" max="4613" width="13.42578125" style="3" customWidth="1"/>
    <col min="4614" max="4614" width="12.7109375" style="3" customWidth="1"/>
    <col min="4615" max="4615" width="14" style="3" customWidth="1"/>
    <col min="4616" max="4616" width="7.42578125" style="3" customWidth="1"/>
    <col min="4617" max="4864" width="11.42578125" style="3"/>
    <col min="4865" max="4865" width="15.85546875" style="3" customWidth="1"/>
    <col min="4866" max="4866" width="14.85546875" style="3" customWidth="1"/>
    <col min="4867" max="4867" width="13.28515625" style="3" customWidth="1"/>
    <col min="4868" max="4868" width="11.42578125" style="3"/>
    <col min="4869" max="4869" width="13.42578125" style="3" customWidth="1"/>
    <col min="4870" max="4870" width="12.7109375" style="3" customWidth="1"/>
    <col min="4871" max="4871" width="14" style="3" customWidth="1"/>
    <col min="4872" max="4872" width="7.42578125" style="3" customWidth="1"/>
    <col min="4873" max="5120" width="11.42578125" style="3"/>
    <col min="5121" max="5121" width="15.85546875" style="3" customWidth="1"/>
    <col min="5122" max="5122" width="14.85546875" style="3" customWidth="1"/>
    <col min="5123" max="5123" width="13.28515625" style="3" customWidth="1"/>
    <col min="5124" max="5124" width="11.42578125" style="3"/>
    <col min="5125" max="5125" width="13.42578125" style="3" customWidth="1"/>
    <col min="5126" max="5126" width="12.7109375" style="3" customWidth="1"/>
    <col min="5127" max="5127" width="14" style="3" customWidth="1"/>
    <col min="5128" max="5128" width="7.42578125" style="3" customWidth="1"/>
    <col min="5129" max="5376" width="11.42578125" style="3"/>
    <col min="5377" max="5377" width="15.85546875" style="3" customWidth="1"/>
    <col min="5378" max="5378" width="14.85546875" style="3" customWidth="1"/>
    <col min="5379" max="5379" width="13.28515625" style="3" customWidth="1"/>
    <col min="5380" max="5380" width="11.42578125" style="3"/>
    <col min="5381" max="5381" width="13.42578125" style="3" customWidth="1"/>
    <col min="5382" max="5382" width="12.7109375" style="3" customWidth="1"/>
    <col min="5383" max="5383" width="14" style="3" customWidth="1"/>
    <col min="5384" max="5384" width="7.42578125" style="3" customWidth="1"/>
    <col min="5385" max="5632" width="11.42578125" style="3"/>
    <col min="5633" max="5633" width="15.85546875" style="3" customWidth="1"/>
    <col min="5634" max="5634" width="14.85546875" style="3" customWidth="1"/>
    <col min="5635" max="5635" width="13.28515625" style="3" customWidth="1"/>
    <col min="5636" max="5636" width="11.42578125" style="3"/>
    <col min="5637" max="5637" width="13.42578125" style="3" customWidth="1"/>
    <col min="5638" max="5638" width="12.7109375" style="3" customWidth="1"/>
    <col min="5639" max="5639" width="14" style="3" customWidth="1"/>
    <col min="5640" max="5640" width="7.42578125" style="3" customWidth="1"/>
    <col min="5641" max="5888" width="11.42578125" style="3"/>
    <col min="5889" max="5889" width="15.85546875" style="3" customWidth="1"/>
    <col min="5890" max="5890" width="14.85546875" style="3" customWidth="1"/>
    <col min="5891" max="5891" width="13.28515625" style="3" customWidth="1"/>
    <col min="5892" max="5892" width="11.42578125" style="3"/>
    <col min="5893" max="5893" width="13.42578125" style="3" customWidth="1"/>
    <col min="5894" max="5894" width="12.7109375" style="3" customWidth="1"/>
    <col min="5895" max="5895" width="14" style="3" customWidth="1"/>
    <col min="5896" max="5896" width="7.42578125" style="3" customWidth="1"/>
    <col min="5897" max="6144" width="11.42578125" style="3"/>
    <col min="6145" max="6145" width="15.85546875" style="3" customWidth="1"/>
    <col min="6146" max="6146" width="14.85546875" style="3" customWidth="1"/>
    <col min="6147" max="6147" width="13.28515625" style="3" customWidth="1"/>
    <col min="6148" max="6148" width="11.42578125" style="3"/>
    <col min="6149" max="6149" width="13.42578125" style="3" customWidth="1"/>
    <col min="6150" max="6150" width="12.7109375" style="3" customWidth="1"/>
    <col min="6151" max="6151" width="14" style="3" customWidth="1"/>
    <col min="6152" max="6152" width="7.42578125" style="3" customWidth="1"/>
    <col min="6153" max="6400" width="11.42578125" style="3"/>
    <col min="6401" max="6401" width="15.85546875" style="3" customWidth="1"/>
    <col min="6402" max="6402" width="14.85546875" style="3" customWidth="1"/>
    <col min="6403" max="6403" width="13.28515625" style="3" customWidth="1"/>
    <col min="6404" max="6404" width="11.42578125" style="3"/>
    <col min="6405" max="6405" width="13.42578125" style="3" customWidth="1"/>
    <col min="6406" max="6406" width="12.7109375" style="3" customWidth="1"/>
    <col min="6407" max="6407" width="14" style="3" customWidth="1"/>
    <col min="6408" max="6408" width="7.42578125" style="3" customWidth="1"/>
    <col min="6409" max="6656" width="11.42578125" style="3"/>
    <col min="6657" max="6657" width="15.85546875" style="3" customWidth="1"/>
    <col min="6658" max="6658" width="14.85546875" style="3" customWidth="1"/>
    <col min="6659" max="6659" width="13.28515625" style="3" customWidth="1"/>
    <col min="6660" max="6660" width="11.42578125" style="3"/>
    <col min="6661" max="6661" width="13.42578125" style="3" customWidth="1"/>
    <col min="6662" max="6662" width="12.7109375" style="3" customWidth="1"/>
    <col min="6663" max="6663" width="14" style="3" customWidth="1"/>
    <col min="6664" max="6664" width="7.42578125" style="3" customWidth="1"/>
    <col min="6665" max="6912" width="11.42578125" style="3"/>
    <col min="6913" max="6913" width="15.85546875" style="3" customWidth="1"/>
    <col min="6914" max="6914" width="14.85546875" style="3" customWidth="1"/>
    <col min="6915" max="6915" width="13.28515625" style="3" customWidth="1"/>
    <col min="6916" max="6916" width="11.42578125" style="3"/>
    <col min="6917" max="6917" width="13.42578125" style="3" customWidth="1"/>
    <col min="6918" max="6918" width="12.7109375" style="3" customWidth="1"/>
    <col min="6919" max="6919" width="14" style="3" customWidth="1"/>
    <col min="6920" max="6920" width="7.42578125" style="3" customWidth="1"/>
    <col min="6921" max="7168" width="11.42578125" style="3"/>
    <col min="7169" max="7169" width="15.85546875" style="3" customWidth="1"/>
    <col min="7170" max="7170" width="14.85546875" style="3" customWidth="1"/>
    <col min="7171" max="7171" width="13.28515625" style="3" customWidth="1"/>
    <col min="7172" max="7172" width="11.42578125" style="3"/>
    <col min="7173" max="7173" width="13.42578125" style="3" customWidth="1"/>
    <col min="7174" max="7174" width="12.7109375" style="3" customWidth="1"/>
    <col min="7175" max="7175" width="14" style="3" customWidth="1"/>
    <col min="7176" max="7176" width="7.42578125" style="3" customWidth="1"/>
    <col min="7177" max="7424" width="11.42578125" style="3"/>
    <col min="7425" max="7425" width="15.85546875" style="3" customWidth="1"/>
    <col min="7426" max="7426" width="14.85546875" style="3" customWidth="1"/>
    <col min="7427" max="7427" width="13.28515625" style="3" customWidth="1"/>
    <col min="7428" max="7428" width="11.42578125" style="3"/>
    <col min="7429" max="7429" width="13.42578125" style="3" customWidth="1"/>
    <col min="7430" max="7430" width="12.7109375" style="3" customWidth="1"/>
    <col min="7431" max="7431" width="14" style="3" customWidth="1"/>
    <col min="7432" max="7432" width="7.42578125" style="3" customWidth="1"/>
    <col min="7433" max="7680" width="11.42578125" style="3"/>
    <col min="7681" max="7681" width="15.85546875" style="3" customWidth="1"/>
    <col min="7682" max="7682" width="14.85546875" style="3" customWidth="1"/>
    <col min="7683" max="7683" width="13.28515625" style="3" customWidth="1"/>
    <col min="7684" max="7684" width="11.42578125" style="3"/>
    <col min="7685" max="7685" width="13.42578125" style="3" customWidth="1"/>
    <col min="7686" max="7686" width="12.7109375" style="3" customWidth="1"/>
    <col min="7687" max="7687" width="14" style="3" customWidth="1"/>
    <col min="7688" max="7688" width="7.42578125" style="3" customWidth="1"/>
    <col min="7689" max="7936" width="11.42578125" style="3"/>
    <col min="7937" max="7937" width="15.85546875" style="3" customWidth="1"/>
    <col min="7938" max="7938" width="14.85546875" style="3" customWidth="1"/>
    <col min="7939" max="7939" width="13.28515625" style="3" customWidth="1"/>
    <col min="7940" max="7940" width="11.42578125" style="3"/>
    <col min="7941" max="7941" width="13.42578125" style="3" customWidth="1"/>
    <col min="7942" max="7942" width="12.7109375" style="3" customWidth="1"/>
    <col min="7943" max="7943" width="14" style="3" customWidth="1"/>
    <col min="7944" max="7944" width="7.42578125" style="3" customWidth="1"/>
    <col min="7945" max="8192" width="11.42578125" style="3"/>
    <col min="8193" max="8193" width="15.85546875" style="3" customWidth="1"/>
    <col min="8194" max="8194" width="14.85546875" style="3" customWidth="1"/>
    <col min="8195" max="8195" width="13.28515625" style="3" customWidth="1"/>
    <col min="8196" max="8196" width="11.42578125" style="3"/>
    <col min="8197" max="8197" width="13.42578125" style="3" customWidth="1"/>
    <col min="8198" max="8198" width="12.7109375" style="3" customWidth="1"/>
    <col min="8199" max="8199" width="14" style="3" customWidth="1"/>
    <col min="8200" max="8200" width="7.42578125" style="3" customWidth="1"/>
    <col min="8201" max="8448" width="11.42578125" style="3"/>
    <col min="8449" max="8449" width="15.85546875" style="3" customWidth="1"/>
    <col min="8450" max="8450" width="14.85546875" style="3" customWidth="1"/>
    <col min="8451" max="8451" width="13.28515625" style="3" customWidth="1"/>
    <col min="8452" max="8452" width="11.42578125" style="3"/>
    <col min="8453" max="8453" width="13.42578125" style="3" customWidth="1"/>
    <col min="8454" max="8454" width="12.7109375" style="3" customWidth="1"/>
    <col min="8455" max="8455" width="14" style="3" customWidth="1"/>
    <col min="8456" max="8456" width="7.42578125" style="3" customWidth="1"/>
    <col min="8457" max="8704" width="11.42578125" style="3"/>
    <col min="8705" max="8705" width="15.85546875" style="3" customWidth="1"/>
    <col min="8706" max="8706" width="14.85546875" style="3" customWidth="1"/>
    <col min="8707" max="8707" width="13.28515625" style="3" customWidth="1"/>
    <col min="8708" max="8708" width="11.42578125" style="3"/>
    <col min="8709" max="8709" width="13.42578125" style="3" customWidth="1"/>
    <col min="8710" max="8710" width="12.7109375" style="3" customWidth="1"/>
    <col min="8711" max="8711" width="14" style="3" customWidth="1"/>
    <col min="8712" max="8712" width="7.42578125" style="3" customWidth="1"/>
    <col min="8713" max="8960" width="11.42578125" style="3"/>
    <col min="8961" max="8961" width="15.85546875" style="3" customWidth="1"/>
    <col min="8962" max="8962" width="14.85546875" style="3" customWidth="1"/>
    <col min="8963" max="8963" width="13.28515625" style="3" customWidth="1"/>
    <col min="8964" max="8964" width="11.42578125" style="3"/>
    <col min="8965" max="8965" width="13.42578125" style="3" customWidth="1"/>
    <col min="8966" max="8966" width="12.7109375" style="3" customWidth="1"/>
    <col min="8967" max="8967" width="14" style="3" customWidth="1"/>
    <col min="8968" max="8968" width="7.42578125" style="3" customWidth="1"/>
    <col min="8969" max="9216" width="11.42578125" style="3"/>
    <col min="9217" max="9217" width="15.85546875" style="3" customWidth="1"/>
    <col min="9218" max="9218" width="14.85546875" style="3" customWidth="1"/>
    <col min="9219" max="9219" width="13.28515625" style="3" customWidth="1"/>
    <col min="9220" max="9220" width="11.42578125" style="3"/>
    <col min="9221" max="9221" width="13.42578125" style="3" customWidth="1"/>
    <col min="9222" max="9222" width="12.7109375" style="3" customWidth="1"/>
    <col min="9223" max="9223" width="14" style="3" customWidth="1"/>
    <col min="9224" max="9224" width="7.42578125" style="3" customWidth="1"/>
    <col min="9225" max="9472" width="11.42578125" style="3"/>
    <col min="9473" max="9473" width="15.85546875" style="3" customWidth="1"/>
    <col min="9474" max="9474" width="14.85546875" style="3" customWidth="1"/>
    <col min="9475" max="9475" width="13.28515625" style="3" customWidth="1"/>
    <col min="9476" max="9476" width="11.42578125" style="3"/>
    <col min="9477" max="9477" width="13.42578125" style="3" customWidth="1"/>
    <col min="9478" max="9478" width="12.7109375" style="3" customWidth="1"/>
    <col min="9479" max="9479" width="14" style="3" customWidth="1"/>
    <col min="9480" max="9480" width="7.42578125" style="3" customWidth="1"/>
    <col min="9481" max="9728" width="11.42578125" style="3"/>
    <col min="9729" max="9729" width="15.85546875" style="3" customWidth="1"/>
    <col min="9730" max="9730" width="14.85546875" style="3" customWidth="1"/>
    <col min="9731" max="9731" width="13.28515625" style="3" customWidth="1"/>
    <col min="9732" max="9732" width="11.42578125" style="3"/>
    <col min="9733" max="9733" width="13.42578125" style="3" customWidth="1"/>
    <col min="9734" max="9734" width="12.7109375" style="3" customWidth="1"/>
    <col min="9735" max="9735" width="14" style="3" customWidth="1"/>
    <col min="9736" max="9736" width="7.42578125" style="3" customWidth="1"/>
    <col min="9737" max="9984" width="11.42578125" style="3"/>
    <col min="9985" max="9985" width="15.85546875" style="3" customWidth="1"/>
    <col min="9986" max="9986" width="14.85546875" style="3" customWidth="1"/>
    <col min="9987" max="9987" width="13.28515625" style="3" customWidth="1"/>
    <col min="9988" max="9988" width="11.42578125" style="3"/>
    <col min="9989" max="9989" width="13.42578125" style="3" customWidth="1"/>
    <col min="9990" max="9990" width="12.7109375" style="3" customWidth="1"/>
    <col min="9991" max="9991" width="14" style="3" customWidth="1"/>
    <col min="9992" max="9992" width="7.42578125" style="3" customWidth="1"/>
    <col min="9993" max="10240" width="11.42578125" style="3"/>
    <col min="10241" max="10241" width="15.85546875" style="3" customWidth="1"/>
    <col min="10242" max="10242" width="14.85546875" style="3" customWidth="1"/>
    <col min="10243" max="10243" width="13.28515625" style="3" customWidth="1"/>
    <col min="10244" max="10244" width="11.42578125" style="3"/>
    <col min="10245" max="10245" width="13.42578125" style="3" customWidth="1"/>
    <col min="10246" max="10246" width="12.7109375" style="3" customWidth="1"/>
    <col min="10247" max="10247" width="14" style="3" customWidth="1"/>
    <col min="10248" max="10248" width="7.42578125" style="3" customWidth="1"/>
    <col min="10249" max="10496" width="11.42578125" style="3"/>
    <col min="10497" max="10497" width="15.85546875" style="3" customWidth="1"/>
    <col min="10498" max="10498" width="14.85546875" style="3" customWidth="1"/>
    <col min="10499" max="10499" width="13.28515625" style="3" customWidth="1"/>
    <col min="10500" max="10500" width="11.42578125" style="3"/>
    <col min="10501" max="10501" width="13.42578125" style="3" customWidth="1"/>
    <col min="10502" max="10502" width="12.7109375" style="3" customWidth="1"/>
    <col min="10503" max="10503" width="14" style="3" customWidth="1"/>
    <col min="10504" max="10504" width="7.42578125" style="3" customWidth="1"/>
    <col min="10505" max="10752" width="11.42578125" style="3"/>
    <col min="10753" max="10753" width="15.85546875" style="3" customWidth="1"/>
    <col min="10754" max="10754" width="14.85546875" style="3" customWidth="1"/>
    <col min="10755" max="10755" width="13.28515625" style="3" customWidth="1"/>
    <col min="10756" max="10756" width="11.42578125" style="3"/>
    <col min="10757" max="10757" width="13.42578125" style="3" customWidth="1"/>
    <col min="10758" max="10758" width="12.7109375" style="3" customWidth="1"/>
    <col min="10759" max="10759" width="14" style="3" customWidth="1"/>
    <col min="10760" max="10760" width="7.42578125" style="3" customWidth="1"/>
    <col min="10761" max="11008" width="11.42578125" style="3"/>
    <col min="11009" max="11009" width="15.85546875" style="3" customWidth="1"/>
    <col min="11010" max="11010" width="14.85546875" style="3" customWidth="1"/>
    <col min="11011" max="11011" width="13.28515625" style="3" customWidth="1"/>
    <col min="11012" max="11012" width="11.42578125" style="3"/>
    <col min="11013" max="11013" width="13.42578125" style="3" customWidth="1"/>
    <col min="11014" max="11014" width="12.7109375" style="3" customWidth="1"/>
    <col min="11015" max="11015" width="14" style="3" customWidth="1"/>
    <col min="11016" max="11016" width="7.42578125" style="3" customWidth="1"/>
    <col min="11017" max="11264" width="11.42578125" style="3"/>
    <col min="11265" max="11265" width="15.85546875" style="3" customWidth="1"/>
    <col min="11266" max="11266" width="14.85546875" style="3" customWidth="1"/>
    <col min="11267" max="11267" width="13.28515625" style="3" customWidth="1"/>
    <col min="11268" max="11268" width="11.42578125" style="3"/>
    <col min="11269" max="11269" width="13.42578125" style="3" customWidth="1"/>
    <col min="11270" max="11270" width="12.7109375" style="3" customWidth="1"/>
    <col min="11271" max="11271" width="14" style="3" customWidth="1"/>
    <col min="11272" max="11272" width="7.42578125" style="3" customWidth="1"/>
    <col min="11273" max="11520" width="11.42578125" style="3"/>
    <col min="11521" max="11521" width="15.85546875" style="3" customWidth="1"/>
    <col min="11522" max="11522" width="14.85546875" style="3" customWidth="1"/>
    <col min="11523" max="11523" width="13.28515625" style="3" customWidth="1"/>
    <col min="11524" max="11524" width="11.42578125" style="3"/>
    <col min="11525" max="11525" width="13.42578125" style="3" customWidth="1"/>
    <col min="11526" max="11526" width="12.7109375" style="3" customWidth="1"/>
    <col min="11527" max="11527" width="14" style="3" customWidth="1"/>
    <col min="11528" max="11528" width="7.42578125" style="3" customWidth="1"/>
    <col min="11529" max="11776" width="11.42578125" style="3"/>
    <col min="11777" max="11777" width="15.85546875" style="3" customWidth="1"/>
    <col min="11778" max="11778" width="14.85546875" style="3" customWidth="1"/>
    <col min="11779" max="11779" width="13.28515625" style="3" customWidth="1"/>
    <col min="11780" max="11780" width="11.42578125" style="3"/>
    <col min="11781" max="11781" width="13.42578125" style="3" customWidth="1"/>
    <col min="11782" max="11782" width="12.7109375" style="3" customWidth="1"/>
    <col min="11783" max="11783" width="14" style="3" customWidth="1"/>
    <col min="11784" max="11784" width="7.42578125" style="3" customWidth="1"/>
    <col min="11785" max="12032" width="11.42578125" style="3"/>
    <col min="12033" max="12033" width="15.85546875" style="3" customWidth="1"/>
    <col min="12034" max="12034" width="14.85546875" style="3" customWidth="1"/>
    <col min="12035" max="12035" width="13.28515625" style="3" customWidth="1"/>
    <col min="12036" max="12036" width="11.42578125" style="3"/>
    <col min="12037" max="12037" width="13.42578125" style="3" customWidth="1"/>
    <col min="12038" max="12038" width="12.7109375" style="3" customWidth="1"/>
    <col min="12039" max="12039" width="14" style="3" customWidth="1"/>
    <col min="12040" max="12040" width="7.42578125" style="3" customWidth="1"/>
    <col min="12041" max="12288" width="11.42578125" style="3"/>
    <col min="12289" max="12289" width="15.85546875" style="3" customWidth="1"/>
    <col min="12290" max="12290" width="14.85546875" style="3" customWidth="1"/>
    <col min="12291" max="12291" width="13.28515625" style="3" customWidth="1"/>
    <col min="12292" max="12292" width="11.42578125" style="3"/>
    <col min="12293" max="12293" width="13.42578125" style="3" customWidth="1"/>
    <col min="12294" max="12294" width="12.7109375" style="3" customWidth="1"/>
    <col min="12295" max="12295" width="14" style="3" customWidth="1"/>
    <col min="12296" max="12296" width="7.42578125" style="3" customWidth="1"/>
    <col min="12297" max="12544" width="11.42578125" style="3"/>
    <col min="12545" max="12545" width="15.85546875" style="3" customWidth="1"/>
    <col min="12546" max="12546" width="14.85546875" style="3" customWidth="1"/>
    <col min="12547" max="12547" width="13.28515625" style="3" customWidth="1"/>
    <col min="12548" max="12548" width="11.42578125" style="3"/>
    <col min="12549" max="12549" width="13.42578125" style="3" customWidth="1"/>
    <col min="12550" max="12550" width="12.7109375" style="3" customWidth="1"/>
    <col min="12551" max="12551" width="14" style="3" customWidth="1"/>
    <col min="12552" max="12552" width="7.42578125" style="3" customWidth="1"/>
    <col min="12553" max="12800" width="11.42578125" style="3"/>
    <col min="12801" max="12801" width="15.85546875" style="3" customWidth="1"/>
    <col min="12802" max="12802" width="14.85546875" style="3" customWidth="1"/>
    <col min="12803" max="12803" width="13.28515625" style="3" customWidth="1"/>
    <col min="12804" max="12804" width="11.42578125" style="3"/>
    <col min="12805" max="12805" width="13.42578125" style="3" customWidth="1"/>
    <col min="12806" max="12806" width="12.7109375" style="3" customWidth="1"/>
    <col min="12807" max="12807" width="14" style="3" customWidth="1"/>
    <col min="12808" max="12808" width="7.42578125" style="3" customWidth="1"/>
    <col min="12809" max="13056" width="11.42578125" style="3"/>
    <col min="13057" max="13057" width="15.85546875" style="3" customWidth="1"/>
    <col min="13058" max="13058" width="14.85546875" style="3" customWidth="1"/>
    <col min="13059" max="13059" width="13.28515625" style="3" customWidth="1"/>
    <col min="13060" max="13060" width="11.42578125" style="3"/>
    <col min="13061" max="13061" width="13.42578125" style="3" customWidth="1"/>
    <col min="13062" max="13062" width="12.7109375" style="3" customWidth="1"/>
    <col min="13063" max="13063" width="14" style="3" customWidth="1"/>
    <col min="13064" max="13064" width="7.42578125" style="3" customWidth="1"/>
    <col min="13065" max="13312" width="11.42578125" style="3"/>
    <col min="13313" max="13313" width="15.85546875" style="3" customWidth="1"/>
    <col min="13314" max="13314" width="14.85546875" style="3" customWidth="1"/>
    <col min="13315" max="13315" width="13.28515625" style="3" customWidth="1"/>
    <col min="13316" max="13316" width="11.42578125" style="3"/>
    <col min="13317" max="13317" width="13.42578125" style="3" customWidth="1"/>
    <col min="13318" max="13318" width="12.7109375" style="3" customWidth="1"/>
    <col min="13319" max="13319" width="14" style="3" customWidth="1"/>
    <col min="13320" max="13320" width="7.42578125" style="3" customWidth="1"/>
    <col min="13321" max="13568" width="11.42578125" style="3"/>
    <col min="13569" max="13569" width="15.85546875" style="3" customWidth="1"/>
    <col min="13570" max="13570" width="14.85546875" style="3" customWidth="1"/>
    <col min="13571" max="13571" width="13.28515625" style="3" customWidth="1"/>
    <col min="13572" max="13572" width="11.42578125" style="3"/>
    <col min="13573" max="13573" width="13.42578125" style="3" customWidth="1"/>
    <col min="13574" max="13574" width="12.7109375" style="3" customWidth="1"/>
    <col min="13575" max="13575" width="14" style="3" customWidth="1"/>
    <col min="13576" max="13576" width="7.42578125" style="3" customWidth="1"/>
    <col min="13577" max="13824" width="11.42578125" style="3"/>
    <col min="13825" max="13825" width="15.85546875" style="3" customWidth="1"/>
    <col min="13826" max="13826" width="14.85546875" style="3" customWidth="1"/>
    <col min="13827" max="13827" width="13.28515625" style="3" customWidth="1"/>
    <col min="13828" max="13828" width="11.42578125" style="3"/>
    <col min="13829" max="13829" width="13.42578125" style="3" customWidth="1"/>
    <col min="13830" max="13830" width="12.7109375" style="3" customWidth="1"/>
    <col min="13831" max="13831" width="14" style="3" customWidth="1"/>
    <col min="13832" max="13832" width="7.42578125" style="3" customWidth="1"/>
    <col min="13833" max="14080" width="11.42578125" style="3"/>
    <col min="14081" max="14081" width="15.85546875" style="3" customWidth="1"/>
    <col min="14082" max="14082" width="14.85546875" style="3" customWidth="1"/>
    <col min="14083" max="14083" width="13.28515625" style="3" customWidth="1"/>
    <col min="14084" max="14084" width="11.42578125" style="3"/>
    <col min="14085" max="14085" width="13.42578125" style="3" customWidth="1"/>
    <col min="14086" max="14086" width="12.7109375" style="3" customWidth="1"/>
    <col min="14087" max="14087" width="14" style="3" customWidth="1"/>
    <col min="14088" max="14088" width="7.42578125" style="3" customWidth="1"/>
    <col min="14089" max="14336" width="11.42578125" style="3"/>
    <col min="14337" max="14337" width="15.85546875" style="3" customWidth="1"/>
    <col min="14338" max="14338" width="14.85546875" style="3" customWidth="1"/>
    <col min="14339" max="14339" width="13.28515625" style="3" customWidth="1"/>
    <col min="14340" max="14340" width="11.42578125" style="3"/>
    <col min="14341" max="14341" width="13.42578125" style="3" customWidth="1"/>
    <col min="14342" max="14342" width="12.7109375" style="3" customWidth="1"/>
    <col min="14343" max="14343" width="14" style="3" customWidth="1"/>
    <col min="14344" max="14344" width="7.42578125" style="3" customWidth="1"/>
    <col min="14345" max="14592" width="11.42578125" style="3"/>
    <col min="14593" max="14593" width="15.85546875" style="3" customWidth="1"/>
    <col min="14594" max="14594" width="14.85546875" style="3" customWidth="1"/>
    <col min="14595" max="14595" width="13.28515625" style="3" customWidth="1"/>
    <col min="14596" max="14596" width="11.42578125" style="3"/>
    <col min="14597" max="14597" width="13.42578125" style="3" customWidth="1"/>
    <col min="14598" max="14598" width="12.7109375" style="3" customWidth="1"/>
    <col min="14599" max="14599" width="14" style="3" customWidth="1"/>
    <col min="14600" max="14600" width="7.42578125" style="3" customWidth="1"/>
    <col min="14601" max="14848" width="11.42578125" style="3"/>
    <col min="14849" max="14849" width="15.85546875" style="3" customWidth="1"/>
    <col min="14850" max="14850" width="14.85546875" style="3" customWidth="1"/>
    <col min="14851" max="14851" width="13.28515625" style="3" customWidth="1"/>
    <col min="14852" max="14852" width="11.42578125" style="3"/>
    <col min="14853" max="14853" width="13.42578125" style="3" customWidth="1"/>
    <col min="14854" max="14854" width="12.7109375" style="3" customWidth="1"/>
    <col min="14855" max="14855" width="14" style="3" customWidth="1"/>
    <col min="14856" max="14856" width="7.42578125" style="3" customWidth="1"/>
    <col min="14857" max="15104" width="11.42578125" style="3"/>
    <col min="15105" max="15105" width="15.85546875" style="3" customWidth="1"/>
    <col min="15106" max="15106" width="14.85546875" style="3" customWidth="1"/>
    <col min="15107" max="15107" width="13.28515625" style="3" customWidth="1"/>
    <col min="15108" max="15108" width="11.42578125" style="3"/>
    <col min="15109" max="15109" width="13.42578125" style="3" customWidth="1"/>
    <col min="15110" max="15110" width="12.7109375" style="3" customWidth="1"/>
    <col min="15111" max="15111" width="14" style="3" customWidth="1"/>
    <col min="15112" max="15112" width="7.42578125" style="3" customWidth="1"/>
    <col min="15113" max="15360" width="11.42578125" style="3"/>
    <col min="15361" max="15361" width="15.85546875" style="3" customWidth="1"/>
    <col min="15362" max="15362" width="14.85546875" style="3" customWidth="1"/>
    <col min="15363" max="15363" width="13.28515625" style="3" customWidth="1"/>
    <col min="15364" max="15364" width="11.42578125" style="3"/>
    <col min="15365" max="15365" width="13.42578125" style="3" customWidth="1"/>
    <col min="15366" max="15366" width="12.7109375" style="3" customWidth="1"/>
    <col min="15367" max="15367" width="14" style="3" customWidth="1"/>
    <col min="15368" max="15368" width="7.42578125" style="3" customWidth="1"/>
    <col min="15369" max="15616" width="11.42578125" style="3"/>
    <col min="15617" max="15617" width="15.85546875" style="3" customWidth="1"/>
    <col min="15618" max="15618" width="14.85546875" style="3" customWidth="1"/>
    <col min="15619" max="15619" width="13.28515625" style="3" customWidth="1"/>
    <col min="15620" max="15620" width="11.42578125" style="3"/>
    <col min="15621" max="15621" width="13.42578125" style="3" customWidth="1"/>
    <col min="15622" max="15622" width="12.7109375" style="3" customWidth="1"/>
    <col min="15623" max="15623" width="14" style="3" customWidth="1"/>
    <col min="15624" max="15624" width="7.42578125" style="3" customWidth="1"/>
    <col min="15625" max="15872" width="11.42578125" style="3"/>
    <col min="15873" max="15873" width="15.85546875" style="3" customWidth="1"/>
    <col min="15874" max="15874" width="14.85546875" style="3" customWidth="1"/>
    <col min="15875" max="15875" width="13.28515625" style="3" customWidth="1"/>
    <col min="15876" max="15876" width="11.42578125" style="3"/>
    <col min="15877" max="15877" width="13.42578125" style="3" customWidth="1"/>
    <col min="15878" max="15878" width="12.7109375" style="3" customWidth="1"/>
    <col min="15879" max="15879" width="14" style="3" customWidth="1"/>
    <col min="15880" max="15880" width="7.42578125" style="3" customWidth="1"/>
    <col min="15881" max="16128" width="11.42578125" style="3"/>
    <col min="16129" max="16129" width="15.85546875" style="3" customWidth="1"/>
    <col min="16130" max="16130" width="14.85546875" style="3" customWidth="1"/>
    <col min="16131" max="16131" width="13.28515625" style="3" customWidth="1"/>
    <col min="16132" max="16132" width="11.42578125" style="3"/>
    <col min="16133" max="16133" width="13.42578125" style="3" customWidth="1"/>
    <col min="16134" max="16134" width="12.7109375" style="3" customWidth="1"/>
    <col min="16135" max="16135" width="14" style="3" customWidth="1"/>
    <col min="16136" max="16136" width="7.42578125" style="3" customWidth="1"/>
    <col min="16137" max="16384" width="11.42578125" style="3"/>
  </cols>
  <sheetData>
    <row r="1" spans="1:21" ht="48" customHeight="1">
      <c r="A1" s="1346" t="str">
        <f>PPTO!D3</f>
        <v>PRESUPUESTO
MUNICIPIO EL BAGRE (ANTIOQUIA).</v>
      </c>
      <c r="B1" s="1347"/>
      <c r="C1" s="1347"/>
      <c r="D1" s="1347"/>
      <c r="E1" s="1347"/>
      <c r="F1" s="1347"/>
      <c r="G1" s="1348"/>
      <c r="H1" s="1"/>
      <c r="I1" s="2"/>
    </row>
    <row r="2" spans="1:21" ht="18" customHeight="1">
      <c r="A2" s="1362" t="s">
        <v>16</v>
      </c>
      <c r="B2" s="1363"/>
      <c r="C2" s="1363"/>
      <c r="D2" s="1363"/>
      <c r="E2" s="1363"/>
      <c r="F2" s="1363"/>
      <c r="G2" s="1364"/>
      <c r="H2" s="1"/>
      <c r="I2" s="2"/>
    </row>
    <row r="3" spans="1:21" ht="27" customHeight="1">
      <c r="A3" s="1367" t="str">
        <f>+PPTO!$D$5</f>
        <v>PROYECTO DE MEJORAMIENTO VIAL, ESPACIO PUBLICO Y OBRAS COMPLEMENTARIAS DE LA AVENIDA LA JUVENTUD Y TRAMOS ADYACENTES Y PRIORITARIOS DEL SECTOR URBANO EN EL MUNICIPIO EL BAGRE ANTIOQUIA.</v>
      </c>
      <c r="B3" s="1368"/>
      <c r="C3" s="1368"/>
      <c r="D3" s="1368"/>
      <c r="E3" s="1368"/>
      <c r="F3" s="1368"/>
      <c r="G3" s="1369"/>
      <c r="H3" s="1"/>
      <c r="I3" s="2"/>
    </row>
    <row r="4" spans="1:21" ht="30" customHeight="1">
      <c r="A4" s="1370"/>
      <c r="B4" s="1368"/>
      <c r="C4" s="1368"/>
      <c r="D4" s="1368"/>
      <c r="E4" s="1368"/>
      <c r="F4" s="1368"/>
      <c r="G4" s="1369"/>
      <c r="H4" s="1"/>
      <c r="I4" s="2"/>
    </row>
    <row r="5" spans="1:21" ht="6.75" customHeight="1">
      <c r="A5" s="222"/>
      <c r="B5" s="6"/>
      <c r="C5" s="24"/>
      <c r="D5" s="25"/>
      <c r="E5" s="6"/>
      <c r="F5" s="6"/>
      <c r="G5" s="223"/>
      <c r="H5" s="9"/>
    </row>
    <row r="6" spans="1:21" ht="52.5" customHeight="1">
      <c r="A6" s="368">
        <v>6.33</v>
      </c>
      <c r="B6" s="1349" t="str">
        <f>VLOOKUP(A6,PPTO!D9:I136,2,FALSE)</f>
        <v>Suministro e instalación Codo HD 6" X 22.5° J.H. ó Similar</v>
      </c>
      <c r="C6" s="1350"/>
      <c r="D6" s="1350"/>
      <c r="E6" s="1351"/>
      <c r="F6" s="192" t="s">
        <v>118</v>
      </c>
      <c r="G6" s="248" t="str">
        <f>VLOOKUP(A6,PPTO!D9:I136,3,FALSE)</f>
        <v>und</v>
      </c>
      <c r="H6" s="9"/>
    </row>
    <row r="7" spans="1:21" ht="3.75" customHeight="1">
      <c r="A7" s="226"/>
      <c r="B7" s="4"/>
      <c r="C7" s="6"/>
      <c r="D7" s="4"/>
      <c r="E7" s="4"/>
      <c r="F7" s="4"/>
      <c r="G7" s="227"/>
      <c r="H7" s="9"/>
    </row>
    <row r="8" spans="1:21" ht="22.5" customHeight="1">
      <c r="A8" s="1354" t="s">
        <v>69</v>
      </c>
      <c r="B8" s="1355"/>
      <c r="C8" s="1355"/>
      <c r="D8" s="1355"/>
      <c r="E8" s="1355"/>
      <c r="F8" s="1355"/>
      <c r="G8" s="1356"/>
      <c r="H8" s="9"/>
    </row>
    <row r="9" spans="1:21" ht="4.5" customHeight="1">
      <c r="A9" s="226"/>
      <c r="B9" s="4"/>
      <c r="C9" s="6"/>
      <c r="D9" s="4"/>
      <c r="E9" s="4"/>
      <c r="F9" s="4"/>
      <c r="G9" s="227"/>
      <c r="H9" s="9"/>
      <c r="I9" s="5"/>
      <c r="J9" s="5"/>
      <c r="K9" s="5"/>
      <c r="L9" s="26"/>
      <c r="M9" s="5"/>
      <c r="N9" s="5"/>
      <c r="O9" s="5"/>
      <c r="P9" s="5"/>
    </row>
    <row r="10" spans="1:21">
      <c r="A10" s="1373" t="s">
        <v>17</v>
      </c>
      <c r="B10" s="1374"/>
      <c r="C10" s="1374"/>
      <c r="D10" s="353" t="s">
        <v>18</v>
      </c>
      <c r="E10" s="353" t="s">
        <v>19</v>
      </c>
      <c r="F10" s="353" t="s">
        <v>20</v>
      </c>
      <c r="G10" s="228" t="s">
        <v>21</v>
      </c>
      <c r="H10" s="27"/>
      <c r="I10" s="28"/>
      <c r="J10" s="29"/>
      <c r="K10" s="30"/>
      <c r="L10" s="30"/>
      <c r="M10" s="30"/>
      <c r="N10" s="30"/>
      <c r="O10" s="30"/>
      <c r="P10" s="5"/>
    </row>
    <row r="11" spans="1:21">
      <c r="A11" s="1352" t="s">
        <v>47</v>
      </c>
      <c r="B11" s="1353"/>
      <c r="C11" s="1353"/>
      <c r="D11" s="353"/>
      <c r="E11" s="83"/>
      <c r="F11" s="97"/>
      <c r="G11" s="229">
        <f>+G39*10%</f>
        <v>5090</v>
      </c>
      <c r="H11" s="9"/>
      <c r="I11" s="30"/>
      <c r="J11" s="31"/>
      <c r="K11" s="30"/>
      <c r="L11" s="30"/>
      <c r="M11" s="30"/>
      <c r="N11" s="30"/>
      <c r="O11" s="30"/>
      <c r="P11" s="5"/>
    </row>
    <row r="12" spans="1:21">
      <c r="A12" s="1371"/>
      <c r="B12" s="1372"/>
      <c r="C12" s="1372"/>
      <c r="D12" s="83"/>
      <c r="E12" s="83"/>
      <c r="F12" s="93"/>
      <c r="G12" s="229"/>
      <c r="H12" s="9"/>
      <c r="I12" s="16"/>
      <c r="J12" s="13"/>
      <c r="K12" s="8"/>
      <c r="L12" s="8"/>
      <c r="M12" s="8"/>
      <c r="N12" s="8"/>
      <c r="O12" s="8"/>
      <c r="P12" s="5"/>
    </row>
    <row r="13" spans="1:21">
      <c r="A13" s="1371"/>
      <c r="B13" s="1372"/>
      <c r="C13" s="1372"/>
      <c r="D13" s="83"/>
      <c r="E13" s="83"/>
      <c r="F13" s="93"/>
      <c r="G13" s="229"/>
      <c r="H13" s="9"/>
      <c r="I13" s="13"/>
      <c r="J13" s="13"/>
      <c r="K13" s="13"/>
      <c r="L13" s="13"/>
      <c r="M13" s="13"/>
      <c r="N13" s="13"/>
      <c r="O13" s="13"/>
      <c r="P13" s="5"/>
    </row>
    <row r="14" spans="1:21">
      <c r="A14" s="1371"/>
      <c r="B14" s="1372"/>
      <c r="C14" s="1372"/>
      <c r="D14" s="83"/>
      <c r="E14" s="83"/>
      <c r="F14" s="93"/>
      <c r="G14" s="229"/>
      <c r="H14" s="9"/>
      <c r="I14" s="8"/>
      <c r="J14" s="14"/>
      <c r="K14" s="32"/>
      <c r="L14" s="14"/>
      <c r="M14" s="15"/>
      <c r="N14" s="15"/>
      <c r="O14" s="19"/>
      <c r="P14" s="5"/>
    </row>
    <row r="15" spans="1:21">
      <c r="A15" s="1371"/>
      <c r="B15" s="1372"/>
      <c r="C15" s="1372"/>
      <c r="D15" s="83"/>
      <c r="E15" s="83"/>
      <c r="F15" s="98"/>
      <c r="G15" s="229"/>
      <c r="H15" s="9"/>
      <c r="I15" s="8"/>
      <c r="J15" s="33"/>
      <c r="K15" s="32"/>
      <c r="L15" s="14"/>
      <c r="M15" s="15"/>
      <c r="N15" s="15"/>
      <c r="O15" s="19"/>
      <c r="P15" s="5"/>
      <c r="Q15" s="5"/>
      <c r="R15" s="5"/>
      <c r="S15" s="5"/>
      <c r="T15" s="5"/>
      <c r="U15" s="5"/>
    </row>
    <row r="16" spans="1:21">
      <c r="A16" s="1371"/>
      <c r="B16" s="1372"/>
      <c r="C16" s="1372"/>
      <c r="D16" s="85" t="s">
        <v>37</v>
      </c>
      <c r="E16" s="50"/>
      <c r="F16" s="49"/>
      <c r="G16" s="230">
        <f>SUM(G11:G15)</f>
        <v>5090</v>
      </c>
      <c r="H16" s="9"/>
      <c r="I16" s="34"/>
      <c r="J16" s="34"/>
      <c r="K16" s="35"/>
      <c r="L16" s="36"/>
      <c r="M16" s="7"/>
      <c r="N16" s="7"/>
      <c r="O16" s="19"/>
      <c r="P16" s="5"/>
      <c r="Q16" s="5"/>
      <c r="R16" s="5"/>
      <c r="S16" s="5"/>
      <c r="T16" s="5"/>
      <c r="U16" s="5"/>
    </row>
    <row r="17" spans="1:21" ht="4.5" customHeight="1">
      <c r="A17" s="226"/>
      <c r="B17" s="4"/>
      <c r="C17" s="6"/>
      <c r="D17" s="4"/>
      <c r="E17" s="4"/>
      <c r="F17" s="4"/>
      <c r="G17" s="227"/>
      <c r="H17" s="9"/>
      <c r="I17" s="34"/>
      <c r="J17" s="34"/>
      <c r="K17" s="35"/>
      <c r="L17" s="36"/>
      <c r="M17" s="7"/>
      <c r="N17" s="7"/>
      <c r="O17" s="19"/>
      <c r="P17" s="5"/>
      <c r="Q17" s="5"/>
      <c r="R17" s="5"/>
      <c r="S17" s="5"/>
      <c r="T17" s="5"/>
      <c r="U17" s="5"/>
    </row>
    <row r="18" spans="1:21" ht="22.5" customHeight="1">
      <c r="A18" s="1354" t="s">
        <v>70</v>
      </c>
      <c r="B18" s="1355"/>
      <c r="C18" s="1355"/>
      <c r="D18" s="1355"/>
      <c r="E18" s="1355"/>
      <c r="F18" s="1355"/>
      <c r="G18" s="1356"/>
      <c r="H18" s="9"/>
    </row>
    <row r="19" spans="1:21" ht="4.5" customHeight="1">
      <c r="A19" s="226"/>
      <c r="B19" s="4"/>
      <c r="C19" s="6"/>
      <c r="D19" s="4"/>
      <c r="E19" s="4"/>
      <c r="F19" s="38"/>
      <c r="G19" s="227"/>
      <c r="H19" s="9"/>
      <c r="I19" s="34"/>
      <c r="J19" s="34"/>
      <c r="K19" s="35"/>
      <c r="L19" s="39"/>
      <c r="M19" s="7"/>
      <c r="N19" s="7"/>
      <c r="O19" s="8"/>
      <c r="P19" s="5"/>
      <c r="Q19" s="5"/>
      <c r="R19" s="5"/>
      <c r="S19" s="5"/>
      <c r="T19" s="5"/>
      <c r="U19" s="5"/>
    </row>
    <row r="20" spans="1:21">
      <c r="A20" s="1373" t="s">
        <v>17</v>
      </c>
      <c r="B20" s="1374"/>
      <c r="C20" s="1374"/>
      <c r="D20" s="353" t="s">
        <v>3</v>
      </c>
      <c r="E20" s="353" t="s">
        <v>4</v>
      </c>
      <c r="F20" s="353" t="s">
        <v>25</v>
      </c>
      <c r="G20" s="228" t="s">
        <v>21</v>
      </c>
      <c r="H20" s="27"/>
      <c r="I20" s="34"/>
      <c r="J20" s="34"/>
      <c r="K20" s="35"/>
      <c r="L20" s="39"/>
      <c r="M20" s="7"/>
      <c r="N20" s="7"/>
      <c r="O20" s="8"/>
      <c r="P20" s="5"/>
      <c r="Q20" s="5"/>
      <c r="R20" s="5"/>
      <c r="S20" s="5"/>
      <c r="T20" s="5"/>
      <c r="U20" s="5"/>
    </row>
    <row r="21" spans="1:21" ht="31.5" customHeight="1">
      <c r="A21" s="1441" t="str">
        <f>MID(I21,25,50)</f>
        <v xml:space="preserve"> Codo HD 6" X 22.5° J.H. ó Similar</v>
      </c>
      <c r="B21" s="1442"/>
      <c r="C21" s="1443"/>
      <c r="D21" s="118" t="s">
        <v>119</v>
      </c>
      <c r="E21" s="119">
        <v>1</v>
      </c>
      <c r="F21" s="87">
        <v>623000</v>
      </c>
      <c r="G21" s="231">
        <f>ROUND(F21*E21,0)</f>
        <v>623000</v>
      </c>
      <c r="H21" s="9"/>
      <c r="I21" s="34" t="str">
        <f>B6</f>
        <v>Suministro e instalación Codo HD 6" X 22.5° J.H. ó Similar</v>
      </c>
      <c r="J21" s="34"/>
      <c r="K21" s="35"/>
      <c r="L21" s="36"/>
      <c r="M21" s="7"/>
      <c r="N21" s="7"/>
      <c r="O21" s="19"/>
      <c r="P21" s="5"/>
      <c r="Q21" s="5"/>
      <c r="R21" s="5"/>
      <c r="S21" s="5"/>
      <c r="T21" s="5"/>
      <c r="U21" s="5"/>
    </row>
    <row r="22" spans="1:21" ht="27.75" customHeight="1">
      <c r="A22" s="1444"/>
      <c r="B22" s="1403"/>
      <c r="C22" s="1404"/>
      <c r="D22" s="116"/>
      <c r="E22" s="117"/>
      <c r="F22" s="91"/>
      <c r="G22" s="231"/>
      <c r="H22" s="9"/>
      <c r="I22" s="10"/>
      <c r="J22" s="10"/>
      <c r="K22" s="12"/>
      <c r="L22" s="39"/>
      <c r="M22" s="7"/>
      <c r="N22" s="7"/>
      <c r="O22" s="15"/>
      <c r="P22" s="5"/>
      <c r="Q22" s="5"/>
      <c r="R22" s="5"/>
      <c r="S22" s="5"/>
      <c r="T22" s="5"/>
      <c r="U22" s="5"/>
    </row>
    <row r="23" spans="1:21">
      <c r="A23" s="1386"/>
      <c r="B23" s="1353"/>
      <c r="C23" s="1353"/>
      <c r="D23" s="79"/>
      <c r="E23" s="82"/>
      <c r="F23" s="83"/>
      <c r="G23" s="67"/>
      <c r="H23" s="9"/>
      <c r="I23" s="10"/>
      <c r="J23" s="10"/>
      <c r="K23" s="12"/>
      <c r="L23" s="39"/>
      <c r="M23" s="7"/>
      <c r="N23" s="7"/>
      <c r="O23" s="15"/>
      <c r="P23" s="5"/>
      <c r="Q23" s="5"/>
      <c r="R23" s="5"/>
      <c r="S23" s="5"/>
      <c r="T23" s="5"/>
      <c r="U23" s="5"/>
    </row>
    <row r="24" spans="1:21">
      <c r="A24" s="1352"/>
      <c r="B24" s="1353"/>
      <c r="C24" s="1353"/>
      <c r="D24" s="81"/>
      <c r="E24" s="88"/>
      <c r="F24" s="78"/>
      <c r="G24" s="231"/>
      <c r="H24" s="9"/>
      <c r="I24" s="10"/>
      <c r="J24" s="40"/>
      <c r="K24" s="12"/>
      <c r="L24" s="13"/>
      <c r="M24" s="14"/>
      <c r="N24" s="14"/>
      <c r="O24" s="15"/>
      <c r="P24" s="5"/>
      <c r="Q24" s="5"/>
      <c r="R24" s="5"/>
      <c r="S24" s="5"/>
      <c r="T24" s="5"/>
      <c r="U24" s="5"/>
    </row>
    <row r="25" spans="1:21">
      <c r="A25" s="1352"/>
      <c r="B25" s="1353"/>
      <c r="C25" s="1353"/>
      <c r="D25" s="81"/>
      <c r="E25" s="82"/>
      <c r="F25" s="78"/>
      <c r="G25" s="231"/>
      <c r="H25" s="9"/>
      <c r="I25" s="10"/>
      <c r="J25" s="11"/>
      <c r="K25" s="12"/>
      <c r="L25" s="13"/>
      <c r="M25" s="14"/>
      <c r="N25" s="14"/>
      <c r="O25" s="15"/>
      <c r="P25" s="5"/>
      <c r="Q25" s="5"/>
      <c r="R25" s="5"/>
      <c r="S25" s="5"/>
      <c r="T25" s="5"/>
      <c r="U25" s="5"/>
    </row>
    <row r="26" spans="1:21">
      <c r="A26" s="1352"/>
      <c r="B26" s="1353"/>
      <c r="C26" s="1353"/>
      <c r="D26" s="79"/>
      <c r="E26" s="82"/>
      <c r="F26" s="78"/>
      <c r="G26" s="231"/>
      <c r="H26" s="9"/>
      <c r="I26" s="10"/>
      <c r="J26" s="11"/>
      <c r="K26" s="12"/>
      <c r="L26" s="13"/>
      <c r="M26" s="14"/>
      <c r="N26" s="14"/>
      <c r="O26" s="15"/>
      <c r="P26" s="5"/>
      <c r="Q26" s="5"/>
      <c r="R26" s="5"/>
      <c r="S26" s="5"/>
      <c r="T26" s="5"/>
      <c r="U26" s="5"/>
    </row>
    <row r="27" spans="1:21">
      <c r="A27" s="1352"/>
      <c r="B27" s="1353"/>
      <c r="C27" s="1353"/>
      <c r="D27" s="79"/>
      <c r="E27" s="82"/>
      <c r="F27" s="78"/>
      <c r="G27" s="231"/>
      <c r="H27" s="9"/>
      <c r="I27" s="10"/>
      <c r="J27" s="11"/>
      <c r="K27" s="12"/>
      <c r="L27" s="13"/>
      <c r="M27" s="14"/>
      <c r="N27" s="14"/>
      <c r="O27" s="15"/>
      <c r="P27" s="5"/>
      <c r="Q27" s="5"/>
      <c r="R27" s="5"/>
      <c r="S27" s="5"/>
      <c r="T27" s="5"/>
      <c r="U27" s="5"/>
    </row>
    <row r="28" spans="1:21">
      <c r="A28" s="1352"/>
      <c r="B28" s="1353"/>
      <c r="C28" s="1353"/>
      <c r="D28" s="79"/>
      <c r="E28" s="82"/>
      <c r="F28" s="83"/>
      <c r="G28" s="231"/>
      <c r="H28" s="9"/>
      <c r="I28" s="41"/>
      <c r="J28" s="41"/>
      <c r="K28" s="12"/>
      <c r="L28" s="13"/>
      <c r="M28" s="14"/>
      <c r="N28" s="14"/>
      <c r="O28" s="15"/>
      <c r="P28" s="5"/>
      <c r="Q28" s="5"/>
      <c r="R28" s="5"/>
      <c r="S28" s="5"/>
      <c r="T28" s="5"/>
      <c r="U28" s="5"/>
    </row>
    <row r="29" spans="1:21">
      <c r="A29" s="1352"/>
      <c r="B29" s="1353"/>
      <c r="C29" s="1353"/>
      <c r="D29" s="84"/>
      <c r="E29" s="84"/>
      <c r="F29" s="83"/>
      <c r="G29" s="231"/>
      <c r="H29" s="9"/>
      <c r="I29" s="42"/>
      <c r="J29" s="42"/>
      <c r="K29" s="42"/>
      <c r="L29" s="13"/>
      <c r="M29" s="14"/>
      <c r="N29" s="14"/>
      <c r="O29" s="15"/>
      <c r="P29" s="5"/>
      <c r="Q29" s="5"/>
      <c r="R29" s="5"/>
      <c r="S29" s="5"/>
      <c r="T29" s="5"/>
      <c r="U29" s="5"/>
    </row>
    <row r="30" spans="1:21">
      <c r="A30" s="1352"/>
      <c r="B30" s="1353"/>
      <c r="C30" s="1353"/>
      <c r="D30" s="85" t="s">
        <v>28</v>
      </c>
      <c r="E30" s="50"/>
      <c r="F30" s="49"/>
      <c r="G30" s="230">
        <f>SUM(G21:G29)</f>
        <v>623000</v>
      </c>
      <c r="H30" s="9"/>
      <c r="I30" s="8"/>
      <c r="J30" s="13"/>
      <c r="K30" s="8"/>
      <c r="L30" s="13"/>
      <c r="M30" s="14"/>
      <c r="N30" s="14"/>
      <c r="O30" s="15"/>
      <c r="P30" s="5"/>
    </row>
    <row r="31" spans="1:21" ht="3.75" customHeight="1">
      <c r="A31" s="226"/>
      <c r="B31" s="4"/>
      <c r="C31" s="6"/>
      <c r="D31" s="4"/>
      <c r="E31" s="4"/>
      <c r="F31" s="4"/>
      <c r="G31" s="227"/>
      <c r="H31" s="9"/>
      <c r="I31" s="8"/>
      <c r="J31" s="13"/>
      <c r="K31" s="18"/>
      <c r="L31" s="13"/>
      <c r="M31" s="33"/>
      <c r="N31" s="33"/>
      <c r="O31" s="15"/>
      <c r="P31" s="5"/>
    </row>
    <row r="32" spans="1:21" ht="22.5" customHeight="1">
      <c r="A32" s="1354" t="s">
        <v>71</v>
      </c>
      <c r="B32" s="1355"/>
      <c r="C32" s="1355"/>
      <c r="D32" s="1355"/>
      <c r="E32" s="1355"/>
      <c r="F32" s="1355"/>
      <c r="G32" s="1356"/>
      <c r="H32" s="9"/>
    </row>
    <row r="33" spans="1:16" ht="3.75" customHeight="1">
      <c r="A33" s="226"/>
      <c r="B33" s="4"/>
      <c r="C33" s="6"/>
      <c r="D33" s="4"/>
      <c r="E33" s="4"/>
      <c r="F33" s="4"/>
      <c r="G33" s="227"/>
      <c r="H33" s="9"/>
      <c r="I33" s="8"/>
      <c r="J33" s="13"/>
      <c r="K33" s="8"/>
      <c r="L33" s="8"/>
      <c r="M33" s="8"/>
      <c r="N33" s="8"/>
      <c r="O33" s="15"/>
      <c r="P33" s="5"/>
    </row>
    <row r="34" spans="1:16">
      <c r="A34" s="232" t="s">
        <v>5</v>
      </c>
      <c r="B34" s="60" t="s">
        <v>29</v>
      </c>
      <c r="C34" s="60" t="s">
        <v>30</v>
      </c>
      <c r="D34" s="60" t="s">
        <v>31</v>
      </c>
      <c r="E34" s="60" t="s">
        <v>32</v>
      </c>
      <c r="F34" s="60" t="s">
        <v>20</v>
      </c>
      <c r="G34" s="228" t="s">
        <v>33</v>
      </c>
      <c r="H34" s="27"/>
      <c r="I34" s="8"/>
      <c r="J34" s="13"/>
      <c r="K34" s="8"/>
      <c r="L34" s="8"/>
      <c r="M34" s="8"/>
      <c r="N34" s="8"/>
      <c r="O34" s="15"/>
      <c r="P34" s="5"/>
    </row>
    <row r="35" spans="1:16">
      <c r="A35" s="233" t="s">
        <v>41</v>
      </c>
      <c r="B35" s="63">
        <f>BOF</f>
        <v>51749</v>
      </c>
      <c r="C35" s="68">
        <f>ffpp</f>
        <v>0.64539999999999997</v>
      </c>
      <c r="D35" s="72">
        <v>1</v>
      </c>
      <c r="E35" s="66">
        <f>OF</f>
        <v>88696</v>
      </c>
      <c r="F35" s="65">
        <v>6</v>
      </c>
      <c r="G35" s="231">
        <f>ROUND(+D35*E35/F35,0)</f>
        <v>14783</v>
      </c>
      <c r="H35" s="9"/>
      <c r="I35" s="16"/>
      <c r="J35" s="13"/>
      <c r="K35" s="8"/>
      <c r="L35" s="8"/>
      <c r="M35" s="8"/>
      <c r="N35" s="8"/>
      <c r="O35" s="15"/>
      <c r="P35" s="5"/>
    </row>
    <row r="36" spans="1:16">
      <c r="A36" s="233" t="s">
        <v>38</v>
      </c>
      <c r="B36" s="63">
        <f>BOB</f>
        <v>41749</v>
      </c>
      <c r="C36" s="68">
        <f>ffpp</f>
        <v>0.64539999999999997</v>
      </c>
      <c r="D36" s="72">
        <v>3</v>
      </c>
      <c r="E36" s="66">
        <f>OB</f>
        <v>72242</v>
      </c>
      <c r="F36" s="65">
        <f>F35</f>
        <v>6</v>
      </c>
      <c r="G36" s="231">
        <f>ROUND(+D36*E36/F36,0)</f>
        <v>36121</v>
      </c>
      <c r="H36" s="9"/>
      <c r="I36" s="8"/>
      <c r="J36" s="8"/>
      <c r="K36" s="13"/>
      <c r="L36" s="13"/>
      <c r="M36" s="13"/>
      <c r="N36" s="13"/>
      <c r="O36" s="13"/>
      <c r="P36" s="5"/>
    </row>
    <row r="37" spans="1:16">
      <c r="A37" s="234"/>
      <c r="B37" s="50"/>
      <c r="C37" s="961"/>
      <c r="D37" s="50"/>
      <c r="E37" s="66"/>
      <c r="F37" s="65"/>
      <c r="G37" s="231"/>
      <c r="H37" s="9"/>
      <c r="I37" s="8"/>
      <c r="J37" s="13"/>
      <c r="K37" s="13"/>
      <c r="L37" s="13"/>
      <c r="M37" s="33"/>
      <c r="N37" s="33"/>
      <c r="O37" s="43"/>
      <c r="P37" s="5"/>
    </row>
    <row r="38" spans="1:16">
      <c r="A38" s="233"/>
      <c r="B38" s="65"/>
      <c r="C38" s="68"/>
      <c r="D38" s="65"/>
      <c r="E38" s="69"/>
      <c r="F38" s="69"/>
      <c r="G38" s="236"/>
      <c r="H38" s="9"/>
      <c r="I38" s="8"/>
      <c r="J38" s="13"/>
      <c r="K38" s="13"/>
      <c r="L38" s="13"/>
      <c r="M38" s="33"/>
      <c r="N38" s="33"/>
      <c r="O38" s="43"/>
      <c r="P38" s="5"/>
    </row>
    <row r="39" spans="1:16">
      <c r="A39" s="249"/>
      <c r="B39" s="71"/>
      <c r="C39" s="71"/>
      <c r="D39" s="71" t="s">
        <v>34</v>
      </c>
      <c r="E39" s="71"/>
      <c r="F39" s="71"/>
      <c r="G39" s="250">
        <f>SUM(G35:G38)</f>
        <v>50904</v>
      </c>
      <c r="H39" s="9"/>
      <c r="I39" s="8"/>
      <c r="J39" s="13"/>
      <c r="K39" s="13"/>
      <c r="L39" s="13"/>
      <c r="M39" s="14"/>
      <c r="N39" s="14"/>
      <c r="O39" s="15"/>
      <c r="P39" s="5"/>
    </row>
    <row r="40" spans="1:16">
      <c r="A40" s="226"/>
      <c r="B40" s="4"/>
      <c r="C40" s="6"/>
      <c r="D40" s="4"/>
      <c r="E40" s="4"/>
      <c r="F40" s="4"/>
      <c r="G40" s="227"/>
      <c r="H40" s="9"/>
      <c r="I40" s="8"/>
      <c r="J40" s="13"/>
      <c r="K40" s="13"/>
      <c r="L40" s="13"/>
      <c r="M40" s="14"/>
      <c r="N40" s="14"/>
      <c r="O40" s="19"/>
      <c r="P40" s="5"/>
    </row>
    <row r="41" spans="1:16">
      <c r="A41" s="226"/>
      <c r="B41" s="4"/>
      <c r="C41" s="6"/>
      <c r="D41" s="4"/>
      <c r="E41" s="4"/>
      <c r="F41" s="4"/>
      <c r="G41" s="227"/>
      <c r="H41" s="9"/>
      <c r="I41" s="8"/>
      <c r="J41" s="13"/>
      <c r="K41" s="13"/>
      <c r="L41" s="13"/>
      <c r="M41" s="17"/>
      <c r="N41" s="17"/>
      <c r="O41" s="37"/>
      <c r="P41" s="5"/>
    </row>
    <row r="42" spans="1:16" ht="14.25">
      <c r="A42" s="226"/>
      <c r="B42" s="4"/>
      <c r="C42" s="6"/>
      <c r="D42" s="1357" t="s">
        <v>35</v>
      </c>
      <c r="E42" s="1358"/>
      <c r="F42" s="1359"/>
      <c r="G42" s="239">
        <f>+G39+G30+G16</f>
        <v>678994</v>
      </c>
      <c r="H42" s="9"/>
      <c r="I42" s="48"/>
      <c r="J42" s="20"/>
      <c r="K42" s="8"/>
      <c r="L42" s="8"/>
      <c r="M42" s="8"/>
      <c r="N42" s="8"/>
      <c r="O42" s="8"/>
      <c r="P42" s="5"/>
    </row>
    <row r="43" spans="1:16" ht="14.25">
      <c r="A43" s="240"/>
      <c r="B43" s="57"/>
      <c r="C43" s="58"/>
      <c r="D43" s="99"/>
      <c r="E43" s="99"/>
      <c r="F43" s="99"/>
      <c r="G43" s="251"/>
      <c r="H43" s="9"/>
      <c r="I43" s="48"/>
      <c r="J43" s="20"/>
      <c r="K43" s="8"/>
      <c r="L43" s="8"/>
      <c r="M43" s="8"/>
      <c r="N43" s="8"/>
      <c r="O43" s="8"/>
      <c r="P43" s="5"/>
    </row>
    <row r="44" spans="1:16" ht="14.25">
      <c r="A44" s="374"/>
      <c r="B44" s="375"/>
      <c r="C44" s="375"/>
      <c r="D44" s="99"/>
      <c r="E44" s="99"/>
      <c r="F44" s="99"/>
      <c r="G44" s="251"/>
      <c r="H44" s="9"/>
      <c r="I44" s="48"/>
      <c r="J44" s="20"/>
      <c r="K44" s="8"/>
      <c r="L44" s="8"/>
      <c r="M44" s="8"/>
      <c r="N44" s="8"/>
      <c r="O44" s="8"/>
      <c r="P44" s="5"/>
    </row>
    <row r="45" spans="1:16" ht="14.25">
      <c r="A45" s="373"/>
      <c r="B45" s="376"/>
      <c r="C45" s="376"/>
      <c r="D45" s="99"/>
      <c r="E45" s="99"/>
      <c r="F45" s="99"/>
      <c r="G45" s="251"/>
      <c r="H45" s="9"/>
      <c r="I45" s="48"/>
      <c r="J45" s="20"/>
      <c r="K45" s="8"/>
      <c r="L45" s="8"/>
      <c r="M45" s="8"/>
      <c r="N45" s="8"/>
      <c r="O45" s="8"/>
      <c r="P45" s="5"/>
    </row>
    <row r="46" spans="1:16" ht="14.25">
      <c r="A46" s="373"/>
      <c r="B46" s="376"/>
      <c r="C46" s="376"/>
      <c r="D46" s="44"/>
      <c r="E46" s="45"/>
      <c r="F46" s="45"/>
      <c r="G46" s="251"/>
      <c r="H46" s="9"/>
      <c r="I46" s="8"/>
      <c r="J46" s="13"/>
      <c r="K46" s="8"/>
      <c r="L46" s="8"/>
      <c r="M46" s="8"/>
      <c r="N46" s="8"/>
      <c r="O46" s="8"/>
      <c r="P46" s="5"/>
    </row>
    <row r="47" spans="1:16" ht="15" thickBot="1">
      <c r="A47" s="242"/>
      <c r="B47" s="243"/>
      <c r="C47" s="244"/>
      <c r="D47" s="245"/>
      <c r="E47" s="246"/>
      <c r="F47" s="246"/>
      <c r="G47" s="247"/>
      <c r="H47" s="9"/>
      <c r="I47" s="8"/>
      <c r="J47" s="13"/>
      <c r="K47" s="8"/>
      <c r="L47" s="8"/>
      <c r="M47" s="8"/>
      <c r="N47" s="8"/>
      <c r="O47" s="8"/>
      <c r="P47" s="5"/>
    </row>
    <row r="48" spans="1:16">
      <c r="I48" s="5"/>
      <c r="J48" s="5"/>
      <c r="K48" s="5"/>
      <c r="L48" s="5"/>
      <c r="M48" s="5"/>
      <c r="N48" s="5"/>
      <c r="O48" s="5"/>
      <c r="P48" s="5"/>
    </row>
    <row r="49" spans="9:16">
      <c r="I49" s="5"/>
      <c r="J49" s="5"/>
      <c r="K49" s="5"/>
      <c r="L49" s="5"/>
      <c r="M49" s="5"/>
      <c r="N49" s="5"/>
      <c r="O49" s="5"/>
      <c r="P49" s="5"/>
    </row>
  </sheetData>
  <mergeCells count="26">
    <mergeCell ref="A10:C10"/>
    <mergeCell ref="A1:G1"/>
    <mergeCell ref="A2:G2"/>
    <mergeCell ref="A3:G4"/>
    <mergeCell ref="B6:E6"/>
    <mergeCell ref="A8:G8"/>
    <mergeCell ref="A24:C24"/>
    <mergeCell ref="A11:C11"/>
    <mergeCell ref="A12:C12"/>
    <mergeCell ref="A13:C13"/>
    <mergeCell ref="A14:C14"/>
    <mergeCell ref="A15:C15"/>
    <mergeCell ref="A16:C16"/>
    <mergeCell ref="A18:G18"/>
    <mergeCell ref="A20:C20"/>
    <mergeCell ref="A21:C21"/>
    <mergeCell ref="A22:C22"/>
    <mergeCell ref="A23:C23"/>
    <mergeCell ref="A32:G32"/>
    <mergeCell ref="D42:F42"/>
    <mergeCell ref="A25:C25"/>
    <mergeCell ref="A26:C26"/>
    <mergeCell ref="A27:C27"/>
    <mergeCell ref="A28:C28"/>
    <mergeCell ref="A29:C29"/>
    <mergeCell ref="A30:C30"/>
  </mergeCells>
  <printOptions horizontalCentered="1" verticalCentered="1"/>
  <pageMargins left="0.74803149606299213" right="0.74803149606299213" top="0" bottom="0.98425196850393704" header="0" footer="0"/>
  <pageSetup scale="90" orientation="portrait" r:id="rId1"/>
  <headerFooter alignWithMargins="0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88"/>
  <dimension ref="A1:U49"/>
  <sheetViews>
    <sheetView view="pageBreakPreview" zoomScaleNormal="100" zoomScaleSheetLayoutView="100" workbookViewId="0">
      <selection activeCell="I7" sqref="I7"/>
    </sheetView>
  </sheetViews>
  <sheetFormatPr baseColWidth="10" defaultColWidth="10.7109375" defaultRowHeight="12.75"/>
  <cols>
    <col min="1" max="1" width="15.85546875" style="3" customWidth="1"/>
    <col min="2" max="2" width="14.85546875" style="3" customWidth="1"/>
    <col min="3" max="3" width="13.28515625" style="3" customWidth="1"/>
    <col min="4" max="4" width="11.42578125" style="3"/>
    <col min="5" max="5" width="13.42578125" style="3" customWidth="1"/>
    <col min="6" max="6" width="12.7109375" style="3" customWidth="1"/>
    <col min="7" max="7" width="14" style="3" customWidth="1"/>
    <col min="8" max="8" width="7.42578125" style="3" customWidth="1"/>
    <col min="9" max="256" width="11.42578125" style="3"/>
    <col min="257" max="257" width="15.85546875" style="3" customWidth="1"/>
    <col min="258" max="258" width="14.85546875" style="3" customWidth="1"/>
    <col min="259" max="259" width="13.28515625" style="3" customWidth="1"/>
    <col min="260" max="260" width="11.42578125" style="3"/>
    <col min="261" max="261" width="13.42578125" style="3" customWidth="1"/>
    <col min="262" max="262" width="12.7109375" style="3" customWidth="1"/>
    <col min="263" max="263" width="14" style="3" customWidth="1"/>
    <col min="264" max="264" width="7.42578125" style="3" customWidth="1"/>
    <col min="265" max="512" width="11.42578125" style="3"/>
    <col min="513" max="513" width="15.85546875" style="3" customWidth="1"/>
    <col min="514" max="514" width="14.85546875" style="3" customWidth="1"/>
    <col min="515" max="515" width="13.28515625" style="3" customWidth="1"/>
    <col min="516" max="516" width="11.42578125" style="3"/>
    <col min="517" max="517" width="13.42578125" style="3" customWidth="1"/>
    <col min="518" max="518" width="12.7109375" style="3" customWidth="1"/>
    <col min="519" max="519" width="14" style="3" customWidth="1"/>
    <col min="520" max="520" width="7.42578125" style="3" customWidth="1"/>
    <col min="521" max="768" width="11.42578125" style="3"/>
    <col min="769" max="769" width="15.85546875" style="3" customWidth="1"/>
    <col min="770" max="770" width="14.85546875" style="3" customWidth="1"/>
    <col min="771" max="771" width="13.28515625" style="3" customWidth="1"/>
    <col min="772" max="772" width="11.42578125" style="3"/>
    <col min="773" max="773" width="13.42578125" style="3" customWidth="1"/>
    <col min="774" max="774" width="12.7109375" style="3" customWidth="1"/>
    <col min="775" max="775" width="14" style="3" customWidth="1"/>
    <col min="776" max="776" width="7.42578125" style="3" customWidth="1"/>
    <col min="777" max="1024" width="11.42578125" style="3"/>
    <col min="1025" max="1025" width="15.85546875" style="3" customWidth="1"/>
    <col min="1026" max="1026" width="14.85546875" style="3" customWidth="1"/>
    <col min="1027" max="1027" width="13.28515625" style="3" customWidth="1"/>
    <col min="1028" max="1028" width="11.42578125" style="3"/>
    <col min="1029" max="1029" width="13.42578125" style="3" customWidth="1"/>
    <col min="1030" max="1030" width="12.7109375" style="3" customWidth="1"/>
    <col min="1031" max="1031" width="14" style="3" customWidth="1"/>
    <col min="1032" max="1032" width="7.42578125" style="3" customWidth="1"/>
    <col min="1033" max="1280" width="11.42578125" style="3"/>
    <col min="1281" max="1281" width="15.85546875" style="3" customWidth="1"/>
    <col min="1282" max="1282" width="14.85546875" style="3" customWidth="1"/>
    <col min="1283" max="1283" width="13.28515625" style="3" customWidth="1"/>
    <col min="1284" max="1284" width="11.42578125" style="3"/>
    <col min="1285" max="1285" width="13.42578125" style="3" customWidth="1"/>
    <col min="1286" max="1286" width="12.7109375" style="3" customWidth="1"/>
    <col min="1287" max="1287" width="14" style="3" customWidth="1"/>
    <col min="1288" max="1288" width="7.42578125" style="3" customWidth="1"/>
    <col min="1289" max="1536" width="11.42578125" style="3"/>
    <col min="1537" max="1537" width="15.85546875" style="3" customWidth="1"/>
    <col min="1538" max="1538" width="14.85546875" style="3" customWidth="1"/>
    <col min="1539" max="1539" width="13.28515625" style="3" customWidth="1"/>
    <col min="1540" max="1540" width="11.42578125" style="3"/>
    <col min="1541" max="1541" width="13.42578125" style="3" customWidth="1"/>
    <col min="1542" max="1542" width="12.7109375" style="3" customWidth="1"/>
    <col min="1543" max="1543" width="14" style="3" customWidth="1"/>
    <col min="1544" max="1544" width="7.42578125" style="3" customWidth="1"/>
    <col min="1545" max="1792" width="11.42578125" style="3"/>
    <col min="1793" max="1793" width="15.85546875" style="3" customWidth="1"/>
    <col min="1794" max="1794" width="14.85546875" style="3" customWidth="1"/>
    <col min="1795" max="1795" width="13.28515625" style="3" customWidth="1"/>
    <col min="1796" max="1796" width="11.42578125" style="3"/>
    <col min="1797" max="1797" width="13.42578125" style="3" customWidth="1"/>
    <col min="1798" max="1798" width="12.7109375" style="3" customWidth="1"/>
    <col min="1799" max="1799" width="14" style="3" customWidth="1"/>
    <col min="1800" max="1800" width="7.42578125" style="3" customWidth="1"/>
    <col min="1801" max="2048" width="11.42578125" style="3"/>
    <col min="2049" max="2049" width="15.85546875" style="3" customWidth="1"/>
    <col min="2050" max="2050" width="14.85546875" style="3" customWidth="1"/>
    <col min="2051" max="2051" width="13.28515625" style="3" customWidth="1"/>
    <col min="2052" max="2052" width="11.42578125" style="3"/>
    <col min="2053" max="2053" width="13.42578125" style="3" customWidth="1"/>
    <col min="2054" max="2054" width="12.7109375" style="3" customWidth="1"/>
    <col min="2055" max="2055" width="14" style="3" customWidth="1"/>
    <col min="2056" max="2056" width="7.42578125" style="3" customWidth="1"/>
    <col min="2057" max="2304" width="11.42578125" style="3"/>
    <col min="2305" max="2305" width="15.85546875" style="3" customWidth="1"/>
    <col min="2306" max="2306" width="14.85546875" style="3" customWidth="1"/>
    <col min="2307" max="2307" width="13.28515625" style="3" customWidth="1"/>
    <col min="2308" max="2308" width="11.42578125" style="3"/>
    <col min="2309" max="2309" width="13.42578125" style="3" customWidth="1"/>
    <col min="2310" max="2310" width="12.7109375" style="3" customWidth="1"/>
    <col min="2311" max="2311" width="14" style="3" customWidth="1"/>
    <col min="2312" max="2312" width="7.42578125" style="3" customWidth="1"/>
    <col min="2313" max="2560" width="11.42578125" style="3"/>
    <col min="2561" max="2561" width="15.85546875" style="3" customWidth="1"/>
    <col min="2562" max="2562" width="14.85546875" style="3" customWidth="1"/>
    <col min="2563" max="2563" width="13.28515625" style="3" customWidth="1"/>
    <col min="2564" max="2564" width="11.42578125" style="3"/>
    <col min="2565" max="2565" width="13.42578125" style="3" customWidth="1"/>
    <col min="2566" max="2566" width="12.7109375" style="3" customWidth="1"/>
    <col min="2567" max="2567" width="14" style="3" customWidth="1"/>
    <col min="2568" max="2568" width="7.42578125" style="3" customWidth="1"/>
    <col min="2569" max="2816" width="11.42578125" style="3"/>
    <col min="2817" max="2817" width="15.85546875" style="3" customWidth="1"/>
    <col min="2818" max="2818" width="14.85546875" style="3" customWidth="1"/>
    <col min="2819" max="2819" width="13.28515625" style="3" customWidth="1"/>
    <col min="2820" max="2820" width="11.42578125" style="3"/>
    <col min="2821" max="2821" width="13.42578125" style="3" customWidth="1"/>
    <col min="2822" max="2822" width="12.7109375" style="3" customWidth="1"/>
    <col min="2823" max="2823" width="14" style="3" customWidth="1"/>
    <col min="2824" max="2824" width="7.42578125" style="3" customWidth="1"/>
    <col min="2825" max="3072" width="11.42578125" style="3"/>
    <col min="3073" max="3073" width="15.85546875" style="3" customWidth="1"/>
    <col min="3074" max="3074" width="14.85546875" style="3" customWidth="1"/>
    <col min="3075" max="3075" width="13.28515625" style="3" customWidth="1"/>
    <col min="3076" max="3076" width="11.42578125" style="3"/>
    <col min="3077" max="3077" width="13.42578125" style="3" customWidth="1"/>
    <col min="3078" max="3078" width="12.7109375" style="3" customWidth="1"/>
    <col min="3079" max="3079" width="14" style="3" customWidth="1"/>
    <col min="3080" max="3080" width="7.42578125" style="3" customWidth="1"/>
    <col min="3081" max="3328" width="11.42578125" style="3"/>
    <col min="3329" max="3329" width="15.85546875" style="3" customWidth="1"/>
    <col min="3330" max="3330" width="14.85546875" style="3" customWidth="1"/>
    <col min="3331" max="3331" width="13.28515625" style="3" customWidth="1"/>
    <col min="3332" max="3332" width="11.42578125" style="3"/>
    <col min="3333" max="3333" width="13.42578125" style="3" customWidth="1"/>
    <col min="3334" max="3334" width="12.7109375" style="3" customWidth="1"/>
    <col min="3335" max="3335" width="14" style="3" customWidth="1"/>
    <col min="3336" max="3336" width="7.42578125" style="3" customWidth="1"/>
    <col min="3337" max="3584" width="11.42578125" style="3"/>
    <col min="3585" max="3585" width="15.85546875" style="3" customWidth="1"/>
    <col min="3586" max="3586" width="14.85546875" style="3" customWidth="1"/>
    <col min="3587" max="3587" width="13.28515625" style="3" customWidth="1"/>
    <col min="3588" max="3588" width="11.42578125" style="3"/>
    <col min="3589" max="3589" width="13.42578125" style="3" customWidth="1"/>
    <col min="3590" max="3590" width="12.7109375" style="3" customWidth="1"/>
    <col min="3591" max="3591" width="14" style="3" customWidth="1"/>
    <col min="3592" max="3592" width="7.42578125" style="3" customWidth="1"/>
    <col min="3593" max="3840" width="11.42578125" style="3"/>
    <col min="3841" max="3841" width="15.85546875" style="3" customWidth="1"/>
    <col min="3842" max="3842" width="14.85546875" style="3" customWidth="1"/>
    <col min="3843" max="3843" width="13.28515625" style="3" customWidth="1"/>
    <col min="3844" max="3844" width="11.42578125" style="3"/>
    <col min="3845" max="3845" width="13.42578125" style="3" customWidth="1"/>
    <col min="3846" max="3846" width="12.7109375" style="3" customWidth="1"/>
    <col min="3847" max="3847" width="14" style="3" customWidth="1"/>
    <col min="3848" max="3848" width="7.42578125" style="3" customWidth="1"/>
    <col min="3849" max="4096" width="11.42578125" style="3"/>
    <col min="4097" max="4097" width="15.85546875" style="3" customWidth="1"/>
    <col min="4098" max="4098" width="14.85546875" style="3" customWidth="1"/>
    <col min="4099" max="4099" width="13.28515625" style="3" customWidth="1"/>
    <col min="4100" max="4100" width="11.42578125" style="3"/>
    <col min="4101" max="4101" width="13.42578125" style="3" customWidth="1"/>
    <col min="4102" max="4102" width="12.7109375" style="3" customWidth="1"/>
    <col min="4103" max="4103" width="14" style="3" customWidth="1"/>
    <col min="4104" max="4104" width="7.42578125" style="3" customWidth="1"/>
    <col min="4105" max="4352" width="11.42578125" style="3"/>
    <col min="4353" max="4353" width="15.85546875" style="3" customWidth="1"/>
    <col min="4354" max="4354" width="14.85546875" style="3" customWidth="1"/>
    <col min="4355" max="4355" width="13.28515625" style="3" customWidth="1"/>
    <col min="4356" max="4356" width="11.42578125" style="3"/>
    <col min="4357" max="4357" width="13.42578125" style="3" customWidth="1"/>
    <col min="4358" max="4358" width="12.7109375" style="3" customWidth="1"/>
    <col min="4359" max="4359" width="14" style="3" customWidth="1"/>
    <col min="4360" max="4360" width="7.42578125" style="3" customWidth="1"/>
    <col min="4361" max="4608" width="11.42578125" style="3"/>
    <col min="4609" max="4609" width="15.85546875" style="3" customWidth="1"/>
    <col min="4610" max="4610" width="14.85546875" style="3" customWidth="1"/>
    <col min="4611" max="4611" width="13.28515625" style="3" customWidth="1"/>
    <col min="4612" max="4612" width="11.42578125" style="3"/>
    <col min="4613" max="4613" width="13.42578125" style="3" customWidth="1"/>
    <col min="4614" max="4614" width="12.7109375" style="3" customWidth="1"/>
    <col min="4615" max="4615" width="14" style="3" customWidth="1"/>
    <col min="4616" max="4616" width="7.42578125" style="3" customWidth="1"/>
    <col min="4617" max="4864" width="11.42578125" style="3"/>
    <col min="4865" max="4865" width="15.85546875" style="3" customWidth="1"/>
    <col min="4866" max="4866" width="14.85546875" style="3" customWidth="1"/>
    <col min="4867" max="4867" width="13.28515625" style="3" customWidth="1"/>
    <col min="4868" max="4868" width="11.42578125" style="3"/>
    <col min="4869" max="4869" width="13.42578125" style="3" customWidth="1"/>
    <col min="4870" max="4870" width="12.7109375" style="3" customWidth="1"/>
    <col min="4871" max="4871" width="14" style="3" customWidth="1"/>
    <col min="4872" max="4872" width="7.42578125" style="3" customWidth="1"/>
    <col min="4873" max="5120" width="11.42578125" style="3"/>
    <col min="5121" max="5121" width="15.85546875" style="3" customWidth="1"/>
    <col min="5122" max="5122" width="14.85546875" style="3" customWidth="1"/>
    <col min="5123" max="5123" width="13.28515625" style="3" customWidth="1"/>
    <col min="5124" max="5124" width="11.42578125" style="3"/>
    <col min="5125" max="5125" width="13.42578125" style="3" customWidth="1"/>
    <col min="5126" max="5126" width="12.7109375" style="3" customWidth="1"/>
    <col min="5127" max="5127" width="14" style="3" customWidth="1"/>
    <col min="5128" max="5128" width="7.42578125" style="3" customWidth="1"/>
    <col min="5129" max="5376" width="11.42578125" style="3"/>
    <col min="5377" max="5377" width="15.85546875" style="3" customWidth="1"/>
    <col min="5378" max="5378" width="14.85546875" style="3" customWidth="1"/>
    <col min="5379" max="5379" width="13.28515625" style="3" customWidth="1"/>
    <col min="5380" max="5380" width="11.42578125" style="3"/>
    <col min="5381" max="5381" width="13.42578125" style="3" customWidth="1"/>
    <col min="5382" max="5382" width="12.7109375" style="3" customWidth="1"/>
    <col min="5383" max="5383" width="14" style="3" customWidth="1"/>
    <col min="5384" max="5384" width="7.42578125" style="3" customWidth="1"/>
    <col min="5385" max="5632" width="11.42578125" style="3"/>
    <col min="5633" max="5633" width="15.85546875" style="3" customWidth="1"/>
    <col min="5634" max="5634" width="14.85546875" style="3" customWidth="1"/>
    <col min="5635" max="5635" width="13.28515625" style="3" customWidth="1"/>
    <col min="5636" max="5636" width="11.42578125" style="3"/>
    <col min="5637" max="5637" width="13.42578125" style="3" customWidth="1"/>
    <col min="5638" max="5638" width="12.7109375" style="3" customWidth="1"/>
    <col min="5639" max="5639" width="14" style="3" customWidth="1"/>
    <col min="5640" max="5640" width="7.42578125" style="3" customWidth="1"/>
    <col min="5641" max="5888" width="11.42578125" style="3"/>
    <col min="5889" max="5889" width="15.85546875" style="3" customWidth="1"/>
    <col min="5890" max="5890" width="14.85546875" style="3" customWidth="1"/>
    <col min="5891" max="5891" width="13.28515625" style="3" customWidth="1"/>
    <col min="5892" max="5892" width="11.42578125" style="3"/>
    <col min="5893" max="5893" width="13.42578125" style="3" customWidth="1"/>
    <col min="5894" max="5894" width="12.7109375" style="3" customWidth="1"/>
    <col min="5895" max="5895" width="14" style="3" customWidth="1"/>
    <col min="5896" max="5896" width="7.42578125" style="3" customWidth="1"/>
    <col min="5897" max="6144" width="11.42578125" style="3"/>
    <col min="6145" max="6145" width="15.85546875" style="3" customWidth="1"/>
    <col min="6146" max="6146" width="14.85546875" style="3" customWidth="1"/>
    <col min="6147" max="6147" width="13.28515625" style="3" customWidth="1"/>
    <col min="6148" max="6148" width="11.42578125" style="3"/>
    <col min="6149" max="6149" width="13.42578125" style="3" customWidth="1"/>
    <col min="6150" max="6150" width="12.7109375" style="3" customWidth="1"/>
    <col min="6151" max="6151" width="14" style="3" customWidth="1"/>
    <col min="6152" max="6152" width="7.42578125" style="3" customWidth="1"/>
    <col min="6153" max="6400" width="11.42578125" style="3"/>
    <col min="6401" max="6401" width="15.85546875" style="3" customWidth="1"/>
    <col min="6402" max="6402" width="14.85546875" style="3" customWidth="1"/>
    <col min="6403" max="6403" width="13.28515625" style="3" customWidth="1"/>
    <col min="6404" max="6404" width="11.42578125" style="3"/>
    <col min="6405" max="6405" width="13.42578125" style="3" customWidth="1"/>
    <col min="6406" max="6406" width="12.7109375" style="3" customWidth="1"/>
    <col min="6407" max="6407" width="14" style="3" customWidth="1"/>
    <col min="6408" max="6408" width="7.42578125" style="3" customWidth="1"/>
    <col min="6409" max="6656" width="11.42578125" style="3"/>
    <col min="6657" max="6657" width="15.85546875" style="3" customWidth="1"/>
    <col min="6658" max="6658" width="14.85546875" style="3" customWidth="1"/>
    <col min="6659" max="6659" width="13.28515625" style="3" customWidth="1"/>
    <col min="6660" max="6660" width="11.42578125" style="3"/>
    <col min="6661" max="6661" width="13.42578125" style="3" customWidth="1"/>
    <col min="6662" max="6662" width="12.7109375" style="3" customWidth="1"/>
    <col min="6663" max="6663" width="14" style="3" customWidth="1"/>
    <col min="6664" max="6664" width="7.42578125" style="3" customWidth="1"/>
    <col min="6665" max="6912" width="11.42578125" style="3"/>
    <col min="6913" max="6913" width="15.85546875" style="3" customWidth="1"/>
    <col min="6914" max="6914" width="14.85546875" style="3" customWidth="1"/>
    <col min="6915" max="6915" width="13.28515625" style="3" customWidth="1"/>
    <col min="6916" max="6916" width="11.42578125" style="3"/>
    <col min="6917" max="6917" width="13.42578125" style="3" customWidth="1"/>
    <col min="6918" max="6918" width="12.7109375" style="3" customWidth="1"/>
    <col min="6919" max="6919" width="14" style="3" customWidth="1"/>
    <col min="6920" max="6920" width="7.42578125" style="3" customWidth="1"/>
    <col min="6921" max="7168" width="11.42578125" style="3"/>
    <col min="7169" max="7169" width="15.85546875" style="3" customWidth="1"/>
    <col min="7170" max="7170" width="14.85546875" style="3" customWidth="1"/>
    <col min="7171" max="7171" width="13.28515625" style="3" customWidth="1"/>
    <col min="7172" max="7172" width="11.42578125" style="3"/>
    <col min="7173" max="7173" width="13.42578125" style="3" customWidth="1"/>
    <col min="7174" max="7174" width="12.7109375" style="3" customWidth="1"/>
    <col min="7175" max="7175" width="14" style="3" customWidth="1"/>
    <col min="7176" max="7176" width="7.42578125" style="3" customWidth="1"/>
    <col min="7177" max="7424" width="11.42578125" style="3"/>
    <col min="7425" max="7425" width="15.85546875" style="3" customWidth="1"/>
    <col min="7426" max="7426" width="14.85546875" style="3" customWidth="1"/>
    <col min="7427" max="7427" width="13.28515625" style="3" customWidth="1"/>
    <col min="7428" max="7428" width="11.42578125" style="3"/>
    <col min="7429" max="7429" width="13.42578125" style="3" customWidth="1"/>
    <col min="7430" max="7430" width="12.7109375" style="3" customWidth="1"/>
    <col min="7431" max="7431" width="14" style="3" customWidth="1"/>
    <col min="7432" max="7432" width="7.42578125" style="3" customWidth="1"/>
    <col min="7433" max="7680" width="11.42578125" style="3"/>
    <col min="7681" max="7681" width="15.85546875" style="3" customWidth="1"/>
    <col min="7682" max="7682" width="14.85546875" style="3" customWidth="1"/>
    <col min="7683" max="7683" width="13.28515625" style="3" customWidth="1"/>
    <col min="7684" max="7684" width="11.42578125" style="3"/>
    <col min="7685" max="7685" width="13.42578125" style="3" customWidth="1"/>
    <col min="7686" max="7686" width="12.7109375" style="3" customWidth="1"/>
    <col min="7687" max="7687" width="14" style="3" customWidth="1"/>
    <col min="7688" max="7688" width="7.42578125" style="3" customWidth="1"/>
    <col min="7689" max="7936" width="11.42578125" style="3"/>
    <col min="7937" max="7937" width="15.85546875" style="3" customWidth="1"/>
    <col min="7938" max="7938" width="14.85546875" style="3" customWidth="1"/>
    <col min="7939" max="7939" width="13.28515625" style="3" customWidth="1"/>
    <col min="7940" max="7940" width="11.42578125" style="3"/>
    <col min="7941" max="7941" width="13.42578125" style="3" customWidth="1"/>
    <col min="7942" max="7942" width="12.7109375" style="3" customWidth="1"/>
    <col min="7943" max="7943" width="14" style="3" customWidth="1"/>
    <col min="7944" max="7944" width="7.42578125" style="3" customWidth="1"/>
    <col min="7945" max="8192" width="11.42578125" style="3"/>
    <col min="8193" max="8193" width="15.85546875" style="3" customWidth="1"/>
    <col min="8194" max="8194" width="14.85546875" style="3" customWidth="1"/>
    <col min="8195" max="8195" width="13.28515625" style="3" customWidth="1"/>
    <col min="8196" max="8196" width="11.42578125" style="3"/>
    <col min="8197" max="8197" width="13.42578125" style="3" customWidth="1"/>
    <col min="8198" max="8198" width="12.7109375" style="3" customWidth="1"/>
    <col min="8199" max="8199" width="14" style="3" customWidth="1"/>
    <col min="8200" max="8200" width="7.42578125" style="3" customWidth="1"/>
    <col min="8201" max="8448" width="11.42578125" style="3"/>
    <col min="8449" max="8449" width="15.85546875" style="3" customWidth="1"/>
    <col min="8450" max="8450" width="14.85546875" style="3" customWidth="1"/>
    <col min="8451" max="8451" width="13.28515625" style="3" customWidth="1"/>
    <col min="8452" max="8452" width="11.42578125" style="3"/>
    <col min="8453" max="8453" width="13.42578125" style="3" customWidth="1"/>
    <col min="8454" max="8454" width="12.7109375" style="3" customWidth="1"/>
    <col min="8455" max="8455" width="14" style="3" customWidth="1"/>
    <col min="8456" max="8456" width="7.42578125" style="3" customWidth="1"/>
    <col min="8457" max="8704" width="11.42578125" style="3"/>
    <col min="8705" max="8705" width="15.85546875" style="3" customWidth="1"/>
    <col min="8706" max="8706" width="14.85546875" style="3" customWidth="1"/>
    <col min="8707" max="8707" width="13.28515625" style="3" customWidth="1"/>
    <col min="8708" max="8708" width="11.42578125" style="3"/>
    <col min="8709" max="8709" width="13.42578125" style="3" customWidth="1"/>
    <col min="8710" max="8710" width="12.7109375" style="3" customWidth="1"/>
    <col min="8711" max="8711" width="14" style="3" customWidth="1"/>
    <col min="8712" max="8712" width="7.42578125" style="3" customWidth="1"/>
    <col min="8713" max="8960" width="11.42578125" style="3"/>
    <col min="8961" max="8961" width="15.85546875" style="3" customWidth="1"/>
    <col min="8962" max="8962" width="14.85546875" style="3" customWidth="1"/>
    <col min="8963" max="8963" width="13.28515625" style="3" customWidth="1"/>
    <col min="8964" max="8964" width="11.42578125" style="3"/>
    <col min="8965" max="8965" width="13.42578125" style="3" customWidth="1"/>
    <col min="8966" max="8966" width="12.7109375" style="3" customWidth="1"/>
    <col min="8967" max="8967" width="14" style="3" customWidth="1"/>
    <col min="8968" max="8968" width="7.42578125" style="3" customWidth="1"/>
    <col min="8969" max="9216" width="11.42578125" style="3"/>
    <col min="9217" max="9217" width="15.85546875" style="3" customWidth="1"/>
    <col min="9218" max="9218" width="14.85546875" style="3" customWidth="1"/>
    <col min="9219" max="9219" width="13.28515625" style="3" customWidth="1"/>
    <col min="9220" max="9220" width="11.42578125" style="3"/>
    <col min="9221" max="9221" width="13.42578125" style="3" customWidth="1"/>
    <col min="9222" max="9222" width="12.7109375" style="3" customWidth="1"/>
    <col min="9223" max="9223" width="14" style="3" customWidth="1"/>
    <col min="9224" max="9224" width="7.42578125" style="3" customWidth="1"/>
    <col min="9225" max="9472" width="11.42578125" style="3"/>
    <col min="9473" max="9473" width="15.85546875" style="3" customWidth="1"/>
    <col min="9474" max="9474" width="14.85546875" style="3" customWidth="1"/>
    <col min="9475" max="9475" width="13.28515625" style="3" customWidth="1"/>
    <col min="9476" max="9476" width="11.42578125" style="3"/>
    <col min="9477" max="9477" width="13.42578125" style="3" customWidth="1"/>
    <col min="9478" max="9478" width="12.7109375" style="3" customWidth="1"/>
    <col min="9479" max="9479" width="14" style="3" customWidth="1"/>
    <col min="9480" max="9480" width="7.42578125" style="3" customWidth="1"/>
    <col min="9481" max="9728" width="11.42578125" style="3"/>
    <col min="9729" max="9729" width="15.85546875" style="3" customWidth="1"/>
    <col min="9730" max="9730" width="14.85546875" style="3" customWidth="1"/>
    <col min="9731" max="9731" width="13.28515625" style="3" customWidth="1"/>
    <col min="9732" max="9732" width="11.42578125" style="3"/>
    <col min="9733" max="9733" width="13.42578125" style="3" customWidth="1"/>
    <col min="9734" max="9734" width="12.7109375" style="3" customWidth="1"/>
    <col min="9735" max="9735" width="14" style="3" customWidth="1"/>
    <col min="9736" max="9736" width="7.42578125" style="3" customWidth="1"/>
    <col min="9737" max="9984" width="11.42578125" style="3"/>
    <col min="9985" max="9985" width="15.85546875" style="3" customWidth="1"/>
    <col min="9986" max="9986" width="14.85546875" style="3" customWidth="1"/>
    <col min="9987" max="9987" width="13.28515625" style="3" customWidth="1"/>
    <col min="9988" max="9988" width="11.42578125" style="3"/>
    <col min="9989" max="9989" width="13.42578125" style="3" customWidth="1"/>
    <col min="9990" max="9990" width="12.7109375" style="3" customWidth="1"/>
    <col min="9991" max="9991" width="14" style="3" customWidth="1"/>
    <col min="9992" max="9992" width="7.42578125" style="3" customWidth="1"/>
    <col min="9993" max="10240" width="11.42578125" style="3"/>
    <col min="10241" max="10241" width="15.85546875" style="3" customWidth="1"/>
    <col min="10242" max="10242" width="14.85546875" style="3" customWidth="1"/>
    <col min="10243" max="10243" width="13.28515625" style="3" customWidth="1"/>
    <col min="10244" max="10244" width="11.42578125" style="3"/>
    <col min="10245" max="10245" width="13.42578125" style="3" customWidth="1"/>
    <col min="10246" max="10246" width="12.7109375" style="3" customWidth="1"/>
    <col min="10247" max="10247" width="14" style="3" customWidth="1"/>
    <col min="10248" max="10248" width="7.42578125" style="3" customWidth="1"/>
    <col min="10249" max="10496" width="11.42578125" style="3"/>
    <col min="10497" max="10497" width="15.85546875" style="3" customWidth="1"/>
    <col min="10498" max="10498" width="14.85546875" style="3" customWidth="1"/>
    <col min="10499" max="10499" width="13.28515625" style="3" customWidth="1"/>
    <col min="10500" max="10500" width="11.42578125" style="3"/>
    <col min="10501" max="10501" width="13.42578125" style="3" customWidth="1"/>
    <col min="10502" max="10502" width="12.7109375" style="3" customWidth="1"/>
    <col min="10503" max="10503" width="14" style="3" customWidth="1"/>
    <col min="10504" max="10504" width="7.42578125" style="3" customWidth="1"/>
    <col min="10505" max="10752" width="11.42578125" style="3"/>
    <col min="10753" max="10753" width="15.85546875" style="3" customWidth="1"/>
    <col min="10754" max="10754" width="14.85546875" style="3" customWidth="1"/>
    <col min="10755" max="10755" width="13.28515625" style="3" customWidth="1"/>
    <col min="10756" max="10756" width="11.42578125" style="3"/>
    <col min="10757" max="10757" width="13.42578125" style="3" customWidth="1"/>
    <col min="10758" max="10758" width="12.7109375" style="3" customWidth="1"/>
    <col min="10759" max="10759" width="14" style="3" customWidth="1"/>
    <col min="10760" max="10760" width="7.42578125" style="3" customWidth="1"/>
    <col min="10761" max="11008" width="11.42578125" style="3"/>
    <col min="11009" max="11009" width="15.85546875" style="3" customWidth="1"/>
    <col min="11010" max="11010" width="14.85546875" style="3" customWidth="1"/>
    <col min="11011" max="11011" width="13.28515625" style="3" customWidth="1"/>
    <col min="11012" max="11012" width="11.42578125" style="3"/>
    <col min="11013" max="11013" width="13.42578125" style="3" customWidth="1"/>
    <col min="11014" max="11014" width="12.7109375" style="3" customWidth="1"/>
    <col min="11015" max="11015" width="14" style="3" customWidth="1"/>
    <col min="11016" max="11016" width="7.42578125" style="3" customWidth="1"/>
    <col min="11017" max="11264" width="11.42578125" style="3"/>
    <col min="11265" max="11265" width="15.85546875" style="3" customWidth="1"/>
    <col min="11266" max="11266" width="14.85546875" style="3" customWidth="1"/>
    <col min="11267" max="11267" width="13.28515625" style="3" customWidth="1"/>
    <col min="11268" max="11268" width="11.42578125" style="3"/>
    <col min="11269" max="11269" width="13.42578125" style="3" customWidth="1"/>
    <col min="11270" max="11270" width="12.7109375" style="3" customWidth="1"/>
    <col min="11271" max="11271" width="14" style="3" customWidth="1"/>
    <col min="11272" max="11272" width="7.42578125" style="3" customWidth="1"/>
    <col min="11273" max="11520" width="11.42578125" style="3"/>
    <col min="11521" max="11521" width="15.85546875" style="3" customWidth="1"/>
    <col min="11522" max="11522" width="14.85546875" style="3" customWidth="1"/>
    <col min="11523" max="11523" width="13.28515625" style="3" customWidth="1"/>
    <col min="11524" max="11524" width="11.42578125" style="3"/>
    <col min="11525" max="11525" width="13.42578125" style="3" customWidth="1"/>
    <col min="11526" max="11526" width="12.7109375" style="3" customWidth="1"/>
    <col min="11527" max="11527" width="14" style="3" customWidth="1"/>
    <col min="11528" max="11528" width="7.42578125" style="3" customWidth="1"/>
    <col min="11529" max="11776" width="11.42578125" style="3"/>
    <col min="11777" max="11777" width="15.85546875" style="3" customWidth="1"/>
    <col min="11778" max="11778" width="14.85546875" style="3" customWidth="1"/>
    <col min="11779" max="11779" width="13.28515625" style="3" customWidth="1"/>
    <col min="11780" max="11780" width="11.42578125" style="3"/>
    <col min="11781" max="11781" width="13.42578125" style="3" customWidth="1"/>
    <col min="11782" max="11782" width="12.7109375" style="3" customWidth="1"/>
    <col min="11783" max="11783" width="14" style="3" customWidth="1"/>
    <col min="11784" max="11784" width="7.42578125" style="3" customWidth="1"/>
    <col min="11785" max="12032" width="11.42578125" style="3"/>
    <col min="12033" max="12033" width="15.85546875" style="3" customWidth="1"/>
    <col min="12034" max="12034" width="14.85546875" style="3" customWidth="1"/>
    <col min="12035" max="12035" width="13.28515625" style="3" customWidth="1"/>
    <col min="12036" max="12036" width="11.42578125" style="3"/>
    <col min="12037" max="12037" width="13.42578125" style="3" customWidth="1"/>
    <col min="12038" max="12038" width="12.7109375" style="3" customWidth="1"/>
    <col min="12039" max="12039" width="14" style="3" customWidth="1"/>
    <col min="12040" max="12040" width="7.42578125" style="3" customWidth="1"/>
    <col min="12041" max="12288" width="11.42578125" style="3"/>
    <col min="12289" max="12289" width="15.85546875" style="3" customWidth="1"/>
    <col min="12290" max="12290" width="14.85546875" style="3" customWidth="1"/>
    <col min="12291" max="12291" width="13.28515625" style="3" customWidth="1"/>
    <col min="12292" max="12292" width="11.42578125" style="3"/>
    <col min="12293" max="12293" width="13.42578125" style="3" customWidth="1"/>
    <col min="12294" max="12294" width="12.7109375" style="3" customWidth="1"/>
    <col min="12295" max="12295" width="14" style="3" customWidth="1"/>
    <col min="12296" max="12296" width="7.42578125" style="3" customWidth="1"/>
    <col min="12297" max="12544" width="11.42578125" style="3"/>
    <col min="12545" max="12545" width="15.85546875" style="3" customWidth="1"/>
    <col min="12546" max="12546" width="14.85546875" style="3" customWidth="1"/>
    <col min="12547" max="12547" width="13.28515625" style="3" customWidth="1"/>
    <col min="12548" max="12548" width="11.42578125" style="3"/>
    <col min="12549" max="12549" width="13.42578125" style="3" customWidth="1"/>
    <col min="12550" max="12550" width="12.7109375" style="3" customWidth="1"/>
    <col min="12551" max="12551" width="14" style="3" customWidth="1"/>
    <col min="12552" max="12552" width="7.42578125" style="3" customWidth="1"/>
    <col min="12553" max="12800" width="11.42578125" style="3"/>
    <col min="12801" max="12801" width="15.85546875" style="3" customWidth="1"/>
    <col min="12802" max="12802" width="14.85546875" style="3" customWidth="1"/>
    <col min="12803" max="12803" width="13.28515625" style="3" customWidth="1"/>
    <col min="12804" max="12804" width="11.42578125" style="3"/>
    <col min="12805" max="12805" width="13.42578125" style="3" customWidth="1"/>
    <col min="12806" max="12806" width="12.7109375" style="3" customWidth="1"/>
    <col min="12807" max="12807" width="14" style="3" customWidth="1"/>
    <col min="12808" max="12808" width="7.42578125" style="3" customWidth="1"/>
    <col min="12809" max="13056" width="11.42578125" style="3"/>
    <col min="13057" max="13057" width="15.85546875" style="3" customWidth="1"/>
    <col min="13058" max="13058" width="14.85546875" style="3" customWidth="1"/>
    <col min="13059" max="13059" width="13.28515625" style="3" customWidth="1"/>
    <col min="13060" max="13060" width="11.42578125" style="3"/>
    <col min="13061" max="13061" width="13.42578125" style="3" customWidth="1"/>
    <col min="13062" max="13062" width="12.7109375" style="3" customWidth="1"/>
    <col min="13063" max="13063" width="14" style="3" customWidth="1"/>
    <col min="13064" max="13064" width="7.42578125" style="3" customWidth="1"/>
    <col min="13065" max="13312" width="11.42578125" style="3"/>
    <col min="13313" max="13313" width="15.85546875" style="3" customWidth="1"/>
    <col min="13314" max="13314" width="14.85546875" style="3" customWidth="1"/>
    <col min="13315" max="13315" width="13.28515625" style="3" customWidth="1"/>
    <col min="13316" max="13316" width="11.42578125" style="3"/>
    <col min="13317" max="13317" width="13.42578125" style="3" customWidth="1"/>
    <col min="13318" max="13318" width="12.7109375" style="3" customWidth="1"/>
    <col min="13319" max="13319" width="14" style="3" customWidth="1"/>
    <col min="13320" max="13320" width="7.42578125" style="3" customWidth="1"/>
    <col min="13321" max="13568" width="11.42578125" style="3"/>
    <col min="13569" max="13569" width="15.85546875" style="3" customWidth="1"/>
    <col min="13570" max="13570" width="14.85546875" style="3" customWidth="1"/>
    <col min="13571" max="13571" width="13.28515625" style="3" customWidth="1"/>
    <col min="13572" max="13572" width="11.42578125" style="3"/>
    <col min="13573" max="13573" width="13.42578125" style="3" customWidth="1"/>
    <col min="13574" max="13574" width="12.7109375" style="3" customWidth="1"/>
    <col min="13575" max="13575" width="14" style="3" customWidth="1"/>
    <col min="13576" max="13576" width="7.42578125" style="3" customWidth="1"/>
    <col min="13577" max="13824" width="11.42578125" style="3"/>
    <col min="13825" max="13825" width="15.85546875" style="3" customWidth="1"/>
    <col min="13826" max="13826" width="14.85546875" style="3" customWidth="1"/>
    <col min="13827" max="13827" width="13.28515625" style="3" customWidth="1"/>
    <col min="13828" max="13828" width="11.42578125" style="3"/>
    <col min="13829" max="13829" width="13.42578125" style="3" customWidth="1"/>
    <col min="13830" max="13830" width="12.7109375" style="3" customWidth="1"/>
    <col min="13831" max="13831" width="14" style="3" customWidth="1"/>
    <col min="13832" max="13832" width="7.42578125" style="3" customWidth="1"/>
    <col min="13833" max="14080" width="11.42578125" style="3"/>
    <col min="14081" max="14081" width="15.85546875" style="3" customWidth="1"/>
    <col min="14082" max="14082" width="14.85546875" style="3" customWidth="1"/>
    <col min="14083" max="14083" width="13.28515625" style="3" customWidth="1"/>
    <col min="14084" max="14084" width="11.42578125" style="3"/>
    <col min="14085" max="14085" width="13.42578125" style="3" customWidth="1"/>
    <col min="14086" max="14086" width="12.7109375" style="3" customWidth="1"/>
    <col min="14087" max="14087" width="14" style="3" customWidth="1"/>
    <col min="14088" max="14088" width="7.42578125" style="3" customWidth="1"/>
    <col min="14089" max="14336" width="11.42578125" style="3"/>
    <col min="14337" max="14337" width="15.85546875" style="3" customWidth="1"/>
    <col min="14338" max="14338" width="14.85546875" style="3" customWidth="1"/>
    <col min="14339" max="14339" width="13.28515625" style="3" customWidth="1"/>
    <col min="14340" max="14340" width="11.42578125" style="3"/>
    <col min="14341" max="14341" width="13.42578125" style="3" customWidth="1"/>
    <col min="14342" max="14342" width="12.7109375" style="3" customWidth="1"/>
    <col min="14343" max="14343" width="14" style="3" customWidth="1"/>
    <col min="14344" max="14344" width="7.42578125" style="3" customWidth="1"/>
    <col min="14345" max="14592" width="11.42578125" style="3"/>
    <col min="14593" max="14593" width="15.85546875" style="3" customWidth="1"/>
    <col min="14594" max="14594" width="14.85546875" style="3" customWidth="1"/>
    <col min="14595" max="14595" width="13.28515625" style="3" customWidth="1"/>
    <col min="14596" max="14596" width="11.42578125" style="3"/>
    <col min="14597" max="14597" width="13.42578125" style="3" customWidth="1"/>
    <col min="14598" max="14598" width="12.7109375" style="3" customWidth="1"/>
    <col min="14599" max="14599" width="14" style="3" customWidth="1"/>
    <col min="14600" max="14600" width="7.42578125" style="3" customWidth="1"/>
    <col min="14601" max="14848" width="11.42578125" style="3"/>
    <col min="14849" max="14849" width="15.85546875" style="3" customWidth="1"/>
    <col min="14850" max="14850" width="14.85546875" style="3" customWidth="1"/>
    <col min="14851" max="14851" width="13.28515625" style="3" customWidth="1"/>
    <col min="14852" max="14852" width="11.42578125" style="3"/>
    <col min="14853" max="14853" width="13.42578125" style="3" customWidth="1"/>
    <col min="14854" max="14854" width="12.7109375" style="3" customWidth="1"/>
    <col min="14855" max="14855" width="14" style="3" customWidth="1"/>
    <col min="14856" max="14856" width="7.42578125" style="3" customWidth="1"/>
    <col min="14857" max="15104" width="11.42578125" style="3"/>
    <col min="15105" max="15105" width="15.85546875" style="3" customWidth="1"/>
    <col min="15106" max="15106" width="14.85546875" style="3" customWidth="1"/>
    <col min="15107" max="15107" width="13.28515625" style="3" customWidth="1"/>
    <col min="15108" max="15108" width="11.42578125" style="3"/>
    <col min="15109" max="15109" width="13.42578125" style="3" customWidth="1"/>
    <col min="15110" max="15110" width="12.7109375" style="3" customWidth="1"/>
    <col min="15111" max="15111" width="14" style="3" customWidth="1"/>
    <col min="15112" max="15112" width="7.42578125" style="3" customWidth="1"/>
    <col min="15113" max="15360" width="11.42578125" style="3"/>
    <col min="15361" max="15361" width="15.85546875" style="3" customWidth="1"/>
    <col min="15362" max="15362" width="14.85546875" style="3" customWidth="1"/>
    <col min="15363" max="15363" width="13.28515625" style="3" customWidth="1"/>
    <col min="15364" max="15364" width="11.42578125" style="3"/>
    <col min="15365" max="15365" width="13.42578125" style="3" customWidth="1"/>
    <col min="15366" max="15366" width="12.7109375" style="3" customWidth="1"/>
    <col min="15367" max="15367" width="14" style="3" customWidth="1"/>
    <col min="15368" max="15368" width="7.42578125" style="3" customWidth="1"/>
    <col min="15369" max="15616" width="11.42578125" style="3"/>
    <col min="15617" max="15617" width="15.85546875" style="3" customWidth="1"/>
    <col min="15618" max="15618" width="14.85546875" style="3" customWidth="1"/>
    <col min="15619" max="15619" width="13.28515625" style="3" customWidth="1"/>
    <col min="15620" max="15620" width="11.42578125" style="3"/>
    <col min="15621" max="15621" width="13.42578125" style="3" customWidth="1"/>
    <col min="15622" max="15622" width="12.7109375" style="3" customWidth="1"/>
    <col min="15623" max="15623" width="14" style="3" customWidth="1"/>
    <col min="15624" max="15624" width="7.42578125" style="3" customWidth="1"/>
    <col min="15625" max="15872" width="11.42578125" style="3"/>
    <col min="15873" max="15873" width="15.85546875" style="3" customWidth="1"/>
    <col min="15874" max="15874" width="14.85546875" style="3" customWidth="1"/>
    <col min="15875" max="15875" width="13.28515625" style="3" customWidth="1"/>
    <col min="15876" max="15876" width="11.42578125" style="3"/>
    <col min="15877" max="15877" width="13.42578125" style="3" customWidth="1"/>
    <col min="15878" max="15878" width="12.7109375" style="3" customWidth="1"/>
    <col min="15879" max="15879" width="14" style="3" customWidth="1"/>
    <col min="15880" max="15880" width="7.42578125" style="3" customWidth="1"/>
    <col min="15881" max="16128" width="11.42578125" style="3"/>
    <col min="16129" max="16129" width="15.85546875" style="3" customWidth="1"/>
    <col min="16130" max="16130" width="14.85546875" style="3" customWidth="1"/>
    <col min="16131" max="16131" width="13.28515625" style="3" customWidth="1"/>
    <col min="16132" max="16132" width="11.42578125" style="3"/>
    <col min="16133" max="16133" width="13.42578125" style="3" customWidth="1"/>
    <col min="16134" max="16134" width="12.7109375" style="3" customWidth="1"/>
    <col min="16135" max="16135" width="14" style="3" customWidth="1"/>
    <col min="16136" max="16136" width="7.42578125" style="3" customWidth="1"/>
    <col min="16137" max="16384" width="11.42578125" style="3"/>
  </cols>
  <sheetData>
    <row r="1" spans="1:21" ht="20.25">
      <c r="A1" s="1346" t="str">
        <f>PPTO!D3</f>
        <v>PRESUPUESTO
MUNICIPIO EL BAGRE (ANTIOQUIA).</v>
      </c>
      <c r="B1" s="1347"/>
      <c r="C1" s="1347"/>
      <c r="D1" s="1347"/>
      <c r="E1" s="1347"/>
      <c r="F1" s="1347"/>
      <c r="G1" s="1348"/>
      <c r="H1" s="1"/>
      <c r="I1" s="2"/>
    </row>
    <row r="2" spans="1:21" ht="18" customHeight="1">
      <c r="A2" s="1362" t="s">
        <v>16</v>
      </c>
      <c r="B2" s="1363"/>
      <c r="C2" s="1363"/>
      <c r="D2" s="1363"/>
      <c r="E2" s="1363"/>
      <c r="F2" s="1363"/>
      <c r="G2" s="1364"/>
      <c r="H2" s="1"/>
      <c r="I2" s="2"/>
    </row>
    <row r="3" spans="1:21" ht="27" customHeight="1">
      <c r="A3" s="1367" t="str">
        <f>+PPTO!$D$5</f>
        <v>PROYECTO DE MEJORAMIENTO VIAL, ESPACIO PUBLICO Y OBRAS COMPLEMENTARIAS DE LA AVENIDA LA JUVENTUD Y TRAMOS ADYACENTES Y PRIORITARIOS DEL SECTOR URBANO EN EL MUNICIPIO EL BAGRE ANTIOQUIA.</v>
      </c>
      <c r="B3" s="1368"/>
      <c r="C3" s="1368"/>
      <c r="D3" s="1368"/>
      <c r="E3" s="1368"/>
      <c r="F3" s="1368"/>
      <c r="G3" s="1369"/>
      <c r="H3" s="1"/>
      <c r="I3" s="2"/>
    </row>
    <row r="4" spans="1:21" ht="15" customHeight="1">
      <c r="A4" s="1370"/>
      <c r="B4" s="1368"/>
      <c r="C4" s="1368"/>
      <c r="D4" s="1368"/>
      <c r="E4" s="1368"/>
      <c r="F4" s="1368"/>
      <c r="G4" s="1369"/>
      <c r="H4" s="1"/>
      <c r="I4" s="2"/>
    </row>
    <row r="5" spans="1:21" ht="6.75" customHeight="1">
      <c r="A5" s="222"/>
      <c r="B5" s="6"/>
      <c r="C5" s="24"/>
      <c r="D5" s="25"/>
      <c r="E5" s="6"/>
      <c r="F5" s="6"/>
      <c r="G5" s="223"/>
      <c r="H5" s="9"/>
    </row>
    <row r="6" spans="1:21">
      <c r="A6" s="368">
        <v>6.34</v>
      </c>
      <c r="B6" s="1349" t="str">
        <f>VLOOKUP(A6,PPTO!D9:I136,2,FALSE)</f>
        <v>Suministro e instalación Union de 3" PVC ó Similar</v>
      </c>
      <c r="C6" s="1350"/>
      <c r="D6" s="1350"/>
      <c r="E6" s="1351"/>
      <c r="F6" s="192" t="s">
        <v>118</v>
      </c>
      <c r="G6" s="248" t="str">
        <f>VLOOKUP(A6,PPTO!D9:I136,3,FALSE)</f>
        <v>und</v>
      </c>
      <c r="H6" s="9"/>
    </row>
    <row r="7" spans="1:21" ht="3.75" customHeight="1">
      <c r="A7" s="226"/>
      <c r="B7" s="4"/>
      <c r="C7" s="6"/>
      <c r="D7" s="4"/>
      <c r="E7" s="4"/>
      <c r="F7" s="4"/>
      <c r="G7" s="227"/>
      <c r="H7" s="9"/>
    </row>
    <row r="8" spans="1:21" ht="22.5" customHeight="1">
      <c r="A8" s="1354" t="s">
        <v>69</v>
      </c>
      <c r="B8" s="1355"/>
      <c r="C8" s="1355"/>
      <c r="D8" s="1355"/>
      <c r="E8" s="1355"/>
      <c r="F8" s="1355"/>
      <c r="G8" s="1356"/>
      <c r="H8" s="9"/>
    </row>
    <row r="9" spans="1:21" ht="4.5" customHeight="1">
      <c r="A9" s="226"/>
      <c r="B9" s="4"/>
      <c r="C9" s="6"/>
      <c r="D9" s="4"/>
      <c r="E9" s="4"/>
      <c r="F9" s="4"/>
      <c r="G9" s="227"/>
      <c r="H9" s="9"/>
      <c r="I9" s="5"/>
      <c r="J9" s="5"/>
      <c r="K9" s="5"/>
      <c r="L9" s="26"/>
      <c r="M9" s="5"/>
      <c r="N9" s="5"/>
      <c r="O9" s="5"/>
      <c r="P9" s="5"/>
    </row>
    <row r="10" spans="1:21">
      <c r="A10" s="1373" t="s">
        <v>17</v>
      </c>
      <c r="B10" s="1374"/>
      <c r="C10" s="1374"/>
      <c r="D10" s="353" t="s">
        <v>18</v>
      </c>
      <c r="E10" s="353" t="s">
        <v>19</v>
      </c>
      <c r="F10" s="353" t="s">
        <v>20</v>
      </c>
      <c r="G10" s="228" t="s">
        <v>21</v>
      </c>
      <c r="H10" s="27"/>
      <c r="I10" s="28"/>
      <c r="J10" s="29"/>
      <c r="K10" s="30"/>
      <c r="L10" s="30"/>
      <c r="M10" s="30"/>
      <c r="N10" s="30"/>
      <c r="O10" s="30"/>
      <c r="P10" s="5"/>
    </row>
    <row r="11" spans="1:21">
      <c r="A11" s="1352" t="s">
        <v>47</v>
      </c>
      <c r="B11" s="1353"/>
      <c r="C11" s="1353"/>
      <c r="D11" s="353"/>
      <c r="E11" s="83"/>
      <c r="F11" s="97"/>
      <c r="G11" s="229">
        <f>+G39*10%</f>
        <v>2036</v>
      </c>
      <c r="H11" s="9"/>
      <c r="I11" s="30"/>
      <c r="J11" s="31"/>
      <c r="K11" s="30"/>
      <c r="L11" s="30"/>
      <c r="M11" s="30"/>
      <c r="N11" s="30"/>
      <c r="O11" s="30"/>
      <c r="P11" s="5"/>
    </row>
    <row r="12" spans="1:21">
      <c r="A12" s="1371"/>
      <c r="B12" s="1372"/>
      <c r="C12" s="1372"/>
      <c r="D12" s="83"/>
      <c r="E12" s="83"/>
      <c r="F12" s="93"/>
      <c r="G12" s="229"/>
      <c r="H12" s="9"/>
      <c r="I12" s="16"/>
      <c r="J12" s="13"/>
      <c r="K12" s="8"/>
      <c r="L12" s="8"/>
      <c r="M12" s="8"/>
      <c r="N12" s="8"/>
      <c r="O12" s="8"/>
      <c r="P12" s="5"/>
    </row>
    <row r="13" spans="1:21">
      <c r="A13" s="1371"/>
      <c r="B13" s="1372"/>
      <c r="C13" s="1372"/>
      <c r="D13" s="83"/>
      <c r="E13" s="83"/>
      <c r="F13" s="93"/>
      <c r="G13" s="229"/>
      <c r="H13" s="9"/>
      <c r="I13" s="13"/>
      <c r="J13" s="13"/>
      <c r="K13" s="13"/>
      <c r="L13" s="13"/>
      <c r="M13" s="13"/>
      <c r="N13" s="13"/>
      <c r="O13" s="13"/>
      <c r="P13" s="5"/>
    </row>
    <row r="14" spans="1:21">
      <c r="A14" s="1371"/>
      <c r="B14" s="1372"/>
      <c r="C14" s="1372"/>
      <c r="D14" s="83"/>
      <c r="E14" s="83"/>
      <c r="F14" s="93"/>
      <c r="G14" s="229"/>
      <c r="H14" s="9"/>
      <c r="I14" s="8"/>
      <c r="J14" s="14"/>
      <c r="K14" s="32"/>
      <c r="L14" s="14"/>
      <c r="M14" s="15"/>
      <c r="N14" s="15"/>
      <c r="O14" s="19"/>
      <c r="P14" s="5"/>
    </row>
    <row r="15" spans="1:21">
      <c r="A15" s="1371"/>
      <c r="B15" s="1372"/>
      <c r="C15" s="1372"/>
      <c r="D15" s="83"/>
      <c r="E15" s="83"/>
      <c r="F15" s="98"/>
      <c r="G15" s="229"/>
      <c r="H15" s="9"/>
      <c r="I15" s="8"/>
      <c r="J15" s="33"/>
      <c r="K15" s="32"/>
      <c r="L15" s="14"/>
      <c r="M15" s="15"/>
      <c r="N15" s="15"/>
      <c r="O15" s="19"/>
      <c r="P15" s="5"/>
      <c r="Q15" s="5"/>
      <c r="R15" s="5"/>
      <c r="S15" s="5"/>
      <c r="T15" s="5"/>
      <c r="U15" s="5"/>
    </row>
    <row r="16" spans="1:21">
      <c r="A16" s="1371"/>
      <c r="B16" s="1372"/>
      <c r="C16" s="1372"/>
      <c r="D16" s="85" t="s">
        <v>37</v>
      </c>
      <c r="E16" s="50"/>
      <c r="F16" s="49"/>
      <c r="G16" s="230">
        <f>SUM(G11:G15)</f>
        <v>2036</v>
      </c>
      <c r="H16" s="9"/>
      <c r="I16" s="34"/>
      <c r="J16" s="34"/>
      <c r="K16" s="35"/>
      <c r="L16" s="36"/>
      <c r="M16" s="7"/>
      <c r="N16" s="7"/>
      <c r="O16" s="19"/>
      <c r="P16" s="5"/>
      <c r="Q16" s="5"/>
      <c r="R16" s="5"/>
      <c r="S16" s="5"/>
      <c r="T16" s="5"/>
      <c r="U16" s="5"/>
    </row>
    <row r="17" spans="1:21" ht="4.5" customHeight="1">
      <c r="A17" s="226"/>
      <c r="B17" s="4"/>
      <c r="C17" s="6"/>
      <c r="D17" s="4"/>
      <c r="E17" s="4"/>
      <c r="F17" s="4"/>
      <c r="G17" s="227"/>
      <c r="H17" s="9"/>
      <c r="I17" s="34"/>
      <c r="J17" s="34"/>
      <c r="K17" s="35"/>
      <c r="L17" s="36"/>
      <c r="M17" s="7"/>
      <c r="N17" s="7"/>
      <c r="O17" s="19"/>
      <c r="P17" s="5"/>
      <c r="Q17" s="5"/>
      <c r="R17" s="5"/>
      <c r="S17" s="5"/>
      <c r="T17" s="5"/>
      <c r="U17" s="5"/>
    </row>
    <row r="18" spans="1:21" ht="22.5" customHeight="1">
      <c r="A18" s="1354" t="s">
        <v>70</v>
      </c>
      <c r="B18" s="1355"/>
      <c r="C18" s="1355"/>
      <c r="D18" s="1355"/>
      <c r="E18" s="1355"/>
      <c r="F18" s="1355"/>
      <c r="G18" s="1356"/>
      <c r="H18" s="9"/>
    </row>
    <row r="19" spans="1:21" ht="4.5" customHeight="1">
      <c r="A19" s="226"/>
      <c r="B19" s="4"/>
      <c r="C19" s="6"/>
      <c r="D19" s="4"/>
      <c r="E19" s="4"/>
      <c r="F19" s="38"/>
      <c r="G19" s="227"/>
      <c r="H19" s="9"/>
      <c r="I19" s="34"/>
      <c r="J19" s="34"/>
      <c r="K19" s="35"/>
      <c r="L19" s="39"/>
      <c r="M19" s="7"/>
      <c r="N19" s="7"/>
      <c r="O19" s="8"/>
      <c r="P19" s="5"/>
      <c r="Q19" s="5"/>
      <c r="R19" s="5"/>
      <c r="S19" s="5"/>
      <c r="T19" s="5"/>
      <c r="U19" s="5"/>
    </row>
    <row r="20" spans="1:21">
      <c r="A20" s="1373" t="s">
        <v>17</v>
      </c>
      <c r="B20" s="1374"/>
      <c r="C20" s="1374"/>
      <c r="D20" s="353" t="s">
        <v>3</v>
      </c>
      <c r="E20" s="353" t="s">
        <v>4</v>
      </c>
      <c r="F20" s="353" t="s">
        <v>25</v>
      </c>
      <c r="G20" s="228" t="s">
        <v>21</v>
      </c>
      <c r="H20" s="27"/>
      <c r="I20" s="34"/>
      <c r="J20" s="34"/>
      <c r="K20" s="35"/>
      <c r="L20" s="39"/>
      <c r="M20" s="7"/>
      <c r="N20" s="7"/>
      <c r="O20" s="8"/>
      <c r="P20" s="5"/>
      <c r="Q20" s="5"/>
      <c r="R20" s="5"/>
      <c r="S20" s="5"/>
      <c r="T20" s="5"/>
      <c r="U20" s="5"/>
    </row>
    <row r="21" spans="1:21" ht="31.5" customHeight="1">
      <c r="A21" s="1441" t="str">
        <f>MID(I21,25,50)</f>
        <v xml:space="preserve"> Union de 3" PVC ó Similar</v>
      </c>
      <c r="B21" s="1442"/>
      <c r="C21" s="1443"/>
      <c r="D21" s="118" t="s">
        <v>119</v>
      </c>
      <c r="E21" s="119">
        <v>1</v>
      </c>
      <c r="F21" s="87">
        <f>46011*IPC</f>
        <v>47474</v>
      </c>
      <c r="G21" s="231">
        <f>ROUND(F21*E21,0)</f>
        <v>47474</v>
      </c>
      <c r="H21" s="9"/>
      <c r="I21" s="34" t="str">
        <f>B6</f>
        <v>Suministro e instalación Union de 3" PVC ó Similar</v>
      </c>
      <c r="J21" s="34"/>
      <c r="K21" s="35"/>
      <c r="L21" s="36"/>
      <c r="M21" s="7"/>
      <c r="N21" s="7"/>
      <c r="O21" s="19"/>
      <c r="P21" s="5"/>
      <c r="Q21" s="5"/>
      <c r="R21" s="5"/>
      <c r="S21" s="5"/>
      <c r="T21" s="5"/>
      <c r="U21" s="5"/>
    </row>
    <row r="22" spans="1:21">
      <c r="A22" s="1444"/>
      <c r="B22" s="1403"/>
      <c r="C22" s="1404"/>
      <c r="D22" s="116"/>
      <c r="E22" s="117"/>
      <c r="F22" s="91"/>
      <c r="G22" s="231"/>
      <c r="H22" s="9"/>
      <c r="I22" s="10"/>
      <c r="J22" s="10"/>
      <c r="K22" s="12"/>
      <c r="L22" s="39"/>
      <c r="M22" s="7"/>
      <c r="N22" s="7"/>
      <c r="O22" s="15"/>
      <c r="P22" s="5"/>
      <c r="Q22" s="5"/>
      <c r="R22" s="5"/>
      <c r="S22" s="5"/>
      <c r="T22" s="5"/>
      <c r="U22" s="5"/>
    </row>
    <row r="23" spans="1:21">
      <c r="A23" s="1386"/>
      <c r="B23" s="1353"/>
      <c r="C23" s="1353"/>
      <c r="D23" s="79"/>
      <c r="E23" s="82"/>
      <c r="F23" s="83"/>
      <c r="G23" s="67"/>
      <c r="H23" s="9"/>
      <c r="I23" s="10"/>
      <c r="J23" s="10"/>
      <c r="K23" s="12"/>
      <c r="L23" s="39"/>
      <c r="M23" s="7"/>
      <c r="N23" s="7"/>
      <c r="O23" s="15"/>
      <c r="P23" s="5"/>
      <c r="Q23" s="5"/>
      <c r="R23" s="5"/>
      <c r="S23" s="5"/>
      <c r="T23" s="5"/>
      <c r="U23" s="5"/>
    </row>
    <row r="24" spans="1:21">
      <c r="A24" s="1352"/>
      <c r="B24" s="1353"/>
      <c r="C24" s="1353"/>
      <c r="D24" s="81"/>
      <c r="E24" s="88"/>
      <c r="F24" s="78"/>
      <c r="G24" s="231"/>
      <c r="H24" s="9"/>
      <c r="I24" s="10"/>
      <c r="J24" s="40"/>
      <c r="K24" s="12"/>
      <c r="L24" s="13"/>
      <c r="M24" s="14"/>
      <c r="N24" s="14"/>
      <c r="O24" s="15"/>
      <c r="P24" s="5"/>
      <c r="Q24" s="5"/>
      <c r="R24" s="5"/>
      <c r="S24" s="5"/>
      <c r="T24" s="5"/>
      <c r="U24" s="5"/>
    </row>
    <row r="25" spans="1:21">
      <c r="A25" s="1352"/>
      <c r="B25" s="1353"/>
      <c r="C25" s="1353"/>
      <c r="D25" s="81"/>
      <c r="E25" s="82"/>
      <c r="F25" s="78"/>
      <c r="G25" s="231"/>
      <c r="H25" s="9"/>
      <c r="I25" s="10"/>
      <c r="J25" s="11"/>
      <c r="K25" s="12"/>
      <c r="L25" s="13"/>
      <c r="M25" s="14"/>
      <c r="N25" s="14"/>
      <c r="O25" s="15"/>
      <c r="P25" s="5"/>
      <c r="Q25" s="5"/>
      <c r="R25" s="5"/>
      <c r="S25" s="5"/>
      <c r="T25" s="5"/>
      <c r="U25" s="5"/>
    </row>
    <row r="26" spans="1:21">
      <c r="A26" s="1352"/>
      <c r="B26" s="1353"/>
      <c r="C26" s="1353"/>
      <c r="D26" s="79"/>
      <c r="E26" s="82"/>
      <c r="F26" s="78"/>
      <c r="G26" s="231"/>
      <c r="H26" s="9"/>
      <c r="I26" s="10"/>
      <c r="J26" s="11"/>
      <c r="K26" s="12"/>
      <c r="L26" s="13"/>
      <c r="M26" s="14"/>
      <c r="N26" s="14"/>
      <c r="O26" s="15"/>
      <c r="P26" s="5"/>
      <c r="Q26" s="5"/>
      <c r="R26" s="5"/>
      <c r="S26" s="5"/>
      <c r="T26" s="5"/>
      <c r="U26" s="5"/>
    </row>
    <row r="27" spans="1:21">
      <c r="A27" s="1352"/>
      <c r="B27" s="1353"/>
      <c r="C27" s="1353"/>
      <c r="D27" s="79"/>
      <c r="E27" s="82"/>
      <c r="F27" s="78"/>
      <c r="G27" s="231"/>
      <c r="H27" s="9"/>
      <c r="I27" s="10"/>
      <c r="J27" s="11"/>
      <c r="K27" s="12"/>
      <c r="L27" s="13"/>
      <c r="M27" s="14"/>
      <c r="N27" s="14"/>
      <c r="O27" s="15"/>
      <c r="P27" s="5"/>
      <c r="Q27" s="5"/>
      <c r="R27" s="5"/>
      <c r="S27" s="5"/>
      <c r="T27" s="5"/>
      <c r="U27" s="5"/>
    </row>
    <row r="28" spans="1:21">
      <c r="A28" s="1352"/>
      <c r="B28" s="1353"/>
      <c r="C28" s="1353"/>
      <c r="D28" s="79"/>
      <c r="E28" s="82"/>
      <c r="F28" s="83"/>
      <c r="G28" s="231"/>
      <c r="H28" s="9"/>
      <c r="I28" s="41"/>
      <c r="J28" s="41"/>
      <c r="K28" s="12"/>
      <c r="L28" s="13"/>
      <c r="M28" s="14"/>
      <c r="N28" s="14"/>
      <c r="O28" s="15"/>
      <c r="P28" s="5"/>
      <c r="Q28" s="5"/>
      <c r="R28" s="5"/>
      <c r="S28" s="5"/>
      <c r="T28" s="5"/>
      <c r="U28" s="5"/>
    </row>
    <row r="29" spans="1:21">
      <c r="A29" s="1352"/>
      <c r="B29" s="1353"/>
      <c r="C29" s="1353"/>
      <c r="D29" s="84"/>
      <c r="E29" s="84"/>
      <c r="F29" s="83"/>
      <c r="G29" s="231"/>
      <c r="H29" s="9"/>
      <c r="I29" s="42"/>
      <c r="J29" s="42"/>
      <c r="K29" s="42"/>
      <c r="L29" s="13"/>
      <c r="M29" s="14"/>
      <c r="N29" s="14"/>
      <c r="O29" s="15"/>
      <c r="P29" s="5"/>
      <c r="Q29" s="5"/>
      <c r="R29" s="5"/>
      <c r="S29" s="5"/>
      <c r="T29" s="5"/>
      <c r="U29" s="5"/>
    </row>
    <row r="30" spans="1:21">
      <c r="A30" s="1352"/>
      <c r="B30" s="1353"/>
      <c r="C30" s="1353"/>
      <c r="D30" s="85" t="s">
        <v>28</v>
      </c>
      <c r="E30" s="50"/>
      <c r="F30" s="49"/>
      <c r="G30" s="230">
        <f>SUM(G21:G29)</f>
        <v>47474</v>
      </c>
      <c r="H30" s="9"/>
      <c r="I30" s="8"/>
      <c r="J30" s="13"/>
      <c r="K30" s="8"/>
      <c r="L30" s="13"/>
      <c r="M30" s="14"/>
      <c r="N30" s="14"/>
      <c r="O30" s="15"/>
      <c r="P30" s="5"/>
    </row>
    <row r="31" spans="1:21" ht="3.75" customHeight="1">
      <c r="A31" s="226"/>
      <c r="B31" s="4"/>
      <c r="C31" s="6"/>
      <c r="D31" s="4"/>
      <c r="E31" s="4"/>
      <c r="F31" s="4"/>
      <c r="G31" s="227"/>
      <c r="H31" s="9"/>
      <c r="I31" s="8"/>
      <c r="J31" s="13"/>
      <c r="K31" s="18"/>
      <c r="L31" s="13"/>
      <c r="M31" s="33"/>
      <c r="N31" s="33"/>
      <c r="O31" s="15"/>
      <c r="P31" s="5"/>
    </row>
    <row r="32" spans="1:21" ht="22.5" customHeight="1">
      <c r="A32" s="1354" t="s">
        <v>71</v>
      </c>
      <c r="B32" s="1355"/>
      <c r="C32" s="1355"/>
      <c r="D32" s="1355"/>
      <c r="E32" s="1355"/>
      <c r="F32" s="1355"/>
      <c r="G32" s="1356"/>
      <c r="H32" s="9"/>
    </row>
    <row r="33" spans="1:16" ht="3.75" customHeight="1">
      <c r="A33" s="226"/>
      <c r="B33" s="4"/>
      <c r="C33" s="6"/>
      <c r="D33" s="4"/>
      <c r="E33" s="4"/>
      <c r="F33" s="4"/>
      <c r="G33" s="227"/>
      <c r="H33" s="9"/>
      <c r="I33" s="8"/>
      <c r="J33" s="13"/>
      <c r="K33" s="8"/>
      <c r="L33" s="8"/>
      <c r="M33" s="8"/>
      <c r="N33" s="8"/>
      <c r="O33" s="15"/>
      <c r="P33" s="5"/>
    </row>
    <row r="34" spans="1:16">
      <c r="A34" s="232" t="s">
        <v>5</v>
      </c>
      <c r="B34" s="60" t="s">
        <v>29</v>
      </c>
      <c r="C34" s="60" t="s">
        <v>30</v>
      </c>
      <c r="D34" s="60" t="s">
        <v>31</v>
      </c>
      <c r="E34" s="60" t="s">
        <v>32</v>
      </c>
      <c r="F34" s="60" t="s">
        <v>20</v>
      </c>
      <c r="G34" s="228" t="s">
        <v>33</v>
      </c>
      <c r="H34" s="27"/>
      <c r="I34" s="8"/>
      <c r="J34" s="13"/>
      <c r="K34" s="8"/>
      <c r="L34" s="8"/>
      <c r="M34" s="8"/>
      <c r="N34" s="8"/>
      <c r="O34" s="15"/>
      <c r="P34" s="5"/>
    </row>
    <row r="35" spans="1:16">
      <c r="A35" s="233" t="s">
        <v>41</v>
      </c>
      <c r="B35" s="63">
        <f>BOF</f>
        <v>51749</v>
      </c>
      <c r="C35" s="68">
        <f>ffpp</f>
        <v>0.64539999999999997</v>
      </c>
      <c r="D35" s="72">
        <v>1</v>
      </c>
      <c r="E35" s="66">
        <f>OF</f>
        <v>88696</v>
      </c>
      <c r="F35" s="65">
        <v>15</v>
      </c>
      <c r="G35" s="231">
        <f>ROUND(+D35*E35/F35,0)</f>
        <v>5913</v>
      </c>
      <c r="H35" s="9"/>
      <c r="I35" s="16"/>
      <c r="J35" s="13"/>
      <c r="K35" s="8"/>
      <c r="L35" s="8"/>
      <c r="M35" s="8"/>
      <c r="N35" s="8"/>
      <c r="O35" s="15"/>
      <c r="P35" s="5"/>
    </row>
    <row r="36" spans="1:16">
      <c r="A36" s="233" t="s">
        <v>38</v>
      </c>
      <c r="B36" s="63">
        <f>BOB</f>
        <v>41749</v>
      </c>
      <c r="C36" s="68">
        <f>ffpp</f>
        <v>0.64539999999999997</v>
      </c>
      <c r="D36" s="72">
        <v>3</v>
      </c>
      <c r="E36" s="66">
        <f>OB</f>
        <v>72242</v>
      </c>
      <c r="F36" s="65">
        <f>F35</f>
        <v>15</v>
      </c>
      <c r="G36" s="231">
        <f>ROUND(+D36*E36/F36,0)</f>
        <v>14448</v>
      </c>
      <c r="H36" s="9"/>
      <c r="I36" s="8"/>
      <c r="J36" s="8"/>
      <c r="K36" s="13"/>
      <c r="L36" s="13"/>
      <c r="M36" s="13"/>
      <c r="N36" s="13"/>
      <c r="O36" s="13"/>
      <c r="P36" s="5"/>
    </row>
    <row r="37" spans="1:16">
      <c r="A37" s="234"/>
      <c r="B37" s="50"/>
      <c r="C37" s="961"/>
      <c r="D37" s="50"/>
      <c r="E37" s="66"/>
      <c r="F37" s="65"/>
      <c r="G37" s="231"/>
      <c r="H37" s="9"/>
      <c r="I37" s="8"/>
      <c r="J37" s="13"/>
      <c r="K37" s="13"/>
      <c r="L37" s="13"/>
      <c r="M37" s="33"/>
      <c r="N37" s="33"/>
      <c r="O37" s="43"/>
      <c r="P37" s="5"/>
    </row>
    <row r="38" spans="1:16">
      <c r="A38" s="233"/>
      <c r="B38" s="65"/>
      <c r="C38" s="68"/>
      <c r="D38" s="65"/>
      <c r="E38" s="69"/>
      <c r="F38" s="69"/>
      <c r="G38" s="236"/>
      <c r="H38" s="9"/>
      <c r="I38" s="8"/>
      <c r="J38" s="13"/>
      <c r="K38" s="13"/>
      <c r="L38" s="13"/>
      <c r="M38" s="33"/>
      <c r="N38" s="33"/>
      <c r="O38" s="43"/>
      <c r="P38" s="5"/>
    </row>
    <row r="39" spans="1:16">
      <c r="A39" s="249"/>
      <c r="B39" s="71"/>
      <c r="C39" s="71"/>
      <c r="D39" s="71" t="s">
        <v>34</v>
      </c>
      <c r="E39" s="71"/>
      <c r="F39" s="71"/>
      <c r="G39" s="250">
        <f>SUM(G35:G38)</f>
        <v>20361</v>
      </c>
      <c r="H39" s="9"/>
      <c r="I39" s="8"/>
      <c r="J39" s="13"/>
      <c r="K39" s="13"/>
      <c r="L39" s="13"/>
      <c r="M39" s="14"/>
      <c r="N39" s="14"/>
      <c r="O39" s="15"/>
      <c r="P39" s="5"/>
    </row>
    <row r="40" spans="1:16">
      <c r="A40" s="226"/>
      <c r="B40" s="4"/>
      <c r="C40" s="6"/>
      <c r="D40" s="4"/>
      <c r="E40" s="4"/>
      <c r="F40" s="4"/>
      <c r="G40" s="227"/>
      <c r="H40" s="9"/>
      <c r="I40" s="8"/>
      <c r="J40" s="13"/>
      <c r="K40" s="13"/>
      <c r="L40" s="13"/>
      <c r="M40" s="14"/>
      <c r="N40" s="14"/>
      <c r="O40" s="19"/>
      <c r="P40" s="5"/>
    </row>
    <row r="41" spans="1:16">
      <c r="A41" s="226"/>
      <c r="B41" s="4"/>
      <c r="C41" s="6"/>
      <c r="D41" s="4"/>
      <c r="E41" s="4"/>
      <c r="F41" s="4"/>
      <c r="G41" s="227"/>
      <c r="H41" s="9"/>
      <c r="I41" s="8"/>
      <c r="J41" s="13"/>
      <c r="K41" s="13"/>
      <c r="L41" s="13"/>
      <c r="M41" s="17"/>
      <c r="N41" s="17"/>
      <c r="O41" s="37"/>
      <c r="P41" s="5"/>
    </row>
    <row r="42" spans="1:16" ht="14.25">
      <c r="A42" s="226"/>
      <c r="B42" s="4"/>
      <c r="C42" s="6"/>
      <c r="D42" s="1357" t="s">
        <v>35</v>
      </c>
      <c r="E42" s="1358"/>
      <c r="F42" s="1359"/>
      <c r="G42" s="239">
        <f>+G39+G30+G16</f>
        <v>69871</v>
      </c>
      <c r="H42" s="9"/>
      <c r="I42" s="48"/>
      <c r="J42" s="20"/>
      <c r="K42" s="8"/>
      <c r="L42" s="8"/>
      <c r="M42" s="8"/>
      <c r="N42" s="8"/>
      <c r="O42" s="8"/>
      <c r="P42" s="5"/>
    </row>
    <row r="43" spans="1:16" ht="14.25">
      <c r="A43" s="240"/>
      <c r="B43" s="57"/>
      <c r="C43" s="58"/>
      <c r="D43" s="99"/>
      <c r="E43" s="99"/>
      <c r="F43" s="99"/>
      <c r="G43" s="251"/>
      <c r="H43" s="9"/>
      <c r="I43" s="48"/>
      <c r="J43" s="20"/>
      <c r="K43" s="8"/>
      <c r="L43" s="8"/>
      <c r="M43" s="8"/>
      <c r="N43" s="8"/>
      <c r="O43" s="8"/>
      <c r="P43" s="5"/>
    </row>
    <row r="44" spans="1:16" ht="14.25">
      <c r="A44" s="374"/>
      <c r="B44" s="375"/>
      <c r="C44" s="375"/>
      <c r="D44" s="99"/>
      <c r="E44" s="99"/>
      <c r="F44" s="99"/>
      <c r="G44" s="251"/>
      <c r="H44" s="9"/>
      <c r="I44" s="48"/>
      <c r="J44" s="20"/>
      <c r="K44" s="8"/>
      <c r="L44" s="8"/>
      <c r="M44" s="8"/>
      <c r="N44" s="8"/>
      <c r="O44" s="8"/>
      <c r="P44" s="5"/>
    </row>
    <row r="45" spans="1:16" ht="14.25">
      <c r="A45" s="373"/>
      <c r="B45" s="376"/>
      <c r="C45" s="376"/>
      <c r="D45" s="99"/>
      <c r="E45" s="99"/>
      <c r="F45" s="99"/>
      <c r="G45" s="251"/>
      <c r="H45" s="9"/>
      <c r="I45" s="48"/>
      <c r="J45" s="20"/>
      <c r="K45" s="8"/>
      <c r="L45" s="8"/>
      <c r="M45" s="8"/>
      <c r="N45" s="8"/>
      <c r="O45" s="8"/>
      <c r="P45" s="5"/>
    </row>
    <row r="46" spans="1:16" ht="14.25">
      <c r="A46" s="373"/>
      <c r="B46" s="376"/>
      <c r="C46" s="376"/>
      <c r="D46" s="44"/>
      <c r="E46" s="45"/>
      <c r="F46" s="45"/>
      <c r="G46" s="251"/>
      <c r="H46" s="9"/>
      <c r="I46" s="8"/>
      <c r="J46" s="13"/>
      <c r="K46" s="8"/>
      <c r="L46" s="8"/>
      <c r="M46" s="8"/>
      <c r="N46" s="8"/>
      <c r="O46" s="8"/>
      <c r="P46" s="5"/>
    </row>
    <row r="47" spans="1:16" ht="15" thickBot="1">
      <c r="A47" s="242"/>
      <c r="B47" s="243"/>
      <c r="C47" s="244"/>
      <c r="D47" s="245"/>
      <c r="E47" s="246"/>
      <c r="F47" s="246"/>
      <c r="G47" s="247"/>
      <c r="H47" s="9"/>
      <c r="I47" s="8"/>
      <c r="J47" s="13"/>
      <c r="K47" s="8"/>
      <c r="L47" s="8"/>
      <c r="M47" s="8"/>
      <c r="N47" s="8"/>
      <c r="O47" s="8"/>
      <c r="P47" s="5"/>
    </row>
    <row r="48" spans="1:16">
      <c r="I48" s="5"/>
      <c r="J48" s="5"/>
      <c r="K48" s="5"/>
      <c r="L48" s="5"/>
      <c r="M48" s="5"/>
      <c r="N48" s="5"/>
      <c r="O48" s="5"/>
      <c r="P48" s="5"/>
    </row>
    <row r="49" spans="9:16">
      <c r="I49" s="5"/>
      <c r="J49" s="5"/>
      <c r="K49" s="5"/>
      <c r="L49" s="5"/>
      <c r="M49" s="5"/>
      <c r="N49" s="5"/>
      <c r="O49" s="5"/>
      <c r="P49" s="5"/>
    </row>
  </sheetData>
  <mergeCells count="26">
    <mergeCell ref="A10:C10"/>
    <mergeCell ref="A1:G1"/>
    <mergeCell ref="A2:G2"/>
    <mergeCell ref="A3:G4"/>
    <mergeCell ref="B6:E6"/>
    <mergeCell ref="A8:G8"/>
    <mergeCell ref="A24:C24"/>
    <mergeCell ref="A11:C11"/>
    <mergeCell ref="A12:C12"/>
    <mergeCell ref="A13:C13"/>
    <mergeCell ref="A14:C14"/>
    <mergeCell ref="A15:C15"/>
    <mergeCell ref="A16:C16"/>
    <mergeCell ref="A18:G18"/>
    <mergeCell ref="A20:C20"/>
    <mergeCell ref="A21:C21"/>
    <mergeCell ref="A22:C22"/>
    <mergeCell ref="A23:C23"/>
    <mergeCell ref="A32:G32"/>
    <mergeCell ref="D42:F42"/>
    <mergeCell ref="A25:C25"/>
    <mergeCell ref="A26:C26"/>
    <mergeCell ref="A27:C27"/>
    <mergeCell ref="A28:C28"/>
    <mergeCell ref="A29:C29"/>
    <mergeCell ref="A30:C30"/>
  </mergeCells>
  <printOptions horizontalCentered="1" verticalCentered="1"/>
  <pageMargins left="0.74803149606299213" right="0.74803149606299213" top="0" bottom="0.98425196850393704" header="0" footer="0"/>
  <pageSetup scale="90" orientation="portrait" r:id="rId1"/>
  <headerFooter alignWithMargins="0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89"/>
  <dimension ref="A1:U49"/>
  <sheetViews>
    <sheetView view="pageBreakPreview" zoomScaleNormal="100" zoomScaleSheetLayoutView="100" workbookViewId="0">
      <selection activeCell="I7" sqref="I7"/>
    </sheetView>
  </sheetViews>
  <sheetFormatPr baseColWidth="10" defaultColWidth="10.7109375" defaultRowHeight="12.75"/>
  <cols>
    <col min="1" max="1" width="15.85546875" style="3" customWidth="1"/>
    <col min="2" max="2" width="14.85546875" style="3" customWidth="1"/>
    <col min="3" max="3" width="13.28515625" style="3" customWidth="1"/>
    <col min="4" max="4" width="11.42578125" style="3"/>
    <col min="5" max="5" width="13.42578125" style="3" customWidth="1"/>
    <col min="6" max="6" width="12.7109375" style="3" customWidth="1"/>
    <col min="7" max="7" width="14" style="3" customWidth="1"/>
    <col min="8" max="8" width="7.42578125" style="3" customWidth="1"/>
    <col min="9" max="256" width="11.42578125" style="3"/>
    <col min="257" max="257" width="15.85546875" style="3" customWidth="1"/>
    <col min="258" max="258" width="14.85546875" style="3" customWidth="1"/>
    <col min="259" max="259" width="13.28515625" style="3" customWidth="1"/>
    <col min="260" max="260" width="11.42578125" style="3"/>
    <col min="261" max="261" width="13.42578125" style="3" customWidth="1"/>
    <col min="262" max="262" width="12.7109375" style="3" customWidth="1"/>
    <col min="263" max="263" width="14" style="3" customWidth="1"/>
    <col min="264" max="264" width="7.42578125" style="3" customWidth="1"/>
    <col min="265" max="512" width="11.42578125" style="3"/>
    <col min="513" max="513" width="15.85546875" style="3" customWidth="1"/>
    <col min="514" max="514" width="14.85546875" style="3" customWidth="1"/>
    <col min="515" max="515" width="13.28515625" style="3" customWidth="1"/>
    <col min="516" max="516" width="11.42578125" style="3"/>
    <col min="517" max="517" width="13.42578125" style="3" customWidth="1"/>
    <col min="518" max="518" width="12.7109375" style="3" customWidth="1"/>
    <col min="519" max="519" width="14" style="3" customWidth="1"/>
    <col min="520" max="520" width="7.42578125" style="3" customWidth="1"/>
    <col min="521" max="768" width="11.42578125" style="3"/>
    <col min="769" max="769" width="15.85546875" style="3" customWidth="1"/>
    <col min="770" max="770" width="14.85546875" style="3" customWidth="1"/>
    <col min="771" max="771" width="13.28515625" style="3" customWidth="1"/>
    <col min="772" max="772" width="11.42578125" style="3"/>
    <col min="773" max="773" width="13.42578125" style="3" customWidth="1"/>
    <col min="774" max="774" width="12.7109375" style="3" customWidth="1"/>
    <col min="775" max="775" width="14" style="3" customWidth="1"/>
    <col min="776" max="776" width="7.42578125" style="3" customWidth="1"/>
    <col min="777" max="1024" width="11.42578125" style="3"/>
    <col min="1025" max="1025" width="15.85546875" style="3" customWidth="1"/>
    <col min="1026" max="1026" width="14.85546875" style="3" customWidth="1"/>
    <col min="1027" max="1027" width="13.28515625" style="3" customWidth="1"/>
    <col min="1028" max="1028" width="11.42578125" style="3"/>
    <col min="1029" max="1029" width="13.42578125" style="3" customWidth="1"/>
    <col min="1030" max="1030" width="12.7109375" style="3" customWidth="1"/>
    <col min="1031" max="1031" width="14" style="3" customWidth="1"/>
    <col min="1032" max="1032" width="7.42578125" style="3" customWidth="1"/>
    <col min="1033" max="1280" width="11.42578125" style="3"/>
    <col min="1281" max="1281" width="15.85546875" style="3" customWidth="1"/>
    <col min="1282" max="1282" width="14.85546875" style="3" customWidth="1"/>
    <col min="1283" max="1283" width="13.28515625" style="3" customWidth="1"/>
    <col min="1284" max="1284" width="11.42578125" style="3"/>
    <col min="1285" max="1285" width="13.42578125" style="3" customWidth="1"/>
    <col min="1286" max="1286" width="12.7109375" style="3" customWidth="1"/>
    <col min="1287" max="1287" width="14" style="3" customWidth="1"/>
    <col min="1288" max="1288" width="7.42578125" style="3" customWidth="1"/>
    <col min="1289" max="1536" width="11.42578125" style="3"/>
    <col min="1537" max="1537" width="15.85546875" style="3" customWidth="1"/>
    <col min="1538" max="1538" width="14.85546875" style="3" customWidth="1"/>
    <col min="1539" max="1539" width="13.28515625" style="3" customWidth="1"/>
    <col min="1540" max="1540" width="11.42578125" style="3"/>
    <col min="1541" max="1541" width="13.42578125" style="3" customWidth="1"/>
    <col min="1542" max="1542" width="12.7109375" style="3" customWidth="1"/>
    <col min="1543" max="1543" width="14" style="3" customWidth="1"/>
    <col min="1544" max="1544" width="7.42578125" style="3" customWidth="1"/>
    <col min="1545" max="1792" width="11.42578125" style="3"/>
    <col min="1793" max="1793" width="15.85546875" style="3" customWidth="1"/>
    <col min="1794" max="1794" width="14.85546875" style="3" customWidth="1"/>
    <col min="1795" max="1795" width="13.28515625" style="3" customWidth="1"/>
    <col min="1796" max="1796" width="11.42578125" style="3"/>
    <col min="1797" max="1797" width="13.42578125" style="3" customWidth="1"/>
    <col min="1798" max="1798" width="12.7109375" style="3" customWidth="1"/>
    <col min="1799" max="1799" width="14" style="3" customWidth="1"/>
    <col min="1800" max="1800" width="7.42578125" style="3" customWidth="1"/>
    <col min="1801" max="2048" width="11.42578125" style="3"/>
    <col min="2049" max="2049" width="15.85546875" style="3" customWidth="1"/>
    <col min="2050" max="2050" width="14.85546875" style="3" customWidth="1"/>
    <col min="2051" max="2051" width="13.28515625" style="3" customWidth="1"/>
    <col min="2052" max="2052" width="11.42578125" style="3"/>
    <col min="2053" max="2053" width="13.42578125" style="3" customWidth="1"/>
    <col min="2054" max="2054" width="12.7109375" style="3" customWidth="1"/>
    <col min="2055" max="2055" width="14" style="3" customWidth="1"/>
    <col min="2056" max="2056" width="7.42578125" style="3" customWidth="1"/>
    <col min="2057" max="2304" width="11.42578125" style="3"/>
    <col min="2305" max="2305" width="15.85546875" style="3" customWidth="1"/>
    <col min="2306" max="2306" width="14.85546875" style="3" customWidth="1"/>
    <col min="2307" max="2307" width="13.28515625" style="3" customWidth="1"/>
    <col min="2308" max="2308" width="11.42578125" style="3"/>
    <col min="2309" max="2309" width="13.42578125" style="3" customWidth="1"/>
    <col min="2310" max="2310" width="12.7109375" style="3" customWidth="1"/>
    <col min="2311" max="2311" width="14" style="3" customWidth="1"/>
    <col min="2312" max="2312" width="7.42578125" style="3" customWidth="1"/>
    <col min="2313" max="2560" width="11.42578125" style="3"/>
    <col min="2561" max="2561" width="15.85546875" style="3" customWidth="1"/>
    <col min="2562" max="2562" width="14.85546875" style="3" customWidth="1"/>
    <col min="2563" max="2563" width="13.28515625" style="3" customWidth="1"/>
    <col min="2564" max="2564" width="11.42578125" style="3"/>
    <col min="2565" max="2565" width="13.42578125" style="3" customWidth="1"/>
    <col min="2566" max="2566" width="12.7109375" style="3" customWidth="1"/>
    <col min="2567" max="2567" width="14" style="3" customWidth="1"/>
    <col min="2568" max="2568" width="7.42578125" style="3" customWidth="1"/>
    <col min="2569" max="2816" width="11.42578125" style="3"/>
    <col min="2817" max="2817" width="15.85546875" style="3" customWidth="1"/>
    <col min="2818" max="2818" width="14.85546875" style="3" customWidth="1"/>
    <col min="2819" max="2819" width="13.28515625" style="3" customWidth="1"/>
    <col min="2820" max="2820" width="11.42578125" style="3"/>
    <col min="2821" max="2821" width="13.42578125" style="3" customWidth="1"/>
    <col min="2822" max="2822" width="12.7109375" style="3" customWidth="1"/>
    <col min="2823" max="2823" width="14" style="3" customWidth="1"/>
    <col min="2824" max="2824" width="7.42578125" style="3" customWidth="1"/>
    <col min="2825" max="3072" width="11.42578125" style="3"/>
    <col min="3073" max="3073" width="15.85546875" style="3" customWidth="1"/>
    <col min="3074" max="3074" width="14.85546875" style="3" customWidth="1"/>
    <col min="3075" max="3075" width="13.28515625" style="3" customWidth="1"/>
    <col min="3076" max="3076" width="11.42578125" style="3"/>
    <col min="3077" max="3077" width="13.42578125" style="3" customWidth="1"/>
    <col min="3078" max="3078" width="12.7109375" style="3" customWidth="1"/>
    <col min="3079" max="3079" width="14" style="3" customWidth="1"/>
    <col min="3080" max="3080" width="7.42578125" style="3" customWidth="1"/>
    <col min="3081" max="3328" width="11.42578125" style="3"/>
    <col min="3329" max="3329" width="15.85546875" style="3" customWidth="1"/>
    <col min="3330" max="3330" width="14.85546875" style="3" customWidth="1"/>
    <col min="3331" max="3331" width="13.28515625" style="3" customWidth="1"/>
    <col min="3332" max="3332" width="11.42578125" style="3"/>
    <col min="3333" max="3333" width="13.42578125" style="3" customWidth="1"/>
    <col min="3334" max="3334" width="12.7109375" style="3" customWidth="1"/>
    <col min="3335" max="3335" width="14" style="3" customWidth="1"/>
    <col min="3336" max="3336" width="7.42578125" style="3" customWidth="1"/>
    <col min="3337" max="3584" width="11.42578125" style="3"/>
    <col min="3585" max="3585" width="15.85546875" style="3" customWidth="1"/>
    <col min="3586" max="3586" width="14.85546875" style="3" customWidth="1"/>
    <col min="3587" max="3587" width="13.28515625" style="3" customWidth="1"/>
    <col min="3588" max="3588" width="11.42578125" style="3"/>
    <col min="3589" max="3589" width="13.42578125" style="3" customWidth="1"/>
    <col min="3590" max="3590" width="12.7109375" style="3" customWidth="1"/>
    <col min="3591" max="3591" width="14" style="3" customWidth="1"/>
    <col min="3592" max="3592" width="7.42578125" style="3" customWidth="1"/>
    <col min="3593" max="3840" width="11.42578125" style="3"/>
    <col min="3841" max="3841" width="15.85546875" style="3" customWidth="1"/>
    <col min="3842" max="3842" width="14.85546875" style="3" customWidth="1"/>
    <col min="3843" max="3843" width="13.28515625" style="3" customWidth="1"/>
    <col min="3844" max="3844" width="11.42578125" style="3"/>
    <col min="3845" max="3845" width="13.42578125" style="3" customWidth="1"/>
    <col min="3846" max="3846" width="12.7109375" style="3" customWidth="1"/>
    <col min="3847" max="3847" width="14" style="3" customWidth="1"/>
    <col min="3848" max="3848" width="7.42578125" style="3" customWidth="1"/>
    <col min="3849" max="4096" width="11.42578125" style="3"/>
    <col min="4097" max="4097" width="15.85546875" style="3" customWidth="1"/>
    <col min="4098" max="4098" width="14.85546875" style="3" customWidth="1"/>
    <col min="4099" max="4099" width="13.28515625" style="3" customWidth="1"/>
    <col min="4100" max="4100" width="11.42578125" style="3"/>
    <col min="4101" max="4101" width="13.42578125" style="3" customWidth="1"/>
    <col min="4102" max="4102" width="12.7109375" style="3" customWidth="1"/>
    <col min="4103" max="4103" width="14" style="3" customWidth="1"/>
    <col min="4104" max="4104" width="7.42578125" style="3" customWidth="1"/>
    <col min="4105" max="4352" width="11.42578125" style="3"/>
    <col min="4353" max="4353" width="15.85546875" style="3" customWidth="1"/>
    <col min="4354" max="4354" width="14.85546875" style="3" customWidth="1"/>
    <col min="4355" max="4355" width="13.28515625" style="3" customWidth="1"/>
    <col min="4356" max="4356" width="11.42578125" style="3"/>
    <col min="4357" max="4357" width="13.42578125" style="3" customWidth="1"/>
    <col min="4358" max="4358" width="12.7109375" style="3" customWidth="1"/>
    <col min="4359" max="4359" width="14" style="3" customWidth="1"/>
    <col min="4360" max="4360" width="7.42578125" style="3" customWidth="1"/>
    <col min="4361" max="4608" width="11.42578125" style="3"/>
    <col min="4609" max="4609" width="15.85546875" style="3" customWidth="1"/>
    <col min="4610" max="4610" width="14.85546875" style="3" customWidth="1"/>
    <col min="4611" max="4611" width="13.28515625" style="3" customWidth="1"/>
    <col min="4612" max="4612" width="11.42578125" style="3"/>
    <col min="4613" max="4613" width="13.42578125" style="3" customWidth="1"/>
    <col min="4614" max="4614" width="12.7109375" style="3" customWidth="1"/>
    <col min="4615" max="4615" width="14" style="3" customWidth="1"/>
    <col min="4616" max="4616" width="7.42578125" style="3" customWidth="1"/>
    <col min="4617" max="4864" width="11.42578125" style="3"/>
    <col min="4865" max="4865" width="15.85546875" style="3" customWidth="1"/>
    <col min="4866" max="4866" width="14.85546875" style="3" customWidth="1"/>
    <col min="4867" max="4867" width="13.28515625" style="3" customWidth="1"/>
    <col min="4868" max="4868" width="11.42578125" style="3"/>
    <col min="4869" max="4869" width="13.42578125" style="3" customWidth="1"/>
    <col min="4870" max="4870" width="12.7109375" style="3" customWidth="1"/>
    <col min="4871" max="4871" width="14" style="3" customWidth="1"/>
    <col min="4872" max="4872" width="7.42578125" style="3" customWidth="1"/>
    <col min="4873" max="5120" width="11.42578125" style="3"/>
    <col min="5121" max="5121" width="15.85546875" style="3" customWidth="1"/>
    <col min="5122" max="5122" width="14.85546875" style="3" customWidth="1"/>
    <col min="5123" max="5123" width="13.28515625" style="3" customWidth="1"/>
    <col min="5124" max="5124" width="11.42578125" style="3"/>
    <col min="5125" max="5125" width="13.42578125" style="3" customWidth="1"/>
    <col min="5126" max="5126" width="12.7109375" style="3" customWidth="1"/>
    <col min="5127" max="5127" width="14" style="3" customWidth="1"/>
    <col min="5128" max="5128" width="7.42578125" style="3" customWidth="1"/>
    <col min="5129" max="5376" width="11.42578125" style="3"/>
    <col min="5377" max="5377" width="15.85546875" style="3" customWidth="1"/>
    <col min="5378" max="5378" width="14.85546875" style="3" customWidth="1"/>
    <col min="5379" max="5379" width="13.28515625" style="3" customWidth="1"/>
    <col min="5380" max="5380" width="11.42578125" style="3"/>
    <col min="5381" max="5381" width="13.42578125" style="3" customWidth="1"/>
    <col min="5382" max="5382" width="12.7109375" style="3" customWidth="1"/>
    <col min="5383" max="5383" width="14" style="3" customWidth="1"/>
    <col min="5384" max="5384" width="7.42578125" style="3" customWidth="1"/>
    <col min="5385" max="5632" width="11.42578125" style="3"/>
    <col min="5633" max="5633" width="15.85546875" style="3" customWidth="1"/>
    <col min="5634" max="5634" width="14.85546875" style="3" customWidth="1"/>
    <col min="5635" max="5635" width="13.28515625" style="3" customWidth="1"/>
    <col min="5636" max="5636" width="11.42578125" style="3"/>
    <col min="5637" max="5637" width="13.42578125" style="3" customWidth="1"/>
    <col min="5638" max="5638" width="12.7109375" style="3" customWidth="1"/>
    <col min="5639" max="5639" width="14" style="3" customWidth="1"/>
    <col min="5640" max="5640" width="7.42578125" style="3" customWidth="1"/>
    <col min="5641" max="5888" width="11.42578125" style="3"/>
    <col min="5889" max="5889" width="15.85546875" style="3" customWidth="1"/>
    <col min="5890" max="5890" width="14.85546875" style="3" customWidth="1"/>
    <col min="5891" max="5891" width="13.28515625" style="3" customWidth="1"/>
    <col min="5892" max="5892" width="11.42578125" style="3"/>
    <col min="5893" max="5893" width="13.42578125" style="3" customWidth="1"/>
    <col min="5894" max="5894" width="12.7109375" style="3" customWidth="1"/>
    <col min="5895" max="5895" width="14" style="3" customWidth="1"/>
    <col min="5896" max="5896" width="7.42578125" style="3" customWidth="1"/>
    <col min="5897" max="6144" width="11.42578125" style="3"/>
    <col min="6145" max="6145" width="15.85546875" style="3" customWidth="1"/>
    <col min="6146" max="6146" width="14.85546875" style="3" customWidth="1"/>
    <col min="6147" max="6147" width="13.28515625" style="3" customWidth="1"/>
    <col min="6148" max="6148" width="11.42578125" style="3"/>
    <col min="6149" max="6149" width="13.42578125" style="3" customWidth="1"/>
    <col min="6150" max="6150" width="12.7109375" style="3" customWidth="1"/>
    <col min="6151" max="6151" width="14" style="3" customWidth="1"/>
    <col min="6152" max="6152" width="7.42578125" style="3" customWidth="1"/>
    <col min="6153" max="6400" width="11.42578125" style="3"/>
    <col min="6401" max="6401" width="15.85546875" style="3" customWidth="1"/>
    <col min="6402" max="6402" width="14.85546875" style="3" customWidth="1"/>
    <col min="6403" max="6403" width="13.28515625" style="3" customWidth="1"/>
    <col min="6404" max="6404" width="11.42578125" style="3"/>
    <col min="6405" max="6405" width="13.42578125" style="3" customWidth="1"/>
    <col min="6406" max="6406" width="12.7109375" style="3" customWidth="1"/>
    <col min="6407" max="6407" width="14" style="3" customWidth="1"/>
    <col min="6408" max="6408" width="7.42578125" style="3" customWidth="1"/>
    <col min="6409" max="6656" width="11.42578125" style="3"/>
    <col min="6657" max="6657" width="15.85546875" style="3" customWidth="1"/>
    <col min="6658" max="6658" width="14.85546875" style="3" customWidth="1"/>
    <col min="6659" max="6659" width="13.28515625" style="3" customWidth="1"/>
    <col min="6660" max="6660" width="11.42578125" style="3"/>
    <col min="6661" max="6661" width="13.42578125" style="3" customWidth="1"/>
    <col min="6662" max="6662" width="12.7109375" style="3" customWidth="1"/>
    <col min="6663" max="6663" width="14" style="3" customWidth="1"/>
    <col min="6664" max="6664" width="7.42578125" style="3" customWidth="1"/>
    <col min="6665" max="6912" width="11.42578125" style="3"/>
    <col min="6913" max="6913" width="15.85546875" style="3" customWidth="1"/>
    <col min="6914" max="6914" width="14.85546875" style="3" customWidth="1"/>
    <col min="6915" max="6915" width="13.28515625" style="3" customWidth="1"/>
    <col min="6916" max="6916" width="11.42578125" style="3"/>
    <col min="6917" max="6917" width="13.42578125" style="3" customWidth="1"/>
    <col min="6918" max="6918" width="12.7109375" style="3" customWidth="1"/>
    <col min="6919" max="6919" width="14" style="3" customWidth="1"/>
    <col min="6920" max="6920" width="7.42578125" style="3" customWidth="1"/>
    <col min="6921" max="7168" width="11.42578125" style="3"/>
    <col min="7169" max="7169" width="15.85546875" style="3" customWidth="1"/>
    <col min="7170" max="7170" width="14.85546875" style="3" customWidth="1"/>
    <col min="7171" max="7171" width="13.28515625" style="3" customWidth="1"/>
    <col min="7172" max="7172" width="11.42578125" style="3"/>
    <col min="7173" max="7173" width="13.42578125" style="3" customWidth="1"/>
    <col min="7174" max="7174" width="12.7109375" style="3" customWidth="1"/>
    <col min="7175" max="7175" width="14" style="3" customWidth="1"/>
    <col min="7176" max="7176" width="7.42578125" style="3" customWidth="1"/>
    <col min="7177" max="7424" width="11.42578125" style="3"/>
    <col min="7425" max="7425" width="15.85546875" style="3" customWidth="1"/>
    <col min="7426" max="7426" width="14.85546875" style="3" customWidth="1"/>
    <col min="7427" max="7427" width="13.28515625" style="3" customWidth="1"/>
    <col min="7428" max="7428" width="11.42578125" style="3"/>
    <col min="7429" max="7429" width="13.42578125" style="3" customWidth="1"/>
    <col min="7430" max="7430" width="12.7109375" style="3" customWidth="1"/>
    <col min="7431" max="7431" width="14" style="3" customWidth="1"/>
    <col min="7432" max="7432" width="7.42578125" style="3" customWidth="1"/>
    <col min="7433" max="7680" width="11.42578125" style="3"/>
    <col min="7681" max="7681" width="15.85546875" style="3" customWidth="1"/>
    <col min="7682" max="7682" width="14.85546875" style="3" customWidth="1"/>
    <col min="7683" max="7683" width="13.28515625" style="3" customWidth="1"/>
    <col min="7684" max="7684" width="11.42578125" style="3"/>
    <col min="7685" max="7685" width="13.42578125" style="3" customWidth="1"/>
    <col min="7686" max="7686" width="12.7109375" style="3" customWidth="1"/>
    <col min="7687" max="7687" width="14" style="3" customWidth="1"/>
    <col min="7688" max="7688" width="7.42578125" style="3" customWidth="1"/>
    <col min="7689" max="7936" width="11.42578125" style="3"/>
    <col min="7937" max="7937" width="15.85546875" style="3" customWidth="1"/>
    <col min="7938" max="7938" width="14.85546875" style="3" customWidth="1"/>
    <col min="7939" max="7939" width="13.28515625" style="3" customWidth="1"/>
    <col min="7940" max="7940" width="11.42578125" style="3"/>
    <col min="7941" max="7941" width="13.42578125" style="3" customWidth="1"/>
    <col min="7942" max="7942" width="12.7109375" style="3" customWidth="1"/>
    <col min="7943" max="7943" width="14" style="3" customWidth="1"/>
    <col min="7944" max="7944" width="7.42578125" style="3" customWidth="1"/>
    <col min="7945" max="8192" width="11.42578125" style="3"/>
    <col min="8193" max="8193" width="15.85546875" style="3" customWidth="1"/>
    <col min="8194" max="8194" width="14.85546875" style="3" customWidth="1"/>
    <col min="8195" max="8195" width="13.28515625" style="3" customWidth="1"/>
    <col min="8196" max="8196" width="11.42578125" style="3"/>
    <col min="8197" max="8197" width="13.42578125" style="3" customWidth="1"/>
    <col min="8198" max="8198" width="12.7109375" style="3" customWidth="1"/>
    <col min="8199" max="8199" width="14" style="3" customWidth="1"/>
    <col min="8200" max="8200" width="7.42578125" style="3" customWidth="1"/>
    <col min="8201" max="8448" width="11.42578125" style="3"/>
    <col min="8449" max="8449" width="15.85546875" style="3" customWidth="1"/>
    <col min="8450" max="8450" width="14.85546875" style="3" customWidth="1"/>
    <col min="8451" max="8451" width="13.28515625" style="3" customWidth="1"/>
    <col min="8452" max="8452" width="11.42578125" style="3"/>
    <col min="8453" max="8453" width="13.42578125" style="3" customWidth="1"/>
    <col min="8454" max="8454" width="12.7109375" style="3" customWidth="1"/>
    <col min="8455" max="8455" width="14" style="3" customWidth="1"/>
    <col min="8456" max="8456" width="7.42578125" style="3" customWidth="1"/>
    <col min="8457" max="8704" width="11.42578125" style="3"/>
    <col min="8705" max="8705" width="15.85546875" style="3" customWidth="1"/>
    <col min="8706" max="8706" width="14.85546875" style="3" customWidth="1"/>
    <col min="8707" max="8707" width="13.28515625" style="3" customWidth="1"/>
    <col min="8708" max="8708" width="11.42578125" style="3"/>
    <col min="8709" max="8709" width="13.42578125" style="3" customWidth="1"/>
    <col min="8710" max="8710" width="12.7109375" style="3" customWidth="1"/>
    <col min="8711" max="8711" width="14" style="3" customWidth="1"/>
    <col min="8712" max="8712" width="7.42578125" style="3" customWidth="1"/>
    <col min="8713" max="8960" width="11.42578125" style="3"/>
    <col min="8961" max="8961" width="15.85546875" style="3" customWidth="1"/>
    <col min="8962" max="8962" width="14.85546875" style="3" customWidth="1"/>
    <col min="8963" max="8963" width="13.28515625" style="3" customWidth="1"/>
    <col min="8964" max="8964" width="11.42578125" style="3"/>
    <col min="8965" max="8965" width="13.42578125" style="3" customWidth="1"/>
    <col min="8966" max="8966" width="12.7109375" style="3" customWidth="1"/>
    <col min="8967" max="8967" width="14" style="3" customWidth="1"/>
    <col min="8968" max="8968" width="7.42578125" style="3" customWidth="1"/>
    <col min="8969" max="9216" width="11.42578125" style="3"/>
    <col min="9217" max="9217" width="15.85546875" style="3" customWidth="1"/>
    <col min="9218" max="9218" width="14.85546875" style="3" customWidth="1"/>
    <col min="9219" max="9219" width="13.28515625" style="3" customWidth="1"/>
    <col min="9220" max="9220" width="11.42578125" style="3"/>
    <col min="9221" max="9221" width="13.42578125" style="3" customWidth="1"/>
    <col min="9222" max="9222" width="12.7109375" style="3" customWidth="1"/>
    <col min="9223" max="9223" width="14" style="3" customWidth="1"/>
    <col min="9224" max="9224" width="7.42578125" style="3" customWidth="1"/>
    <col min="9225" max="9472" width="11.42578125" style="3"/>
    <col min="9473" max="9473" width="15.85546875" style="3" customWidth="1"/>
    <col min="9474" max="9474" width="14.85546875" style="3" customWidth="1"/>
    <col min="9475" max="9475" width="13.28515625" style="3" customWidth="1"/>
    <col min="9476" max="9476" width="11.42578125" style="3"/>
    <col min="9477" max="9477" width="13.42578125" style="3" customWidth="1"/>
    <col min="9478" max="9478" width="12.7109375" style="3" customWidth="1"/>
    <col min="9479" max="9479" width="14" style="3" customWidth="1"/>
    <col min="9480" max="9480" width="7.42578125" style="3" customWidth="1"/>
    <col min="9481" max="9728" width="11.42578125" style="3"/>
    <col min="9729" max="9729" width="15.85546875" style="3" customWidth="1"/>
    <col min="9730" max="9730" width="14.85546875" style="3" customWidth="1"/>
    <col min="9731" max="9731" width="13.28515625" style="3" customWidth="1"/>
    <col min="9732" max="9732" width="11.42578125" style="3"/>
    <col min="9733" max="9733" width="13.42578125" style="3" customWidth="1"/>
    <col min="9734" max="9734" width="12.7109375" style="3" customWidth="1"/>
    <col min="9735" max="9735" width="14" style="3" customWidth="1"/>
    <col min="9736" max="9736" width="7.42578125" style="3" customWidth="1"/>
    <col min="9737" max="9984" width="11.42578125" style="3"/>
    <col min="9985" max="9985" width="15.85546875" style="3" customWidth="1"/>
    <col min="9986" max="9986" width="14.85546875" style="3" customWidth="1"/>
    <col min="9987" max="9987" width="13.28515625" style="3" customWidth="1"/>
    <col min="9988" max="9988" width="11.42578125" style="3"/>
    <col min="9989" max="9989" width="13.42578125" style="3" customWidth="1"/>
    <col min="9990" max="9990" width="12.7109375" style="3" customWidth="1"/>
    <col min="9991" max="9991" width="14" style="3" customWidth="1"/>
    <col min="9992" max="9992" width="7.42578125" style="3" customWidth="1"/>
    <col min="9993" max="10240" width="11.42578125" style="3"/>
    <col min="10241" max="10241" width="15.85546875" style="3" customWidth="1"/>
    <col min="10242" max="10242" width="14.85546875" style="3" customWidth="1"/>
    <col min="10243" max="10243" width="13.28515625" style="3" customWidth="1"/>
    <col min="10244" max="10244" width="11.42578125" style="3"/>
    <col min="10245" max="10245" width="13.42578125" style="3" customWidth="1"/>
    <col min="10246" max="10246" width="12.7109375" style="3" customWidth="1"/>
    <col min="10247" max="10247" width="14" style="3" customWidth="1"/>
    <col min="10248" max="10248" width="7.42578125" style="3" customWidth="1"/>
    <col min="10249" max="10496" width="11.42578125" style="3"/>
    <col min="10497" max="10497" width="15.85546875" style="3" customWidth="1"/>
    <col min="10498" max="10498" width="14.85546875" style="3" customWidth="1"/>
    <col min="10499" max="10499" width="13.28515625" style="3" customWidth="1"/>
    <col min="10500" max="10500" width="11.42578125" style="3"/>
    <col min="10501" max="10501" width="13.42578125" style="3" customWidth="1"/>
    <col min="10502" max="10502" width="12.7109375" style="3" customWidth="1"/>
    <col min="10503" max="10503" width="14" style="3" customWidth="1"/>
    <col min="10504" max="10504" width="7.42578125" style="3" customWidth="1"/>
    <col min="10505" max="10752" width="11.42578125" style="3"/>
    <col min="10753" max="10753" width="15.85546875" style="3" customWidth="1"/>
    <col min="10754" max="10754" width="14.85546875" style="3" customWidth="1"/>
    <col min="10755" max="10755" width="13.28515625" style="3" customWidth="1"/>
    <col min="10756" max="10756" width="11.42578125" style="3"/>
    <col min="10757" max="10757" width="13.42578125" style="3" customWidth="1"/>
    <col min="10758" max="10758" width="12.7109375" style="3" customWidth="1"/>
    <col min="10759" max="10759" width="14" style="3" customWidth="1"/>
    <col min="10760" max="10760" width="7.42578125" style="3" customWidth="1"/>
    <col min="10761" max="11008" width="11.42578125" style="3"/>
    <col min="11009" max="11009" width="15.85546875" style="3" customWidth="1"/>
    <col min="11010" max="11010" width="14.85546875" style="3" customWidth="1"/>
    <col min="11011" max="11011" width="13.28515625" style="3" customWidth="1"/>
    <col min="11012" max="11012" width="11.42578125" style="3"/>
    <col min="11013" max="11013" width="13.42578125" style="3" customWidth="1"/>
    <col min="11014" max="11014" width="12.7109375" style="3" customWidth="1"/>
    <col min="11015" max="11015" width="14" style="3" customWidth="1"/>
    <col min="11016" max="11016" width="7.42578125" style="3" customWidth="1"/>
    <col min="11017" max="11264" width="11.42578125" style="3"/>
    <col min="11265" max="11265" width="15.85546875" style="3" customWidth="1"/>
    <col min="11266" max="11266" width="14.85546875" style="3" customWidth="1"/>
    <col min="11267" max="11267" width="13.28515625" style="3" customWidth="1"/>
    <col min="11268" max="11268" width="11.42578125" style="3"/>
    <col min="11269" max="11269" width="13.42578125" style="3" customWidth="1"/>
    <col min="11270" max="11270" width="12.7109375" style="3" customWidth="1"/>
    <col min="11271" max="11271" width="14" style="3" customWidth="1"/>
    <col min="11272" max="11272" width="7.42578125" style="3" customWidth="1"/>
    <col min="11273" max="11520" width="11.42578125" style="3"/>
    <col min="11521" max="11521" width="15.85546875" style="3" customWidth="1"/>
    <col min="11522" max="11522" width="14.85546875" style="3" customWidth="1"/>
    <col min="11523" max="11523" width="13.28515625" style="3" customWidth="1"/>
    <col min="11524" max="11524" width="11.42578125" style="3"/>
    <col min="11525" max="11525" width="13.42578125" style="3" customWidth="1"/>
    <col min="11526" max="11526" width="12.7109375" style="3" customWidth="1"/>
    <col min="11527" max="11527" width="14" style="3" customWidth="1"/>
    <col min="11528" max="11528" width="7.42578125" style="3" customWidth="1"/>
    <col min="11529" max="11776" width="11.42578125" style="3"/>
    <col min="11777" max="11777" width="15.85546875" style="3" customWidth="1"/>
    <col min="11778" max="11778" width="14.85546875" style="3" customWidth="1"/>
    <col min="11779" max="11779" width="13.28515625" style="3" customWidth="1"/>
    <col min="11780" max="11780" width="11.42578125" style="3"/>
    <col min="11781" max="11781" width="13.42578125" style="3" customWidth="1"/>
    <col min="11782" max="11782" width="12.7109375" style="3" customWidth="1"/>
    <col min="11783" max="11783" width="14" style="3" customWidth="1"/>
    <col min="11784" max="11784" width="7.42578125" style="3" customWidth="1"/>
    <col min="11785" max="12032" width="11.42578125" style="3"/>
    <col min="12033" max="12033" width="15.85546875" style="3" customWidth="1"/>
    <col min="12034" max="12034" width="14.85546875" style="3" customWidth="1"/>
    <col min="12035" max="12035" width="13.28515625" style="3" customWidth="1"/>
    <col min="12036" max="12036" width="11.42578125" style="3"/>
    <col min="12037" max="12037" width="13.42578125" style="3" customWidth="1"/>
    <col min="12038" max="12038" width="12.7109375" style="3" customWidth="1"/>
    <col min="12039" max="12039" width="14" style="3" customWidth="1"/>
    <col min="12040" max="12040" width="7.42578125" style="3" customWidth="1"/>
    <col min="12041" max="12288" width="11.42578125" style="3"/>
    <col min="12289" max="12289" width="15.85546875" style="3" customWidth="1"/>
    <col min="12290" max="12290" width="14.85546875" style="3" customWidth="1"/>
    <col min="12291" max="12291" width="13.28515625" style="3" customWidth="1"/>
    <col min="12292" max="12292" width="11.42578125" style="3"/>
    <col min="12293" max="12293" width="13.42578125" style="3" customWidth="1"/>
    <col min="12294" max="12294" width="12.7109375" style="3" customWidth="1"/>
    <col min="12295" max="12295" width="14" style="3" customWidth="1"/>
    <col min="12296" max="12296" width="7.42578125" style="3" customWidth="1"/>
    <col min="12297" max="12544" width="11.42578125" style="3"/>
    <col min="12545" max="12545" width="15.85546875" style="3" customWidth="1"/>
    <col min="12546" max="12546" width="14.85546875" style="3" customWidth="1"/>
    <col min="12547" max="12547" width="13.28515625" style="3" customWidth="1"/>
    <col min="12548" max="12548" width="11.42578125" style="3"/>
    <col min="12549" max="12549" width="13.42578125" style="3" customWidth="1"/>
    <col min="12550" max="12550" width="12.7109375" style="3" customWidth="1"/>
    <col min="12551" max="12551" width="14" style="3" customWidth="1"/>
    <col min="12552" max="12552" width="7.42578125" style="3" customWidth="1"/>
    <col min="12553" max="12800" width="11.42578125" style="3"/>
    <col min="12801" max="12801" width="15.85546875" style="3" customWidth="1"/>
    <col min="12802" max="12802" width="14.85546875" style="3" customWidth="1"/>
    <col min="12803" max="12803" width="13.28515625" style="3" customWidth="1"/>
    <col min="12804" max="12804" width="11.42578125" style="3"/>
    <col min="12805" max="12805" width="13.42578125" style="3" customWidth="1"/>
    <col min="12806" max="12806" width="12.7109375" style="3" customWidth="1"/>
    <col min="12807" max="12807" width="14" style="3" customWidth="1"/>
    <col min="12808" max="12808" width="7.42578125" style="3" customWidth="1"/>
    <col min="12809" max="13056" width="11.42578125" style="3"/>
    <col min="13057" max="13057" width="15.85546875" style="3" customWidth="1"/>
    <col min="13058" max="13058" width="14.85546875" style="3" customWidth="1"/>
    <col min="13059" max="13059" width="13.28515625" style="3" customWidth="1"/>
    <col min="13060" max="13060" width="11.42578125" style="3"/>
    <col min="13061" max="13061" width="13.42578125" style="3" customWidth="1"/>
    <col min="13062" max="13062" width="12.7109375" style="3" customWidth="1"/>
    <col min="13063" max="13063" width="14" style="3" customWidth="1"/>
    <col min="13064" max="13064" width="7.42578125" style="3" customWidth="1"/>
    <col min="13065" max="13312" width="11.42578125" style="3"/>
    <col min="13313" max="13313" width="15.85546875" style="3" customWidth="1"/>
    <col min="13314" max="13314" width="14.85546875" style="3" customWidth="1"/>
    <col min="13315" max="13315" width="13.28515625" style="3" customWidth="1"/>
    <col min="13316" max="13316" width="11.42578125" style="3"/>
    <col min="13317" max="13317" width="13.42578125" style="3" customWidth="1"/>
    <col min="13318" max="13318" width="12.7109375" style="3" customWidth="1"/>
    <col min="13319" max="13319" width="14" style="3" customWidth="1"/>
    <col min="13320" max="13320" width="7.42578125" style="3" customWidth="1"/>
    <col min="13321" max="13568" width="11.42578125" style="3"/>
    <col min="13569" max="13569" width="15.85546875" style="3" customWidth="1"/>
    <col min="13570" max="13570" width="14.85546875" style="3" customWidth="1"/>
    <col min="13571" max="13571" width="13.28515625" style="3" customWidth="1"/>
    <col min="13572" max="13572" width="11.42578125" style="3"/>
    <col min="13573" max="13573" width="13.42578125" style="3" customWidth="1"/>
    <col min="13574" max="13574" width="12.7109375" style="3" customWidth="1"/>
    <col min="13575" max="13575" width="14" style="3" customWidth="1"/>
    <col min="13576" max="13576" width="7.42578125" style="3" customWidth="1"/>
    <col min="13577" max="13824" width="11.42578125" style="3"/>
    <col min="13825" max="13825" width="15.85546875" style="3" customWidth="1"/>
    <col min="13826" max="13826" width="14.85546875" style="3" customWidth="1"/>
    <col min="13827" max="13827" width="13.28515625" style="3" customWidth="1"/>
    <col min="13828" max="13828" width="11.42578125" style="3"/>
    <col min="13829" max="13829" width="13.42578125" style="3" customWidth="1"/>
    <col min="13830" max="13830" width="12.7109375" style="3" customWidth="1"/>
    <col min="13831" max="13831" width="14" style="3" customWidth="1"/>
    <col min="13832" max="13832" width="7.42578125" style="3" customWidth="1"/>
    <col min="13833" max="14080" width="11.42578125" style="3"/>
    <col min="14081" max="14081" width="15.85546875" style="3" customWidth="1"/>
    <col min="14082" max="14082" width="14.85546875" style="3" customWidth="1"/>
    <col min="14083" max="14083" width="13.28515625" style="3" customWidth="1"/>
    <col min="14084" max="14084" width="11.42578125" style="3"/>
    <col min="14085" max="14085" width="13.42578125" style="3" customWidth="1"/>
    <col min="14086" max="14086" width="12.7109375" style="3" customWidth="1"/>
    <col min="14087" max="14087" width="14" style="3" customWidth="1"/>
    <col min="14088" max="14088" width="7.42578125" style="3" customWidth="1"/>
    <col min="14089" max="14336" width="11.42578125" style="3"/>
    <col min="14337" max="14337" width="15.85546875" style="3" customWidth="1"/>
    <col min="14338" max="14338" width="14.85546875" style="3" customWidth="1"/>
    <col min="14339" max="14339" width="13.28515625" style="3" customWidth="1"/>
    <col min="14340" max="14340" width="11.42578125" style="3"/>
    <col min="14341" max="14341" width="13.42578125" style="3" customWidth="1"/>
    <col min="14342" max="14342" width="12.7109375" style="3" customWidth="1"/>
    <col min="14343" max="14343" width="14" style="3" customWidth="1"/>
    <col min="14344" max="14344" width="7.42578125" style="3" customWidth="1"/>
    <col min="14345" max="14592" width="11.42578125" style="3"/>
    <col min="14593" max="14593" width="15.85546875" style="3" customWidth="1"/>
    <col min="14594" max="14594" width="14.85546875" style="3" customWidth="1"/>
    <col min="14595" max="14595" width="13.28515625" style="3" customWidth="1"/>
    <col min="14596" max="14596" width="11.42578125" style="3"/>
    <col min="14597" max="14597" width="13.42578125" style="3" customWidth="1"/>
    <col min="14598" max="14598" width="12.7109375" style="3" customWidth="1"/>
    <col min="14599" max="14599" width="14" style="3" customWidth="1"/>
    <col min="14600" max="14600" width="7.42578125" style="3" customWidth="1"/>
    <col min="14601" max="14848" width="11.42578125" style="3"/>
    <col min="14849" max="14849" width="15.85546875" style="3" customWidth="1"/>
    <col min="14850" max="14850" width="14.85546875" style="3" customWidth="1"/>
    <col min="14851" max="14851" width="13.28515625" style="3" customWidth="1"/>
    <col min="14852" max="14852" width="11.42578125" style="3"/>
    <col min="14853" max="14853" width="13.42578125" style="3" customWidth="1"/>
    <col min="14854" max="14854" width="12.7109375" style="3" customWidth="1"/>
    <col min="14855" max="14855" width="14" style="3" customWidth="1"/>
    <col min="14856" max="14856" width="7.42578125" style="3" customWidth="1"/>
    <col min="14857" max="15104" width="11.42578125" style="3"/>
    <col min="15105" max="15105" width="15.85546875" style="3" customWidth="1"/>
    <col min="15106" max="15106" width="14.85546875" style="3" customWidth="1"/>
    <col min="15107" max="15107" width="13.28515625" style="3" customWidth="1"/>
    <col min="15108" max="15108" width="11.42578125" style="3"/>
    <col min="15109" max="15109" width="13.42578125" style="3" customWidth="1"/>
    <col min="15110" max="15110" width="12.7109375" style="3" customWidth="1"/>
    <col min="15111" max="15111" width="14" style="3" customWidth="1"/>
    <col min="15112" max="15112" width="7.42578125" style="3" customWidth="1"/>
    <col min="15113" max="15360" width="11.42578125" style="3"/>
    <col min="15361" max="15361" width="15.85546875" style="3" customWidth="1"/>
    <col min="15362" max="15362" width="14.85546875" style="3" customWidth="1"/>
    <col min="15363" max="15363" width="13.28515625" style="3" customWidth="1"/>
    <col min="15364" max="15364" width="11.42578125" style="3"/>
    <col min="15365" max="15365" width="13.42578125" style="3" customWidth="1"/>
    <col min="15366" max="15366" width="12.7109375" style="3" customWidth="1"/>
    <col min="15367" max="15367" width="14" style="3" customWidth="1"/>
    <col min="15368" max="15368" width="7.42578125" style="3" customWidth="1"/>
    <col min="15369" max="15616" width="11.42578125" style="3"/>
    <col min="15617" max="15617" width="15.85546875" style="3" customWidth="1"/>
    <col min="15618" max="15618" width="14.85546875" style="3" customWidth="1"/>
    <col min="15619" max="15619" width="13.28515625" style="3" customWidth="1"/>
    <col min="15620" max="15620" width="11.42578125" style="3"/>
    <col min="15621" max="15621" width="13.42578125" style="3" customWidth="1"/>
    <col min="15622" max="15622" width="12.7109375" style="3" customWidth="1"/>
    <col min="15623" max="15623" width="14" style="3" customWidth="1"/>
    <col min="15624" max="15624" width="7.42578125" style="3" customWidth="1"/>
    <col min="15625" max="15872" width="11.42578125" style="3"/>
    <col min="15873" max="15873" width="15.85546875" style="3" customWidth="1"/>
    <col min="15874" max="15874" width="14.85546875" style="3" customWidth="1"/>
    <col min="15875" max="15875" width="13.28515625" style="3" customWidth="1"/>
    <col min="15876" max="15876" width="11.42578125" style="3"/>
    <col min="15877" max="15877" width="13.42578125" style="3" customWidth="1"/>
    <col min="15878" max="15878" width="12.7109375" style="3" customWidth="1"/>
    <col min="15879" max="15879" width="14" style="3" customWidth="1"/>
    <col min="15880" max="15880" width="7.42578125" style="3" customWidth="1"/>
    <col min="15881" max="16128" width="11.42578125" style="3"/>
    <col min="16129" max="16129" width="15.85546875" style="3" customWidth="1"/>
    <col min="16130" max="16130" width="14.85546875" style="3" customWidth="1"/>
    <col min="16131" max="16131" width="13.28515625" style="3" customWidth="1"/>
    <col min="16132" max="16132" width="11.42578125" style="3"/>
    <col min="16133" max="16133" width="13.42578125" style="3" customWidth="1"/>
    <col min="16134" max="16134" width="12.7109375" style="3" customWidth="1"/>
    <col min="16135" max="16135" width="14" style="3" customWidth="1"/>
    <col min="16136" max="16136" width="7.42578125" style="3" customWidth="1"/>
    <col min="16137" max="16384" width="11.42578125" style="3"/>
  </cols>
  <sheetData>
    <row r="1" spans="1:21" ht="20.25">
      <c r="A1" s="1346" t="str">
        <f>PPTO!D3</f>
        <v>PRESUPUESTO
MUNICIPIO EL BAGRE (ANTIOQUIA).</v>
      </c>
      <c r="B1" s="1347"/>
      <c r="C1" s="1347"/>
      <c r="D1" s="1347"/>
      <c r="E1" s="1347"/>
      <c r="F1" s="1347"/>
      <c r="G1" s="1348"/>
      <c r="H1" s="1"/>
      <c r="I1" s="2"/>
    </row>
    <row r="2" spans="1:21" ht="18" customHeight="1">
      <c r="A2" s="1362" t="s">
        <v>16</v>
      </c>
      <c r="B2" s="1363"/>
      <c r="C2" s="1363"/>
      <c r="D2" s="1363"/>
      <c r="E2" s="1363"/>
      <c r="F2" s="1363"/>
      <c r="G2" s="1364"/>
      <c r="H2" s="1"/>
      <c r="I2" s="2"/>
    </row>
    <row r="3" spans="1:21" ht="27" customHeight="1">
      <c r="A3" s="1367" t="str">
        <f>+PPTO!$D$5</f>
        <v>PROYECTO DE MEJORAMIENTO VIAL, ESPACIO PUBLICO Y OBRAS COMPLEMENTARIAS DE LA AVENIDA LA JUVENTUD Y TRAMOS ADYACENTES Y PRIORITARIOS DEL SECTOR URBANO EN EL MUNICIPIO EL BAGRE ANTIOQUIA.</v>
      </c>
      <c r="B3" s="1368"/>
      <c r="C3" s="1368"/>
      <c r="D3" s="1368"/>
      <c r="E3" s="1368"/>
      <c r="F3" s="1368"/>
      <c r="G3" s="1369"/>
      <c r="H3" s="1"/>
      <c r="I3" s="2"/>
    </row>
    <row r="4" spans="1:21" ht="12.75" customHeight="1">
      <c r="A4" s="1370"/>
      <c r="B4" s="1368"/>
      <c r="C4" s="1368"/>
      <c r="D4" s="1368"/>
      <c r="E4" s="1368"/>
      <c r="F4" s="1368"/>
      <c r="G4" s="1369"/>
      <c r="H4" s="1"/>
      <c r="I4" s="2"/>
    </row>
    <row r="5" spans="1:21" ht="6.75" customHeight="1">
      <c r="A5" s="222"/>
      <c r="B5" s="6"/>
      <c r="C5" s="24"/>
      <c r="D5" s="25"/>
      <c r="E5" s="6"/>
      <c r="F5" s="6"/>
      <c r="G5" s="223"/>
      <c r="H5" s="9"/>
    </row>
    <row r="6" spans="1:21">
      <c r="A6" s="368">
        <v>6.35</v>
      </c>
      <c r="B6" s="1349" t="str">
        <f>VLOOKUP(A6,PPTO!D9:I136,2,FALSE)</f>
        <v>Suministro e instalación Union de 4" PVC ó Similar</v>
      </c>
      <c r="C6" s="1350"/>
      <c r="D6" s="1350"/>
      <c r="E6" s="1351"/>
      <c r="F6" s="192" t="s">
        <v>118</v>
      </c>
      <c r="G6" s="248" t="str">
        <f>VLOOKUP(A6,PPTO!D9:I136,3,FALSE)</f>
        <v>und</v>
      </c>
      <c r="H6" s="9"/>
    </row>
    <row r="7" spans="1:21" ht="3.75" customHeight="1">
      <c r="A7" s="226"/>
      <c r="B7" s="4"/>
      <c r="C7" s="6"/>
      <c r="D7" s="4"/>
      <c r="E7" s="4"/>
      <c r="F7" s="4"/>
      <c r="G7" s="227"/>
      <c r="H7" s="9"/>
    </row>
    <row r="8" spans="1:21" ht="22.5" customHeight="1">
      <c r="A8" s="1354" t="s">
        <v>69</v>
      </c>
      <c r="B8" s="1355"/>
      <c r="C8" s="1355"/>
      <c r="D8" s="1355"/>
      <c r="E8" s="1355"/>
      <c r="F8" s="1355"/>
      <c r="G8" s="1356"/>
      <c r="H8" s="9"/>
    </row>
    <row r="9" spans="1:21" ht="4.5" customHeight="1">
      <c r="A9" s="226"/>
      <c r="B9" s="4"/>
      <c r="C9" s="6"/>
      <c r="D9" s="4"/>
      <c r="E9" s="4"/>
      <c r="F9" s="4"/>
      <c r="G9" s="227"/>
      <c r="H9" s="9"/>
      <c r="I9" s="5"/>
      <c r="J9" s="5"/>
      <c r="K9" s="5"/>
      <c r="L9" s="26"/>
      <c r="M9" s="5"/>
      <c r="N9" s="5"/>
      <c r="O9" s="5"/>
      <c r="P9" s="5"/>
    </row>
    <row r="10" spans="1:21">
      <c r="A10" s="1373" t="s">
        <v>17</v>
      </c>
      <c r="B10" s="1374"/>
      <c r="C10" s="1374"/>
      <c r="D10" s="353" t="s">
        <v>18</v>
      </c>
      <c r="E10" s="353" t="s">
        <v>19</v>
      </c>
      <c r="F10" s="353" t="s">
        <v>20</v>
      </c>
      <c r="G10" s="228" t="s">
        <v>21</v>
      </c>
      <c r="H10" s="27"/>
      <c r="I10" s="28"/>
      <c r="J10" s="29"/>
      <c r="K10" s="30"/>
      <c r="L10" s="30"/>
      <c r="M10" s="30"/>
      <c r="N10" s="30"/>
      <c r="O10" s="30"/>
      <c r="P10" s="5"/>
    </row>
    <row r="11" spans="1:21">
      <c r="A11" s="1352" t="s">
        <v>47</v>
      </c>
      <c r="B11" s="1353"/>
      <c r="C11" s="1353"/>
      <c r="D11" s="353"/>
      <c r="E11" s="83"/>
      <c r="F11" s="97"/>
      <c r="G11" s="229">
        <f>+G39*10%</f>
        <v>2036</v>
      </c>
      <c r="H11" s="9"/>
      <c r="I11" s="30"/>
      <c r="J11" s="31"/>
      <c r="K11" s="30"/>
      <c r="L11" s="30"/>
      <c r="M11" s="30"/>
      <c r="N11" s="30"/>
      <c r="O11" s="30"/>
      <c r="P11" s="5"/>
    </row>
    <row r="12" spans="1:21">
      <c r="A12" s="1371"/>
      <c r="B12" s="1372"/>
      <c r="C12" s="1372"/>
      <c r="D12" s="83"/>
      <c r="E12" s="83"/>
      <c r="F12" s="93"/>
      <c r="G12" s="229"/>
      <c r="H12" s="9"/>
      <c r="I12" s="16"/>
      <c r="J12" s="13"/>
      <c r="K12" s="8"/>
      <c r="L12" s="8"/>
      <c r="M12" s="8"/>
      <c r="N12" s="8"/>
      <c r="O12" s="8"/>
      <c r="P12" s="5"/>
    </row>
    <row r="13" spans="1:21">
      <c r="A13" s="1371"/>
      <c r="B13" s="1372"/>
      <c r="C13" s="1372"/>
      <c r="D13" s="83"/>
      <c r="E13" s="83"/>
      <c r="F13" s="93"/>
      <c r="G13" s="229"/>
      <c r="H13" s="9"/>
      <c r="I13" s="13"/>
      <c r="J13" s="13"/>
      <c r="K13" s="13"/>
      <c r="L13" s="13"/>
      <c r="M13" s="13"/>
      <c r="N13" s="13"/>
      <c r="O13" s="13"/>
      <c r="P13" s="5"/>
    </row>
    <row r="14" spans="1:21">
      <c r="A14" s="1371"/>
      <c r="B14" s="1372"/>
      <c r="C14" s="1372"/>
      <c r="D14" s="83"/>
      <c r="E14" s="83"/>
      <c r="F14" s="93"/>
      <c r="G14" s="229"/>
      <c r="H14" s="9"/>
      <c r="I14" s="8"/>
      <c r="J14" s="14"/>
      <c r="K14" s="32"/>
      <c r="L14" s="14"/>
      <c r="M14" s="15"/>
      <c r="N14" s="15"/>
      <c r="O14" s="19"/>
      <c r="P14" s="5"/>
    </row>
    <row r="15" spans="1:21">
      <c r="A15" s="1371"/>
      <c r="B15" s="1372"/>
      <c r="C15" s="1372"/>
      <c r="D15" s="83"/>
      <c r="E15" s="83"/>
      <c r="F15" s="98"/>
      <c r="G15" s="229"/>
      <c r="H15" s="9"/>
      <c r="I15" s="8"/>
      <c r="J15" s="33"/>
      <c r="K15" s="32"/>
      <c r="L15" s="14"/>
      <c r="M15" s="15"/>
      <c r="N15" s="15"/>
      <c r="O15" s="19"/>
      <c r="P15" s="5"/>
      <c r="Q15" s="5"/>
      <c r="R15" s="5"/>
      <c r="S15" s="5"/>
      <c r="T15" s="5"/>
      <c r="U15" s="5"/>
    </row>
    <row r="16" spans="1:21">
      <c r="A16" s="1371"/>
      <c r="B16" s="1372"/>
      <c r="C16" s="1372"/>
      <c r="D16" s="85" t="s">
        <v>37</v>
      </c>
      <c r="E16" s="50"/>
      <c r="F16" s="49"/>
      <c r="G16" s="230">
        <f>SUM(G11:G15)</f>
        <v>2036</v>
      </c>
      <c r="H16" s="9"/>
      <c r="I16" s="34"/>
      <c r="J16" s="34"/>
      <c r="K16" s="35"/>
      <c r="L16" s="36"/>
      <c r="M16" s="7"/>
      <c r="N16" s="7"/>
      <c r="O16" s="19"/>
      <c r="P16" s="5"/>
      <c r="Q16" s="5"/>
      <c r="R16" s="5"/>
      <c r="S16" s="5"/>
      <c r="T16" s="5"/>
      <c r="U16" s="5"/>
    </row>
    <row r="17" spans="1:21" ht="4.5" customHeight="1">
      <c r="A17" s="226"/>
      <c r="B17" s="4"/>
      <c r="C17" s="6"/>
      <c r="D17" s="4"/>
      <c r="E17" s="4"/>
      <c r="F17" s="4"/>
      <c r="G17" s="227"/>
      <c r="H17" s="9"/>
      <c r="I17" s="34"/>
      <c r="J17" s="34"/>
      <c r="K17" s="35"/>
      <c r="L17" s="36"/>
      <c r="M17" s="7"/>
      <c r="N17" s="7"/>
      <c r="O17" s="19"/>
      <c r="P17" s="5"/>
      <c r="Q17" s="5"/>
      <c r="R17" s="5"/>
      <c r="S17" s="5"/>
      <c r="T17" s="5"/>
      <c r="U17" s="5"/>
    </row>
    <row r="18" spans="1:21" ht="22.5" customHeight="1">
      <c r="A18" s="1354" t="s">
        <v>70</v>
      </c>
      <c r="B18" s="1355"/>
      <c r="C18" s="1355"/>
      <c r="D18" s="1355"/>
      <c r="E18" s="1355"/>
      <c r="F18" s="1355"/>
      <c r="G18" s="1356"/>
      <c r="H18" s="9"/>
    </row>
    <row r="19" spans="1:21" ht="4.5" customHeight="1">
      <c r="A19" s="226"/>
      <c r="B19" s="4"/>
      <c r="C19" s="6"/>
      <c r="D19" s="4"/>
      <c r="E19" s="4"/>
      <c r="F19" s="38"/>
      <c r="G19" s="227"/>
      <c r="H19" s="9"/>
      <c r="I19" s="34"/>
      <c r="J19" s="34"/>
      <c r="K19" s="35"/>
      <c r="L19" s="39"/>
      <c r="M19" s="7"/>
      <c r="N19" s="7"/>
      <c r="O19" s="8"/>
      <c r="P19" s="5"/>
      <c r="Q19" s="5"/>
      <c r="R19" s="5"/>
      <c r="S19" s="5"/>
      <c r="T19" s="5"/>
      <c r="U19" s="5"/>
    </row>
    <row r="20" spans="1:21">
      <c r="A20" s="1373" t="s">
        <v>17</v>
      </c>
      <c r="B20" s="1374"/>
      <c r="C20" s="1374"/>
      <c r="D20" s="353" t="s">
        <v>3</v>
      </c>
      <c r="E20" s="353" t="s">
        <v>4</v>
      </c>
      <c r="F20" s="353" t="s">
        <v>25</v>
      </c>
      <c r="G20" s="228" t="s">
        <v>21</v>
      </c>
      <c r="H20" s="27"/>
      <c r="I20" s="34"/>
      <c r="J20" s="34"/>
      <c r="K20" s="35"/>
      <c r="L20" s="39"/>
      <c r="M20" s="7"/>
      <c r="N20" s="7"/>
      <c r="O20" s="8"/>
      <c r="P20" s="5"/>
      <c r="Q20" s="5"/>
      <c r="R20" s="5"/>
      <c r="S20" s="5"/>
      <c r="T20" s="5"/>
      <c r="U20" s="5"/>
    </row>
    <row r="21" spans="1:21" ht="31.5" customHeight="1">
      <c r="A21" s="1441" t="str">
        <f>MID(I21,25,50)</f>
        <v xml:space="preserve"> Union de 4" PVC ó Similar</v>
      </c>
      <c r="B21" s="1442"/>
      <c r="C21" s="1443"/>
      <c r="D21" s="118" t="s">
        <v>119</v>
      </c>
      <c r="E21" s="119">
        <v>1</v>
      </c>
      <c r="F21" s="87">
        <f>78896*IPC</f>
        <v>81405</v>
      </c>
      <c r="G21" s="231">
        <f>ROUND(F21*E21,0)</f>
        <v>81405</v>
      </c>
      <c r="H21" s="9"/>
      <c r="I21" s="34" t="str">
        <f>B6</f>
        <v>Suministro e instalación Union de 4" PVC ó Similar</v>
      </c>
      <c r="J21" s="34"/>
      <c r="K21" s="35"/>
      <c r="L21" s="36"/>
      <c r="M21" s="7"/>
      <c r="N21" s="7"/>
      <c r="O21" s="19"/>
      <c r="P21" s="5"/>
      <c r="Q21" s="5"/>
      <c r="R21" s="5"/>
      <c r="S21" s="5"/>
      <c r="T21" s="5"/>
      <c r="U21" s="5"/>
    </row>
    <row r="22" spans="1:21">
      <c r="A22" s="1444"/>
      <c r="B22" s="1403"/>
      <c r="C22" s="1404"/>
      <c r="D22" s="116"/>
      <c r="E22" s="117"/>
      <c r="F22" s="91"/>
      <c r="G22" s="231"/>
      <c r="H22" s="9"/>
      <c r="I22" s="10"/>
      <c r="J22" s="10"/>
      <c r="K22" s="12"/>
      <c r="L22" s="39"/>
      <c r="M22" s="7"/>
      <c r="N22" s="7"/>
      <c r="O22" s="15"/>
      <c r="P22" s="5"/>
      <c r="Q22" s="5"/>
      <c r="R22" s="5"/>
      <c r="S22" s="5"/>
      <c r="T22" s="5"/>
      <c r="U22" s="5"/>
    </row>
    <row r="23" spans="1:21">
      <c r="A23" s="1386"/>
      <c r="B23" s="1353"/>
      <c r="C23" s="1353"/>
      <c r="D23" s="79"/>
      <c r="E23" s="82"/>
      <c r="F23" s="83"/>
      <c r="G23" s="67"/>
      <c r="H23" s="9"/>
      <c r="I23" s="10"/>
      <c r="J23" s="10"/>
      <c r="K23" s="12"/>
      <c r="L23" s="39"/>
      <c r="M23" s="7"/>
      <c r="N23" s="7"/>
      <c r="O23" s="15"/>
      <c r="P23" s="5"/>
      <c r="Q23" s="5"/>
      <c r="R23" s="5"/>
      <c r="S23" s="5"/>
      <c r="T23" s="5"/>
      <c r="U23" s="5"/>
    </row>
    <row r="24" spans="1:21">
      <c r="A24" s="1352"/>
      <c r="B24" s="1353"/>
      <c r="C24" s="1353"/>
      <c r="D24" s="81"/>
      <c r="E24" s="88"/>
      <c r="F24" s="78"/>
      <c r="G24" s="231"/>
      <c r="H24" s="9"/>
      <c r="I24" s="10"/>
      <c r="J24" s="40"/>
      <c r="K24" s="12"/>
      <c r="L24" s="13"/>
      <c r="M24" s="14"/>
      <c r="N24" s="14"/>
      <c r="O24" s="15"/>
      <c r="P24" s="5"/>
      <c r="Q24" s="5"/>
      <c r="R24" s="5"/>
      <c r="S24" s="5"/>
      <c r="T24" s="5"/>
      <c r="U24" s="5"/>
    </row>
    <row r="25" spans="1:21">
      <c r="A25" s="1352"/>
      <c r="B25" s="1353"/>
      <c r="C25" s="1353"/>
      <c r="D25" s="81"/>
      <c r="E25" s="82"/>
      <c r="F25" s="78"/>
      <c r="G25" s="231"/>
      <c r="H25" s="9"/>
      <c r="I25" s="10"/>
      <c r="J25" s="11"/>
      <c r="K25" s="12"/>
      <c r="L25" s="13"/>
      <c r="M25" s="14"/>
      <c r="N25" s="14"/>
      <c r="O25" s="15"/>
      <c r="P25" s="5"/>
      <c r="Q25" s="5"/>
      <c r="R25" s="5"/>
      <c r="S25" s="5"/>
      <c r="T25" s="5"/>
      <c r="U25" s="5"/>
    </row>
    <row r="26" spans="1:21">
      <c r="A26" s="1352"/>
      <c r="B26" s="1353"/>
      <c r="C26" s="1353"/>
      <c r="D26" s="79"/>
      <c r="E26" s="82"/>
      <c r="F26" s="78"/>
      <c r="G26" s="231"/>
      <c r="H26" s="9"/>
      <c r="I26" s="10"/>
      <c r="J26" s="11"/>
      <c r="K26" s="12"/>
      <c r="L26" s="13"/>
      <c r="M26" s="14"/>
      <c r="N26" s="14"/>
      <c r="O26" s="15"/>
      <c r="P26" s="5"/>
      <c r="Q26" s="5"/>
      <c r="R26" s="5"/>
      <c r="S26" s="5"/>
      <c r="T26" s="5"/>
      <c r="U26" s="5"/>
    </row>
    <row r="27" spans="1:21">
      <c r="A27" s="1352"/>
      <c r="B27" s="1353"/>
      <c r="C27" s="1353"/>
      <c r="D27" s="79"/>
      <c r="E27" s="82"/>
      <c r="F27" s="78"/>
      <c r="G27" s="231"/>
      <c r="H27" s="9"/>
      <c r="I27" s="10"/>
      <c r="J27" s="11"/>
      <c r="K27" s="12"/>
      <c r="L27" s="13"/>
      <c r="M27" s="14"/>
      <c r="N27" s="14"/>
      <c r="O27" s="15"/>
      <c r="P27" s="5"/>
      <c r="Q27" s="5"/>
      <c r="R27" s="5"/>
      <c r="S27" s="5"/>
      <c r="T27" s="5"/>
      <c r="U27" s="5"/>
    </row>
    <row r="28" spans="1:21">
      <c r="A28" s="1352"/>
      <c r="B28" s="1353"/>
      <c r="C28" s="1353"/>
      <c r="D28" s="79"/>
      <c r="E28" s="82"/>
      <c r="F28" s="83"/>
      <c r="G28" s="231"/>
      <c r="H28" s="9"/>
      <c r="I28" s="41"/>
      <c r="J28" s="41"/>
      <c r="K28" s="12"/>
      <c r="L28" s="13"/>
      <c r="M28" s="14"/>
      <c r="N28" s="14"/>
      <c r="O28" s="15"/>
      <c r="P28" s="5"/>
      <c r="Q28" s="5"/>
      <c r="R28" s="5"/>
      <c r="S28" s="5"/>
      <c r="T28" s="5"/>
      <c r="U28" s="5"/>
    </row>
    <row r="29" spans="1:21">
      <c r="A29" s="1352"/>
      <c r="B29" s="1353"/>
      <c r="C29" s="1353"/>
      <c r="D29" s="84"/>
      <c r="E29" s="84"/>
      <c r="F29" s="83"/>
      <c r="G29" s="231"/>
      <c r="H29" s="9"/>
      <c r="I29" s="42"/>
      <c r="J29" s="42"/>
      <c r="K29" s="42"/>
      <c r="L29" s="13"/>
      <c r="M29" s="14"/>
      <c r="N29" s="14"/>
      <c r="O29" s="15"/>
      <c r="P29" s="5"/>
      <c r="Q29" s="5"/>
      <c r="R29" s="5"/>
      <c r="S29" s="5"/>
      <c r="T29" s="5"/>
      <c r="U29" s="5"/>
    </row>
    <row r="30" spans="1:21">
      <c r="A30" s="1352"/>
      <c r="B30" s="1353"/>
      <c r="C30" s="1353"/>
      <c r="D30" s="85" t="s">
        <v>28</v>
      </c>
      <c r="E30" s="50"/>
      <c r="F30" s="49"/>
      <c r="G30" s="230">
        <f>SUM(G21:G29)</f>
        <v>81405</v>
      </c>
      <c r="H30" s="9"/>
      <c r="I30" s="8"/>
      <c r="J30" s="13"/>
      <c r="K30" s="8"/>
      <c r="L30" s="13"/>
      <c r="M30" s="14"/>
      <c r="N30" s="14"/>
      <c r="O30" s="15"/>
      <c r="P30" s="5"/>
    </row>
    <row r="31" spans="1:21" ht="3.75" customHeight="1">
      <c r="A31" s="226"/>
      <c r="B31" s="4"/>
      <c r="C31" s="6"/>
      <c r="D31" s="4"/>
      <c r="E31" s="4"/>
      <c r="F31" s="4"/>
      <c r="G31" s="227"/>
      <c r="H31" s="9"/>
      <c r="I31" s="8"/>
      <c r="J31" s="13"/>
      <c r="K31" s="18"/>
      <c r="L31" s="13"/>
      <c r="M31" s="33"/>
      <c r="N31" s="33"/>
      <c r="O31" s="15"/>
      <c r="P31" s="5"/>
    </row>
    <row r="32" spans="1:21" ht="22.5" customHeight="1">
      <c r="A32" s="1354" t="s">
        <v>71</v>
      </c>
      <c r="B32" s="1355"/>
      <c r="C32" s="1355"/>
      <c r="D32" s="1355"/>
      <c r="E32" s="1355"/>
      <c r="F32" s="1355"/>
      <c r="G32" s="1356"/>
      <c r="H32" s="9"/>
    </row>
    <row r="33" spans="1:16" ht="3.75" customHeight="1">
      <c r="A33" s="226"/>
      <c r="B33" s="4"/>
      <c r="C33" s="6"/>
      <c r="D33" s="4"/>
      <c r="E33" s="4"/>
      <c r="F33" s="4"/>
      <c r="G33" s="227"/>
      <c r="H33" s="9"/>
      <c r="I33" s="8"/>
      <c r="J33" s="13"/>
      <c r="K33" s="8"/>
      <c r="L33" s="8"/>
      <c r="M33" s="8"/>
      <c r="N33" s="8"/>
      <c r="O33" s="15"/>
      <c r="P33" s="5"/>
    </row>
    <row r="34" spans="1:16">
      <c r="A34" s="232" t="s">
        <v>5</v>
      </c>
      <c r="B34" s="60" t="s">
        <v>29</v>
      </c>
      <c r="C34" s="60" t="s">
        <v>30</v>
      </c>
      <c r="D34" s="60" t="s">
        <v>31</v>
      </c>
      <c r="E34" s="60" t="s">
        <v>32</v>
      </c>
      <c r="F34" s="60" t="s">
        <v>20</v>
      </c>
      <c r="G34" s="228" t="s">
        <v>33</v>
      </c>
      <c r="H34" s="27"/>
      <c r="I34" s="8"/>
      <c r="J34" s="13"/>
      <c r="K34" s="8"/>
      <c r="L34" s="8"/>
      <c r="M34" s="8"/>
      <c r="N34" s="8"/>
      <c r="O34" s="15"/>
      <c r="P34" s="5"/>
    </row>
    <row r="35" spans="1:16">
      <c r="A35" s="233" t="s">
        <v>41</v>
      </c>
      <c r="B35" s="63">
        <f>BOF</f>
        <v>51749</v>
      </c>
      <c r="C35" s="68">
        <f>ffpp</f>
        <v>0.64539999999999997</v>
      </c>
      <c r="D35" s="72">
        <v>1</v>
      </c>
      <c r="E35" s="66">
        <f>OF</f>
        <v>88696</v>
      </c>
      <c r="F35" s="65">
        <v>15</v>
      </c>
      <c r="G35" s="231">
        <f>ROUND(+D35*E35/F35,0)</f>
        <v>5913</v>
      </c>
      <c r="H35" s="9"/>
      <c r="I35" s="16"/>
      <c r="J35" s="13"/>
      <c r="K35" s="8"/>
      <c r="L35" s="8"/>
      <c r="M35" s="8"/>
      <c r="N35" s="8"/>
      <c r="O35" s="15"/>
      <c r="P35" s="5"/>
    </row>
    <row r="36" spans="1:16">
      <c r="A36" s="233" t="s">
        <v>38</v>
      </c>
      <c r="B36" s="63">
        <f>BOB</f>
        <v>41749</v>
      </c>
      <c r="C36" s="68">
        <f>ffpp</f>
        <v>0.64539999999999997</v>
      </c>
      <c r="D36" s="72">
        <v>3</v>
      </c>
      <c r="E36" s="66">
        <f>OB</f>
        <v>72242</v>
      </c>
      <c r="F36" s="65">
        <f>F35</f>
        <v>15</v>
      </c>
      <c r="G36" s="231">
        <f>ROUND(+D36*E36/F36,0)</f>
        <v>14448</v>
      </c>
      <c r="H36" s="9"/>
      <c r="I36" s="8"/>
      <c r="J36" s="8"/>
      <c r="K36" s="13"/>
      <c r="L36" s="13"/>
      <c r="M36" s="13"/>
      <c r="N36" s="13"/>
      <c r="O36" s="13"/>
      <c r="P36" s="5"/>
    </row>
    <row r="37" spans="1:16">
      <c r="A37" s="234"/>
      <c r="B37" s="50"/>
      <c r="C37" s="961"/>
      <c r="D37" s="50"/>
      <c r="E37" s="66"/>
      <c r="F37" s="65"/>
      <c r="G37" s="231"/>
      <c r="H37" s="9"/>
      <c r="I37" s="8"/>
      <c r="J37" s="13"/>
      <c r="K37" s="13"/>
      <c r="L37" s="13"/>
      <c r="M37" s="33"/>
      <c r="N37" s="33"/>
      <c r="O37" s="43"/>
      <c r="P37" s="5"/>
    </row>
    <row r="38" spans="1:16">
      <c r="A38" s="233"/>
      <c r="B38" s="65"/>
      <c r="C38" s="68"/>
      <c r="D38" s="65"/>
      <c r="E38" s="69"/>
      <c r="F38" s="69"/>
      <c r="G38" s="236"/>
      <c r="H38" s="9"/>
      <c r="I38" s="8"/>
      <c r="J38" s="13"/>
      <c r="K38" s="13"/>
      <c r="L38" s="13"/>
      <c r="M38" s="33"/>
      <c r="N38" s="33"/>
      <c r="O38" s="43"/>
      <c r="P38" s="5"/>
    </row>
    <row r="39" spans="1:16">
      <c r="A39" s="249"/>
      <c r="B39" s="71"/>
      <c r="C39" s="71"/>
      <c r="D39" s="71" t="s">
        <v>34</v>
      </c>
      <c r="E39" s="71"/>
      <c r="F39" s="71"/>
      <c r="G39" s="250">
        <f>SUM(G35:G38)</f>
        <v>20361</v>
      </c>
      <c r="H39" s="9"/>
      <c r="I39" s="8"/>
      <c r="J39" s="13"/>
      <c r="K39" s="13"/>
      <c r="L39" s="13"/>
      <c r="M39" s="14"/>
      <c r="N39" s="14"/>
      <c r="O39" s="15"/>
      <c r="P39" s="5"/>
    </row>
    <row r="40" spans="1:16">
      <c r="A40" s="226"/>
      <c r="B40" s="4"/>
      <c r="C40" s="6"/>
      <c r="D40" s="4"/>
      <c r="E40" s="4"/>
      <c r="F40" s="4"/>
      <c r="G40" s="227"/>
      <c r="H40" s="9"/>
      <c r="I40" s="8"/>
      <c r="J40" s="13"/>
      <c r="K40" s="13"/>
      <c r="L40" s="13"/>
      <c r="M40" s="14"/>
      <c r="N40" s="14"/>
      <c r="O40" s="19"/>
      <c r="P40" s="5"/>
    </row>
    <row r="41" spans="1:16">
      <c r="A41" s="226"/>
      <c r="B41" s="4"/>
      <c r="C41" s="6"/>
      <c r="D41" s="4"/>
      <c r="E41" s="4"/>
      <c r="F41" s="4"/>
      <c r="G41" s="227"/>
      <c r="H41" s="9"/>
      <c r="I41" s="8"/>
      <c r="J41" s="13"/>
      <c r="K41" s="13"/>
      <c r="L41" s="13"/>
      <c r="M41" s="17"/>
      <c r="N41" s="17"/>
      <c r="O41" s="37"/>
      <c r="P41" s="5"/>
    </row>
    <row r="42" spans="1:16" ht="14.25">
      <c r="A42" s="226"/>
      <c r="B42" s="4"/>
      <c r="C42" s="6"/>
      <c r="D42" s="1357" t="s">
        <v>35</v>
      </c>
      <c r="E42" s="1358"/>
      <c r="F42" s="1359"/>
      <c r="G42" s="239">
        <f>+G39+G30+G16</f>
        <v>103802</v>
      </c>
      <c r="H42" s="9"/>
      <c r="I42" s="48"/>
      <c r="J42" s="20"/>
      <c r="K42" s="8"/>
      <c r="L42" s="8"/>
      <c r="M42" s="8"/>
      <c r="N42" s="8"/>
      <c r="O42" s="8"/>
      <c r="P42" s="5"/>
    </row>
    <row r="43" spans="1:16" ht="14.25">
      <c r="A43" s="240"/>
      <c r="B43" s="57"/>
      <c r="C43" s="58"/>
      <c r="D43" s="99"/>
      <c r="E43" s="99"/>
      <c r="F43" s="99"/>
      <c r="G43" s="251"/>
      <c r="H43" s="9"/>
      <c r="I43" s="48"/>
      <c r="J43" s="20"/>
      <c r="K43" s="8"/>
      <c r="L43" s="8"/>
      <c r="M43" s="8"/>
      <c r="N43" s="8"/>
      <c r="O43" s="8"/>
      <c r="P43" s="5"/>
    </row>
    <row r="44" spans="1:16" ht="14.25">
      <c r="A44" s="374"/>
      <c r="B44" s="375"/>
      <c r="C44" s="375"/>
      <c r="D44" s="99"/>
      <c r="E44" s="99"/>
      <c r="F44" s="99"/>
      <c r="G44" s="251"/>
      <c r="H44" s="9"/>
      <c r="I44" s="48"/>
      <c r="J44" s="20"/>
      <c r="K44" s="8"/>
      <c r="L44" s="8"/>
      <c r="M44" s="8"/>
      <c r="N44" s="8"/>
      <c r="O44" s="8"/>
      <c r="P44" s="5"/>
    </row>
    <row r="45" spans="1:16" ht="14.25">
      <c r="A45" s="373"/>
      <c r="B45" s="376"/>
      <c r="C45" s="376"/>
      <c r="D45" s="99"/>
      <c r="E45" s="99"/>
      <c r="F45" s="99"/>
      <c r="G45" s="251"/>
      <c r="H45" s="9"/>
      <c r="I45" s="48"/>
      <c r="J45" s="20"/>
      <c r="K45" s="8"/>
      <c r="L45" s="8"/>
      <c r="M45" s="8"/>
      <c r="N45" s="8"/>
      <c r="O45" s="8"/>
      <c r="P45" s="5"/>
    </row>
    <row r="46" spans="1:16" ht="14.25">
      <c r="A46" s="373"/>
      <c r="B46" s="376"/>
      <c r="C46" s="376"/>
      <c r="D46" s="44"/>
      <c r="E46" s="45"/>
      <c r="F46" s="45"/>
      <c r="G46" s="251"/>
      <c r="H46" s="9"/>
      <c r="I46" s="8"/>
      <c r="J46" s="13"/>
      <c r="K46" s="8"/>
      <c r="L46" s="8"/>
      <c r="M46" s="8"/>
      <c r="N46" s="8"/>
      <c r="O46" s="8"/>
      <c r="P46" s="5"/>
    </row>
    <row r="47" spans="1:16" ht="15" thickBot="1">
      <c r="A47" s="242"/>
      <c r="B47" s="243"/>
      <c r="C47" s="244"/>
      <c r="D47" s="245"/>
      <c r="E47" s="246"/>
      <c r="F47" s="246"/>
      <c r="G47" s="247"/>
      <c r="H47" s="9"/>
      <c r="I47" s="8"/>
      <c r="J47" s="13"/>
      <c r="K47" s="8"/>
      <c r="L47" s="8"/>
      <c r="M47" s="8"/>
      <c r="N47" s="8"/>
      <c r="O47" s="8"/>
      <c r="P47" s="5"/>
    </row>
    <row r="48" spans="1:16">
      <c r="I48" s="5"/>
      <c r="J48" s="5"/>
      <c r="K48" s="5"/>
      <c r="L48" s="5"/>
      <c r="M48" s="5"/>
      <c r="N48" s="5"/>
      <c r="O48" s="5"/>
      <c r="P48" s="5"/>
    </row>
    <row r="49" spans="9:16">
      <c r="I49" s="5"/>
      <c r="J49" s="5"/>
      <c r="K49" s="5"/>
      <c r="L49" s="5"/>
      <c r="M49" s="5"/>
      <c r="N49" s="5"/>
      <c r="O49" s="5"/>
      <c r="P49" s="5"/>
    </row>
  </sheetData>
  <mergeCells count="26">
    <mergeCell ref="A10:C10"/>
    <mergeCell ref="A1:G1"/>
    <mergeCell ref="A2:G2"/>
    <mergeCell ref="A3:G4"/>
    <mergeCell ref="B6:E6"/>
    <mergeCell ref="A8:G8"/>
    <mergeCell ref="A24:C24"/>
    <mergeCell ref="A11:C11"/>
    <mergeCell ref="A12:C12"/>
    <mergeCell ref="A13:C13"/>
    <mergeCell ref="A14:C14"/>
    <mergeCell ref="A15:C15"/>
    <mergeCell ref="A16:C16"/>
    <mergeCell ref="A18:G18"/>
    <mergeCell ref="A20:C20"/>
    <mergeCell ref="A21:C21"/>
    <mergeCell ref="A22:C22"/>
    <mergeCell ref="A23:C23"/>
    <mergeCell ref="A32:G32"/>
    <mergeCell ref="D42:F42"/>
    <mergeCell ref="A25:C25"/>
    <mergeCell ref="A26:C26"/>
    <mergeCell ref="A27:C27"/>
    <mergeCell ref="A28:C28"/>
    <mergeCell ref="A29:C29"/>
    <mergeCell ref="A30:C30"/>
  </mergeCells>
  <printOptions horizontalCentered="1" verticalCentered="1"/>
  <pageMargins left="0.74803149606299213" right="0.74803149606299213" top="0" bottom="0.98425196850393704" header="0" footer="0"/>
  <pageSetup scale="90" orientation="portrait" r:id="rId1"/>
  <headerFooter alignWithMargins="0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90"/>
  <dimension ref="A1:U49"/>
  <sheetViews>
    <sheetView view="pageBreakPreview" zoomScaleNormal="100" zoomScaleSheetLayoutView="100" workbookViewId="0">
      <selection activeCell="I7" sqref="I7"/>
    </sheetView>
  </sheetViews>
  <sheetFormatPr baseColWidth="10" defaultColWidth="10.7109375" defaultRowHeight="12.75"/>
  <cols>
    <col min="1" max="1" width="15.85546875" style="3" customWidth="1"/>
    <col min="2" max="2" width="14.85546875" style="3" customWidth="1"/>
    <col min="3" max="3" width="13.28515625" style="3" customWidth="1"/>
    <col min="4" max="4" width="11.42578125" style="3"/>
    <col min="5" max="5" width="13.42578125" style="3" customWidth="1"/>
    <col min="6" max="6" width="12.7109375" style="3" customWidth="1"/>
    <col min="7" max="7" width="14" style="3" customWidth="1"/>
    <col min="8" max="8" width="7.42578125" style="3" customWidth="1"/>
    <col min="9" max="256" width="11.42578125" style="3"/>
    <col min="257" max="257" width="15.85546875" style="3" customWidth="1"/>
    <col min="258" max="258" width="14.85546875" style="3" customWidth="1"/>
    <col min="259" max="259" width="13.28515625" style="3" customWidth="1"/>
    <col min="260" max="260" width="11.42578125" style="3"/>
    <col min="261" max="261" width="13.42578125" style="3" customWidth="1"/>
    <col min="262" max="262" width="12.7109375" style="3" customWidth="1"/>
    <col min="263" max="263" width="14" style="3" customWidth="1"/>
    <col min="264" max="264" width="7.42578125" style="3" customWidth="1"/>
    <col min="265" max="512" width="11.42578125" style="3"/>
    <col min="513" max="513" width="15.85546875" style="3" customWidth="1"/>
    <col min="514" max="514" width="14.85546875" style="3" customWidth="1"/>
    <col min="515" max="515" width="13.28515625" style="3" customWidth="1"/>
    <col min="516" max="516" width="11.42578125" style="3"/>
    <col min="517" max="517" width="13.42578125" style="3" customWidth="1"/>
    <col min="518" max="518" width="12.7109375" style="3" customWidth="1"/>
    <col min="519" max="519" width="14" style="3" customWidth="1"/>
    <col min="520" max="520" width="7.42578125" style="3" customWidth="1"/>
    <col min="521" max="768" width="11.42578125" style="3"/>
    <col min="769" max="769" width="15.85546875" style="3" customWidth="1"/>
    <col min="770" max="770" width="14.85546875" style="3" customWidth="1"/>
    <col min="771" max="771" width="13.28515625" style="3" customWidth="1"/>
    <col min="772" max="772" width="11.42578125" style="3"/>
    <col min="773" max="773" width="13.42578125" style="3" customWidth="1"/>
    <col min="774" max="774" width="12.7109375" style="3" customWidth="1"/>
    <col min="775" max="775" width="14" style="3" customWidth="1"/>
    <col min="776" max="776" width="7.42578125" style="3" customWidth="1"/>
    <col min="777" max="1024" width="11.42578125" style="3"/>
    <col min="1025" max="1025" width="15.85546875" style="3" customWidth="1"/>
    <col min="1026" max="1026" width="14.85546875" style="3" customWidth="1"/>
    <col min="1027" max="1027" width="13.28515625" style="3" customWidth="1"/>
    <col min="1028" max="1028" width="11.42578125" style="3"/>
    <col min="1029" max="1029" width="13.42578125" style="3" customWidth="1"/>
    <col min="1030" max="1030" width="12.7109375" style="3" customWidth="1"/>
    <col min="1031" max="1031" width="14" style="3" customWidth="1"/>
    <col min="1032" max="1032" width="7.42578125" style="3" customWidth="1"/>
    <col min="1033" max="1280" width="11.42578125" style="3"/>
    <col min="1281" max="1281" width="15.85546875" style="3" customWidth="1"/>
    <col min="1282" max="1282" width="14.85546875" style="3" customWidth="1"/>
    <col min="1283" max="1283" width="13.28515625" style="3" customWidth="1"/>
    <col min="1284" max="1284" width="11.42578125" style="3"/>
    <col min="1285" max="1285" width="13.42578125" style="3" customWidth="1"/>
    <col min="1286" max="1286" width="12.7109375" style="3" customWidth="1"/>
    <col min="1287" max="1287" width="14" style="3" customWidth="1"/>
    <col min="1288" max="1288" width="7.42578125" style="3" customWidth="1"/>
    <col min="1289" max="1536" width="11.42578125" style="3"/>
    <col min="1537" max="1537" width="15.85546875" style="3" customWidth="1"/>
    <col min="1538" max="1538" width="14.85546875" style="3" customWidth="1"/>
    <col min="1539" max="1539" width="13.28515625" style="3" customWidth="1"/>
    <col min="1540" max="1540" width="11.42578125" style="3"/>
    <col min="1541" max="1541" width="13.42578125" style="3" customWidth="1"/>
    <col min="1542" max="1542" width="12.7109375" style="3" customWidth="1"/>
    <col min="1543" max="1543" width="14" style="3" customWidth="1"/>
    <col min="1544" max="1544" width="7.42578125" style="3" customWidth="1"/>
    <col min="1545" max="1792" width="11.42578125" style="3"/>
    <col min="1793" max="1793" width="15.85546875" style="3" customWidth="1"/>
    <col min="1794" max="1794" width="14.85546875" style="3" customWidth="1"/>
    <col min="1795" max="1795" width="13.28515625" style="3" customWidth="1"/>
    <col min="1796" max="1796" width="11.42578125" style="3"/>
    <col min="1797" max="1797" width="13.42578125" style="3" customWidth="1"/>
    <col min="1798" max="1798" width="12.7109375" style="3" customWidth="1"/>
    <col min="1799" max="1799" width="14" style="3" customWidth="1"/>
    <col min="1800" max="1800" width="7.42578125" style="3" customWidth="1"/>
    <col min="1801" max="2048" width="11.42578125" style="3"/>
    <col min="2049" max="2049" width="15.85546875" style="3" customWidth="1"/>
    <col min="2050" max="2050" width="14.85546875" style="3" customWidth="1"/>
    <col min="2051" max="2051" width="13.28515625" style="3" customWidth="1"/>
    <col min="2052" max="2052" width="11.42578125" style="3"/>
    <col min="2053" max="2053" width="13.42578125" style="3" customWidth="1"/>
    <col min="2054" max="2054" width="12.7109375" style="3" customWidth="1"/>
    <col min="2055" max="2055" width="14" style="3" customWidth="1"/>
    <col min="2056" max="2056" width="7.42578125" style="3" customWidth="1"/>
    <col min="2057" max="2304" width="11.42578125" style="3"/>
    <col min="2305" max="2305" width="15.85546875" style="3" customWidth="1"/>
    <col min="2306" max="2306" width="14.85546875" style="3" customWidth="1"/>
    <col min="2307" max="2307" width="13.28515625" style="3" customWidth="1"/>
    <col min="2308" max="2308" width="11.42578125" style="3"/>
    <col min="2309" max="2309" width="13.42578125" style="3" customWidth="1"/>
    <col min="2310" max="2310" width="12.7109375" style="3" customWidth="1"/>
    <col min="2311" max="2311" width="14" style="3" customWidth="1"/>
    <col min="2312" max="2312" width="7.42578125" style="3" customWidth="1"/>
    <col min="2313" max="2560" width="11.42578125" style="3"/>
    <col min="2561" max="2561" width="15.85546875" style="3" customWidth="1"/>
    <col min="2562" max="2562" width="14.85546875" style="3" customWidth="1"/>
    <col min="2563" max="2563" width="13.28515625" style="3" customWidth="1"/>
    <col min="2564" max="2564" width="11.42578125" style="3"/>
    <col min="2565" max="2565" width="13.42578125" style="3" customWidth="1"/>
    <col min="2566" max="2566" width="12.7109375" style="3" customWidth="1"/>
    <col min="2567" max="2567" width="14" style="3" customWidth="1"/>
    <col min="2568" max="2568" width="7.42578125" style="3" customWidth="1"/>
    <col min="2569" max="2816" width="11.42578125" style="3"/>
    <col min="2817" max="2817" width="15.85546875" style="3" customWidth="1"/>
    <col min="2818" max="2818" width="14.85546875" style="3" customWidth="1"/>
    <col min="2819" max="2819" width="13.28515625" style="3" customWidth="1"/>
    <col min="2820" max="2820" width="11.42578125" style="3"/>
    <col min="2821" max="2821" width="13.42578125" style="3" customWidth="1"/>
    <col min="2822" max="2822" width="12.7109375" style="3" customWidth="1"/>
    <col min="2823" max="2823" width="14" style="3" customWidth="1"/>
    <col min="2824" max="2824" width="7.42578125" style="3" customWidth="1"/>
    <col min="2825" max="3072" width="11.42578125" style="3"/>
    <col min="3073" max="3073" width="15.85546875" style="3" customWidth="1"/>
    <col min="3074" max="3074" width="14.85546875" style="3" customWidth="1"/>
    <col min="3075" max="3075" width="13.28515625" style="3" customWidth="1"/>
    <col min="3076" max="3076" width="11.42578125" style="3"/>
    <col min="3077" max="3077" width="13.42578125" style="3" customWidth="1"/>
    <col min="3078" max="3078" width="12.7109375" style="3" customWidth="1"/>
    <col min="3079" max="3079" width="14" style="3" customWidth="1"/>
    <col min="3080" max="3080" width="7.42578125" style="3" customWidth="1"/>
    <col min="3081" max="3328" width="11.42578125" style="3"/>
    <col min="3329" max="3329" width="15.85546875" style="3" customWidth="1"/>
    <col min="3330" max="3330" width="14.85546875" style="3" customWidth="1"/>
    <col min="3331" max="3331" width="13.28515625" style="3" customWidth="1"/>
    <col min="3332" max="3332" width="11.42578125" style="3"/>
    <col min="3333" max="3333" width="13.42578125" style="3" customWidth="1"/>
    <col min="3334" max="3334" width="12.7109375" style="3" customWidth="1"/>
    <col min="3335" max="3335" width="14" style="3" customWidth="1"/>
    <col min="3336" max="3336" width="7.42578125" style="3" customWidth="1"/>
    <col min="3337" max="3584" width="11.42578125" style="3"/>
    <col min="3585" max="3585" width="15.85546875" style="3" customWidth="1"/>
    <col min="3586" max="3586" width="14.85546875" style="3" customWidth="1"/>
    <col min="3587" max="3587" width="13.28515625" style="3" customWidth="1"/>
    <col min="3588" max="3588" width="11.42578125" style="3"/>
    <col min="3589" max="3589" width="13.42578125" style="3" customWidth="1"/>
    <col min="3590" max="3590" width="12.7109375" style="3" customWidth="1"/>
    <col min="3591" max="3591" width="14" style="3" customWidth="1"/>
    <col min="3592" max="3592" width="7.42578125" style="3" customWidth="1"/>
    <col min="3593" max="3840" width="11.42578125" style="3"/>
    <col min="3841" max="3841" width="15.85546875" style="3" customWidth="1"/>
    <col min="3842" max="3842" width="14.85546875" style="3" customWidth="1"/>
    <col min="3843" max="3843" width="13.28515625" style="3" customWidth="1"/>
    <col min="3844" max="3844" width="11.42578125" style="3"/>
    <col min="3845" max="3845" width="13.42578125" style="3" customWidth="1"/>
    <col min="3846" max="3846" width="12.7109375" style="3" customWidth="1"/>
    <col min="3847" max="3847" width="14" style="3" customWidth="1"/>
    <col min="3848" max="3848" width="7.42578125" style="3" customWidth="1"/>
    <col min="3849" max="4096" width="11.42578125" style="3"/>
    <col min="4097" max="4097" width="15.85546875" style="3" customWidth="1"/>
    <col min="4098" max="4098" width="14.85546875" style="3" customWidth="1"/>
    <col min="4099" max="4099" width="13.28515625" style="3" customWidth="1"/>
    <col min="4100" max="4100" width="11.42578125" style="3"/>
    <col min="4101" max="4101" width="13.42578125" style="3" customWidth="1"/>
    <col min="4102" max="4102" width="12.7109375" style="3" customWidth="1"/>
    <col min="4103" max="4103" width="14" style="3" customWidth="1"/>
    <col min="4104" max="4104" width="7.42578125" style="3" customWidth="1"/>
    <col min="4105" max="4352" width="11.42578125" style="3"/>
    <col min="4353" max="4353" width="15.85546875" style="3" customWidth="1"/>
    <col min="4354" max="4354" width="14.85546875" style="3" customWidth="1"/>
    <col min="4355" max="4355" width="13.28515625" style="3" customWidth="1"/>
    <col min="4356" max="4356" width="11.42578125" style="3"/>
    <col min="4357" max="4357" width="13.42578125" style="3" customWidth="1"/>
    <col min="4358" max="4358" width="12.7109375" style="3" customWidth="1"/>
    <col min="4359" max="4359" width="14" style="3" customWidth="1"/>
    <col min="4360" max="4360" width="7.42578125" style="3" customWidth="1"/>
    <col min="4361" max="4608" width="11.42578125" style="3"/>
    <col min="4609" max="4609" width="15.85546875" style="3" customWidth="1"/>
    <col min="4610" max="4610" width="14.85546875" style="3" customWidth="1"/>
    <col min="4611" max="4611" width="13.28515625" style="3" customWidth="1"/>
    <col min="4612" max="4612" width="11.42578125" style="3"/>
    <col min="4613" max="4613" width="13.42578125" style="3" customWidth="1"/>
    <col min="4614" max="4614" width="12.7109375" style="3" customWidth="1"/>
    <col min="4615" max="4615" width="14" style="3" customWidth="1"/>
    <col min="4616" max="4616" width="7.42578125" style="3" customWidth="1"/>
    <col min="4617" max="4864" width="11.42578125" style="3"/>
    <col min="4865" max="4865" width="15.85546875" style="3" customWidth="1"/>
    <col min="4866" max="4866" width="14.85546875" style="3" customWidth="1"/>
    <col min="4867" max="4867" width="13.28515625" style="3" customWidth="1"/>
    <col min="4868" max="4868" width="11.42578125" style="3"/>
    <col min="4869" max="4869" width="13.42578125" style="3" customWidth="1"/>
    <col min="4870" max="4870" width="12.7109375" style="3" customWidth="1"/>
    <col min="4871" max="4871" width="14" style="3" customWidth="1"/>
    <col min="4872" max="4872" width="7.42578125" style="3" customWidth="1"/>
    <col min="4873" max="5120" width="11.42578125" style="3"/>
    <col min="5121" max="5121" width="15.85546875" style="3" customWidth="1"/>
    <col min="5122" max="5122" width="14.85546875" style="3" customWidth="1"/>
    <col min="5123" max="5123" width="13.28515625" style="3" customWidth="1"/>
    <col min="5124" max="5124" width="11.42578125" style="3"/>
    <col min="5125" max="5125" width="13.42578125" style="3" customWidth="1"/>
    <col min="5126" max="5126" width="12.7109375" style="3" customWidth="1"/>
    <col min="5127" max="5127" width="14" style="3" customWidth="1"/>
    <col min="5128" max="5128" width="7.42578125" style="3" customWidth="1"/>
    <col min="5129" max="5376" width="11.42578125" style="3"/>
    <col min="5377" max="5377" width="15.85546875" style="3" customWidth="1"/>
    <col min="5378" max="5378" width="14.85546875" style="3" customWidth="1"/>
    <col min="5379" max="5379" width="13.28515625" style="3" customWidth="1"/>
    <col min="5380" max="5380" width="11.42578125" style="3"/>
    <col min="5381" max="5381" width="13.42578125" style="3" customWidth="1"/>
    <col min="5382" max="5382" width="12.7109375" style="3" customWidth="1"/>
    <col min="5383" max="5383" width="14" style="3" customWidth="1"/>
    <col min="5384" max="5384" width="7.42578125" style="3" customWidth="1"/>
    <col min="5385" max="5632" width="11.42578125" style="3"/>
    <col min="5633" max="5633" width="15.85546875" style="3" customWidth="1"/>
    <col min="5634" max="5634" width="14.85546875" style="3" customWidth="1"/>
    <col min="5635" max="5635" width="13.28515625" style="3" customWidth="1"/>
    <col min="5636" max="5636" width="11.42578125" style="3"/>
    <col min="5637" max="5637" width="13.42578125" style="3" customWidth="1"/>
    <col min="5638" max="5638" width="12.7109375" style="3" customWidth="1"/>
    <col min="5639" max="5639" width="14" style="3" customWidth="1"/>
    <col min="5640" max="5640" width="7.42578125" style="3" customWidth="1"/>
    <col min="5641" max="5888" width="11.42578125" style="3"/>
    <col min="5889" max="5889" width="15.85546875" style="3" customWidth="1"/>
    <col min="5890" max="5890" width="14.85546875" style="3" customWidth="1"/>
    <col min="5891" max="5891" width="13.28515625" style="3" customWidth="1"/>
    <col min="5892" max="5892" width="11.42578125" style="3"/>
    <col min="5893" max="5893" width="13.42578125" style="3" customWidth="1"/>
    <col min="5894" max="5894" width="12.7109375" style="3" customWidth="1"/>
    <col min="5895" max="5895" width="14" style="3" customWidth="1"/>
    <col min="5896" max="5896" width="7.42578125" style="3" customWidth="1"/>
    <col min="5897" max="6144" width="11.42578125" style="3"/>
    <col min="6145" max="6145" width="15.85546875" style="3" customWidth="1"/>
    <col min="6146" max="6146" width="14.85546875" style="3" customWidth="1"/>
    <col min="6147" max="6147" width="13.28515625" style="3" customWidth="1"/>
    <col min="6148" max="6148" width="11.42578125" style="3"/>
    <col min="6149" max="6149" width="13.42578125" style="3" customWidth="1"/>
    <col min="6150" max="6150" width="12.7109375" style="3" customWidth="1"/>
    <col min="6151" max="6151" width="14" style="3" customWidth="1"/>
    <col min="6152" max="6152" width="7.42578125" style="3" customWidth="1"/>
    <col min="6153" max="6400" width="11.42578125" style="3"/>
    <col min="6401" max="6401" width="15.85546875" style="3" customWidth="1"/>
    <col min="6402" max="6402" width="14.85546875" style="3" customWidth="1"/>
    <col min="6403" max="6403" width="13.28515625" style="3" customWidth="1"/>
    <col min="6404" max="6404" width="11.42578125" style="3"/>
    <col min="6405" max="6405" width="13.42578125" style="3" customWidth="1"/>
    <col min="6406" max="6406" width="12.7109375" style="3" customWidth="1"/>
    <col min="6407" max="6407" width="14" style="3" customWidth="1"/>
    <col min="6408" max="6408" width="7.42578125" style="3" customWidth="1"/>
    <col min="6409" max="6656" width="11.42578125" style="3"/>
    <col min="6657" max="6657" width="15.85546875" style="3" customWidth="1"/>
    <col min="6658" max="6658" width="14.85546875" style="3" customWidth="1"/>
    <col min="6659" max="6659" width="13.28515625" style="3" customWidth="1"/>
    <col min="6660" max="6660" width="11.42578125" style="3"/>
    <col min="6661" max="6661" width="13.42578125" style="3" customWidth="1"/>
    <col min="6662" max="6662" width="12.7109375" style="3" customWidth="1"/>
    <col min="6663" max="6663" width="14" style="3" customWidth="1"/>
    <col min="6664" max="6664" width="7.42578125" style="3" customWidth="1"/>
    <col min="6665" max="6912" width="11.42578125" style="3"/>
    <col min="6913" max="6913" width="15.85546875" style="3" customWidth="1"/>
    <col min="6914" max="6914" width="14.85546875" style="3" customWidth="1"/>
    <col min="6915" max="6915" width="13.28515625" style="3" customWidth="1"/>
    <col min="6916" max="6916" width="11.42578125" style="3"/>
    <col min="6917" max="6917" width="13.42578125" style="3" customWidth="1"/>
    <col min="6918" max="6918" width="12.7109375" style="3" customWidth="1"/>
    <col min="6919" max="6919" width="14" style="3" customWidth="1"/>
    <col min="6920" max="6920" width="7.42578125" style="3" customWidth="1"/>
    <col min="6921" max="7168" width="11.42578125" style="3"/>
    <col min="7169" max="7169" width="15.85546875" style="3" customWidth="1"/>
    <col min="7170" max="7170" width="14.85546875" style="3" customWidth="1"/>
    <col min="7171" max="7171" width="13.28515625" style="3" customWidth="1"/>
    <col min="7172" max="7172" width="11.42578125" style="3"/>
    <col min="7173" max="7173" width="13.42578125" style="3" customWidth="1"/>
    <col min="7174" max="7174" width="12.7109375" style="3" customWidth="1"/>
    <col min="7175" max="7175" width="14" style="3" customWidth="1"/>
    <col min="7176" max="7176" width="7.42578125" style="3" customWidth="1"/>
    <col min="7177" max="7424" width="11.42578125" style="3"/>
    <col min="7425" max="7425" width="15.85546875" style="3" customWidth="1"/>
    <col min="7426" max="7426" width="14.85546875" style="3" customWidth="1"/>
    <col min="7427" max="7427" width="13.28515625" style="3" customWidth="1"/>
    <col min="7428" max="7428" width="11.42578125" style="3"/>
    <col min="7429" max="7429" width="13.42578125" style="3" customWidth="1"/>
    <col min="7430" max="7430" width="12.7109375" style="3" customWidth="1"/>
    <col min="7431" max="7431" width="14" style="3" customWidth="1"/>
    <col min="7432" max="7432" width="7.42578125" style="3" customWidth="1"/>
    <col min="7433" max="7680" width="11.42578125" style="3"/>
    <col min="7681" max="7681" width="15.85546875" style="3" customWidth="1"/>
    <col min="7682" max="7682" width="14.85546875" style="3" customWidth="1"/>
    <col min="7683" max="7683" width="13.28515625" style="3" customWidth="1"/>
    <col min="7684" max="7684" width="11.42578125" style="3"/>
    <col min="7685" max="7685" width="13.42578125" style="3" customWidth="1"/>
    <col min="7686" max="7686" width="12.7109375" style="3" customWidth="1"/>
    <col min="7687" max="7687" width="14" style="3" customWidth="1"/>
    <col min="7688" max="7688" width="7.42578125" style="3" customWidth="1"/>
    <col min="7689" max="7936" width="11.42578125" style="3"/>
    <col min="7937" max="7937" width="15.85546875" style="3" customWidth="1"/>
    <col min="7938" max="7938" width="14.85546875" style="3" customWidth="1"/>
    <col min="7939" max="7939" width="13.28515625" style="3" customWidth="1"/>
    <col min="7940" max="7940" width="11.42578125" style="3"/>
    <col min="7941" max="7941" width="13.42578125" style="3" customWidth="1"/>
    <col min="7942" max="7942" width="12.7109375" style="3" customWidth="1"/>
    <col min="7943" max="7943" width="14" style="3" customWidth="1"/>
    <col min="7944" max="7944" width="7.42578125" style="3" customWidth="1"/>
    <col min="7945" max="8192" width="11.42578125" style="3"/>
    <col min="8193" max="8193" width="15.85546875" style="3" customWidth="1"/>
    <col min="8194" max="8194" width="14.85546875" style="3" customWidth="1"/>
    <col min="8195" max="8195" width="13.28515625" style="3" customWidth="1"/>
    <col min="8196" max="8196" width="11.42578125" style="3"/>
    <col min="8197" max="8197" width="13.42578125" style="3" customWidth="1"/>
    <col min="8198" max="8198" width="12.7109375" style="3" customWidth="1"/>
    <col min="8199" max="8199" width="14" style="3" customWidth="1"/>
    <col min="8200" max="8200" width="7.42578125" style="3" customWidth="1"/>
    <col min="8201" max="8448" width="11.42578125" style="3"/>
    <col min="8449" max="8449" width="15.85546875" style="3" customWidth="1"/>
    <col min="8450" max="8450" width="14.85546875" style="3" customWidth="1"/>
    <col min="8451" max="8451" width="13.28515625" style="3" customWidth="1"/>
    <col min="8452" max="8452" width="11.42578125" style="3"/>
    <col min="8453" max="8453" width="13.42578125" style="3" customWidth="1"/>
    <col min="8454" max="8454" width="12.7109375" style="3" customWidth="1"/>
    <col min="8455" max="8455" width="14" style="3" customWidth="1"/>
    <col min="8456" max="8456" width="7.42578125" style="3" customWidth="1"/>
    <col min="8457" max="8704" width="11.42578125" style="3"/>
    <col min="8705" max="8705" width="15.85546875" style="3" customWidth="1"/>
    <col min="8706" max="8706" width="14.85546875" style="3" customWidth="1"/>
    <col min="8707" max="8707" width="13.28515625" style="3" customWidth="1"/>
    <col min="8708" max="8708" width="11.42578125" style="3"/>
    <col min="8709" max="8709" width="13.42578125" style="3" customWidth="1"/>
    <col min="8710" max="8710" width="12.7109375" style="3" customWidth="1"/>
    <col min="8711" max="8711" width="14" style="3" customWidth="1"/>
    <col min="8712" max="8712" width="7.42578125" style="3" customWidth="1"/>
    <col min="8713" max="8960" width="11.42578125" style="3"/>
    <col min="8961" max="8961" width="15.85546875" style="3" customWidth="1"/>
    <col min="8962" max="8962" width="14.85546875" style="3" customWidth="1"/>
    <col min="8963" max="8963" width="13.28515625" style="3" customWidth="1"/>
    <col min="8964" max="8964" width="11.42578125" style="3"/>
    <col min="8965" max="8965" width="13.42578125" style="3" customWidth="1"/>
    <col min="8966" max="8966" width="12.7109375" style="3" customWidth="1"/>
    <col min="8967" max="8967" width="14" style="3" customWidth="1"/>
    <col min="8968" max="8968" width="7.42578125" style="3" customWidth="1"/>
    <col min="8969" max="9216" width="11.42578125" style="3"/>
    <col min="9217" max="9217" width="15.85546875" style="3" customWidth="1"/>
    <col min="9218" max="9218" width="14.85546875" style="3" customWidth="1"/>
    <col min="9219" max="9219" width="13.28515625" style="3" customWidth="1"/>
    <col min="9220" max="9220" width="11.42578125" style="3"/>
    <col min="9221" max="9221" width="13.42578125" style="3" customWidth="1"/>
    <col min="9222" max="9222" width="12.7109375" style="3" customWidth="1"/>
    <col min="9223" max="9223" width="14" style="3" customWidth="1"/>
    <col min="9224" max="9224" width="7.42578125" style="3" customWidth="1"/>
    <col min="9225" max="9472" width="11.42578125" style="3"/>
    <col min="9473" max="9473" width="15.85546875" style="3" customWidth="1"/>
    <col min="9474" max="9474" width="14.85546875" style="3" customWidth="1"/>
    <col min="9475" max="9475" width="13.28515625" style="3" customWidth="1"/>
    <col min="9476" max="9476" width="11.42578125" style="3"/>
    <col min="9477" max="9477" width="13.42578125" style="3" customWidth="1"/>
    <col min="9478" max="9478" width="12.7109375" style="3" customWidth="1"/>
    <col min="9479" max="9479" width="14" style="3" customWidth="1"/>
    <col min="9480" max="9480" width="7.42578125" style="3" customWidth="1"/>
    <col min="9481" max="9728" width="11.42578125" style="3"/>
    <col min="9729" max="9729" width="15.85546875" style="3" customWidth="1"/>
    <col min="9730" max="9730" width="14.85546875" style="3" customWidth="1"/>
    <col min="9731" max="9731" width="13.28515625" style="3" customWidth="1"/>
    <col min="9732" max="9732" width="11.42578125" style="3"/>
    <col min="9733" max="9733" width="13.42578125" style="3" customWidth="1"/>
    <col min="9734" max="9734" width="12.7109375" style="3" customWidth="1"/>
    <col min="9735" max="9735" width="14" style="3" customWidth="1"/>
    <col min="9736" max="9736" width="7.42578125" style="3" customWidth="1"/>
    <col min="9737" max="9984" width="11.42578125" style="3"/>
    <col min="9985" max="9985" width="15.85546875" style="3" customWidth="1"/>
    <col min="9986" max="9986" width="14.85546875" style="3" customWidth="1"/>
    <col min="9987" max="9987" width="13.28515625" style="3" customWidth="1"/>
    <col min="9988" max="9988" width="11.42578125" style="3"/>
    <col min="9989" max="9989" width="13.42578125" style="3" customWidth="1"/>
    <col min="9990" max="9990" width="12.7109375" style="3" customWidth="1"/>
    <col min="9991" max="9991" width="14" style="3" customWidth="1"/>
    <col min="9992" max="9992" width="7.42578125" style="3" customWidth="1"/>
    <col min="9993" max="10240" width="11.42578125" style="3"/>
    <col min="10241" max="10241" width="15.85546875" style="3" customWidth="1"/>
    <col min="10242" max="10242" width="14.85546875" style="3" customWidth="1"/>
    <col min="10243" max="10243" width="13.28515625" style="3" customWidth="1"/>
    <col min="10244" max="10244" width="11.42578125" style="3"/>
    <col min="10245" max="10245" width="13.42578125" style="3" customWidth="1"/>
    <col min="10246" max="10246" width="12.7109375" style="3" customWidth="1"/>
    <col min="10247" max="10247" width="14" style="3" customWidth="1"/>
    <col min="10248" max="10248" width="7.42578125" style="3" customWidth="1"/>
    <col min="10249" max="10496" width="11.42578125" style="3"/>
    <col min="10497" max="10497" width="15.85546875" style="3" customWidth="1"/>
    <col min="10498" max="10498" width="14.85546875" style="3" customWidth="1"/>
    <col min="10499" max="10499" width="13.28515625" style="3" customWidth="1"/>
    <col min="10500" max="10500" width="11.42578125" style="3"/>
    <col min="10501" max="10501" width="13.42578125" style="3" customWidth="1"/>
    <col min="10502" max="10502" width="12.7109375" style="3" customWidth="1"/>
    <col min="10503" max="10503" width="14" style="3" customWidth="1"/>
    <col min="10504" max="10504" width="7.42578125" style="3" customWidth="1"/>
    <col min="10505" max="10752" width="11.42578125" style="3"/>
    <col min="10753" max="10753" width="15.85546875" style="3" customWidth="1"/>
    <col min="10754" max="10754" width="14.85546875" style="3" customWidth="1"/>
    <col min="10755" max="10755" width="13.28515625" style="3" customWidth="1"/>
    <col min="10756" max="10756" width="11.42578125" style="3"/>
    <col min="10757" max="10757" width="13.42578125" style="3" customWidth="1"/>
    <col min="10758" max="10758" width="12.7109375" style="3" customWidth="1"/>
    <col min="10759" max="10759" width="14" style="3" customWidth="1"/>
    <col min="10760" max="10760" width="7.42578125" style="3" customWidth="1"/>
    <col min="10761" max="11008" width="11.42578125" style="3"/>
    <col min="11009" max="11009" width="15.85546875" style="3" customWidth="1"/>
    <col min="11010" max="11010" width="14.85546875" style="3" customWidth="1"/>
    <col min="11011" max="11011" width="13.28515625" style="3" customWidth="1"/>
    <col min="11012" max="11012" width="11.42578125" style="3"/>
    <col min="11013" max="11013" width="13.42578125" style="3" customWidth="1"/>
    <col min="11014" max="11014" width="12.7109375" style="3" customWidth="1"/>
    <col min="11015" max="11015" width="14" style="3" customWidth="1"/>
    <col min="11016" max="11016" width="7.42578125" style="3" customWidth="1"/>
    <col min="11017" max="11264" width="11.42578125" style="3"/>
    <col min="11265" max="11265" width="15.85546875" style="3" customWidth="1"/>
    <col min="11266" max="11266" width="14.85546875" style="3" customWidth="1"/>
    <col min="11267" max="11267" width="13.28515625" style="3" customWidth="1"/>
    <col min="11268" max="11268" width="11.42578125" style="3"/>
    <col min="11269" max="11269" width="13.42578125" style="3" customWidth="1"/>
    <col min="11270" max="11270" width="12.7109375" style="3" customWidth="1"/>
    <col min="11271" max="11271" width="14" style="3" customWidth="1"/>
    <col min="11272" max="11272" width="7.42578125" style="3" customWidth="1"/>
    <col min="11273" max="11520" width="11.42578125" style="3"/>
    <col min="11521" max="11521" width="15.85546875" style="3" customWidth="1"/>
    <col min="11522" max="11522" width="14.85546875" style="3" customWidth="1"/>
    <col min="11523" max="11523" width="13.28515625" style="3" customWidth="1"/>
    <col min="11524" max="11524" width="11.42578125" style="3"/>
    <col min="11525" max="11525" width="13.42578125" style="3" customWidth="1"/>
    <col min="11526" max="11526" width="12.7109375" style="3" customWidth="1"/>
    <col min="11527" max="11527" width="14" style="3" customWidth="1"/>
    <col min="11528" max="11528" width="7.42578125" style="3" customWidth="1"/>
    <col min="11529" max="11776" width="11.42578125" style="3"/>
    <col min="11777" max="11777" width="15.85546875" style="3" customWidth="1"/>
    <col min="11778" max="11778" width="14.85546875" style="3" customWidth="1"/>
    <col min="11779" max="11779" width="13.28515625" style="3" customWidth="1"/>
    <col min="11780" max="11780" width="11.42578125" style="3"/>
    <col min="11781" max="11781" width="13.42578125" style="3" customWidth="1"/>
    <col min="11782" max="11782" width="12.7109375" style="3" customWidth="1"/>
    <col min="11783" max="11783" width="14" style="3" customWidth="1"/>
    <col min="11784" max="11784" width="7.42578125" style="3" customWidth="1"/>
    <col min="11785" max="12032" width="11.42578125" style="3"/>
    <col min="12033" max="12033" width="15.85546875" style="3" customWidth="1"/>
    <col min="12034" max="12034" width="14.85546875" style="3" customWidth="1"/>
    <col min="12035" max="12035" width="13.28515625" style="3" customWidth="1"/>
    <col min="12036" max="12036" width="11.42578125" style="3"/>
    <col min="12037" max="12037" width="13.42578125" style="3" customWidth="1"/>
    <col min="12038" max="12038" width="12.7109375" style="3" customWidth="1"/>
    <col min="12039" max="12039" width="14" style="3" customWidth="1"/>
    <col min="12040" max="12040" width="7.42578125" style="3" customWidth="1"/>
    <col min="12041" max="12288" width="11.42578125" style="3"/>
    <col min="12289" max="12289" width="15.85546875" style="3" customWidth="1"/>
    <col min="12290" max="12290" width="14.85546875" style="3" customWidth="1"/>
    <col min="12291" max="12291" width="13.28515625" style="3" customWidth="1"/>
    <col min="12292" max="12292" width="11.42578125" style="3"/>
    <col min="12293" max="12293" width="13.42578125" style="3" customWidth="1"/>
    <col min="12294" max="12294" width="12.7109375" style="3" customWidth="1"/>
    <col min="12295" max="12295" width="14" style="3" customWidth="1"/>
    <col min="12296" max="12296" width="7.42578125" style="3" customWidth="1"/>
    <col min="12297" max="12544" width="11.42578125" style="3"/>
    <col min="12545" max="12545" width="15.85546875" style="3" customWidth="1"/>
    <col min="12546" max="12546" width="14.85546875" style="3" customWidth="1"/>
    <col min="12547" max="12547" width="13.28515625" style="3" customWidth="1"/>
    <col min="12548" max="12548" width="11.42578125" style="3"/>
    <col min="12549" max="12549" width="13.42578125" style="3" customWidth="1"/>
    <col min="12550" max="12550" width="12.7109375" style="3" customWidth="1"/>
    <col min="12551" max="12551" width="14" style="3" customWidth="1"/>
    <col min="12552" max="12552" width="7.42578125" style="3" customWidth="1"/>
    <col min="12553" max="12800" width="11.42578125" style="3"/>
    <col min="12801" max="12801" width="15.85546875" style="3" customWidth="1"/>
    <col min="12802" max="12802" width="14.85546875" style="3" customWidth="1"/>
    <col min="12803" max="12803" width="13.28515625" style="3" customWidth="1"/>
    <col min="12804" max="12804" width="11.42578125" style="3"/>
    <col min="12805" max="12805" width="13.42578125" style="3" customWidth="1"/>
    <col min="12806" max="12806" width="12.7109375" style="3" customWidth="1"/>
    <col min="12807" max="12807" width="14" style="3" customWidth="1"/>
    <col min="12808" max="12808" width="7.42578125" style="3" customWidth="1"/>
    <col min="12809" max="13056" width="11.42578125" style="3"/>
    <col min="13057" max="13057" width="15.85546875" style="3" customWidth="1"/>
    <col min="13058" max="13058" width="14.85546875" style="3" customWidth="1"/>
    <col min="13059" max="13059" width="13.28515625" style="3" customWidth="1"/>
    <col min="13060" max="13060" width="11.42578125" style="3"/>
    <col min="13061" max="13061" width="13.42578125" style="3" customWidth="1"/>
    <col min="13062" max="13062" width="12.7109375" style="3" customWidth="1"/>
    <col min="13063" max="13063" width="14" style="3" customWidth="1"/>
    <col min="13064" max="13064" width="7.42578125" style="3" customWidth="1"/>
    <col min="13065" max="13312" width="11.42578125" style="3"/>
    <col min="13313" max="13313" width="15.85546875" style="3" customWidth="1"/>
    <col min="13314" max="13314" width="14.85546875" style="3" customWidth="1"/>
    <col min="13315" max="13315" width="13.28515625" style="3" customWidth="1"/>
    <col min="13316" max="13316" width="11.42578125" style="3"/>
    <col min="13317" max="13317" width="13.42578125" style="3" customWidth="1"/>
    <col min="13318" max="13318" width="12.7109375" style="3" customWidth="1"/>
    <col min="13319" max="13319" width="14" style="3" customWidth="1"/>
    <col min="13320" max="13320" width="7.42578125" style="3" customWidth="1"/>
    <col min="13321" max="13568" width="11.42578125" style="3"/>
    <col min="13569" max="13569" width="15.85546875" style="3" customWidth="1"/>
    <col min="13570" max="13570" width="14.85546875" style="3" customWidth="1"/>
    <col min="13571" max="13571" width="13.28515625" style="3" customWidth="1"/>
    <col min="13572" max="13572" width="11.42578125" style="3"/>
    <col min="13573" max="13573" width="13.42578125" style="3" customWidth="1"/>
    <col min="13574" max="13574" width="12.7109375" style="3" customWidth="1"/>
    <col min="13575" max="13575" width="14" style="3" customWidth="1"/>
    <col min="13576" max="13576" width="7.42578125" style="3" customWidth="1"/>
    <col min="13577" max="13824" width="11.42578125" style="3"/>
    <col min="13825" max="13825" width="15.85546875" style="3" customWidth="1"/>
    <col min="13826" max="13826" width="14.85546875" style="3" customWidth="1"/>
    <col min="13827" max="13827" width="13.28515625" style="3" customWidth="1"/>
    <col min="13828" max="13828" width="11.42578125" style="3"/>
    <col min="13829" max="13829" width="13.42578125" style="3" customWidth="1"/>
    <col min="13830" max="13830" width="12.7109375" style="3" customWidth="1"/>
    <col min="13831" max="13831" width="14" style="3" customWidth="1"/>
    <col min="13832" max="13832" width="7.42578125" style="3" customWidth="1"/>
    <col min="13833" max="14080" width="11.42578125" style="3"/>
    <col min="14081" max="14081" width="15.85546875" style="3" customWidth="1"/>
    <col min="14082" max="14082" width="14.85546875" style="3" customWidth="1"/>
    <col min="14083" max="14083" width="13.28515625" style="3" customWidth="1"/>
    <col min="14084" max="14084" width="11.42578125" style="3"/>
    <col min="14085" max="14085" width="13.42578125" style="3" customWidth="1"/>
    <col min="14086" max="14086" width="12.7109375" style="3" customWidth="1"/>
    <col min="14087" max="14087" width="14" style="3" customWidth="1"/>
    <col min="14088" max="14088" width="7.42578125" style="3" customWidth="1"/>
    <col min="14089" max="14336" width="11.42578125" style="3"/>
    <col min="14337" max="14337" width="15.85546875" style="3" customWidth="1"/>
    <col min="14338" max="14338" width="14.85546875" style="3" customWidth="1"/>
    <col min="14339" max="14339" width="13.28515625" style="3" customWidth="1"/>
    <col min="14340" max="14340" width="11.42578125" style="3"/>
    <col min="14341" max="14341" width="13.42578125" style="3" customWidth="1"/>
    <col min="14342" max="14342" width="12.7109375" style="3" customWidth="1"/>
    <col min="14343" max="14343" width="14" style="3" customWidth="1"/>
    <col min="14344" max="14344" width="7.42578125" style="3" customWidth="1"/>
    <col min="14345" max="14592" width="11.42578125" style="3"/>
    <col min="14593" max="14593" width="15.85546875" style="3" customWidth="1"/>
    <col min="14594" max="14594" width="14.85546875" style="3" customWidth="1"/>
    <col min="14595" max="14595" width="13.28515625" style="3" customWidth="1"/>
    <col min="14596" max="14596" width="11.42578125" style="3"/>
    <col min="14597" max="14597" width="13.42578125" style="3" customWidth="1"/>
    <col min="14598" max="14598" width="12.7109375" style="3" customWidth="1"/>
    <col min="14599" max="14599" width="14" style="3" customWidth="1"/>
    <col min="14600" max="14600" width="7.42578125" style="3" customWidth="1"/>
    <col min="14601" max="14848" width="11.42578125" style="3"/>
    <col min="14849" max="14849" width="15.85546875" style="3" customWidth="1"/>
    <col min="14850" max="14850" width="14.85546875" style="3" customWidth="1"/>
    <col min="14851" max="14851" width="13.28515625" style="3" customWidth="1"/>
    <col min="14852" max="14852" width="11.42578125" style="3"/>
    <col min="14853" max="14853" width="13.42578125" style="3" customWidth="1"/>
    <col min="14854" max="14854" width="12.7109375" style="3" customWidth="1"/>
    <col min="14855" max="14855" width="14" style="3" customWidth="1"/>
    <col min="14856" max="14856" width="7.42578125" style="3" customWidth="1"/>
    <col min="14857" max="15104" width="11.42578125" style="3"/>
    <col min="15105" max="15105" width="15.85546875" style="3" customWidth="1"/>
    <col min="15106" max="15106" width="14.85546875" style="3" customWidth="1"/>
    <col min="15107" max="15107" width="13.28515625" style="3" customWidth="1"/>
    <col min="15108" max="15108" width="11.42578125" style="3"/>
    <col min="15109" max="15109" width="13.42578125" style="3" customWidth="1"/>
    <col min="15110" max="15110" width="12.7109375" style="3" customWidth="1"/>
    <col min="15111" max="15111" width="14" style="3" customWidth="1"/>
    <col min="15112" max="15112" width="7.42578125" style="3" customWidth="1"/>
    <col min="15113" max="15360" width="11.42578125" style="3"/>
    <col min="15361" max="15361" width="15.85546875" style="3" customWidth="1"/>
    <col min="15362" max="15362" width="14.85546875" style="3" customWidth="1"/>
    <col min="15363" max="15363" width="13.28515625" style="3" customWidth="1"/>
    <col min="15364" max="15364" width="11.42578125" style="3"/>
    <col min="15365" max="15365" width="13.42578125" style="3" customWidth="1"/>
    <col min="15366" max="15366" width="12.7109375" style="3" customWidth="1"/>
    <col min="15367" max="15367" width="14" style="3" customWidth="1"/>
    <col min="15368" max="15368" width="7.42578125" style="3" customWidth="1"/>
    <col min="15369" max="15616" width="11.42578125" style="3"/>
    <col min="15617" max="15617" width="15.85546875" style="3" customWidth="1"/>
    <col min="15618" max="15618" width="14.85546875" style="3" customWidth="1"/>
    <col min="15619" max="15619" width="13.28515625" style="3" customWidth="1"/>
    <col min="15620" max="15620" width="11.42578125" style="3"/>
    <col min="15621" max="15621" width="13.42578125" style="3" customWidth="1"/>
    <col min="15622" max="15622" width="12.7109375" style="3" customWidth="1"/>
    <col min="15623" max="15623" width="14" style="3" customWidth="1"/>
    <col min="15624" max="15624" width="7.42578125" style="3" customWidth="1"/>
    <col min="15625" max="15872" width="11.42578125" style="3"/>
    <col min="15873" max="15873" width="15.85546875" style="3" customWidth="1"/>
    <col min="15874" max="15874" width="14.85546875" style="3" customWidth="1"/>
    <col min="15875" max="15875" width="13.28515625" style="3" customWidth="1"/>
    <col min="15876" max="15876" width="11.42578125" style="3"/>
    <col min="15877" max="15877" width="13.42578125" style="3" customWidth="1"/>
    <col min="15878" max="15878" width="12.7109375" style="3" customWidth="1"/>
    <col min="15879" max="15879" width="14" style="3" customWidth="1"/>
    <col min="15880" max="15880" width="7.42578125" style="3" customWidth="1"/>
    <col min="15881" max="16128" width="11.42578125" style="3"/>
    <col min="16129" max="16129" width="15.85546875" style="3" customWidth="1"/>
    <col min="16130" max="16130" width="14.85546875" style="3" customWidth="1"/>
    <col min="16131" max="16131" width="13.28515625" style="3" customWidth="1"/>
    <col min="16132" max="16132" width="11.42578125" style="3"/>
    <col min="16133" max="16133" width="13.42578125" style="3" customWidth="1"/>
    <col min="16134" max="16134" width="12.7109375" style="3" customWidth="1"/>
    <col min="16135" max="16135" width="14" style="3" customWidth="1"/>
    <col min="16136" max="16136" width="7.42578125" style="3" customWidth="1"/>
    <col min="16137" max="16384" width="11.42578125" style="3"/>
  </cols>
  <sheetData>
    <row r="1" spans="1:21" ht="20.25">
      <c r="A1" s="1346" t="str">
        <f>PPTO!D3</f>
        <v>PRESUPUESTO
MUNICIPIO EL BAGRE (ANTIOQUIA).</v>
      </c>
      <c r="B1" s="1347"/>
      <c r="C1" s="1347"/>
      <c r="D1" s="1347"/>
      <c r="E1" s="1347"/>
      <c r="F1" s="1347"/>
      <c r="G1" s="1348"/>
      <c r="H1" s="1"/>
      <c r="I1" s="2"/>
    </row>
    <row r="2" spans="1:21" ht="18" customHeight="1">
      <c r="A2" s="1362" t="s">
        <v>16</v>
      </c>
      <c r="B2" s="1363"/>
      <c r="C2" s="1363"/>
      <c r="D2" s="1363"/>
      <c r="E2" s="1363"/>
      <c r="F2" s="1363"/>
      <c r="G2" s="1364"/>
      <c r="H2" s="1"/>
      <c r="I2" s="2"/>
    </row>
    <row r="3" spans="1:21" ht="27" customHeight="1">
      <c r="A3" s="1367" t="str">
        <f>+PPTO!$D$5</f>
        <v>PROYECTO DE MEJORAMIENTO VIAL, ESPACIO PUBLICO Y OBRAS COMPLEMENTARIAS DE LA AVENIDA LA JUVENTUD Y TRAMOS ADYACENTES Y PRIORITARIOS DEL SECTOR URBANO EN EL MUNICIPIO EL BAGRE ANTIOQUIA.</v>
      </c>
      <c r="B3" s="1368"/>
      <c r="C3" s="1368"/>
      <c r="D3" s="1368"/>
      <c r="E3" s="1368"/>
      <c r="F3" s="1368"/>
      <c r="G3" s="1369"/>
      <c r="H3" s="1"/>
      <c r="I3" s="2"/>
    </row>
    <row r="4" spans="1:21" ht="15" customHeight="1">
      <c r="A4" s="1370"/>
      <c r="B4" s="1368"/>
      <c r="C4" s="1368"/>
      <c r="D4" s="1368"/>
      <c r="E4" s="1368"/>
      <c r="F4" s="1368"/>
      <c r="G4" s="1369"/>
      <c r="H4" s="1"/>
      <c r="I4" s="2"/>
    </row>
    <row r="5" spans="1:21" ht="6.75" customHeight="1">
      <c r="A5" s="222"/>
      <c r="B5" s="6"/>
      <c r="C5" s="24"/>
      <c r="D5" s="25"/>
      <c r="E5" s="6"/>
      <c r="F5" s="6"/>
      <c r="G5" s="223"/>
      <c r="H5" s="9"/>
    </row>
    <row r="6" spans="1:21">
      <c r="A6" s="368">
        <v>6.36</v>
      </c>
      <c r="B6" s="1349" t="str">
        <f>VLOOKUP(A6,PPTO!D9:I136,2,FALSE)</f>
        <v>Suministro e instalación Union de 6" PVC ó Similar</v>
      </c>
      <c r="C6" s="1350"/>
      <c r="D6" s="1350"/>
      <c r="E6" s="1351"/>
      <c r="F6" s="192" t="s">
        <v>118</v>
      </c>
      <c r="G6" s="248" t="str">
        <f>VLOOKUP(A6,PPTO!D9:I136,3,FALSE)</f>
        <v>und</v>
      </c>
      <c r="H6" s="9"/>
    </row>
    <row r="7" spans="1:21" ht="3.75" customHeight="1">
      <c r="A7" s="226"/>
      <c r="B7" s="4"/>
      <c r="C7" s="6"/>
      <c r="D7" s="4"/>
      <c r="E7" s="4"/>
      <c r="F7" s="4"/>
      <c r="G7" s="227"/>
      <c r="H7" s="9"/>
    </row>
    <row r="8" spans="1:21" ht="22.5" customHeight="1">
      <c r="A8" s="1354" t="s">
        <v>69</v>
      </c>
      <c r="B8" s="1355"/>
      <c r="C8" s="1355"/>
      <c r="D8" s="1355"/>
      <c r="E8" s="1355"/>
      <c r="F8" s="1355"/>
      <c r="G8" s="1356"/>
      <c r="H8" s="9"/>
    </row>
    <row r="9" spans="1:21" ht="4.5" customHeight="1">
      <c r="A9" s="226"/>
      <c r="B9" s="4"/>
      <c r="C9" s="6"/>
      <c r="D9" s="4"/>
      <c r="E9" s="4"/>
      <c r="F9" s="4"/>
      <c r="G9" s="227"/>
      <c r="H9" s="9"/>
      <c r="I9" s="5"/>
      <c r="J9" s="5"/>
      <c r="K9" s="5"/>
      <c r="L9" s="26"/>
      <c r="M9" s="5"/>
      <c r="N9" s="5"/>
      <c r="O9" s="5"/>
      <c r="P9" s="5"/>
    </row>
    <row r="10" spans="1:21">
      <c r="A10" s="1373" t="s">
        <v>17</v>
      </c>
      <c r="B10" s="1374"/>
      <c r="C10" s="1374"/>
      <c r="D10" s="353" t="s">
        <v>18</v>
      </c>
      <c r="E10" s="353" t="s">
        <v>19</v>
      </c>
      <c r="F10" s="353" t="s">
        <v>20</v>
      </c>
      <c r="G10" s="228" t="s">
        <v>21</v>
      </c>
      <c r="H10" s="27"/>
      <c r="I10" s="28"/>
      <c r="J10" s="29"/>
      <c r="K10" s="30"/>
      <c r="L10" s="30"/>
      <c r="M10" s="30"/>
      <c r="N10" s="30"/>
      <c r="O10" s="30"/>
      <c r="P10" s="5"/>
    </row>
    <row r="11" spans="1:21">
      <c r="A11" s="1352" t="s">
        <v>47</v>
      </c>
      <c r="B11" s="1353"/>
      <c r="C11" s="1353"/>
      <c r="D11" s="353"/>
      <c r="E11" s="83"/>
      <c r="F11" s="97"/>
      <c r="G11" s="229">
        <f>+G39*10%</f>
        <v>2036</v>
      </c>
      <c r="H11" s="9"/>
      <c r="I11" s="30"/>
      <c r="J11" s="31"/>
      <c r="K11" s="30"/>
      <c r="L11" s="30"/>
      <c r="M11" s="30"/>
      <c r="N11" s="30"/>
      <c r="O11" s="30"/>
      <c r="P11" s="5"/>
    </row>
    <row r="12" spans="1:21">
      <c r="A12" s="1371"/>
      <c r="B12" s="1372"/>
      <c r="C12" s="1372"/>
      <c r="D12" s="83"/>
      <c r="E12" s="83"/>
      <c r="F12" s="93"/>
      <c r="G12" s="229"/>
      <c r="H12" s="9"/>
      <c r="I12" s="16"/>
      <c r="J12" s="13"/>
      <c r="K12" s="8"/>
      <c r="L12" s="8"/>
      <c r="M12" s="8"/>
      <c r="N12" s="8"/>
      <c r="O12" s="8"/>
      <c r="P12" s="5"/>
    </row>
    <row r="13" spans="1:21">
      <c r="A13" s="1371"/>
      <c r="B13" s="1372"/>
      <c r="C13" s="1372"/>
      <c r="D13" s="83"/>
      <c r="E13" s="83"/>
      <c r="F13" s="93"/>
      <c r="G13" s="229"/>
      <c r="H13" s="9"/>
      <c r="I13" s="13"/>
      <c r="J13" s="13"/>
      <c r="K13" s="13"/>
      <c r="L13" s="13"/>
      <c r="M13" s="13"/>
      <c r="N13" s="13"/>
      <c r="O13" s="13"/>
      <c r="P13" s="5"/>
    </row>
    <row r="14" spans="1:21">
      <c r="A14" s="1371"/>
      <c r="B14" s="1372"/>
      <c r="C14" s="1372"/>
      <c r="D14" s="83"/>
      <c r="E14" s="83"/>
      <c r="F14" s="93"/>
      <c r="G14" s="229"/>
      <c r="H14" s="9"/>
      <c r="I14" s="8"/>
      <c r="J14" s="14"/>
      <c r="K14" s="32"/>
      <c r="L14" s="14"/>
      <c r="M14" s="15"/>
      <c r="N14" s="15"/>
      <c r="O14" s="19"/>
      <c r="P14" s="5"/>
    </row>
    <row r="15" spans="1:21">
      <c r="A15" s="1371"/>
      <c r="B15" s="1372"/>
      <c r="C15" s="1372"/>
      <c r="D15" s="83"/>
      <c r="E15" s="83"/>
      <c r="F15" s="98"/>
      <c r="G15" s="229"/>
      <c r="H15" s="9"/>
      <c r="I15" s="8"/>
      <c r="J15" s="33"/>
      <c r="K15" s="32"/>
      <c r="L15" s="14"/>
      <c r="M15" s="15"/>
      <c r="N15" s="15"/>
      <c r="O15" s="19"/>
      <c r="P15" s="5"/>
      <c r="Q15" s="5"/>
      <c r="R15" s="5"/>
      <c r="S15" s="5"/>
      <c r="T15" s="5"/>
      <c r="U15" s="5"/>
    </row>
    <row r="16" spans="1:21">
      <c r="A16" s="1371"/>
      <c r="B16" s="1372"/>
      <c r="C16" s="1372"/>
      <c r="D16" s="85" t="s">
        <v>37</v>
      </c>
      <c r="E16" s="50"/>
      <c r="F16" s="49"/>
      <c r="G16" s="230">
        <f>SUM(G11:G15)</f>
        <v>2036</v>
      </c>
      <c r="H16" s="9"/>
      <c r="I16" s="34"/>
      <c r="J16" s="34"/>
      <c r="K16" s="35"/>
      <c r="L16" s="36"/>
      <c r="M16" s="7"/>
      <c r="N16" s="7"/>
      <c r="O16" s="19"/>
      <c r="P16" s="5"/>
      <c r="Q16" s="5"/>
      <c r="R16" s="5"/>
      <c r="S16" s="5"/>
      <c r="T16" s="5"/>
      <c r="U16" s="5"/>
    </row>
    <row r="17" spans="1:21" ht="4.5" customHeight="1">
      <c r="A17" s="226"/>
      <c r="B17" s="4"/>
      <c r="C17" s="6"/>
      <c r="D17" s="4"/>
      <c r="E17" s="4"/>
      <c r="F17" s="4"/>
      <c r="G17" s="227"/>
      <c r="H17" s="9"/>
      <c r="I17" s="34"/>
      <c r="J17" s="34"/>
      <c r="K17" s="35"/>
      <c r="L17" s="36"/>
      <c r="M17" s="7"/>
      <c r="N17" s="7"/>
      <c r="O17" s="19"/>
      <c r="P17" s="5"/>
      <c r="Q17" s="5"/>
      <c r="R17" s="5"/>
      <c r="S17" s="5"/>
      <c r="T17" s="5"/>
      <c r="U17" s="5"/>
    </row>
    <row r="18" spans="1:21" ht="22.5" customHeight="1">
      <c r="A18" s="1354" t="s">
        <v>70</v>
      </c>
      <c r="B18" s="1355"/>
      <c r="C18" s="1355"/>
      <c r="D18" s="1355"/>
      <c r="E18" s="1355"/>
      <c r="F18" s="1355"/>
      <c r="G18" s="1356"/>
      <c r="H18" s="9"/>
    </row>
    <row r="19" spans="1:21" ht="4.5" customHeight="1">
      <c r="A19" s="226"/>
      <c r="B19" s="4"/>
      <c r="C19" s="6"/>
      <c r="D19" s="4"/>
      <c r="E19" s="4"/>
      <c r="F19" s="38"/>
      <c r="G19" s="227"/>
      <c r="H19" s="9"/>
      <c r="I19" s="34"/>
      <c r="J19" s="34"/>
      <c r="K19" s="35"/>
      <c r="L19" s="39"/>
      <c r="M19" s="7"/>
      <c r="N19" s="7"/>
      <c r="O19" s="8"/>
      <c r="P19" s="5"/>
      <c r="Q19" s="5"/>
      <c r="R19" s="5"/>
      <c r="S19" s="5"/>
      <c r="T19" s="5"/>
      <c r="U19" s="5"/>
    </row>
    <row r="20" spans="1:21">
      <c r="A20" s="1373" t="s">
        <v>17</v>
      </c>
      <c r="B20" s="1374"/>
      <c r="C20" s="1374"/>
      <c r="D20" s="353" t="s">
        <v>3</v>
      </c>
      <c r="E20" s="353" t="s">
        <v>4</v>
      </c>
      <c r="F20" s="353" t="s">
        <v>25</v>
      </c>
      <c r="G20" s="228" t="s">
        <v>21</v>
      </c>
      <c r="H20" s="27"/>
      <c r="I20" s="34"/>
      <c r="J20" s="34"/>
      <c r="K20" s="35"/>
      <c r="L20" s="39"/>
      <c r="M20" s="7"/>
      <c r="N20" s="7"/>
      <c r="O20" s="8"/>
      <c r="P20" s="5"/>
      <c r="Q20" s="5"/>
      <c r="R20" s="5"/>
      <c r="S20" s="5"/>
      <c r="T20" s="5"/>
      <c r="U20" s="5"/>
    </row>
    <row r="21" spans="1:21" ht="31.5" customHeight="1">
      <c r="A21" s="1441" t="str">
        <f>MID(I21,25,50)</f>
        <v xml:space="preserve"> Union de 6" PVC ó Similar</v>
      </c>
      <c r="B21" s="1442"/>
      <c r="C21" s="1443"/>
      <c r="D21" s="118" t="s">
        <v>119</v>
      </c>
      <c r="E21" s="119">
        <v>1</v>
      </c>
      <c r="F21" s="87">
        <f>182699*IPC</f>
        <v>188509</v>
      </c>
      <c r="G21" s="231">
        <f>ROUND(F21*E21,0)</f>
        <v>188509</v>
      </c>
      <c r="H21" s="9"/>
      <c r="I21" s="34" t="str">
        <f>B6</f>
        <v>Suministro e instalación Union de 6" PVC ó Similar</v>
      </c>
      <c r="J21" s="34"/>
      <c r="K21" s="35"/>
      <c r="L21" s="36"/>
      <c r="M21" s="7"/>
      <c r="N21" s="7"/>
      <c r="O21" s="19"/>
      <c r="P21" s="5"/>
      <c r="Q21" s="5"/>
      <c r="R21" s="5"/>
      <c r="S21" s="5"/>
      <c r="T21" s="5"/>
      <c r="U21" s="5"/>
    </row>
    <row r="22" spans="1:21">
      <c r="A22" s="1444"/>
      <c r="B22" s="1403"/>
      <c r="C22" s="1404"/>
      <c r="D22" s="116"/>
      <c r="E22" s="117"/>
      <c r="F22" s="91"/>
      <c r="G22" s="231"/>
      <c r="H22" s="9"/>
      <c r="I22" s="10"/>
      <c r="J22" s="10"/>
      <c r="K22" s="12"/>
      <c r="L22" s="39"/>
      <c r="M22" s="7"/>
      <c r="N22" s="7"/>
      <c r="O22" s="15"/>
      <c r="P22" s="5"/>
      <c r="Q22" s="5"/>
      <c r="R22" s="5"/>
      <c r="S22" s="5"/>
      <c r="T22" s="5"/>
      <c r="U22" s="5"/>
    </row>
    <row r="23" spans="1:21">
      <c r="A23" s="1386"/>
      <c r="B23" s="1353"/>
      <c r="C23" s="1353"/>
      <c r="D23" s="79"/>
      <c r="E23" s="82"/>
      <c r="F23" s="83"/>
      <c r="G23" s="67"/>
      <c r="H23" s="9"/>
      <c r="I23" s="10"/>
      <c r="J23" s="10"/>
      <c r="K23" s="12"/>
      <c r="L23" s="39"/>
      <c r="M23" s="7"/>
      <c r="N23" s="7"/>
      <c r="O23" s="15"/>
      <c r="P23" s="5"/>
      <c r="Q23" s="5"/>
      <c r="R23" s="5"/>
      <c r="S23" s="5"/>
      <c r="T23" s="5"/>
      <c r="U23" s="5"/>
    </row>
    <row r="24" spans="1:21">
      <c r="A24" s="1352"/>
      <c r="B24" s="1353"/>
      <c r="C24" s="1353"/>
      <c r="D24" s="81"/>
      <c r="E24" s="88"/>
      <c r="F24" s="78"/>
      <c r="G24" s="231"/>
      <c r="H24" s="9"/>
      <c r="I24" s="10"/>
      <c r="J24" s="40"/>
      <c r="K24" s="12"/>
      <c r="L24" s="13"/>
      <c r="M24" s="14"/>
      <c r="N24" s="14"/>
      <c r="O24" s="15"/>
      <c r="P24" s="5"/>
      <c r="Q24" s="5"/>
      <c r="R24" s="5"/>
      <c r="S24" s="5"/>
      <c r="T24" s="5"/>
      <c r="U24" s="5"/>
    </row>
    <row r="25" spans="1:21">
      <c r="A25" s="1352"/>
      <c r="B25" s="1353"/>
      <c r="C25" s="1353"/>
      <c r="D25" s="81"/>
      <c r="E25" s="82"/>
      <c r="F25" s="78"/>
      <c r="G25" s="231"/>
      <c r="H25" s="9"/>
      <c r="I25" s="10"/>
      <c r="J25" s="11"/>
      <c r="K25" s="12"/>
      <c r="L25" s="13"/>
      <c r="M25" s="14"/>
      <c r="N25" s="14"/>
      <c r="O25" s="15"/>
      <c r="P25" s="5"/>
      <c r="Q25" s="5"/>
      <c r="R25" s="5"/>
      <c r="S25" s="5"/>
      <c r="T25" s="5"/>
      <c r="U25" s="5"/>
    </row>
    <row r="26" spans="1:21">
      <c r="A26" s="1352"/>
      <c r="B26" s="1353"/>
      <c r="C26" s="1353"/>
      <c r="D26" s="79"/>
      <c r="E26" s="82"/>
      <c r="F26" s="78"/>
      <c r="G26" s="231"/>
      <c r="H26" s="9"/>
      <c r="I26" s="10"/>
      <c r="J26" s="11"/>
      <c r="K26" s="12"/>
      <c r="L26" s="13"/>
      <c r="M26" s="14"/>
      <c r="N26" s="14"/>
      <c r="O26" s="15"/>
      <c r="P26" s="5"/>
      <c r="Q26" s="5"/>
      <c r="R26" s="5"/>
      <c r="S26" s="5"/>
      <c r="T26" s="5"/>
      <c r="U26" s="5"/>
    </row>
    <row r="27" spans="1:21">
      <c r="A27" s="1352"/>
      <c r="B27" s="1353"/>
      <c r="C27" s="1353"/>
      <c r="D27" s="79"/>
      <c r="E27" s="82"/>
      <c r="F27" s="78"/>
      <c r="G27" s="231"/>
      <c r="H27" s="9"/>
      <c r="I27" s="10"/>
      <c r="J27" s="11"/>
      <c r="K27" s="12"/>
      <c r="L27" s="13"/>
      <c r="M27" s="14"/>
      <c r="N27" s="14"/>
      <c r="O27" s="15"/>
      <c r="P27" s="5"/>
      <c r="Q27" s="5"/>
      <c r="R27" s="5"/>
      <c r="S27" s="5"/>
      <c r="T27" s="5"/>
      <c r="U27" s="5"/>
    </row>
    <row r="28" spans="1:21">
      <c r="A28" s="1352"/>
      <c r="B28" s="1353"/>
      <c r="C28" s="1353"/>
      <c r="D28" s="79"/>
      <c r="E28" s="82"/>
      <c r="F28" s="83"/>
      <c r="G28" s="231"/>
      <c r="H28" s="9"/>
      <c r="I28" s="41"/>
      <c r="J28" s="41"/>
      <c r="K28" s="12"/>
      <c r="L28" s="13"/>
      <c r="M28" s="14"/>
      <c r="N28" s="14"/>
      <c r="O28" s="15"/>
      <c r="P28" s="5"/>
      <c r="Q28" s="5"/>
      <c r="R28" s="5"/>
      <c r="S28" s="5"/>
      <c r="T28" s="5"/>
      <c r="U28" s="5"/>
    </row>
    <row r="29" spans="1:21">
      <c r="A29" s="1352"/>
      <c r="B29" s="1353"/>
      <c r="C29" s="1353"/>
      <c r="D29" s="84"/>
      <c r="E29" s="84"/>
      <c r="F29" s="83"/>
      <c r="G29" s="231"/>
      <c r="H29" s="9"/>
      <c r="I29" s="42"/>
      <c r="J29" s="42"/>
      <c r="K29" s="42"/>
      <c r="L29" s="13"/>
      <c r="M29" s="14"/>
      <c r="N29" s="14"/>
      <c r="O29" s="15"/>
      <c r="P29" s="5"/>
      <c r="Q29" s="5"/>
      <c r="R29" s="5"/>
      <c r="S29" s="5"/>
      <c r="T29" s="5"/>
      <c r="U29" s="5"/>
    </row>
    <row r="30" spans="1:21">
      <c r="A30" s="1352"/>
      <c r="B30" s="1353"/>
      <c r="C30" s="1353"/>
      <c r="D30" s="85" t="s">
        <v>28</v>
      </c>
      <c r="E30" s="50"/>
      <c r="F30" s="49"/>
      <c r="G30" s="230">
        <f>SUM(G21:G29)</f>
        <v>188509</v>
      </c>
      <c r="H30" s="9"/>
      <c r="I30" s="8"/>
      <c r="J30" s="13"/>
      <c r="K30" s="8"/>
      <c r="L30" s="13"/>
      <c r="M30" s="14"/>
      <c r="N30" s="14"/>
      <c r="O30" s="15"/>
      <c r="P30" s="5"/>
    </row>
    <row r="31" spans="1:21" ht="3.75" customHeight="1">
      <c r="A31" s="226"/>
      <c r="B31" s="4"/>
      <c r="C31" s="6"/>
      <c r="D31" s="4"/>
      <c r="E31" s="4"/>
      <c r="F31" s="4"/>
      <c r="G31" s="227"/>
      <c r="H31" s="9"/>
      <c r="I31" s="8"/>
      <c r="J31" s="13"/>
      <c r="K31" s="18"/>
      <c r="L31" s="13"/>
      <c r="M31" s="33"/>
      <c r="N31" s="33"/>
      <c r="O31" s="15"/>
      <c r="P31" s="5"/>
    </row>
    <row r="32" spans="1:21" ht="22.5" customHeight="1">
      <c r="A32" s="1354" t="s">
        <v>71</v>
      </c>
      <c r="B32" s="1355"/>
      <c r="C32" s="1355"/>
      <c r="D32" s="1355"/>
      <c r="E32" s="1355"/>
      <c r="F32" s="1355"/>
      <c r="G32" s="1356"/>
      <c r="H32" s="9"/>
    </row>
    <row r="33" spans="1:16" ht="3.75" customHeight="1">
      <c r="A33" s="226"/>
      <c r="B33" s="4"/>
      <c r="C33" s="6"/>
      <c r="D33" s="4"/>
      <c r="E33" s="4"/>
      <c r="F33" s="4"/>
      <c r="G33" s="227"/>
      <c r="H33" s="9"/>
      <c r="I33" s="8"/>
      <c r="J33" s="13"/>
      <c r="K33" s="8"/>
      <c r="L33" s="8"/>
      <c r="M33" s="8"/>
      <c r="N33" s="8"/>
      <c r="O33" s="15"/>
      <c r="P33" s="5"/>
    </row>
    <row r="34" spans="1:16">
      <c r="A34" s="232" t="s">
        <v>5</v>
      </c>
      <c r="B34" s="60" t="s">
        <v>29</v>
      </c>
      <c r="C34" s="60" t="s">
        <v>30</v>
      </c>
      <c r="D34" s="60" t="s">
        <v>31</v>
      </c>
      <c r="E34" s="60" t="s">
        <v>32</v>
      </c>
      <c r="F34" s="60" t="s">
        <v>20</v>
      </c>
      <c r="G34" s="228" t="s">
        <v>33</v>
      </c>
      <c r="H34" s="27"/>
      <c r="I34" s="8"/>
      <c r="J34" s="13"/>
      <c r="K34" s="8"/>
      <c r="L34" s="8"/>
      <c r="M34" s="8"/>
      <c r="N34" s="8"/>
      <c r="O34" s="15"/>
      <c r="P34" s="5"/>
    </row>
    <row r="35" spans="1:16">
      <c r="A35" s="233" t="s">
        <v>41</v>
      </c>
      <c r="B35" s="63">
        <f>BOF</f>
        <v>51749</v>
      </c>
      <c r="C35" s="68">
        <f>ffpp</f>
        <v>0.64539999999999997</v>
      </c>
      <c r="D35" s="72">
        <v>1</v>
      </c>
      <c r="E35" s="66">
        <f>OF</f>
        <v>88696</v>
      </c>
      <c r="F35" s="65">
        <v>15</v>
      </c>
      <c r="G35" s="231">
        <f>ROUND(+D35*E35/F35,0)</f>
        <v>5913</v>
      </c>
      <c r="H35" s="9"/>
      <c r="I35" s="16"/>
      <c r="J35" s="13"/>
      <c r="K35" s="8"/>
      <c r="L35" s="8"/>
      <c r="M35" s="8"/>
      <c r="N35" s="8"/>
      <c r="O35" s="15"/>
      <c r="P35" s="5"/>
    </row>
    <row r="36" spans="1:16">
      <c r="A36" s="233" t="s">
        <v>38</v>
      </c>
      <c r="B36" s="63">
        <f>BOB</f>
        <v>41749</v>
      </c>
      <c r="C36" s="68">
        <f>ffpp</f>
        <v>0.64539999999999997</v>
      </c>
      <c r="D36" s="72">
        <v>3</v>
      </c>
      <c r="E36" s="66">
        <f>OB</f>
        <v>72242</v>
      </c>
      <c r="F36" s="65">
        <f>F35</f>
        <v>15</v>
      </c>
      <c r="G36" s="231">
        <f>ROUND(+D36*E36/F36,0)</f>
        <v>14448</v>
      </c>
      <c r="H36" s="9"/>
      <c r="I36" s="8"/>
      <c r="J36" s="8"/>
      <c r="K36" s="13"/>
      <c r="L36" s="13"/>
      <c r="M36" s="13"/>
      <c r="N36" s="13"/>
      <c r="O36" s="13"/>
      <c r="P36" s="5"/>
    </row>
    <row r="37" spans="1:16">
      <c r="A37" s="234"/>
      <c r="B37" s="50"/>
      <c r="C37" s="961"/>
      <c r="D37" s="50"/>
      <c r="E37" s="66"/>
      <c r="F37" s="65"/>
      <c r="G37" s="231"/>
      <c r="H37" s="9"/>
      <c r="I37" s="8"/>
      <c r="J37" s="13"/>
      <c r="K37" s="13"/>
      <c r="L37" s="13"/>
      <c r="M37" s="33"/>
      <c r="N37" s="33"/>
      <c r="O37" s="43"/>
      <c r="P37" s="5"/>
    </row>
    <row r="38" spans="1:16">
      <c r="A38" s="233"/>
      <c r="B38" s="65"/>
      <c r="C38" s="68"/>
      <c r="D38" s="65"/>
      <c r="E38" s="69"/>
      <c r="F38" s="69"/>
      <c r="G38" s="236"/>
      <c r="H38" s="9"/>
      <c r="I38" s="8"/>
      <c r="J38" s="13"/>
      <c r="K38" s="13"/>
      <c r="L38" s="13"/>
      <c r="M38" s="33"/>
      <c r="N38" s="33"/>
      <c r="O38" s="43"/>
      <c r="P38" s="5"/>
    </row>
    <row r="39" spans="1:16">
      <c r="A39" s="249"/>
      <c r="B39" s="71"/>
      <c r="C39" s="71"/>
      <c r="D39" s="71" t="s">
        <v>34</v>
      </c>
      <c r="E39" s="71"/>
      <c r="F39" s="71"/>
      <c r="G39" s="250">
        <f>SUM(G35:G38)</f>
        <v>20361</v>
      </c>
      <c r="H39" s="9"/>
      <c r="I39" s="8"/>
      <c r="J39" s="13"/>
      <c r="K39" s="13"/>
      <c r="L39" s="13"/>
      <c r="M39" s="14"/>
      <c r="N39" s="14"/>
      <c r="O39" s="15"/>
      <c r="P39" s="5"/>
    </row>
    <row r="40" spans="1:16">
      <c r="A40" s="226"/>
      <c r="B40" s="4"/>
      <c r="C40" s="6"/>
      <c r="D40" s="4"/>
      <c r="E40" s="4"/>
      <c r="F40" s="4"/>
      <c r="G40" s="227"/>
      <c r="H40" s="9"/>
      <c r="I40" s="8"/>
      <c r="J40" s="13"/>
      <c r="K40" s="13"/>
      <c r="L40" s="13"/>
      <c r="M40" s="14"/>
      <c r="N40" s="14"/>
      <c r="O40" s="19"/>
      <c r="P40" s="5"/>
    </row>
    <row r="41" spans="1:16">
      <c r="A41" s="226"/>
      <c r="B41" s="4"/>
      <c r="C41" s="6"/>
      <c r="D41" s="4"/>
      <c r="E41" s="4"/>
      <c r="F41" s="4"/>
      <c r="G41" s="227"/>
      <c r="H41" s="9"/>
      <c r="I41" s="8"/>
      <c r="J41" s="13"/>
      <c r="K41" s="13"/>
      <c r="L41" s="13"/>
      <c r="M41" s="17"/>
      <c r="N41" s="17"/>
      <c r="O41" s="37"/>
      <c r="P41" s="5"/>
    </row>
    <row r="42" spans="1:16" ht="14.25">
      <c r="A42" s="226"/>
      <c r="B42" s="4"/>
      <c r="C42" s="6"/>
      <c r="D42" s="1357" t="s">
        <v>35</v>
      </c>
      <c r="E42" s="1358"/>
      <c r="F42" s="1359"/>
      <c r="G42" s="239">
        <f>+G39+G30+G16</f>
        <v>210906</v>
      </c>
      <c r="H42" s="9"/>
      <c r="I42" s="48"/>
      <c r="J42" s="20"/>
      <c r="K42" s="8"/>
      <c r="L42" s="8"/>
      <c r="M42" s="8"/>
      <c r="N42" s="8"/>
      <c r="O42" s="8"/>
      <c r="P42" s="5"/>
    </row>
    <row r="43" spans="1:16" ht="14.25">
      <c r="A43" s="240"/>
      <c r="B43" s="57"/>
      <c r="C43" s="58"/>
      <c r="D43" s="99"/>
      <c r="E43" s="99"/>
      <c r="F43" s="99"/>
      <c r="G43" s="251"/>
      <c r="H43" s="9"/>
      <c r="I43" s="48"/>
      <c r="J43" s="20"/>
      <c r="K43" s="8"/>
      <c r="L43" s="8"/>
      <c r="M43" s="8"/>
      <c r="N43" s="8"/>
      <c r="O43" s="8"/>
      <c r="P43" s="5"/>
    </row>
    <row r="44" spans="1:16" ht="14.25">
      <c r="A44" s="374"/>
      <c r="B44" s="375"/>
      <c r="C44" s="375"/>
      <c r="D44" s="99"/>
      <c r="E44" s="99"/>
      <c r="F44" s="99"/>
      <c r="G44" s="251"/>
      <c r="H44" s="9"/>
      <c r="I44" s="48"/>
      <c r="J44" s="20"/>
      <c r="K44" s="8"/>
      <c r="L44" s="8"/>
      <c r="M44" s="8"/>
      <c r="N44" s="8"/>
      <c r="O44" s="8"/>
      <c r="P44" s="5"/>
    </row>
    <row r="45" spans="1:16" ht="14.25">
      <c r="A45" s="373"/>
      <c r="B45" s="376"/>
      <c r="C45" s="376"/>
      <c r="D45" s="99"/>
      <c r="E45" s="99"/>
      <c r="F45" s="99"/>
      <c r="G45" s="251"/>
      <c r="H45" s="9"/>
      <c r="I45" s="48"/>
      <c r="J45" s="20"/>
      <c r="K45" s="8"/>
      <c r="L45" s="8"/>
      <c r="M45" s="8"/>
      <c r="N45" s="8"/>
      <c r="O45" s="8"/>
      <c r="P45" s="5"/>
    </row>
    <row r="46" spans="1:16" ht="14.25">
      <c r="A46" s="373"/>
      <c r="B46" s="376"/>
      <c r="C46" s="376"/>
      <c r="D46" s="44"/>
      <c r="E46" s="45"/>
      <c r="F46" s="45"/>
      <c r="G46" s="251"/>
      <c r="H46" s="9"/>
      <c r="I46" s="8"/>
      <c r="J46" s="13"/>
      <c r="K46" s="8"/>
      <c r="L46" s="8"/>
      <c r="M46" s="8"/>
      <c r="N46" s="8"/>
      <c r="O46" s="8"/>
      <c r="P46" s="5"/>
    </row>
    <row r="47" spans="1:16" ht="15" thickBot="1">
      <c r="A47" s="242"/>
      <c r="B47" s="243"/>
      <c r="C47" s="244"/>
      <c r="D47" s="245"/>
      <c r="E47" s="246"/>
      <c r="F47" s="246"/>
      <c r="G47" s="247"/>
      <c r="H47" s="9"/>
      <c r="I47" s="8"/>
      <c r="J47" s="13"/>
      <c r="K47" s="8"/>
      <c r="L47" s="8"/>
      <c r="M47" s="8"/>
      <c r="N47" s="8"/>
      <c r="O47" s="8"/>
      <c r="P47" s="5"/>
    </row>
    <row r="48" spans="1:16">
      <c r="I48" s="5"/>
      <c r="J48" s="5"/>
      <c r="K48" s="5"/>
      <c r="L48" s="5"/>
      <c r="M48" s="5"/>
      <c r="N48" s="5"/>
      <c r="O48" s="5"/>
      <c r="P48" s="5"/>
    </row>
    <row r="49" spans="9:16">
      <c r="I49" s="5"/>
      <c r="J49" s="5"/>
      <c r="K49" s="5"/>
      <c r="L49" s="5"/>
      <c r="M49" s="5"/>
      <c r="N49" s="5"/>
      <c r="O49" s="5"/>
      <c r="P49" s="5"/>
    </row>
  </sheetData>
  <mergeCells count="26">
    <mergeCell ref="A10:C10"/>
    <mergeCell ref="A1:G1"/>
    <mergeCell ref="A2:G2"/>
    <mergeCell ref="A3:G4"/>
    <mergeCell ref="B6:E6"/>
    <mergeCell ref="A8:G8"/>
    <mergeCell ref="A24:C24"/>
    <mergeCell ref="A11:C11"/>
    <mergeCell ref="A12:C12"/>
    <mergeCell ref="A13:C13"/>
    <mergeCell ref="A14:C14"/>
    <mergeCell ref="A15:C15"/>
    <mergeCell ref="A16:C16"/>
    <mergeCell ref="A18:G18"/>
    <mergeCell ref="A20:C20"/>
    <mergeCell ref="A21:C21"/>
    <mergeCell ref="A22:C22"/>
    <mergeCell ref="A23:C23"/>
    <mergeCell ref="A32:G32"/>
    <mergeCell ref="D42:F42"/>
    <mergeCell ref="A25:C25"/>
    <mergeCell ref="A26:C26"/>
    <mergeCell ref="A27:C27"/>
    <mergeCell ref="A28:C28"/>
    <mergeCell ref="A29:C29"/>
    <mergeCell ref="A30:C30"/>
  </mergeCells>
  <printOptions horizontalCentered="1" verticalCentered="1"/>
  <pageMargins left="0.74803149606299213" right="0.74803149606299213" top="0" bottom="0.98425196850393704" header="0" footer="0"/>
  <pageSetup scale="90" orientation="portrait" r:id="rId1"/>
  <headerFooter alignWithMargins="0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91"/>
  <dimension ref="A1:U49"/>
  <sheetViews>
    <sheetView view="pageBreakPreview" zoomScaleNormal="100" zoomScaleSheetLayoutView="100" workbookViewId="0">
      <selection activeCell="I7" sqref="I7"/>
    </sheetView>
  </sheetViews>
  <sheetFormatPr baseColWidth="10" defaultColWidth="10.7109375" defaultRowHeight="12.75"/>
  <cols>
    <col min="1" max="1" width="15.85546875" style="3" customWidth="1"/>
    <col min="2" max="2" width="14.85546875" style="3" customWidth="1"/>
    <col min="3" max="3" width="13.28515625" style="3" customWidth="1"/>
    <col min="4" max="4" width="11.42578125" style="3"/>
    <col min="5" max="5" width="13.42578125" style="3" customWidth="1"/>
    <col min="6" max="6" width="12.7109375" style="3" customWidth="1"/>
    <col min="7" max="7" width="14" style="3" customWidth="1"/>
    <col min="8" max="8" width="7.42578125" style="3" customWidth="1"/>
    <col min="9" max="256" width="11.42578125" style="3"/>
    <col min="257" max="257" width="15.85546875" style="3" customWidth="1"/>
    <col min="258" max="258" width="14.85546875" style="3" customWidth="1"/>
    <col min="259" max="259" width="13.28515625" style="3" customWidth="1"/>
    <col min="260" max="260" width="11.42578125" style="3"/>
    <col min="261" max="261" width="13.42578125" style="3" customWidth="1"/>
    <col min="262" max="262" width="12.7109375" style="3" customWidth="1"/>
    <col min="263" max="263" width="14" style="3" customWidth="1"/>
    <col min="264" max="264" width="7.42578125" style="3" customWidth="1"/>
    <col min="265" max="512" width="11.42578125" style="3"/>
    <col min="513" max="513" width="15.85546875" style="3" customWidth="1"/>
    <col min="514" max="514" width="14.85546875" style="3" customWidth="1"/>
    <col min="515" max="515" width="13.28515625" style="3" customWidth="1"/>
    <col min="516" max="516" width="11.42578125" style="3"/>
    <col min="517" max="517" width="13.42578125" style="3" customWidth="1"/>
    <col min="518" max="518" width="12.7109375" style="3" customWidth="1"/>
    <col min="519" max="519" width="14" style="3" customWidth="1"/>
    <col min="520" max="520" width="7.42578125" style="3" customWidth="1"/>
    <col min="521" max="768" width="11.42578125" style="3"/>
    <col min="769" max="769" width="15.85546875" style="3" customWidth="1"/>
    <col min="770" max="770" width="14.85546875" style="3" customWidth="1"/>
    <col min="771" max="771" width="13.28515625" style="3" customWidth="1"/>
    <col min="772" max="772" width="11.42578125" style="3"/>
    <col min="773" max="773" width="13.42578125" style="3" customWidth="1"/>
    <col min="774" max="774" width="12.7109375" style="3" customWidth="1"/>
    <col min="775" max="775" width="14" style="3" customWidth="1"/>
    <col min="776" max="776" width="7.42578125" style="3" customWidth="1"/>
    <col min="777" max="1024" width="11.42578125" style="3"/>
    <col min="1025" max="1025" width="15.85546875" style="3" customWidth="1"/>
    <col min="1026" max="1026" width="14.85546875" style="3" customWidth="1"/>
    <col min="1027" max="1027" width="13.28515625" style="3" customWidth="1"/>
    <col min="1028" max="1028" width="11.42578125" style="3"/>
    <col min="1029" max="1029" width="13.42578125" style="3" customWidth="1"/>
    <col min="1030" max="1030" width="12.7109375" style="3" customWidth="1"/>
    <col min="1031" max="1031" width="14" style="3" customWidth="1"/>
    <col min="1032" max="1032" width="7.42578125" style="3" customWidth="1"/>
    <col min="1033" max="1280" width="11.42578125" style="3"/>
    <col min="1281" max="1281" width="15.85546875" style="3" customWidth="1"/>
    <col min="1282" max="1282" width="14.85546875" style="3" customWidth="1"/>
    <col min="1283" max="1283" width="13.28515625" style="3" customWidth="1"/>
    <col min="1284" max="1284" width="11.42578125" style="3"/>
    <col min="1285" max="1285" width="13.42578125" style="3" customWidth="1"/>
    <col min="1286" max="1286" width="12.7109375" style="3" customWidth="1"/>
    <col min="1287" max="1287" width="14" style="3" customWidth="1"/>
    <col min="1288" max="1288" width="7.42578125" style="3" customWidth="1"/>
    <col min="1289" max="1536" width="11.42578125" style="3"/>
    <col min="1537" max="1537" width="15.85546875" style="3" customWidth="1"/>
    <col min="1538" max="1538" width="14.85546875" style="3" customWidth="1"/>
    <col min="1539" max="1539" width="13.28515625" style="3" customWidth="1"/>
    <col min="1540" max="1540" width="11.42578125" style="3"/>
    <col min="1541" max="1541" width="13.42578125" style="3" customWidth="1"/>
    <col min="1542" max="1542" width="12.7109375" style="3" customWidth="1"/>
    <col min="1543" max="1543" width="14" style="3" customWidth="1"/>
    <col min="1544" max="1544" width="7.42578125" style="3" customWidth="1"/>
    <col min="1545" max="1792" width="11.42578125" style="3"/>
    <col min="1793" max="1793" width="15.85546875" style="3" customWidth="1"/>
    <col min="1794" max="1794" width="14.85546875" style="3" customWidth="1"/>
    <col min="1795" max="1795" width="13.28515625" style="3" customWidth="1"/>
    <col min="1796" max="1796" width="11.42578125" style="3"/>
    <col min="1797" max="1797" width="13.42578125" style="3" customWidth="1"/>
    <col min="1798" max="1798" width="12.7109375" style="3" customWidth="1"/>
    <col min="1799" max="1799" width="14" style="3" customWidth="1"/>
    <col min="1800" max="1800" width="7.42578125" style="3" customWidth="1"/>
    <col min="1801" max="2048" width="11.42578125" style="3"/>
    <col min="2049" max="2049" width="15.85546875" style="3" customWidth="1"/>
    <col min="2050" max="2050" width="14.85546875" style="3" customWidth="1"/>
    <col min="2051" max="2051" width="13.28515625" style="3" customWidth="1"/>
    <col min="2052" max="2052" width="11.42578125" style="3"/>
    <col min="2053" max="2053" width="13.42578125" style="3" customWidth="1"/>
    <col min="2054" max="2054" width="12.7109375" style="3" customWidth="1"/>
    <col min="2055" max="2055" width="14" style="3" customWidth="1"/>
    <col min="2056" max="2056" width="7.42578125" style="3" customWidth="1"/>
    <col min="2057" max="2304" width="11.42578125" style="3"/>
    <col min="2305" max="2305" width="15.85546875" style="3" customWidth="1"/>
    <col min="2306" max="2306" width="14.85546875" style="3" customWidth="1"/>
    <col min="2307" max="2307" width="13.28515625" style="3" customWidth="1"/>
    <col min="2308" max="2308" width="11.42578125" style="3"/>
    <col min="2309" max="2309" width="13.42578125" style="3" customWidth="1"/>
    <col min="2310" max="2310" width="12.7109375" style="3" customWidth="1"/>
    <col min="2311" max="2311" width="14" style="3" customWidth="1"/>
    <col min="2312" max="2312" width="7.42578125" style="3" customWidth="1"/>
    <col min="2313" max="2560" width="11.42578125" style="3"/>
    <col min="2561" max="2561" width="15.85546875" style="3" customWidth="1"/>
    <col min="2562" max="2562" width="14.85546875" style="3" customWidth="1"/>
    <col min="2563" max="2563" width="13.28515625" style="3" customWidth="1"/>
    <col min="2564" max="2564" width="11.42578125" style="3"/>
    <col min="2565" max="2565" width="13.42578125" style="3" customWidth="1"/>
    <col min="2566" max="2566" width="12.7109375" style="3" customWidth="1"/>
    <col min="2567" max="2567" width="14" style="3" customWidth="1"/>
    <col min="2568" max="2568" width="7.42578125" style="3" customWidth="1"/>
    <col min="2569" max="2816" width="11.42578125" style="3"/>
    <col min="2817" max="2817" width="15.85546875" style="3" customWidth="1"/>
    <col min="2818" max="2818" width="14.85546875" style="3" customWidth="1"/>
    <col min="2819" max="2819" width="13.28515625" style="3" customWidth="1"/>
    <col min="2820" max="2820" width="11.42578125" style="3"/>
    <col min="2821" max="2821" width="13.42578125" style="3" customWidth="1"/>
    <col min="2822" max="2822" width="12.7109375" style="3" customWidth="1"/>
    <col min="2823" max="2823" width="14" style="3" customWidth="1"/>
    <col min="2824" max="2824" width="7.42578125" style="3" customWidth="1"/>
    <col min="2825" max="3072" width="11.42578125" style="3"/>
    <col min="3073" max="3073" width="15.85546875" style="3" customWidth="1"/>
    <col min="3074" max="3074" width="14.85546875" style="3" customWidth="1"/>
    <col min="3075" max="3075" width="13.28515625" style="3" customWidth="1"/>
    <col min="3076" max="3076" width="11.42578125" style="3"/>
    <col min="3077" max="3077" width="13.42578125" style="3" customWidth="1"/>
    <col min="3078" max="3078" width="12.7109375" style="3" customWidth="1"/>
    <col min="3079" max="3079" width="14" style="3" customWidth="1"/>
    <col min="3080" max="3080" width="7.42578125" style="3" customWidth="1"/>
    <col min="3081" max="3328" width="11.42578125" style="3"/>
    <col min="3329" max="3329" width="15.85546875" style="3" customWidth="1"/>
    <col min="3330" max="3330" width="14.85546875" style="3" customWidth="1"/>
    <col min="3331" max="3331" width="13.28515625" style="3" customWidth="1"/>
    <col min="3332" max="3332" width="11.42578125" style="3"/>
    <col min="3333" max="3333" width="13.42578125" style="3" customWidth="1"/>
    <col min="3334" max="3334" width="12.7109375" style="3" customWidth="1"/>
    <col min="3335" max="3335" width="14" style="3" customWidth="1"/>
    <col min="3336" max="3336" width="7.42578125" style="3" customWidth="1"/>
    <col min="3337" max="3584" width="11.42578125" style="3"/>
    <col min="3585" max="3585" width="15.85546875" style="3" customWidth="1"/>
    <col min="3586" max="3586" width="14.85546875" style="3" customWidth="1"/>
    <col min="3587" max="3587" width="13.28515625" style="3" customWidth="1"/>
    <col min="3588" max="3588" width="11.42578125" style="3"/>
    <col min="3589" max="3589" width="13.42578125" style="3" customWidth="1"/>
    <col min="3590" max="3590" width="12.7109375" style="3" customWidth="1"/>
    <col min="3591" max="3591" width="14" style="3" customWidth="1"/>
    <col min="3592" max="3592" width="7.42578125" style="3" customWidth="1"/>
    <col min="3593" max="3840" width="11.42578125" style="3"/>
    <col min="3841" max="3841" width="15.85546875" style="3" customWidth="1"/>
    <col min="3842" max="3842" width="14.85546875" style="3" customWidth="1"/>
    <col min="3843" max="3843" width="13.28515625" style="3" customWidth="1"/>
    <col min="3844" max="3844" width="11.42578125" style="3"/>
    <col min="3845" max="3845" width="13.42578125" style="3" customWidth="1"/>
    <col min="3846" max="3846" width="12.7109375" style="3" customWidth="1"/>
    <col min="3847" max="3847" width="14" style="3" customWidth="1"/>
    <col min="3848" max="3848" width="7.42578125" style="3" customWidth="1"/>
    <col min="3849" max="4096" width="11.42578125" style="3"/>
    <col min="4097" max="4097" width="15.85546875" style="3" customWidth="1"/>
    <col min="4098" max="4098" width="14.85546875" style="3" customWidth="1"/>
    <col min="4099" max="4099" width="13.28515625" style="3" customWidth="1"/>
    <col min="4100" max="4100" width="11.42578125" style="3"/>
    <col min="4101" max="4101" width="13.42578125" style="3" customWidth="1"/>
    <col min="4102" max="4102" width="12.7109375" style="3" customWidth="1"/>
    <col min="4103" max="4103" width="14" style="3" customWidth="1"/>
    <col min="4104" max="4104" width="7.42578125" style="3" customWidth="1"/>
    <col min="4105" max="4352" width="11.42578125" style="3"/>
    <col min="4353" max="4353" width="15.85546875" style="3" customWidth="1"/>
    <col min="4354" max="4354" width="14.85546875" style="3" customWidth="1"/>
    <col min="4355" max="4355" width="13.28515625" style="3" customWidth="1"/>
    <col min="4356" max="4356" width="11.42578125" style="3"/>
    <col min="4357" max="4357" width="13.42578125" style="3" customWidth="1"/>
    <col min="4358" max="4358" width="12.7109375" style="3" customWidth="1"/>
    <col min="4359" max="4359" width="14" style="3" customWidth="1"/>
    <col min="4360" max="4360" width="7.42578125" style="3" customWidth="1"/>
    <col min="4361" max="4608" width="11.42578125" style="3"/>
    <col min="4609" max="4609" width="15.85546875" style="3" customWidth="1"/>
    <col min="4610" max="4610" width="14.85546875" style="3" customWidth="1"/>
    <col min="4611" max="4611" width="13.28515625" style="3" customWidth="1"/>
    <col min="4612" max="4612" width="11.42578125" style="3"/>
    <col min="4613" max="4613" width="13.42578125" style="3" customWidth="1"/>
    <col min="4614" max="4614" width="12.7109375" style="3" customWidth="1"/>
    <col min="4615" max="4615" width="14" style="3" customWidth="1"/>
    <col min="4616" max="4616" width="7.42578125" style="3" customWidth="1"/>
    <col min="4617" max="4864" width="11.42578125" style="3"/>
    <col min="4865" max="4865" width="15.85546875" style="3" customWidth="1"/>
    <col min="4866" max="4866" width="14.85546875" style="3" customWidth="1"/>
    <col min="4867" max="4867" width="13.28515625" style="3" customWidth="1"/>
    <col min="4868" max="4868" width="11.42578125" style="3"/>
    <col min="4869" max="4869" width="13.42578125" style="3" customWidth="1"/>
    <col min="4870" max="4870" width="12.7109375" style="3" customWidth="1"/>
    <col min="4871" max="4871" width="14" style="3" customWidth="1"/>
    <col min="4872" max="4872" width="7.42578125" style="3" customWidth="1"/>
    <col min="4873" max="5120" width="11.42578125" style="3"/>
    <col min="5121" max="5121" width="15.85546875" style="3" customWidth="1"/>
    <col min="5122" max="5122" width="14.85546875" style="3" customWidth="1"/>
    <col min="5123" max="5123" width="13.28515625" style="3" customWidth="1"/>
    <col min="5124" max="5124" width="11.42578125" style="3"/>
    <col min="5125" max="5125" width="13.42578125" style="3" customWidth="1"/>
    <col min="5126" max="5126" width="12.7109375" style="3" customWidth="1"/>
    <col min="5127" max="5127" width="14" style="3" customWidth="1"/>
    <col min="5128" max="5128" width="7.42578125" style="3" customWidth="1"/>
    <col min="5129" max="5376" width="11.42578125" style="3"/>
    <col min="5377" max="5377" width="15.85546875" style="3" customWidth="1"/>
    <col min="5378" max="5378" width="14.85546875" style="3" customWidth="1"/>
    <col min="5379" max="5379" width="13.28515625" style="3" customWidth="1"/>
    <col min="5380" max="5380" width="11.42578125" style="3"/>
    <col min="5381" max="5381" width="13.42578125" style="3" customWidth="1"/>
    <col min="5382" max="5382" width="12.7109375" style="3" customWidth="1"/>
    <col min="5383" max="5383" width="14" style="3" customWidth="1"/>
    <col min="5384" max="5384" width="7.42578125" style="3" customWidth="1"/>
    <col min="5385" max="5632" width="11.42578125" style="3"/>
    <col min="5633" max="5633" width="15.85546875" style="3" customWidth="1"/>
    <col min="5634" max="5634" width="14.85546875" style="3" customWidth="1"/>
    <col min="5635" max="5635" width="13.28515625" style="3" customWidth="1"/>
    <col min="5636" max="5636" width="11.42578125" style="3"/>
    <col min="5637" max="5637" width="13.42578125" style="3" customWidth="1"/>
    <col min="5638" max="5638" width="12.7109375" style="3" customWidth="1"/>
    <col min="5639" max="5639" width="14" style="3" customWidth="1"/>
    <col min="5640" max="5640" width="7.42578125" style="3" customWidth="1"/>
    <col min="5641" max="5888" width="11.42578125" style="3"/>
    <col min="5889" max="5889" width="15.85546875" style="3" customWidth="1"/>
    <col min="5890" max="5890" width="14.85546875" style="3" customWidth="1"/>
    <col min="5891" max="5891" width="13.28515625" style="3" customWidth="1"/>
    <col min="5892" max="5892" width="11.42578125" style="3"/>
    <col min="5893" max="5893" width="13.42578125" style="3" customWidth="1"/>
    <col min="5894" max="5894" width="12.7109375" style="3" customWidth="1"/>
    <col min="5895" max="5895" width="14" style="3" customWidth="1"/>
    <col min="5896" max="5896" width="7.42578125" style="3" customWidth="1"/>
    <col min="5897" max="6144" width="11.42578125" style="3"/>
    <col min="6145" max="6145" width="15.85546875" style="3" customWidth="1"/>
    <col min="6146" max="6146" width="14.85546875" style="3" customWidth="1"/>
    <col min="6147" max="6147" width="13.28515625" style="3" customWidth="1"/>
    <col min="6148" max="6148" width="11.42578125" style="3"/>
    <col min="6149" max="6149" width="13.42578125" style="3" customWidth="1"/>
    <col min="6150" max="6150" width="12.7109375" style="3" customWidth="1"/>
    <col min="6151" max="6151" width="14" style="3" customWidth="1"/>
    <col min="6152" max="6152" width="7.42578125" style="3" customWidth="1"/>
    <col min="6153" max="6400" width="11.42578125" style="3"/>
    <col min="6401" max="6401" width="15.85546875" style="3" customWidth="1"/>
    <col min="6402" max="6402" width="14.85546875" style="3" customWidth="1"/>
    <col min="6403" max="6403" width="13.28515625" style="3" customWidth="1"/>
    <col min="6404" max="6404" width="11.42578125" style="3"/>
    <col min="6405" max="6405" width="13.42578125" style="3" customWidth="1"/>
    <col min="6406" max="6406" width="12.7109375" style="3" customWidth="1"/>
    <col min="6407" max="6407" width="14" style="3" customWidth="1"/>
    <col min="6408" max="6408" width="7.42578125" style="3" customWidth="1"/>
    <col min="6409" max="6656" width="11.42578125" style="3"/>
    <col min="6657" max="6657" width="15.85546875" style="3" customWidth="1"/>
    <col min="6658" max="6658" width="14.85546875" style="3" customWidth="1"/>
    <col min="6659" max="6659" width="13.28515625" style="3" customWidth="1"/>
    <col min="6660" max="6660" width="11.42578125" style="3"/>
    <col min="6661" max="6661" width="13.42578125" style="3" customWidth="1"/>
    <col min="6662" max="6662" width="12.7109375" style="3" customWidth="1"/>
    <col min="6663" max="6663" width="14" style="3" customWidth="1"/>
    <col min="6664" max="6664" width="7.42578125" style="3" customWidth="1"/>
    <col min="6665" max="6912" width="11.42578125" style="3"/>
    <col min="6913" max="6913" width="15.85546875" style="3" customWidth="1"/>
    <col min="6914" max="6914" width="14.85546875" style="3" customWidth="1"/>
    <col min="6915" max="6915" width="13.28515625" style="3" customWidth="1"/>
    <col min="6916" max="6916" width="11.42578125" style="3"/>
    <col min="6917" max="6917" width="13.42578125" style="3" customWidth="1"/>
    <col min="6918" max="6918" width="12.7109375" style="3" customWidth="1"/>
    <col min="6919" max="6919" width="14" style="3" customWidth="1"/>
    <col min="6920" max="6920" width="7.42578125" style="3" customWidth="1"/>
    <col min="6921" max="7168" width="11.42578125" style="3"/>
    <col min="7169" max="7169" width="15.85546875" style="3" customWidth="1"/>
    <col min="7170" max="7170" width="14.85546875" style="3" customWidth="1"/>
    <col min="7171" max="7171" width="13.28515625" style="3" customWidth="1"/>
    <col min="7172" max="7172" width="11.42578125" style="3"/>
    <col min="7173" max="7173" width="13.42578125" style="3" customWidth="1"/>
    <col min="7174" max="7174" width="12.7109375" style="3" customWidth="1"/>
    <col min="7175" max="7175" width="14" style="3" customWidth="1"/>
    <col min="7176" max="7176" width="7.42578125" style="3" customWidth="1"/>
    <col min="7177" max="7424" width="11.42578125" style="3"/>
    <col min="7425" max="7425" width="15.85546875" style="3" customWidth="1"/>
    <col min="7426" max="7426" width="14.85546875" style="3" customWidth="1"/>
    <col min="7427" max="7427" width="13.28515625" style="3" customWidth="1"/>
    <col min="7428" max="7428" width="11.42578125" style="3"/>
    <col min="7429" max="7429" width="13.42578125" style="3" customWidth="1"/>
    <col min="7430" max="7430" width="12.7109375" style="3" customWidth="1"/>
    <col min="7431" max="7431" width="14" style="3" customWidth="1"/>
    <col min="7432" max="7432" width="7.42578125" style="3" customWidth="1"/>
    <col min="7433" max="7680" width="11.42578125" style="3"/>
    <col min="7681" max="7681" width="15.85546875" style="3" customWidth="1"/>
    <col min="7682" max="7682" width="14.85546875" style="3" customWidth="1"/>
    <col min="7683" max="7683" width="13.28515625" style="3" customWidth="1"/>
    <col min="7684" max="7684" width="11.42578125" style="3"/>
    <col min="7685" max="7685" width="13.42578125" style="3" customWidth="1"/>
    <col min="7686" max="7686" width="12.7109375" style="3" customWidth="1"/>
    <col min="7687" max="7687" width="14" style="3" customWidth="1"/>
    <col min="7688" max="7688" width="7.42578125" style="3" customWidth="1"/>
    <col min="7689" max="7936" width="11.42578125" style="3"/>
    <col min="7937" max="7937" width="15.85546875" style="3" customWidth="1"/>
    <col min="7938" max="7938" width="14.85546875" style="3" customWidth="1"/>
    <col min="7939" max="7939" width="13.28515625" style="3" customWidth="1"/>
    <col min="7940" max="7940" width="11.42578125" style="3"/>
    <col min="7941" max="7941" width="13.42578125" style="3" customWidth="1"/>
    <col min="7942" max="7942" width="12.7109375" style="3" customWidth="1"/>
    <col min="7943" max="7943" width="14" style="3" customWidth="1"/>
    <col min="7944" max="7944" width="7.42578125" style="3" customWidth="1"/>
    <col min="7945" max="8192" width="11.42578125" style="3"/>
    <col min="8193" max="8193" width="15.85546875" style="3" customWidth="1"/>
    <col min="8194" max="8194" width="14.85546875" style="3" customWidth="1"/>
    <col min="8195" max="8195" width="13.28515625" style="3" customWidth="1"/>
    <col min="8196" max="8196" width="11.42578125" style="3"/>
    <col min="8197" max="8197" width="13.42578125" style="3" customWidth="1"/>
    <col min="8198" max="8198" width="12.7109375" style="3" customWidth="1"/>
    <col min="8199" max="8199" width="14" style="3" customWidth="1"/>
    <col min="8200" max="8200" width="7.42578125" style="3" customWidth="1"/>
    <col min="8201" max="8448" width="11.42578125" style="3"/>
    <col min="8449" max="8449" width="15.85546875" style="3" customWidth="1"/>
    <col min="8450" max="8450" width="14.85546875" style="3" customWidth="1"/>
    <col min="8451" max="8451" width="13.28515625" style="3" customWidth="1"/>
    <col min="8452" max="8452" width="11.42578125" style="3"/>
    <col min="8453" max="8453" width="13.42578125" style="3" customWidth="1"/>
    <col min="8454" max="8454" width="12.7109375" style="3" customWidth="1"/>
    <col min="8455" max="8455" width="14" style="3" customWidth="1"/>
    <col min="8456" max="8456" width="7.42578125" style="3" customWidth="1"/>
    <col min="8457" max="8704" width="11.42578125" style="3"/>
    <col min="8705" max="8705" width="15.85546875" style="3" customWidth="1"/>
    <col min="8706" max="8706" width="14.85546875" style="3" customWidth="1"/>
    <col min="8707" max="8707" width="13.28515625" style="3" customWidth="1"/>
    <col min="8708" max="8708" width="11.42578125" style="3"/>
    <col min="8709" max="8709" width="13.42578125" style="3" customWidth="1"/>
    <col min="8710" max="8710" width="12.7109375" style="3" customWidth="1"/>
    <col min="8711" max="8711" width="14" style="3" customWidth="1"/>
    <col min="8712" max="8712" width="7.42578125" style="3" customWidth="1"/>
    <col min="8713" max="8960" width="11.42578125" style="3"/>
    <col min="8961" max="8961" width="15.85546875" style="3" customWidth="1"/>
    <col min="8962" max="8962" width="14.85546875" style="3" customWidth="1"/>
    <col min="8963" max="8963" width="13.28515625" style="3" customWidth="1"/>
    <col min="8964" max="8964" width="11.42578125" style="3"/>
    <col min="8965" max="8965" width="13.42578125" style="3" customWidth="1"/>
    <col min="8966" max="8966" width="12.7109375" style="3" customWidth="1"/>
    <col min="8967" max="8967" width="14" style="3" customWidth="1"/>
    <col min="8968" max="8968" width="7.42578125" style="3" customWidth="1"/>
    <col min="8969" max="9216" width="11.42578125" style="3"/>
    <col min="9217" max="9217" width="15.85546875" style="3" customWidth="1"/>
    <col min="9218" max="9218" width="14.85546875" style="3" customWidth="1"/>
    <col min="9219" max="9219" width="13.28515625" style="3" customWidth="1"/>
    <col min="9220" max="9220" width="11.42578125" style="3"/>
    <col min="9221" max="9221" width="13.42578125" style="3" customWidth="1"/>
    <col min="9222" max="9222" width="12.7109375" style="3" customWidth="1"/>
    <col min="9223" max="9223" width="14" style="3" customWidth="1"/>
    <col min="9224" max="9224" width="7.42578125" style="3" customWidth="1"/>
    <col min="9225" max="9472" width="11.42578125" style="3"/>
    <col min="9473" max="9473" width="15.85546875" style="3" customWidth="1"/>
    <col min="9474" max="9474" width="14.85546875" style="3" customWidth="1"/>
    <col min="9475" max="9475" width="13.28515625" style="3" customWidth="1"/>
    <col min="9476" max="9476" width="11.42578125" style="3"/>
    <col min="9477" max="9477" width="13.42578125" style="3" customWidth="1"/>
    <col min="9478" max="9478" width="12.7109375" style="3" customWidth="1"/>
    <col min="9479" max="9479" width="14" style="3" customWidth="1"/>
    <col min="9480" max="9480" width="7.42578125" style="3" customWidth="1"/>
    <col min="9481" max="9728" width="11.42578125" style="3"/>
    <col min="9729" max="9729" width="15.85546875" style="3" customWidth="1"/>
    <col min="9730" max="9730" width="14.85546875" style="3" customWidth="1"/>
    <col min="9731" max="9731" width="13.28515625" style="3" customWidth="1"/>
    <col min="9732" max="9732" width="11.42578125" style="3"/>
    <col min="9733" max="9733" width="13.42578125" style="3" customWidth="1"/>
    <col min="9734" max="9734" width="12.7109375" style="3" customWidth="1"/>
    <col min="9735" max="9735" width="14" style="3" customWidth="1"/>
    <col min="9736" max="9736" width="7.42578125" style="3" customWidth="1"/>
    <col min="9737" max="9984" width="11.42578125" style="3"/>
    <col min="9985" max="9985" width="15.85546875" style="3" customWidth="1"/>
    <col min="9986" max="9986" width="14.85546875" style="3" customWidth="1"/>
    <col min="9987" max="9987" width="13.28515625" style="3" customWidth="1"/>
    <col min="9988" max="9988" width="11.42578125" style="3"/>
    <col min="9989" max="9989" width="13.42578125" style="3" customWidth="1"/>
    <col min="9990" max="9990" width="12.7109375" style="3" customWidth="1"/>
    <col min="9991" max="9991" width="14" style="3" customWidth="1"/>
    <col min="9992" max="9992" width="7.42578125" style="3" customWidth="1"/>
    <col min="9993" max="10240" width="11.42578125" style="3"/>
    <col min="10241" max="10241" width="15.85546875" style="3" customWidth="1"/>
    <col min="10242" max="10242" width="14.85546875" style="3" customWidth="1"/>
    <col min="10243" max="10243" width="13.28515625" style="3" customWidth="1"/>
    <col min="10244" max="10244" width="11.42578125" style="3"/>
    <col min="10245" max="10245" width="13.42578125" style="3" customWidth="1"/>
    <col min="10246" max="10246" width="12.7109375" style="3" customWidth="1"/>
    <col min="10247" max="10247" width="14" style="3" customWidth="1"/>
    <col min="10248" max="10248" width="7.42578125" style="3" customWidth="1"/>
    <col min="10249" max="10496" width="11.42578125" style="3"/>
    <col min="10497" max="10497" width="15.85546875" style="3" customWidth="1"/>
    <col min="10498" max="10498" width="14.85546875" style="3" customWidth="1"/>
    <col min="10499" max="10499" width="13.28515625" style="3" customWidth="1"/>
    <col min="10500" max="10500" width="11.42578125" style="3"/>
    <col min="10501" max="10501" width="13.42578125" style="3" customWidth="1"/>
    <col min="10502" max="10502" width="12.7109375" style="3" customWidth="1"/>
    <col min="10503" max="10503" width="14" style="3" customWidth="1"/>
    <col min="10504" max="10504" width="7.42578125" style="3" customWidth="1"/>
    <col min="10505" max="10752" width="11.42578125" style="3"/>
    <col min="10753" max="10753" width="15.85546875" style="3" customWidth="1"/>
    <col min="10754" max="10754" width="14.85546875" style="3" customWidth="1"/>
    <col min="10755" max="10755" width="13.28515625" style="3" customWidth="1"/>
    <col min="10756" max="10756" width="11.42578125" style="3"/>
    <col min="10757" max="10757" width="13.42578125" style="3" customWidth="1"/>
    <col min="10758" max="10758" width="12.7109375" style="3" customWidth="1"/>
    <col min="10759" max="10759" width="14" style="3" customWidth="1"/>
    <col min="10760" max="10760" width="7.42578125" style="3" customWidth="1"/>
    <col min="10761" max="11008" width="11.42578125" style="3"/>
    <col min="11009" max="11009" width="15.85546875" style="3" customWidth="1"/>
    <col min="11010" max="11010" width="14.85546875" style="3" customWidth="1"/>
    <col min="11011" max="11011" width="13.28515625" style="3" customWidth="1"/>
    <col min="11012" max="11012" width="11.42578125" style="3"/>
    <col min="11013" max="11013" width="13.42578125" style="3" customWidth="1"/>
    <col min="11014" max="11014" width="12.7109375" style="3" customWidth="1"/>
    <col min="11015" max="11015" width="14" style="3" customWidth="1"/>
    <col min="11016" max="11016" width="7.42578125" style="3" customWidth="1"/>
    <col min="11017" max="11264" width="11.42578125" style="3"/>
    <col min="11265" max="11265" width="15.85546875" style="3" customWidth="1"/>
    <col min="11266" max="11266" width="14.85546875" style="3" customWidth="1"/>
    <col min="11267" max="11267" width="13.28515625" style="3" customWidth="1"/>
    <col min="11268" max="11268" width="11.42578125" style="3"/>
    <col min="11269" max="11269" width="13.42578125" style="3" customWidth="1"/>
    <col min="11270" max="11270" width="12.7109375" style="3" customWidth="1"/>
    <col min="11271" max="11271" width="14" style="3" customWidth="1"/>
    <col min="11272" max="11272" width="7.42578125" style="3" customWidth="1"/>
    <col min="11273" max="11520" width="11.42578125" style="3"/>
    <col min="11521" max="11521" width="15.85546875" style="3" customWidth="1"/>
    <col min="11522" max="11522" width="14.85546875" style="3" customWidth="1"/>
    <col min="11523" max="11523" width="13.28515625" style="3" customWidth="1"/>
    <col min="11524" max="11524" width="11.42578125" style="3"/>
    <col min="11525" max="11525" width="13.42578125" style="3" customWidth="1"/>
    <col min="11526" max="11526" width="12.7109375" style="3" customWidth="1"/>
    <col min="11527" max="11527" width="14" style="3" customWidth="1"/>
    <col min="11528" max="11528" width="7.42578125" style="3" customWidth="1"/>
    <col min="11529" max="11776" width="11.42578125" style="3"/>
    <col min="11777" max="11777" width="15.85546875" style="3" customWidth="1"/>
    <col min="11778" max="11778" width="14.85546875" style="3" customWidth="1"/>
    <col min="11779" max="11779" width="13.28515625" style="3" customWidth="1"/>
    <col min="11780" max="11780" width="11.42578125" style="3"/>
    <col min="11781" max="11781" width="13.42578125" style="3" customWidth="1"/>
    <col min="11782" max="11782" width="12.7109375" style="3" customWidth="1"/>
    <col min="11783" max="11783" width="14" style="3" customWidth="1"/>
    <col min="11784" max="11784" width="7.42578125" style="3" customWidth="1"/>
    <col min="11785" max="12032" width="11.42578125" style="3"/>
    <col min="12033" max="12033" width="15.85546875" style="3" customWidth="1"/>
    <col min="12034" max="12034" width="14.85546875" style="3" customWidth="1"/>
    <col min="12035" max="12035" width="13.28515625" style="3" customWidth="1"/>
    <col min="12036" max="12036" width="11.42578125" style="3"/>
    <col min="12037" max="12037" width="13.42578125" style="3" customWidth="1"/>
    <col min="12038" max="12038" width="12.7109375" style="3" customWidth="1"/>
    <col min="12039" max="12039" width="14" style="3" customWidth="1"/>
    <col min="12040" max="12040" width="7.42578125" style="3" customWidth="1"/>
    <col min="12041" max="12288" width="11.42578125" style="3"/>
    <col min="12289" max="12289" width="15.85546875" style="3" customWidth="1"/>
    <col min="12290" max="12290" width="14.85546875" style="3" customWidth="1"/>
    <col min="12291" max="12291" width="13.28515625" style="3" customWidth="1"/>
    <col min="12292" max="12292" width="11.42578125" style="3"/>
    <col min="12293" max="12293" width="13.42578125" style="3" customWidth="1"/>
    <col min="12294" max="12294" width="12.7109375" style="3" customWidth="1"/>
    <col min="12295" max="12295" width="14" style="3" customWidth="1"/>
    <col min="12296" max="12296" width="7.42578125" style="3" customWidth="1"/>
    <col min="12297" max="12544" width="11.42578125" style="3"/>
    <col min="12545" max="12545" width="15.85546875" style="3" customWidth="1"/>
    <col min="12546" max="12546" width="14.85546875" style="3" customWidth="1"/>
    <col min="12547" max="12547" width="13.28515625" style="3" customWidth="1"/>
    <col min="12548" max="12548" width="11.42578125" style="3"/>
    <col min="12549" max="12549" width="13.42578125" style="3" customWidth="1"/>
    <col min="12550" max="12550" width="12.7109375" style="3" customWidth="1"/>
    <col min="12551" max="12551" width="14" style="3" customWidth="1"/>
    <col min="12552" max="12552" width="7.42578125" style="3" customWidth="1"/>
    <col min="12553" max="12800" width="11.42578125" style="3"/>
    <col min="12801" max="12801" width="15.85546875" style="3" customWidth="1"/>
    <col min="12802" max="12802" width="14.85546875" style="3" customWidth="1"/>
    <col min="12803" max="12803" width="13.28515625" style="3" customWidth="1"/>
    <col min="12804" max="12804" width="11.42578125" style="3"/>
    <col min="12805" max="12805" width="13.42578125" style="3" customWidth="1"/>
    <col min="12806" max="12806" width="12.7109375" style="3" customWidth="1"/>
    <col min="12807" max="12807" width="14" style="3" customWidth="1"/>
    <col min="12808" max="12808" width="7.42578125" style="3" customWidth="1"/>
    <col min="12809" max="13056" width="11.42578125" style="3"/>
    <col min="13057" max="13057" width="15.85546875" style="3" customWidth="1"/>
    <col min="13058" max="13058" width="14.85546875" style="3" customWidth="1"/>
    <col min="13059" max="13059" width="13.28515625" style="3" customWidth="1"/>
    <col min="13060" max="13060" width="11.42578125" style="3"/>
    <col min="13061" max="13061" width="13.42578125" style="3" customWidth="1"/>
    <col min="13062" max="13062" width="12.7109375" style="3" customWidth="1"/>
    <col min="13063" max="13063" width="14" style="3" customWidth="1"/>
    <col min="13064" max="13064" width="7.42578125" style="3" customWidth="1"/>
    <col min="13065" max="13312" width="11.42578125" style="3"/>
    <col min="13313" max="13313" width="15.85546875" style="3" customWidth="1"/>
    <col min="13314" max="13314" width="14.85546875" style="3" customWidth="1"/>
    <col min="13315" max="13315" width="13.28515625" style="3" customWidth="1"/>
    <col min="13316" max="13316" width="11.42578125" style="3"/>
    <col min="13317" max="13317" width="13.42578125" style="3" customWidth="1"/>
    <col min="13318" max="13318" width="12.7109375" style="3" customWidth="1"/>
    <col min="13319" max="13319" width="14" style="3" customWidth="1"/>
    <col min="13320" max="13320" width="7.42578125" style="3" customWidth="1"/>
    <col min="13321" max="13568" width="11.42578125" style="3"/>
    <col min="13569" max="13569" width="15.85546875" style="3" customWidth="1"/>
    <col min="13570" max="13570" width="14.85546875" style="3" customWidth="1"/>
    <col min="13571" max="13571" width="13.28515625" style="3" customWidth="1"/>
    <col min="13572" max="13572" width="11.42578125" style="3"/>
    <col min="13573" max="13573" width="13.42578125" style="3" customWidth="1"/>
    <col min="13574" max="13574" width="12.7109375" style="3" customWidth="1"/>
    <col min="13575" max="13575" width="14" style="3" customWidth="1"/>
    <col min="13576" max="13576" width="7.42578125" style="3" customWidth="1"/>
    <col min="13577" max="13824" width="11.42578125" style="3"/>
    <col min="13825" max="13825" width="15.85546875" style="3" customWidth="1"/>
    <col min="13826" max="13826" width="14.85546875" style="3" customWidth="1"/>
    <col min="13827" max="13827" width="13.28515625" style="3" customWidth="1"/>
    <col min="13828" max="13828" width="11.42578125" style="3"/>
    <col min="13829" max="13829" width="13.42578125" style="3" customWidth="1"/>
    <col min="13830" max="13830" width="12.7109375" style="3" customWidth="1"/>
    <col min="13831" max="13831" width="14" style="3" customWidth="1"/>
    <col min="13832" max="13832" width="7.42578125" style="3" customWidth="1"/>
    <col min="13833" max="14080" width="11.42578125" style="3"/>
    <col min="14081" max="14081" width="15.85546875" style="3" customWidth="1"/>
    <col min="14082" max="14082" width="14.85546875" style="3" customWidth="1"/>
    <col min="14083" max="14083" width="13.28515625" style="3" customWidth="1"/>
    <col min="14084" max="14084" width="11.42578125" style="3"/>
    <col min="14085" max="14085" width="13.42578125" style="3" customWidth="1"/>
    <col min="14086" max="14086" width="12.7109375" style="3" customWidth="1"/>
    <col min="14087" max="14087" width="14" style="3" customWidth="1"/>
    <col min="14088" max="14088" width="7.42578125" style="3" customWidth="1"/>
    <col min="14089" max="14336" width="11.42578125" style="3"/>
    <col min="14337" max="14337" width="15.85546875" style="3" customWidth="1"/>
    <col min="14338" max="14338" width="14.85546875" style="3" customWidth="1"/>
    <col min="14339" max="14339" width="13.28515625" style="3" customWidth="1"/>
    <col min="14340" max="14340" width="11.42578125" style="3"/>
    <col min="14341" max="14341" width="13.42578125" style="3" customWidth="1"/>
    <col min="14342" max="14342" width="12.7109375" style="3" customWidth="1"/>
    <col min="14343" max="14343" width="14" style="3" customWidth="1"/>
    <col min="14344" max="14344" width="7.42578125" style="3" customWidth="1"/>
    <col min="14345" max="14592" width="11.42578125" style="3"/>
    <col min="14593" max="14593" width="15.85546875" style="3" customWidth="1"/>
    <col min="14594" max="14594" width="14.85546875" style="3" customWidth="1"/>
    <col min="14595" max="14595" width="13.28515625" style="3" customWidth="1"/>
    <col min="14596" max="14596" width="11.42578125" style="3"/>
    <col min="14597" max="14597" width="13.42578125" style="3" customWidth="1"/>
    <col min="14598" max="14598" width="12.7109375" style="3" customWidth="1"/>
    <col min="14599" max="14599" width="14" style="3" customWidth="1"/>
    <col min="14600" max="14600" width="7.42578125" style="3" customWidth="1"/>
    <col min="14601" max="14848" width="11.42578125" style="3"/>
    <col min="14849" max="14849" width="15.85546875" style="3" customWidth="1"/>
    <col min="14850" max="14850" width="14.85546875" style="3" customWidth="1"/>
    <col min="14851" max="14851" width="13.28515625" style="3" customWidth="1"/>
    <col min="14852" max="14852" width="11.42578125" style="3"/>
    <col min="14853" max="14853" width="13.42578125" style="3" customWidth="1"/>
    <col min="14854" max="14854" width="12.7109375" style="3" customWidth="1"/>
    <col min="14855" max="14855" width="14" style="3" customWidth="1"/>
    <col min="14856" max="14856" width="7.42578125" style="3" customWidth="1"/>
    <col min="14857" max="15104" width="11.42578125" style="3"/>
    <col min="15105" max="15105" width="15.85546875" style="3" customWidth="1"/>
    <col min="15106" max="15106" width="14.85546875" style="3" customWidth="1"/>
    <col min="15107" max="15107" width="13.28515625" style="3" customWidth="1"/>
    <col min="15108" max="15108" width="11.42578125" style="3"/>
    <col min="15109" max="15109" width="13.42578125" style="3" customWidth="1"/>
    <col min="15110" max="15110" width="12.7109375" style="3" customWidth="1"/>
    <col min="15111" max="15111" width="14" style="3" customWidth="1"/>
    <col min="15112" max="15112" width="7.42578125" style="3" customWidth="1"/>
    <col min="15113" max="15360" width="11.42578125" style="3"/>
    <col min="15361" max="15361" width="15.85546875" style="3" customWidth="1"/>
    <col min="15362" max="15362" width="14.85546875" style="3" customWidth="1"/>
    <col min="15363" max="15363" width="13.28515625" style="3" customWidth="1"/>
    <col min="15364" max="15364" width="11.42578125" style="3"/>
    <col min="15365" max="15365" width="13.42578125" style="3" customWidth="1"/>
    <col min="15366" max="15366" width="12.7109375" style="3" customWidth="1"/>
    <col min="15367" max="15367" width="14" style="3" customWidth="1"/>
    <col min="15368" max="15368" width="7.42578125" style="3" customWidth="1"/>
    <col min="15369" max="15616" width="11.42578125" style="3"/>
    <col min="15617" max="15617" width="15.85546875" style="3" customWidth="1"/>
    <col min="15618" max="15618" width="14.85546875" style="3" customWidth="1"/>
    <col min="15619" max="15619" width="13.28515625" style="3" customWidth="1"/>
    <col min="15620" max="15620" width="11.42578125" style="3"/>
    <col min="15621" max="15621" width="13.42578125" style="3" customWidth="1"/>
    <col min="15622" max="15622" width="12.7109375" style="3" customWidth="1"/>
    <col min="15623" max="15623" width="14" style="3" customWidth="1"/>
    <col min="15624" max="15624" width="7.42578125" style="3" customWidth="1"/>
    <col min="15625" max="15872" width="11.42578125" style="3"/>
    <col min="15873" max="15873" width="15.85546875" style="3" customWidth="1"/>
    <col min="15874" max="15874" width="14.85546875" style="3" customWidth="1"/>
    <col min="15875" max="15875" width="13.28515625" style="3" customWidth="1"/>
    <col min="15876" max="15876" width="11.42578125" style="3"/>
    <col min="15877" max="15877" width="13.42578125" style="3" customWidth="1"/>
    <col min="15878" max="15878" width="12.7109375" style="3" customWidth="1"/>
    <col min="15879" max="15879" width="14" style="3" customWidth="1"/>
    <col min="15880" max="15880" width="7.42578125" style="3" customWidth="1"/>
    <col min="15881" max="16128" width="11.42578125" style="3"/>
    <col min="16129" max="16129" width="15.85546875" style="3" customWidth="1"/>
    <col min="16130" max="16130" width="14.85546875" style="3" customWidth="1"/>
    <col min="16131" max="16131" width="13.28515625" style="3" customWidth="1"/>
    <col min="16132" max="16132" width="11.42578125" style="3"/>
    <col min="16133" max="16133" width="13.42578125" style="3" customWidth="1"/>
    <col min="16134" max="16134" width="12.7109375" style="3" customWidth="1"/>
    <col min="16135" max="16135" width="14" style="3" customWidth="1"/>
    <col min="16136" max="16136" width="7.42578125" style="3" customWidth="1"/>
    <col min="16137" max="16384" width="11.42578125" style="3"/>
  </cols>
  <sheetData>
    <row r="1" spans="1:21" ht="20.25">
      <c r="A1" s="1346" t="str">
        <f>PPTO!D3</f>
        <v>PRESUPUESTO
MUNICIPIO EL BAGRE (ANTIOQUIA).</v>
      </c>
      <c r="B1" s="1347"/>
      <c r="C1" s="1347"/>
      <c r="D1" s="1347"/>
      <c r="E1" s="1347"/>
      <c r="F1" s="1347"/>
      <c r="G1" s="1348"/>
      <c r="H1" s="1"/>
      <c r="I1" s="2"/>
    </row>
    <row r="2" spans="1:21" ht="18" customHeight="1">
      <c r="A2" s="1362" t="s">
        <v>16</v>
      </c>
      <c r="B2" s="1363"/>
      <c r="C2" s="1363"/>
      <c r="D2" s="1363"/>
      <c r="E2" s="1363"/>
      <c r="F2" s="1363"/>
      <c r="G2" s="1364"/>
      <c r="H2" s="1"/>
      <c r="I2" s="2"/>
    </row>
    <row r="3" spans="1:21" ht="27" customHeight="1">
      <c r="A3" s="1367" t="str">
        <f>+PPTO!$D$5</f>
        <v>PROYECTO DE MEJORAMIENTO VIAL, ESPACIO PUBLICO Y OBRAS COMPLEMENTARIAS DE LA AVENIDA LA JUVENTUD Y TRAMOS ADYACENTES Y PRIORITARIOS DEL SECTOR URBANO EN EL MUNICIPIO EL BAGRE ANTIOQUIA.</v>
      </c>
      <c r="B3" s="1368"/>
      <c r="C3" s="1368"/>
      <c r="D3" s="1368"/>
      <c r="E3" s="1368"/>
      <c r="F3" s="1368"/>
      <c r="G3" s="1369"/>
      <c r="H3" s="1"/>
      <c r="I3" s="2"/>
    </row>
    <row r="4" spans="1:21" ht="15" customHeight="1">
      <c r="A4" s="1370"/>
      <c r="B4" s="1368"/>
      <c r="C4" s="1368"/>
      <c r="D4" s="1368"/>
      <c r="E4" s="1368"/>
      <c r="F4" s="1368"/>
      <c r="G4" s="1369"/>
      <c r="H4" s="1"/>
      <c r="I4" s="2"/>
    </row>
    <row r="5" spans="1:21" ht="6.75" customHeight="1">
      <c r="A5" s="222"/>
      <c r="B5" s="6"/>
      <c r="C5" s="24"/>
      <c r="D5" s="25"/>
      <c r="E5" s="6"/>
      <c r="F5" s="6"/>
      <c r="G5" s="223"/>
      <c r="H5" s="9"/>
    </row>
    <row r="6" spans="1:21">
      <c r="A6" s="368">
        <v>6.37</v>
      </c>
      <c r="B6" s="1349" t="str">
        <f>VLOOKUP(A6,PPTO!D9:I136,2,FALSE)</f>
        <v>Suministro e instalación Union de 10" PVC ó Similar</v>
      </c>
      <c r="C6" s="1350"/>
      <c r="D6" s="1350"/>
      <c r="E6" s="1351"/>
      <c r="F6" s="192" t="s">
        <v>118</v>
      </c>
      <c r="G6" s="248" t="str">
        <f>VLOOKUP(A6,PPTO!D9:I136,3,FALSE)</f>
        <v>und</v>
      </c>
      <c r="H6" s="9"/>
    </row>
    <row r="7" spans="1:21" ht="3.75" customHeight="1">
      <c r="A7" s="226"/>
      <c r="B7" s="4"/>
      <c r="C7" s="6"/>
      <c r="D7" s="4"/>
      <c r="E7" s="4"/>
      <c r="F7" s="4"/>
      <c r="G7" s="227"/>
      <c r="H7" s="9"/>
    </row>
    <row r="8" spans="1:21" ht="22.5" customHeight="1">
      <c r="A8" s="1354" t="s">
        <v>69</v>
      </c>
      <c r="B8" s="1355"/>
      <c r="C8" s="1355"/>
      <c r="D8" s="1355"/>
      <c r="E8" s="1355"/>
      <c r="F8" s="1355"/>
      <c r="G8" s="1356"/>
      <c r="H8" s="9"/>
    </row>
    <row r="9" spans="1:21" ht="4.5" customHeight="1">
      <c r="A9" s="226"/>
      <c r="B9" s="4"/>
      <c r="C9" s="6"/>
      <c r="D9" s="4"/>
      <c r="E9" s="4"/>
      <c r="F9" s="4"/>
      <c r="G9" s="227"/>
      <c r="H9" s="9"/>
      <c r="I9" s="5"/>
      <c r="J9" s="5"/>
      <c r="K9" s="5"/>
      <c r="L9" s="26"/>
      <c r="M9" s="5"/>
      <c r="N9" s="5"/>
      <c r="O9" s="5"/>
      <c r="P9" s="5"/>
    </row>
    <row r="10" spans="1:21">
      <c r="A10" s="1373" t="s">
        <v>17</v>
      </c>
      <c r="B10" s="1374"/>
      <c r="C10" s="1374"/>
      <c r="D10" s="353" t="s">
        <v>18</v>
      </c>
      <c r="E10" s="353" t="s">
        <v>19</v>
      </c>
      <c r="F10" s="353" t="s">
        <v>20</v>
      </c>
      <c r="G10" s="228" t="s">
        <v>21</v>
      </c>
      <c r="H10" s="27"/>
      <c r="I10" s="28"/>
      <c r="J10" s="29"/>
      <c r="K10" s="30"/>
      <c r="L10" s="30"/>
      <c r="M10" s="30"/>
      <c r="N10" s="30"/>
      <c r="O10" s="30"/>
      <c r="P10" s="5"/>
    </row>
    <row r="11" spans="1:21">
      <c r="A11" s="1352" t="s">
        <v>47</v>
      </c>
      <c r="B11" s="1353"/>
      <c r="C11" s="1353"/>
      <c r="D11" s="353"/>
      <c r="E11" s="83"/>
      <c r="F11" s="97"/>
      <c r="G11" s="229">
        <f>+G39*10%</f>
        <v>2182</v>
      </c>
      <c r="H11" s="9"/>
      <c r="I11" s="30"/>
      <c r="J11" s="31"/>
      <c r="K11" s="30"/>
      <c r="L11" s="30"/>
      <c r="M11" s="30"/>
      <c r="N11" s="30"/>
      <c r="O11" s="30"/>
      <c r="P11" s="5"/>
    </row>
    <row r="12" spans="1:21">
      <c r="A12" s="1371"/>
      <c r="B12" s="1372"/>
      <c r="C12" s="1372"/>
      <c r="D12" s="83"/>
      <c r="E12" s="83"/>
      <c r="F12" s="93"/>
      <c r="G12" s="229"/>
      <c r="H12" s="9"/>
      <c r="I12" s="16"/>
      <c r="J12" s="13"/>
      <c r="K12" s="8"/>
      <c r="L12" s="8"/>
      <c r="M12" s="8"/>
      <c r="N12" s="8"/>
      <c r="O12" s="8"/>
      <c r="P12" s="5"/>
    </row>
    <row r="13" spans="1:21">
      <c r="A13" s="1371"/>
      <c r="B13" s="1372"/>
      <c r="C13" s="1372"/>
      <c r="D13" s="83"/>
      <c r="E13" s="83"/>
      <c r="F13" s="93"/>
      <c r="G13" s="229"/>
      <c r="H13" s="9"/>
      <c r="I13" s="13"/>
      <c r="J13" s="13"/>
      <c r="K13" s="13"/>
      <c r="L13" s="13"/>
      <c r="M13" s="13"/>
      <c r="N13" s="13"/>
      <c r="O13" s="13"/>
      <c r="P13" s="5"/>
    </row>
    <row r="14" spans="1:21">
      <c r="A14" s="1371"/>
      <c r="B14" s="1372"/>
      <c r="C14" s="1372"/>
      <c r="D14" s="83"/>
      <c r="E14" s="83"/>
      <c r="F14" s="93"/>
      <c r="G14" s="229"/>
      <c r="H14" s="9"/>
      <c r="I14" s="8"/>
      <c r="J14" s="14"/>
      <c r="K14" s="32"/>
      <c r="L14" s="14"/>
      <c r="M14" s="15"/>
      <c r="N14" s="15"/>
      <c r="O14" s="19"/>
      <c r="P14" s="5"/>
    </row>
    <row r="15" spans="1:21">
      <c r="A15" s="1371"/>
      <c r="B15" s="1372"/>
      <c r="C15" s="1372"/>
      <c r="D15" s="83"/>
      <c r="E15" s="83"/>
      <c r="F15" s="98"/>
      <c r="G15" s="229"/>
      <c r="H15" s="9"/>
      <c r="I15" s="8"/>
      <c r="J15" s="33"/>
      <c r="K15" s="32"/>
      <c r="L15" s="14"/>
      <c r="M15" s="15"/>
      <c r="N15" s="15"/>
      <c r="O15" s="19"/>
      <c r="P15" s="5"/>
      <c r="Q15" s="5"/>
      <c r="R15" s="5"/>
      <c r="S15" s="5"/>
      <c r="T15" s="5"/>
      <c r="U15" s="5"/>
    </row>
    <row r="16" spans="1:21">
      <c r="A16" s="1371"/>
      <c r="B16" s="1372"/>
      <c r="C16" s="1372"/>
      <c r="D16" s="85" t="s">
        <v>37</v>
      </c>
      <c r="E16" s="50"/>
      <c r="F16" s="49"/>
      <c r="G16" s="230">
        <f>SUM(G11:G15)</f>
        <v>2182</v>
      </c>
      <c r="H16" s="9"/>
      <c r="I16" s="34"/>
      <c r="J16" s="34"/>
      <c r="K16" s="35"/>
      <c r="L16" s="36"/>
      <c r="M16" s="7"/>
      <c r="N16" s="7"/>
      <c r="O16" s="19"/>
      <c r="P16" s="5"/>
      <c r="Q16" s="5"/>
      <c r="R16" s="5"/>
      <c r="S16" s="5"/>
      <c r="T16" s="5"/>
      <c r="U16" s="5"/>
    </row>
    <row r="17" spans="1:21" ht="4.5" customHeight="1">
      <c r="A17" s="226"/>
      <c r="B17" s="4"/>
      <c r="C17" s="6"/>
      <c r="D17" s="4"/>
      <c r="E17" s="4"/>
      <c r="F17" s="4"/>
      <c r="G17" s="227"/>
      <c r="H17" s="9"/>
      <c r="I17" s="34"/>
      <c r="J17" s="34"/>
      <c r="K17" s="35"/>
      <c r="L17" s="36"/>
      <c r="M17" s="7"/>
      <c r="N17" s="7"/>
      <c r="O17" s="19"/>
      <c r="P17" s="5"/>
      <c r="Q17" s="5"/>
      <c r="R17" s="5"/>
      <c r="S17" s="5"/>
      <c r="T17" s="5"/>
      <c r="U17" s="5"/>
    </row>
    <row r="18" spans="1:21" ht="22.5" customHeight="1">
      <c r="A18" s="1354" t="s">
        <v>70</v>
      </c>
      <c r="B18" s="1355"/>
      <c r="C18" s="1355"/>
      <c r="D18" s="1355"/>
      <c r="E18" s="1355"/>
      <c r="F18" s="1355"/>
      <c r="G18" s="1356"/>
      <c r="H18" s="9"/>
    </row>
    <row r="19" spans="1:21" ht="4.5" customHeight="1">
      <c r="A19" s="226"/>
      <c r="B19" s="4"/>
      <c r="C19" s="6"/>
      <c r="D19" s="4"/>
      <c r="E19" s="4"/>
      <c r="F19" s="38"/>
      <c r="G19" s="227"/>
      <c r="H19" s="9"/>
      <c r="I19" s="34"/>
      <c r="J19" s="34"/>
      <c r="K19" s="35"/>
      <c r="L19" s="39"/>
      <c r="M19" s="7"/>
      <c r="N19" s="7"/>
      <c r="O19" s="8"/>
      <c r="P19" s="5"/>
      <c r="Q19" s="5"/>
      <c r="R19" s="5"/>
      <c r="S19" s="5"/>
      <c r="T19" s="5"/>
      <c r="U19" s="5"/>
    </row>
    <row r="20" spans="1:21">
      <c r="A20" s="1373" t="s">
        <v>17</v>
      </c>
      <c r="B20" s="1374"/>
      <c r="C20" s="1374"/>
      <c r="D20" s="353" t="s">
        <v>3</v>
      </c>
      <c r="E20" s="353" t="s">
        <v>4</v>
      </c>
      <c r="F20" s="353" t="s">
        <v>25</v>
      </c>
      <c r="G20" s="228" t="s">
        <v>21</v>
      </c>
      <c r="H20" s="27"/>
      <c r="I20" s="34"/>
      <c r="J20" s="34"/>
      <c r="K20" s="35"/>
      <c r="L20" s="39"/>
      <c r="M20" s="7"/>
      <c r="N20" s="7"/>
      <c r="O20" s="8"/>
      <c r="P20" s="5"/>
      <c r="Q20" s="5"/>
      <c r="R20" s="5"/>
      <c r="S20" s="5"/>
      <c r="T20" s="5"/>
      <c r="U20" s="5"/>
    </row>
    <row r="21" spans="1:21" ht="31.5" customHeight="1">
      <c r="A21" s="1441" t="str">
        <f>MID(I21,25,50)</f>
        <v xml:space="preserve"> Union de 10" PVC ó Similar</v>
      </c>
      <c r="B21" s="1442"/>
      <c r="C21" s="1443"/>
      <c r="D21" s="118" t="s">
        <v>119</v>
      </c>
      <c r="E21" s="119">
        <v>1</v>
      </c>
      <c r="F21" s="87">
        <f>573757*IPC</f>
        <v>592002</v>
      </c>
      <c r="G21" s="231">
        <f>ROUND(F21*E21,0)</f>
        <v>592002</v>
      </c>
      <c r="H21" s="9"/>
      <c r="I21" s="34" t="str">
        <f>B6</f>
        <v>Suministro e instalación Union de 10" PVC ó Similar</v>
      </c>
      <c r="J21" s="34"/>
      <c r="K21" s="35"/>
      <c r="L21" s="36"/>
      <c r="M21" s="7"/>
      <c r="N21" s="7"/>
      <c r="O21" s="19"/>
      <c r="P21" s="5"/>
      <c r="Q21" s="5"/>
      <c r="R21" s="5"/>
      <c r="S21" s="5"/>
      <c r="T21" s="5"/>
      <c r="U21" s="5"/>
    </row>
    <row r="22" spans="1:21">
      <c r="A22" s="1444"/>
      <c r="B22" s="1403"/>
      <c r="C22" s="1404"/>
      <c r="D22" s="116"/>
      <c r="E22" s="117"/>
      <c r="F22" s="91"/>
      <c r="G22" s="231"/>
      <c r="H22" s="9"/>
      <c r="I22" s="10"/>
      <c r="J22" s="10"/>
      <c r="K22" s="12"/>
      <c r="L22" s="39"/>
      <c r="M22" s="7"/>
      <c r="N22" s="7"/>
      <c r="O22" s="15"/>
      <c r="P22" s="5"/>
      <c r="Q22" s="5"/>
      <c r="R22" s="5"/>
      <c r="S22" s="5"/>
      <c r="T22" s="5"/>
      <c r="U22" s="5"/>
    </row>
    <row r="23" spans="1:21">
      <c r="A23" s="1386"/>
      <c r="B23" s="1353"/>
      <c r="C23" s="1353"/>
      <c r="D23" s="79"/>
      <c r="E23" s="82"/>
      <c r="F23" s="83"/>
      <c r="G23" s="67"/>
      <c r="H23" s="9"/>
      <c r="I23" s="10"/>
      <c r="J23" s="10"/>
      <c r="K23" s="12"/>
      <c r="L23" s="39"/>
      <c r="M23" s="7"/>
      <c r="N23" s="7"/>
      <c r="O23" s="15"/>
      <c r="P23" s="5"/>
      <c r="Q23" s="5"/>
      <c r="R23" s="5"/>
      <c r="S23" s="5"/>
      <c r="T23" s="5"/>
      <c r="U23" s="5"/>
    </row>
    <row r="24" spans="1:21">
      <c r="A24" s="1352"/>
      <c r="B24" s="1353"/>
      <c r="C24" s="1353"/>
      <c r="D24" s="81"/>
      <c r="E24" s="88"/>
      <c r="F24" s="78"/>
      <c r="G24" s="231"/>
      <c r="H24" s="9"/>
      <c r="I24" s="10"/>
      <c r="J24" s="40"/>
      <c r="K24" s="12"/>
      <c r="L24" s="13"/>
      <c r="M24" s="14"/>
      <c r="N24" s="14"/>
      <c r="O24" s="15"/>
      <c r="P24" s="5"/>
      <c r="Q24" s="5"/>
      <c r="R24" s="5"/>
      <c r="S24" s="5"/>
      <c r="T24" s="5"/>
      <c r="U24" s="5"/>
    </row>
    <row r="25" spans="1:21">
      <c r="A25" s="1352"/>
      <c r="B25" s="1353"/>
      <c r="C25" s="1353"/>
      <c r="D25" s="81"/>
      <c r="E25" s="82"/>
      <c r="F25" s="78"/>
      <c r="G25" s="231"/>
      <c r="H25" s="9"/>
      <c r="I25" s="10"/>
      <c r="J25" s="11"/>
      <c r="K25" s="12"/>
      <c r="L25" s="13"/>
      <c r="M25" s="14"/>
      <c r="N25" s="14"/>
      <c r="O25" s="15"/>
      <c r="P25" s="5"/>
      <c r="Q25" s="5"/>
      <c r="R25" s="5"/>
      <c r="S25" s="5"/>
      <c r="T25" s="5"/>
      <c r="U25" s="5"/>
    </row>
    <row r="26" spans="1:21">
      <c r="A26" s="1352"/>
      <c r="B26" s="1353"/>
      <c r="C26" s="1353"/>
      <c r="D26" s="79"/>
      <c r="E26" s="82"/>
      <c r="F26" s="78"/>
      <c r="G26" s="231"/>
      <c r="H26" s="9"/>
      <c r="I26" s="10"/>
      <c r="J26" s="11"/>
      <c r="K26" s="12"/>
      <c r="L26" s="13"/>
      <c r="M26" s="14"/>
      <c r="N26" s="14"/>
      <c r="O26" s="15"/>
      <c r="P26" s="5"/>
      <c r="Q26" s="5"/>
      <c r="R26" s="5"/>
      <c r="S26" s="5"/>
      <c r="T26" s="5"/>
      <c r="U26" s="5"/>
    </row>
    <row r="27" spans="1:21">
      <c r="A27" s="1352"/>
      <c r="B27" s="1353"/>
      <c r="C27" s="1353"/>
      <c r="D27" s="79"/>
      <c r="E27" s="82"/>
      <c r="F27" s="78"/>
      <c r="G27" s="231"/>
      <c r="H27" s="9"/>
      <c r="I27" s="10"/>
      <c r="J27" s="11"/>
      <c r="K27" s="12"/>
      <c r="L27" s="13"/>
      <c r="M27" s="14"/>
      <c r="N27" s="14"/>
      <c r="O27" s="15"/>
      <c r="P27" s="5"/>
      <c r="Q27" s="5"/>
      <c r="R27" s="5"/>
      <c r="S27" s="5"/>
      <c r="T27" s="5"/>
      <c r="U27" s="5"/>
    </row>
    <row r="28" spans="1:21">
      <c r="A28" s="1352"/>
      <c r="B28" s="1353"/>
      <c r="C28" s="1353"/>
      <c r="D28" s="79"/>
      <c r="E28" s="82"/>
      <c r="F28" s="83"/>
      <c r="G28" s="231"/>
      <c r="H28" s="9"/>
      <c r="I28" s="41"/>
      <c r="J28" s="41"/>
      <c r="K28" s="12"/>
      <c r="L28" s="13"/>
      <c r="M28" s="14"/>
      <c r="N28" s="14"/>
      <c r="O28" s="15"/>
      <c r="P28" s="5"/>
      <c r="Q28" s="5"/>
      <c r="R28" s="5"/>
      <c r="S28" s="5"/>
      <c r="T28" s="5"/>
      <c r="U28" s="5"/>
    </row>
    <row r="29" spans="1:21">
      <c r="A29" s="1352"/>
      <c r="B29" s="1353"/>
      <c r="C29" s="1353"/>
      <c r="D29" s="84"/>
      <c r="E29" s="84"/>
      <c r="F29" s="83"/>
      <c r="G29" s="231"/>
      <c r="H29" s="9"/>
      <c r="I29" s="42"/>
      <c r="J29" s="42"/>
      <c r="K29" s="42"/>
      <c r="L29" s="13"/>
      <c r="M29" s="14"/>
      <c r="N29" s="14"/>
      <c r="O29" s="15"/>
      <c r="P29" s="5"/>
      <c r="Q29" s="5"/>
      <c r="R29" s="5"/>
      <c r="S29" s="5"/>
      <c r="T29" s="5"/>
      <c r="U29" s="5"/>
    </row>
    <row r="30" spans="1:21">
      <c r="A30" s="1352"/>
      <c r="B30" s="1353"/>
      <c r="C30" s="1353"/>
      <c r="D30" s="85" t="s">
        <v>28</v>
      </c>
      <c r="E30" s="50"/>
      <c r="F30" s="49"/>
      <c r="G30" s="230">
        <f>SUM(G21:G29)</f>
        <v>592002</v>
      </c>
      <c r="H30" s="9"/>
      <c r="I30" s="8"/>
      <c r="J30" s="13"/>
      <c r="K30" s="8"/>
      <c r="L30" s="13"/>
      <c r="M30" s="14"/>
      <c r="N30" s="14"/>
      <c r="O30" s="15"/>
      <c r="P30" s="5"/>
    </row>
    <row r="31" spans="1:21" ht="3.75" customHeight="1">
      <c r="A31" s="226"/>
      <c r="B31" s="4"/>
      <c r="C31" s="6"/>
      <c r="D31" s="4"/>
      <c r="E31" s="4"/>
      <c r="F31" s="4"/>
      <c r="G31" s="227"/>
      <c r="H31" s="9"/>
      <c r="I31" s="8"/>
      <c r="J31" s="13"/>
      <c r="K31" s="18"/>
      <c r="L31" s="13"/>
      <c r="M31" s="33"/>
      <c r="N31" s="33"/>
      <c r="O31" s="15"/>
      <c r="P31" s="5"/>
    </row>
    <row r="32" spans="1:21" ht="22.5" customHeight="1">
      <c r="A32" s="1354" t="s">
        <v>71</v>
      </c>
      <c r="B32" s="1355"/>
      <c r="C32" s="1355"/>
      <c r="D32" s="1355"/>
      <c r="E32" s="1355"/>
      <c r="F32" s="1355"/>
      <c r="G32" s="1356"/>
      <c r="H32" s="9"/>
    </row>
    <row r="33" spans="1:16" ht="3.75" customHeight="1">
      <c r="A33" s="226"/>
      <c r="B33" s="4"/>
      <c r="C33" s="6"/>
      <c r="D33" s="4"/>
      <c r="E33" s="4"/>
      <c r="F33" s="4"/>
      <c r="G33" s="227"/>
      <c r="H33" s="9"/>
      <c r="I33" s="8"/>
      <c r="J33" s="13"/>
      <c r="K33" s="8"/>
      <c r="L33" s="8"/>
      <c r="M33" s="8"/>
      <c r="N33" s="8"/>
      <c r="O33" s="15"/>
      <c r="P33" s="5"/>
    </row>
    <row r="34" spans="1:16">
      <c r="A34" s="232" t="s">
        <v>5</v>
      </c>
      <c r="B34" s="60" t="s">
        <v>29</v>
      </c>
      <c r="C34" s="60" t="s">
        <v>30</v>
      </c>
      <c r="D34" s="60" t="s">
        <v>31</v>
      </c>
      <c r="E34" s="60" t="s">
        <v>32</v>
      </c>
      <c r="F34" s="60" t="s">
        <v>20</v>
      </c>
      <c r="G34" s="228" t="s">
        <v>33</v>
      </c>
      <c r="H34" s="27"/>
      <c r="I34" s="8"/>
      <c r="J34" s="13"/>
      <c r="K34" s="8"/>
      <c r="L34" s="8"/>
      <c r="M34" s="8"/>
      <c r="N34" s="8"/>
      <c r="O34" s="15"/>
      <c r="P34" s="5"/>
    </row>
    <row r="35" spans="1:16">
      <c r="A35" s="233" t="s">
        <v>41</v>
      </c>
      <c r="B35" s="63">
        <f>BOF</f>
        <v>51749</v>
      </c>
      <c r="C35" s="68">
        <f>ffpp</f>
        <v>0.64539999999999997</v>
      </c>
      <c r="D35" s="72">
        <v>1</v>
      </c>
      <c r="E35" s="66">
        <f>OF</f>
        <v>88696</v>
      </c>
      <c r="F35" s="65">
        <v>14</v>
      </c>
      <c r="G35" s="231">
        <f>ROUND(+D35*E35/F35,0)</f>
        <v>6335</v>
      </c>
      <c r="H35" s="9"/>
      <c r="I35" s="16"/>
      <c r="J35" s="13"/>
      <c r="K35" s="8"/>
      <c r="L35" s="8"/>
      <c r="M35" s="8"/>
      <c r="N35" s="8"/>
      <c r="O35" s="15"/>
      <c r="P35" s="5"/>
    </row>
    <row r="36" spans="1:16">
      <c r="A36" s="233" t="s">
        <v>38</v>
      </c>
      <c r="B36" s="63">
        <f>BOB</f>
        <v>41749</v>
      </c>
      <c r="C36" s="68">
        <f>ffpp</f>
        <v>0.64539999999999997</v>
      </c>
      <c r="D36" s="72">
        <v>3</v>
      </c>
      <c r="E36" s="66">
        <f>OB</f>
        <v>72242</v>
      </c>
      <c r="F36" s="65">
        <f>F35</f>
        <v>14</v>
      </c>
      <c r="G36" s="231">
        <f>ROUND(+D36*E36/F36,0)</f>
        <v>15480</v>
      </c>
      <c r="H36" s="9"/>
      <c r="I36" s="8"/>
      <c r="J36" s="8"/>
      <c r="K36" s="13"/>
      <c r="L36" s="13"/>
      <c r="M36" s="13"/>
      <c r="N36" s="13"/>
      <c r="O36" s="13"/>
      <c r="P36" s="5"/>
    </row>
    <row r="37" spans="1:16">
      <c r="A37" s="234"/>
      <c r="B37" s="50"/>
      <c r="C37" s="961"/>
      <c r="D37" s="50"/>
      <c r="E37" s="66"/>
      <c r="F37" s="65"/>
      <c r="G37" s="231"/>
      <c r="H37" s="9"/>
      <c r="I37" s="8"/>
      <c r="J37" s="13"/>
      <c r="K37" s="13"/>
      <c r="L37" s="13"/>
      <c r="M37" s="33"/>
      <c r="N37" s="33"/>
      <c r="O37" s="43"/>
      <c r="P37" s="5"/>
    </row>
    <row r="38" spans="1:16">
      <c r="A38" s="233"/>
      <c r="B38" s="65"/>
      <c r="C38" s="68"/>
      <c r="D38" s="65"/>
      <c r="E38" s="69"/>
      <c r="F38" s="69"/>
      <c r="G38" s="236"/>
      <c r="H38" s="9"/>
      <c r="I38" s="8"/>
      <c r="J38" s="13"/>
      <c r="K38" s="13"/>
      <c r="L38" s="13"/>
      <c r="M38" s="33"/>
      <c r="N38" s="33"/>
      <c r="O38" s="43"/>
      <c r="P38" s="5"/>
    </row>
    <row r="39" spans="1:16">
      <c r="A39" s="249"/>
      <c r="B39" s="71"/>
      <c r="C39" s="71"/>
      <c r="D39" s="71" t="s">
        <v>34</v>
      </c>
      <c r="E39" s="71"/>
      <c r="F39" s="71"/>
      <c r="G39" s="250">
        <f>SUM(G35:G38)</f>
        <v>21815</v>
      </c>
      <c r="H39" s="9"/>
      <c r="I39" s="8"/>
      <c r="J39" s="13"/>
      <c r="K39" s="13"/>
      <c r="L39" s="13"/>
      <c r="M39" s="14"/>
      <c r="N39" s="14"/>
      <c r="O39" s="15"/>
      <c r="P39" s="5"/>
    </row>
    <row r="40" spans="1:16">
      <c r="A40" s="226"/>
      <c r="B40" s="4"/>
      <c r="C40" s="6"/>
      <c r="D40" s="4"/>
      <c r="E40" s="4"/>
      <c r="F40" s="4"/>
      <c r="G40" s="227"/>
      <c r="H40" s="9"/>
      <c r="I40" s="8"/>
      <c r="J40" s="13"/>
      <c r="K40" s="13"/>
      <c r="L40" s="13"/>
      <c r="M40" s="14"/>
      <c r="N40" s="14"/>
      <c r="O40" s="19"/>
      <c r="P40" s="5"/>
    </row>
    <row r="41" spans="1:16">
      <c r="A41" s="226"/>
      <c r="B41" s="4"/>
      <c r="C41" s="6"/>
      <c r="D41" s="4"/>
      <c r="E41" s="4"/>
      <c r="F41" s="4"/>
      <c r="G41" s="227"/>
      <c r="H41" s="9"/>
      <c r="I41" s="8"/>
      <c r="J41" s="13"/>
      <c r="K41" s="13"/>
      <c r="L41" s="13"/>
      <c r="M41" s="17"/>
      <c r="N41" s="17"/>
      <c r="O41" s="37"/>
      <c r="P41" s="5"/>
    </row>
    <row r="42" spans="1:16" ht="14.25">
      <c r="A42" s="226"/>
      <c r="B42" s="4"/>
      <c r="C42" s="6"/>
      <c r="D42" s="1357" t="s">
        <v>35</v>
      </c>
      <c r="E42" s="1358"/>
      <c r="F42" s="1359"/>
      <c r="G42" s="239">
        <f>+G39+G30+G16</f>
        <v>615999</v>
      </c>
      <c r="H42" s="9"/>
      <c r="I42" s="48"/>
      <c r="J42" s="20"/>
      <c r="K42" s="8"/>
      <c r="L42" s="8"/>
      <c r="M42" s="8"/>
      <c r="N42" s="8"/>
      <c r="O42" s="8"/>
      <c r="P42" s="5"/>
    </row>
    <row r="43" spans="1:16" ht="14.25">
      <c r="A43" s="240"/>
      <c r="B43" s="57"/>
      <c r="C43" s="58"/>
      <c r="D43" s="99"/>
      <c r="E43" s="99"/>
      <c r="F43" s="99"/>
      <c r="G43" s="251"/>
      <c r="H43" s="9"/>
      <c r="I43" s="48"/>
      <c r="J43" s="20"/>
      <c r="K43" s="8"/>
      <c r="L43" s="8"/>
      <c r="M43" s="8"/>
      <c r="N43" s="8"/>
      <c r="O43" s="8"/>
      <c r="P43" s="5"/>
    </row>
    <row r="44" spans="1:16" ht="14.25">
      <c r="A44" s="374"/>
      <c r="B44" s="375"/>
      <c r="C44" s="375"/>
      <c r="D44" s="99"/>
      <c r="E44" s="99"/>
      <c r="F44" s="99"/>
      <c r="G44" s="251"/>
      <c r="H44" s="9"/>
      <c r="I44" s="48"/>
      <c r="J44" s="20"/>
      <c r="K44" s="8"/>
      <c r="L44" s="8"/>
      <c r="M44" s="8"/>
      <c r="N44" s="8"/>
      <c r="O44" s="8"/>
      <c r="P44" s="5"/>
    </row>
    <row r="45" spans="1:16" ht="14.25">
      <c r="A45" s="373"/>
      <c r="B45" s="376"/>
      <c r="C45" s="376"/>
      <c r="D45" s="99"/>
      <c r="E45" s="99"/>
      <c r="F45" s="99"/>
      <c r="G45" s="251"/>
      <c r="H45" s="9"/>
      <c r="I45" s="48"/>
      <c r="J45" s="20"/>
      <c r="K45" s="8"/>
      <c r="L45" s="8"/>
      <c r="M45" s="8"/>
      <c r="N45" s="8"/>
      <c r="O45" s="8"/>
      <c r="P45" s="5"/>
    </row>
    <row r="46" spans="1:16" ht="14.25">
      <c r="A46" s="373"/>
      <c r="B46" s="376"/>
      <c r="C46" s="376"/>
      <c r="D46" s="44"/>
      <c r="E46" s="45"/>
      <c r="F46" s="45"/>
      <c r="G46" s="251"/>
      <c r="H46" s="9"/>
      <c r="I46" s="8"/>
      <c r="J46" s="13"/>
      <c r="K46" s="8"/>
      <c r="L46" s="8"/>
      <c r="M46" s="8"/>
      <c r="N46" s="8"/>
      <c r="O46" s="8"/>
      <c r="P46" s="5"/>
    </row>
    <row r="47" spans="1:16" ht="15" thickBot="1">
      <c r="A47" s="242"/>
      <c r="B47" s="243"/>
      <c r="C47" s="244"/>
      <c r="D47" s="245"/>
      <c r="E47" s="246"/>
      <c r="F47" s="246"/>
      <c r="G47" s="247"/>
      <c r="H47" s="9"/>
      <c r="I47" s="8"/>
      <c r="J47" s="13"/>
      <c r="K47" s="8"/>
      <c r="L47" s="8"/>
      <c r="M47" s="8"/>
      <c r="N47" s="8"/>
      <c r="O47" s="8"/>
      <c r="P47" s="5"/>
    </row>
    <row r="48" spans="1:16">
      <c r="I48" s="5"/>
      <c r="J48" s="5"/>
      <c r="K48" s="5"/>
      <c r="L48" s="5"/>
      <c r="M48" s="5"/>
      <c r="N48" s="5"/>
      <c r="O48" s="5"/>
      <c r="P48" s="5"/>
    </row>
    <row r="49" spans="9:16">
      <c r="I49" s="5"/>
      <c r="J49" s="5"/>
      <c r="K49" s="5"/>
      <c r="L49" s="5"/>
      <c r="M49" s="5"/>
      <c r="N49" s="5"/>
      <c r="O49" s="5"/>
      <c r="P49" s="5"/>
    </row>
  </sheetData>
  <mergeCells count="26">
    <mergeCell ref="A10:C10"/>
    <mergeCell ref="A1:G1"/>
    <mergeCell ref="A2:G2"/>
    <mergeCell ref="A3:G4"/>
    <mergeCell ref="B6:E6"/>
    <mergeCell ref="A8:G8"/>
    <mergeCell ref="A24:C24"/>
    <mergeCell ref="A11:C11"/>
    <mergeCell ref="A12:C12"/>
    <mergeCell ref="A13:C13"/>
    <mergeCell ref="A14:C14"/>
    <mergeCell ref="A15:C15"/>
    <mergeCell ref="A16:C16"/>
    <mergeCell ref="A18:G18"/>
    <mergeCell ref="A20:C20"/>
    <mergeCell ref="A21:C21"/>
    <mergeCell ref="A22:C22"/>
    <mergeCell ref="A23:C23"/>
    <mergeCell ref="A32:G32"/>
    <mergeCell ref="D42:F42"/>
    <mergeCell ref="A25:C25"/>
    <mergeCell ref="A26:C26"/>
    <mergeCell ref="A27:C27"/>
    <mergeCell ref="A28:C28"/>
    <mergeCell ref="A29:C29"/>
    <mergeCell ref="A30:C30"/>
  </mergeCells>
  <printOptions horizontalCentered="1" verticalCentered="1"/>
  <pageMargins left="0.74803149606299213" right="0.74803149606299213" top="0" bottom="0.98425196850393704" header="0" footer="0"/>
  <pageSetup scale="90" orientation="portrait" r:id="rId1"/>
  <headerFooter alignWithMargins="0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92"/>
  <dimension ref="A1:U49"/>
  <sheetViews>
    <sheetView view="pageBreakPreview" zoomScaleNormal="100" zoomScaleSheetLayoutView="100" workbookViewId="0">
      <selection activeCell="I7" sqref="I7"/>
    </sheetView>
  </sheetViews>
  <sheetFormatPr baseColWidth="10" defaultColWidth="10.7109375" defaultRowHeight="12.75"/>
  <cols>
    <col min="1" max="1" width="15.85546875" style="3" customWidth="1"/>
    <col min="2" max="2" width="14.85546875" style="3" customWidth="1"/>
    <col min="3" max="3" width="13.28515625" style="3" customWidth="1"/>
    <col min="4" max="4" width="11.42578125" style="3"/>
    <col min="5" max="5" width="13.42578125" style="3" customWidth="1"/>
    <col min="6" max="6" width="12.7109375" style="3" customWidth="1"/>
    <col min="7" max="7" width="14" style="3" customWidth="1"/>
    <col min="8" max="8" width="7.42578125" style="3" customWidth="1"/>
    <col min="9" max="256" width="11.42578125" style="3"/>
    <col min="257" max="257" width="15.85546875" style="3" customWidth="1"/>
    <col min="258" max="258" width="14.85546875" style="3" customWidth="1"/>
    <col min="259" max="259" width="13.28515625" style="3" customWidth="1"/>
    <col min="260" max="260" width="11.42578125" style="3"/>
    <col min="261" max="261" width="13.42578125" style="3" customWidth="1"/>
    <col min="262" max="262" width="12.7109375" style="3" customWidth="1"/>
    <col min="263" max="263" width="14" style="3" customWidth="1"/>
    <col min="264" max="264" width="7.42578125" style="3" customWidth="1"/>
    <col min="265" max="512" width="11.42578125" style="3"/>
    <col min="513" max="513" width="15.85546875" style="3" customWidth="1"/>
    <col min="514" max="514" width="14.85546875" style="3" customWidth="1"/>
    <col min="515" max="515" width="13.28515625" style="3" customWidth="1"/>
    <col min="516" max="516" width="11.42578125" style="3"/>
    <col min="517" max="517" width="13.42578125" style="3" customWidth="1"/>
    <col min="518" max="518" width="12.7109375" style="3" customWidth="1"/>
    <col min="519" max="519" width="14" style="3" customWidth="1"/>
    <col min="520" max="520" width="7.42578125" style="3" customWidth="1"/>
    <col min="521" max="768" width="11.42578125" style="3"/>
    <col min="769" max="769" width="15.85546875" style="3" customWidth="1"/>
    <col min="770" max="770" width="14.85546875" style="3" customWidth="1"/>
    <col min="771" max="771" width="13.28515625" style="3" customWidth="1"/>
    <col min="772" max="772" width="11.42578125" style="3"/>
    <col min="773" max="773" width="13.42578125" style="3" customWidth="1"/>
    <col min="774" max="774" width="12.7109375" style="3" customWidth="1"/>
    <col min="775" max="775" width="14" style="3" customWidth="1"/>
    <col min="776" max="776" width="7.42578125" style="3" customWidth="1"/>
    <col min="777" max="1024" width="11.42578125" style="3"/>
    <col min="1025" max="1025" width="15.85546875" style="3" customWidth="1"/>
    <col min="1026" max="1026" width="14.85546875" style="3" customWidth="1"/>
    <col min="1027" max="1027" width="13.28515625" style="3" customWidth="1"/>
    <col min="1028" max="1028" width="11.42578125" style="3"/>
    <col min="1029" max="1029" width="13.42578125" style="3" customWidth="1"/>
    <col min="1030" max="1030" width="12.7109375" style="3" customWidth="1"/>
    <col min="1031" max="1031" width="14" style="3" customWidth="1"/>
    <col min="1032" max="1032" width="7.42578125" style="3" customWidth="1"/>
    <col min="1033" max="1280" width="11.42578125" style="3"/>
    <col min="1281" max="1281" width="15.85546875" style="3" customWidth="1"/>
    <col min="1282" max="1282" width="14.85546875" style="3" customWidth="1"/>
    <col min="1283" max="1283" width="13.28515625" style="3" customWidth="1"/>
    <col min="1284" max="1284" width="11.42578125" style="3"/>
    <col min="1285" max="1285" width="13.42578125" style="3" customWidth="1"/>
    <col min="1286" max="1286" width="12.7109375" style="3" customWidth="1"/>
    <col min="1287" max="1287" width="14" style="3" customWidth="1"/>
    <col min="1288" max="1288" width="7.42578125" style="3" customWidth="1"/>
    <col min="1289" max="1536" width="11.42578125" style="3"/>
    <col min="1537" max="1537" width="15.85546875" style="3" customWidth="1"/>
    <col min="1538" max="1538" width="14.85546875" style="3" customWidth="1"/>
    <col min="1539" max="1539" width="13.28515625" style="3" customWidth="1"/>
    <col min="1540" max="1540" width="11.42578125" style="3"/>
    <col min="1541" max="1541" width="13.42578125" style="3" customWidth="1"/>
    <col min="1542" max="1542" width="12.7109375" style="3" customWidth="1"/>
    <col min="1543" max="1543" width="14" style="3" customWidth="1"/>
    <col min="1544" max="1544" width="7.42578125" style="3" customWidth="1"/>
    <col min="1545" max="1792" width="11.42578125" style="3"/>
    <col min="1793" max="1793" width="15.85546875" style="3" customWidth="1"/>
    <col min="1794" max="1794" width="14.85546875" style="3" customWidth="1"/>
    <col min="1795" max="1795" width="13.28515625" style="3" customWidth="1"/>
    <col min="1796" max="1796" width="11.42578125" style="3"/>
    <col min="1797" max="1797" width="13.42578125" style="3" customWidth="1"/>
    <col min="1798" max="1798" width="12.7109375" style="3" customWidth="1"/>
    <col min="1799" max="1799" width="14" style="3" customWidth="1"/>
    <col min="1800" max="1800" width="7.42578125" style="3" customWidth="1"/>
    <col min="1801" max="2048" width="11.42578125" style="3"/>
    <col min="2049" max="2049" width="15.85546875" style="3" customWidth="1"/>
    <col min="2050" max="2050" width="14.85546875" style="3" customWidth="1"/>
    <col min="2051" max="2051" width="13.28515625" style="3" customWidth="1"/>
    <col min="2052" max="2052" width="11.42578125" style="3"/>
    <col min="2053" max="2053" width="13.42578125" style="3" customWidth="1"/>
    <col min="2054" max="2054" width="12.7109375" style="3" customWidth="1"/>
    <col min="2055" max="2055" width="14" style="3" customWidth="1"/>
    <col min="2056" max="2056" width="7.42578125" style="3" customWidth="1"/>
    <col min="2057" max="2304" width="11.42578125" style="3"/>
    <col min="2305" max="2305" width="15.85546875" style="3" customWidth="1"/>
    <col min="2306" max="2306" width="14.85546875" style="3" customWidth="1"/>
    <col min="2307" max="2307" width="13.28515625" style="3" customWidth="1"/>
    <col min="2308" max="2308" width="11.42578125" style="3"/>
    <col min="2309" max="2309" width="13.42578125" style="3" customWidth="1"/>
    <col min="2310" max="2310" width="12.7109375" style="3" customWidth="1"/>
    <col min="2311" max="2311" width="14" style="3" customWidth="1"/>
    <col min="2312" max="2312" width="7.42578125" style="3" customWidth="1"/>
    <col min="2313" max="2560" width="11.42578125" style="3"/>
    <col min="2561" max="2561" width="15.85546875" style="3" customWidth="1"/>
    <col min="2562" max="2562" width="14.85546875" style="3" customWidth="1"/>
    <col min="2563" max="2563" width="13.28515625" style="3" customWidth="1"/>
    <col min="2564" max="2564" width="11.42578125" style="3"/>
    <col min="2565" max="2565" width="13.42578125" style="3" customWidth="1"/>
    <col min="2566" max="2566" width="12.7109375" style="3" customWidth="1"/>
    <col min="2567" max="2567" width="14" style="3" customWidth="1"/>
    <col min="2568" max="2568" width="7.42578125" style="3" customWidth="1"/>
    <col min="2569" max="2816" width="11.42578125" style="3"/>
    <col min="2817" max="2817" width="15.85546875" style="3" customWidth="1"/>
    <col min="2818" max="2818" width="14.85546875" style="3" customWidth="1"/>
    <col min="2819" max="2819" width="13.28515625" style="3" customWidth="1"/>
    <col min="2820" max="2820" width="11.42578125" style="3"/>
    <col min="2821" max="2821" width="13.42578125" style="3" customWidth="1"/>
    <col min="2822" max="2822" width="12.7109375" style="3" customWidth="1"/>
    <col min="2823" max="2823" width="14" style="3" customWidth="1"/>
    <col min="2824" max="2824" width="7.42578125" style="3" customWidth="1"/>
    <col min="2825" max="3072" width="11.42578125" style="3"/>
    <col min="3073" max="3073" width="15.85546875" style="3" customWidth="1"/>
    <col min="3074" max="3074" width="14.85546875" style="3" customWidth="1"/>
    <col min="3075" max="3075" width="13.28515625" style="3" customWidth="1"/>
    <col min="3076" max="3076" width="11.42578125" style="3"/>
    <col min="3077" max="3077" width="13.42578125" style="3" customWidth="1"/>
    <col min="3078" max="3078" width="12.7109375" style="3" customWidth="1"/>
    <col min="3079" max="3079" width="14" style="3" customWidth="1"/>
    <col min="3080" max="3080" width="7.42578125" style="3" customWidth="1"/>
    <col min="3081" max="3328" width="11.42578125" style="3"/>
    <col min="3329" max="3329" width="15.85546875" style="3" customWidth="1"/>
    <col min="3330" max="3330" width="14.85546875" style="3" customWidth="1"/>
    <col min="3331" max="3331" width="13.28515625" style="3" customWidth="1"/>
    <col min="3332" max="3332" width="11.42578125" style="3"/>
    <col min="3333" max="3333" width="13.42578125" style="3" customWidth="1"/>
    <col min="3334" max="3334" width="12.7109375" style="3" customWidth="1"/>
    <col min="3335" max="3335" width="14" style="3" customWidth="1"/>
    <col min="3336" max="3336" width="7.42578125" style="3" customWidth="1"/>
    <col min="3337" max="3584" width="11.42578125" style="3"/>
    <col min="3585" max="3585" width="15.85546875" style="3" customWidth="1"/>
    <col min="3586" max="3586" width="14.85546875" style="3" customWidth="1"/>
    <col min="3587" max="3587" width="13.28515625" style="3" customWidth="1"/>
    <col min="3588" max="3588" width="11.42578125" style="3"/>
    <col min="3589" max="3589" width="13.42578125" style="3" customWidth="1"/>
    <col min="3590" max="3590" width="12.7109375" style="3" customWidth="1"/>
    <col min="3591" max="3591" width="14" style="3" customWidth="1"/>
    <col min="3592" max="3592" width="7.42578125" style="3" customWidth="1"/>
    <col min="3593" max="3840" width="11.42578125" style="3"/>
    <col min="3841" max="3841" width="15.85546875" style="3" customWidth="1"/>
    <col min="3842" max="3842" width="14.85546875" style="3" customWidth="1"/>
    <col min="3843" max="3843" width="13.28515625" style="3" customWidth="1"/>
    <col min="3844" max="3844" width="11.42578125" style="3"/>
    <col min="3845" max="3845" width="13.42578125" style="3" customWidth="1"/>
    <col min="3846" max="3846" width="12.7109375" style="3" customWidth="1"/>
    <col min="3847" max="3847" width="14" style="3" customWidth="1"/>
    <col min="3848" max="3848" width="7.42578125" style="3" customWidth="1"/>
    <col min="3849" max="4096" width="11.42578125" style="3"/>
    <col min="4097" max="4097" width="15.85546875" style="3" customWidth="1"/>
    <col min="4098" max="4098" width="14.85546875" style="3" customWidth="1"/>
    <col min="4099" max="4099" width="13.28515625" style="3" customWidth="1"/>
    <col min="4100" max="4100" width="11.42578125" style="3"/>
    <col min="4101" max="4101" width="13.42578125" style="3" customWidth="1"/>
    <col min="4102" max="4102" width="12.7109375" style="3" customWidth="1"/>
    <col min="4103" max="4103" width="14" style="3" customWidth="1"/>
    <col min="4104" max="4104" width="7.42578125" style="3" customWidth="1"/>
    <col min="4105" max="4352" width="11.42578125" style="3"/>
    <col min="4353" max="4353" width="15.85546875" style="3" customWidth="1"/>
    <col min="4354" max="4354" width="14.85546875" style="3" customWidth="1"/>
    <col min="4355" max="4355" width="13.28515625" style="3" customWidth="1"/>
    <col min="4356" max="4356" width="11.42578125" style="3"/>
    <col min="4357" max="4357" width="13.42578125" style="3" customWidth="1"/>
    <col min="4358" max="4358" width="12.7109375" style="3" customWidth="1"/>
    <col min="4359" max="4359" width="14" style="3" customWidth="1"/>
    <col min="4360" max="4360" width="7.42578125" style="3" customWidth="1"/>
    <col min="4361" max="4608" width="11.42578125" style="3"/>
    <col min="4609" max="4609" width="15.85546875" style="3" customWidth="1"/>
    <col min="4610" max="4610" width="14.85546875" style="3" customWidth="1"/>
    <col min="4611" max="4611" width="13.28515625" style="3" customWidth="1"/>
    <col min="4612" max="4612" width="11.42578125" style="3"/>
    <col min="4613" max="4613" width="13.42578125" style="3" customWidth="1"/>
    <col min="4614" max="4614" width="12.7109375" style="3" customWidth="1"/>
    <col min="4615" max="4615" width="14" style="3" customWidth="1"/>
    <col min="4616" max="4616" width="7.42578125" style="3" customWidth="1"/>
    <col min="4617" max="4864" width="11.42578125" style="3"/>
    <col min="4865" max="4865" width="15.85546875" style="3" customWidth="1"/>
    <col min="4866" max="4866" width="14.85546875" style="3" customWidth="1"/>
    <col min="4867" max="4867" width="13.28515625" style="3" customWidth="1"/>
    <col min="4868" max="4868" width="11.42578125" style="3"/>
    <col min="4869" max="4869" width="13.42578125" style="3" customWidth="1"/>
    <col min="4870" max="4870" width="12.7109375" style="3" customWidth="1"/>
    <col min="4871" max="4871" width="14" style="3" customWidth="1"/>
    <col min="4872" max="4872" width="7.42578125" style="3" customWidth="1"/>
    <col min="4873" max="5120" width="11.42578125" style="3"/>
    <col min="5121" max="5121" width="15.85546875" style="3" customWidth="1"/>
    <col min="5122" max="5122" width="14.85546875" style="3" customWidth="1"/>
    <col min="5123" max="5123" width="13.28515625" style="3" customWidth="1"/>
    <col min="5124" max="5124" width="11.42578125" style="3"/>
    <col min="5125" max="5125" width="13.42578125" style="3" customWidth="1"/>
    <col min="5126" max="5126" width="12.7109375" style="3" customWidth="1"/>
    <col min="5127" max="5127" width="14" style="3" customWidth="1"/>
    <col min="5128" max="5128" width="7.42578125" style="3" customWidth="1"/>
    <col min="5129" max="5376" width="11.42578125" style="3"/>
    <col min="5377" max="5377" width="15.85546875" style="3" customWidth="1"/>
    <col min="5378" max="5378" width="14.85546875" style="3" customWidth="1"/>
    <col min="5379" max="5379" width="13.28515625" style="3" customWidth="1"/>
    <col min="5380" max="5380" width="11.42578125" style="3"/>
    <col min="5381" max="5381" width="13.42578125" style="3" customWidth="1"/>
    <col min="5382" max="5382" width="12.7109375" style="3" customWidth="1"/>
    <col min="5383" max="5383" width="14" style="3" customWidth="1"/>
    <col min="5384" max="5384" width="7.42578125" style="3" customWidth="1"/>
    <col min="5385" max="5632" width="11.42578125" style="3"/>
    <col min="5633" max="5633" width="15.85546875" style="3" customWidth="1"/>
    <col min="5634" max="5634" width="14.85546875" style="3" customWidth="1"/>
    <col min="5635" max="5635" width="13.28515625" style="3" customWidth="1"/>
    <col min="5636" max="5636" width="11.42578125" style="3"/>
    <col min="5637" max="5637" width="13.42578125" style="3" customWidth="1"/>
    <col min="5638" max="5638" width="12.7109375" style="3" customWidth="1"/>
    <col min="5639" max="5639" width="14" style="3" customWidth="1"/>
    <col min="5640" max="5640" width="7.42578125" style="3" customWidth="1"/>
    <col min="5641" max="5888" width="11.42578125" style="3"/>
    <col min="5889" max="5889" width="15.85546875" style="3" customWidth="1"/>
    <col min="5890" max="5890" width="14.85546875" style="3" customWidth="1"/>
    <col min="5891" max="5891" width="13.28515625" style="3" customWidth="1"/>
    <col min="5892" max="5892" width="11.42578125" style="3"/>
    <col min="5893" max="5893" width="13.42578125" style="3" customWidth="1"/>
    <col min="5894" max="5894" width="12.7109375" style="3" customWidth="1"/>
    <col min="5895" max="5895" width="14" style="3" customWidth="1"/>
    <col min="5896" max="5896" width="7.42578125" style="3" customWidth="1"/>
    <col min="5897" max="6144" width="11.42578125" style="3"/>
    <col min="6145" max="6145" width="15.85546875" style="3" customWidth="1"/>
    <col min="6146" max="6146" width="14.85546875" style="3" customWidth="1"/>
    <col min="6147" max="6147" width="13.28515625" style="3" customWidth="1"/>
    <col min="6148" max="6148" width="11.42578125" style="3"/>
    <col min="6149" max="6149" width="13.42578125" style="3" customWidth="1"/>
    <col min="6150" max="6150" width="12.7109375" style="3" customWidth="1"/>
    <col min="6151" max="6151" width="14" style="3" customWidth="1"/>
    <col min="6152" max="6152" width="7.42578125" style="3" customWidth="1"/>
    <col min="6153" max="6400" width="11.42578125" style="3"/>
    <col min="6401" max="6401" width="15.85546875" style="3" customWidth="1"/>
    <col min="6402" max="6402" width="14.85546875" style="3" customWidth="1"/>
    <col min="6403" max="6403" width="13.28515625" style="3" customWidth="1"/>
    <col min="6404" max="6404" width="11.42578125" style="3"/>
    <col min="6405" max="6405" width="13.42578125" style="3" customWidth="1"/>
    <col min="6406" max="6406" width="12.7109375" style="3" customWidth="1"/>
    <col min="6407" max="6407" width="14" style="3" customWidth="1"/>
    <col min="6408" max="6408" width="7.42578125" style="3" customWidth="1"/>
    <col min="6409" max="6656" width="11.42578125" style="3"/>
    <col min="6657" max="6657" width="15.85546875" style="3" customWidth="1"/>
    <col min="6658" max="6658" width="14.85546875" style="3" customWidth="1"/>
    <col min="6659" max="6659" width="13.28515625" style="3" customWidth="1"/>
    <col min="6660" max="6660" width="11.42578125" style="3"/>
    <col min="6661" max="6661" width="13.42578125" style="3" customWidth="1"/>
    <col min="6662" max="6662" width="12.7109375" style="3" customWidth="1"/>
    <col min="6663" max="6663" width="14" style="3" customWidth="1"/>
    <col min="6664" max="6664" width="7.42578125" style="3" customWidth="1"/>
    <col min="6665" max="6912" width="11.42578125" style="3"/>
    <col min="6913" max="6913" width="15.85546875" style="3" customWidth="1"/>
    <col min="6914" max="6914" width="14.85546875" style="3" customWidth="1"/>
    <col min="6915" max="6915" width="13.28515625" style="3" customWidth="1"/>
    <col min="6916" max="6916" width="11.42578125" style="3"/>
    <col min="6917" max="6917" width="13.42578125" style="3" customWidth="1"/>
    <col min="6918" max="6918" width="12.7109375" style="3" customWidth="1"/>
    <col min="6919" max="6919" width="14" style="3" customWidth="1"/>
    <col min="6920" max="6920" width="7.42578125" style="3" customWidth="1"/>
    <col min="6921" max="7168" width="11.42578125" style="3"/>
    <col min="7169" max="7169" width="15.85546875" style="3" customWidth="1"/>
    <col min="7170" max="7170" width="14.85546875" style="3" customWidth="1"/>
    <col min="7171" max="7171" width="13.28515625" style="3" customWidth="1"/>
    <col min="7172" max="7172" width="11.42578125" style="3"/>
    <col min="7173" max="7173" width="13.42578125" style="3" customWidth="1"/>
    <col min="7174" max="7174" width="12.7109375" style="3" customWidth="1"/>
    <col min="7175" max="7175" width="14" style="3" customWidth="1"/>
    <col min="7176" max="7176" width="7.42578125" style="3" customWidth="1"/>
    <col min="7177" max="7424" width="11.42578125" style="3"/>
    <col min="7425" max="7425" width="15.85546875" style="3" customWidth="1"/>
    <col min="7426" max="7426" width="14.85546875" style="3" customWidth="1"/>
    <col min="7427" max="7427" width="13.28515625" style="3" customWidth="1"/>
    <col min="7428" max="7428" width="11.42578125" style="3"/>
    <col min="7429" max="7429" width="13.42578125" style="3" customWidth="1"/>
    <col min="7430" max="7430" width="12.7109375" style="3" customWidth="1"/>
    <col min="7431" max="7431" width="14" style="3" customWidth="1"/>
    <col min="7432" max="7432" width="7.42578125" style="3" customWidth="1"/>
    <col min="7433" max="7680" width="11.42578125" style="3"/>
    <col min="7681" max="7681" width="15.85546875" style="3" customWidth="1"/>
    <col min="7682" max="7682" width="14.85546875" style="3" customWidth="1"/>
    <col min="7683" max="7683" width="13.28515625" style="3" customWidth="1"/>
    <col min="7684" max="7684" width="11.42578125" style="3"/>
    <col min="7685" max="7685" width="13.42578125" style="3" customWidth="1"/>
    <col min="7686" max="7686" width="12.7109375" style="3" customWidth="1"/>
    <col min="7687" max="7687" width="14" style="3" customWidth="1"/>
    <col min="7688" max="7688" width="7.42578125" style="3" customWidth="1"/>
    <col min="7689" max="7936" width="11.42578125" style="3"/>
    <col min="7937" max="7937" width="15.85546875" style="3" customWidth="1"/>
    <col min="7938" max="7938" width="14.85546875" style="3" customWidth="1"/>
    <col min="7939" max="7939" width="13.28515625" style="3" customWidth="1"/>
    <col min="7940" max="7940" width="11.42578125" style="3"/>
    <col min="7941" max="7941" width="13.42578125" style="3" customWidth="1"/>
    <col min="7942" max="7942" width="12.7109375" style="3" customWidth="1"/>
    <col min="7943" max="7943" width="14" style="3" customWidth="1"/>
    <col min="7944" max="7944" width="7.42578125" style="3" customWidth="1"/>
    <col min="7945" max="8192" width="11.42578125" style="3"/>
    <col min="8193" max="8193" width="15.85546875" style="3" customWidth="1"/>
    <col min="8194" max="8194" width="14.85546875" style="3" customWidth="1"/>
    <col min="8195" max="8195" width="13.28515625" style="3" customWidth="1"/>
    <col min="8196" max="8196" width="11.42578125" style="3"/>
    <col min="8197" max="8197" width="13.42578125" style="3" customWidth="1"/>
    <col min="8198" max="8198" width="12.7109375" style="3" customWidth="1"/>
    <col min="8199" max="8199" width="14" style="3" customWidth="1"/>
    <col min="8200" max="8200" width="7.42578125" style="3" customWidth="1"/>
    <col min="8201" max="8448" width="11.42578125" style="3"/>
    <col min="8449" max="8449" width="15.85546875" style="3" customWidth="1"/>
    <col min="8450" max="8450" width="14.85546875" style="3" customWidth="1"/>
    <col min="8451" max="8451" width="13.28515625" style="3" customWidth="1"/>
    <col min="8452" max="8452" width="11.42578125" style="3"/>
    <col min="8453" max="8453" width="13.42578125" style="3" customWidth="1"/>
    <col min="8454" max="8454" width="12.7109375" style="3" customWidth="1"/>
    <col min="8455" max="8455" width="14" style="3" customWidth="1"/>
    <col min="8456" max="8456" width="7.42578125" style="3" customWidth="1"/>
    <col min="8457" max="8704" width="11.42578125" style="3"/>
    <col min="8705" max="8705" width="15.85546875" style="3" customWidth="1"/>
    <col min="8706" max="8706" width="14.85546875" style="3" customWidth="1"/>
    <col min="8707" max="8707" width="13.28515625" style="3" customWidth="1"/>
    <col min="8708" max="8708" width="11.42578125" style="3"/>
    <col min="8709" max="8709" width="13.42578125" style="3" customWidth="1"/>
    <col min="8710" max="8710" width="12.7109375" style="3" customWidth="1"/>
    <col min="8711" max="8711" width="14" style="3" customWidth="1"/>
    <col min="8712" max="8712" width="7.42578125" style="3" customWidth="1"/>
    <col min="8713" max="8960" width="11.42578125" style="3"/>
    <col min="8961" max="8961" width="15.85546875" style="3" customWidth="1"/>
    <col min="8962" max="8962" width="14.85546875" style="3" customWidth="1"/>
    <col min="8963" max="8963" width="13.28515625" style="3" customWidth="1"/>
    <col min="8964" max="8964" width="11.42578125" style="3"/>
    <col min="8965" max="8965" width="13.42578125" style="3" customWidth="1"/>
    <col min="8966" max="8966" width="12.7109375" style="3" customWidth="1"/>
    <col min="8967" max="8967" width="14" style="3" customWidth="1"/>
    <col min="8968" max="8968" width="7.42578125" style="3" customWidth="1"/>
    <col min="8969" max="9216" width="11.42578125" style="3"/>
    <col min="9217" max="9217" width="15.85546875" style="3" customWidth="1"/>
    <col min="9218" max="9218" width="14.85546875" style="3" customWidth="1"/>
    <col min="9219" max="9219" width="13.28515625" style="3" customWidth="1"/>
    <col min="9220" max="9220" width="11.42578125" style="3"/>
    <col min="9221" max="9221" width="13.42578125" style="3" customWidth="1"/>
    <col min="9222" max="9222" width="12.7109375" style="3" customWidth="1"/>
    <col min="9223" max="9223" width="14" style="3" customWidth="1"/>
    <col min="9224" max="9224" width="7.42578125" style="3" customWidth="1"/>
    <col min="9225" max="9472" width="11.42578125" style="3"/>
    <col min="9473" max="9473" width="15.85546875" style="3" customWidth="1"/>
    <col min="9474" max="9474" width="14.85546875" style="3" customWidth="1"/>
    <col min="9475" max="9475" width="13.28515625" style="3" customWidth="1"/>
    <col min="9476" max="9476" width="11.42578125" style="3"/>
    <col min="9477" max="9477" width="13.42578125" style="3" customWidth="1"/>
    <col min="9478" max="9478" width="12.7109375" style="3" customWidth="1"/>
    <col min="9479" max="9479" width="14" style="3" customWidth="1"/>
    <col min="9480" max="9480" width="7.42578125" style="3" customWidth="1"/>
    <col min="9481" max="9728" width="11.42578125" style="3"/>
    <col min="9729" max="9729" width="15.85546875" style="3" customWidth="1"/>
    <col min="9730" max="9730" width="14.85546875" style="3" customWidth="1"/>
    <col min="9731" max="9731" width="13.28515625" style="3" customWidth="1"/>
    <col min="9732" max="9732" width="11.42578125" style="3"/>
    <col min="9733" max="9733" width="13.42578125" style="3" customWidth="1"/>
    <col min="9734" max="9734" width="12.7109375" style="3" customWidth="1"/>
    <col min="9735" max="9735" width="14" style="3" customWidth="1"/>
    <col min="9736" max="9736" width="7.42578125" style="3" customWidth="1"/>
    <col min="9737" max="9984" width="11.42578125" style="3"/>
    <col min="9985" max="9985" width="15.85546875" style="3" customWidth="1"/>
    <col min="9986" max="9986" width="14.85546875" style="3" customWidth="1"/>
    <col min="9987" max="9987" width="13.28515625" style="3" customWidth="1"/>
    <col min="9988" max="9988" width="11.42578125" style="3"/>
    <col min="9989" max="9989" width="13.42578125" style="3" customWidth="1"/>
    <col min="9990" max="9990" width="12.7109375" style="3" customWidth="1"/>
    <col min="9991" max="9991" width="14" style="3" customWidth="1"/>
    <col min="9992" max="9992" width="7.42578125" style="3" customWidth="1"/>
    <col min="9993" max="10240" width="11.42578125" style="3"/>
    <col min="10241" max="10241" width="15.85546875" style="3" customWidth="1"/>
    <col min="10242" max="10242" width="14.85546875" style="3" customWidth="1"/>
    <col min="10243" max="10243" width="13.28515625" style="3" customWidth="1"/>
    <col min="10244" max="10244" width="11.42578125" style="3"/>
    <col min="10245" max="10245" width="13.42578125" style="3" customWidth="1"/>
    <col min="10246" max="10246" width="12.7109375" style="3" customWidth="1"/>
    <col min="10247" max="10247" width="14" style="3" customWidth="1"/>
    <col min="10248" max="10248" width="7.42578125" style="3" customWidth="1"/>
    <col min="10249" max="10496" width="11.42578125" style="3"/>
    <col min="10497" max="10497" width="15.85546875" style="3" customWidth="1"/>
    <col min="10498" max="10498" width="14.85546875" style="3" customWidth="1"/>
    <col min="10499" max="10499" width="13.28515625" style="3" customWidth="1"/>
    <col min="10500" max="10500" width="11.42578125" style="3"/>
    <col min="10501" max="10501" width="13.42578125" style="3" customWidth="1"/>
    <col min="10502" max="10502" width="12.7109375" style="3" customWidth="1"/>
    <col min="10503" max="10503" width="14" style="3" customWidth="1"/>
    <col min="10504" max="10504" width="7.42578125" style="3" customWidth="1"/>
    <col min="10505" max="10752" width="11.42578125" style="3"/>
    <col min="10753" max="10753" width="15.85546875" style="3" customWidth="1"/>
    <col min="10754" max="10754" width="14.85546875" style="3" customWidth="1"/>
    <col min="10755" max="10755" width="13.28515625" style="3" customWidth="1"/>
    <col min="10756" max="10756" width="11.42578125" style="3"/>
    <col min="10757" max="10757" width="13.42578125" style="3" customWidth="1"/>
    <col min="10758" max="10758" width="12.7109375" style="3" customWidth="1"/>
    <col min="10759" max="10759" width="14" style="3" customWidth="1"/>
    <col min="10760" max="10760" width="7.42578125" style="3" customWidth="1"/>
    <col min="10761" max="11008" width="11.42578125" style="3"/>
    <col min="11009" max="11009" width="15.85546875" style="3" customWidth="1"/>
    <col min="11010" max="11010" width="14.85546875" style="3" customWidth="1"/>
    <col min="11011" max="11011" width="13.28515625" style="3" customWidth="1"/>
    <col min="11012" max="11012" width="11.42578125" style="3"/>
    <col min="11013" max="11013" width="13.42578125" style="3" customWidth="1"/>
    <col min="11014" max="11014" width="12.7109375" style="3" customWidth="1"/>
    <col min="11015" max="11015" width="14" style="3" customWidth="1"/>
    <col min="11016" max="11016" width="7.42578125" style="3" customWidth="1"/>
    <col min="11017" max="11264" width="11.42578125" style="3"/>
    <col min="11265" max="11265" width="15.85546875" style="3" customWidth="1"/>
    <col min="11266" max="11266" width="14.85546875" style="3" customWidth="1"/>
    <col min="11267" max="11267" width="13.28515625" style="3" customWidth="1"/>
    <col min="11268" max="11268" width="11.42578125" style="3"/>
    <col min="11269" max="11269" width="13.42578125" style="3" customWidth="1"/>
    <col min="11270" max="11270" width="12.7109375" style="3" customWidth="1"/>
    <col min="11271" max="11271" width="14" style="3" customWidth="1"/>
    <col min="11272" max="11272" width="7.42578125" style="3" customWidth="1"/>
    <col min="11273" max="11520" width="11.42578125" style="3"/>
    <col min="11521" max="11521" width="15.85546875" style="3" customWidth="1"/>
    <col min="11522" max="11522" width="14.85546875" style="3" customWidth="1"/>
    <col min="11523" max="11523" width="13.28515625" style="3" customWidth="1"/>
    <col min="11524" max="11524" width="11.42578125" style="3"/>
    <col min="11525" max="11525" width="13.42578125" style="3" customWidth="1"/>
    <col min="11526" max="11526" width="12.7109375" style="3" customWidth="1"/>
    <col min="11527" max="11527" width="14" style="3" customWidth="1"/>
    <col min="11528" max="11528" width="7.42578125" style="3" customWidth="1"/>
    <col min="11529" max="11776" width="11.42578125" style="3"/>
    <col min="11777" max="11777" width="15.85546875" style="3" customWidth="1"/>
    <col min="11778" max="11778" width="14.85546875" style="3" customWidth="1"/>
    <col min="11779" max="11779" width="13.28515625" style="3" customWidth="1"/>
    <col min="11780" max="11780" width="11.42578125" style="3"/>
    <col min="11781" max="11781" width="13.42578125" style="3" customWidth="1"/>
    <col min="11782" max="11782" width="12.7109375" style="3" customWidth="1"/>
    <col min="11783" max="11783" width="14" style="3" customWidth="1"/>
    <col min="11784" max="11784" width="7.42578125" style="3" customWidth="1"/>
    <col min="11785" max="12032" width="11.42578125" style="3"/>
    <col min="12033" max="12033" width="15.85546875" style="3" customWidth="1"/>
    <col min="12034" max="12034" width="14.85546875" style="3" customWidth="1"/>
    <col min="12035" max="12035" width="13.28515625" style="3" customWidth="1"/>
    <col min="12036" max="12036" width="11.42578125" style="3"/>
    <col min="12037" max="12037" width="13.42578125" style="3" customWidth="1"/>
    <col min="12038" max="12038" width="12.7109375" style="3" customWidth="1"/>
    <col min="12039" max="12039" width="14" style="3" customWidth="1"/>
    <col min="12040" max="12040" width="7.42578125" style="3" customWidth="1"/>
    <col min="12041" max="12288" width="11.42578125" style="3"/>
    <col min="12289" max="12289" width="15.85546875" style="3" customWidth="1"/>
    <col min="12290" max="12290" width="14.85546875" style="3" customWidth="1"/>
    <col min="12291" max="12291" width="13.28515625" style="3" customWidth="1"/>
    <col min="12292" max="12292" width="11.42578125" style="3"/>
    <col min="12293" max="12293" width="13.42578125" style="3" customWidth="1"/>
    <col min="12294" max="12294" width="12.7109375" style="3" customWidth="1"/>
    <col min="12295" max="12295" width="14" style="3" customWidth="1"/>
    <col min="12296" max="12296" width="7.42578125" style="3" customWidth="1"/>
    <col min="12297" max="12544" width="11.42578125" style="3"/>
    <col min="12545" max="12545" width="15.85546875" style="3" customWidth="1"/>
    <col min="12546" max="12546" width="14.85546875" style="3" customWidth="1"/>
    <col min="12547" max="12547" width="13.28515625" style="3" customWidth="1"/>
    <col min="12548" max="12548" width="11.42578125" style="3"/>
    <col min="12549" max="12549" width="13.42578125" style="3" customWidth="1"/>
    <col min="12550" max="12550" width="12.7109375" style="3" customWidth="1"/>
    <col min="12551" max="12551" width="14" style="3" customWidth="1"/>
    <col min="12552" max="12552" width="7.42578125" style="3" customWidth="1"/>
    <col min="12553" max="12800" width="11.42578125" style="3"/>
    <col min="12801" max="12801" width="15.85546875" style="3" customWidth="1"/>
    <col min="12802" max="12802" width="14.85546875" style="3" customWidth="1"/>
    <col min="12803" max="12803" width="13.28515625" style="3" customWidth="1"/>
    <col min="12804" max="12804" width="11.42578125" style="3"/>
    <col min="12805" max="12805" width="13.42578125" style="3" customWidth="1"/>
    <col min="12806" max="12806" width="12.7109375" style="3" customWidth="1"/>
    <col min="12807" max="12807" width="14" style="3" customWidth="1"/>
    <col min="12808" max="12808" width="7.42578125" style="3" customWidth="1"/>
    <col min="12809" max="13056" width="11.42578125" style="3"/>
    <col min="13057" max="13057" width="15.85546875" style="3" customWidth="1"/>
    <col min="13058" max="13058" width="14.85546875" style="3" customWidth="1"/>
    <col min="13059" max="13059" width="13.28515625" style="3" customWidth="1"/>
    <col min="13060" max="13060" width="11.42578125" style="3"/>
    <col min="13061" max="13061" width="13.42578125" style="3" customWidth="1"/>
    <col min="13062" max="13062" width="12.7109375" style="3" customWidth="1"/>
    <col min="13063" max="13063" width="14" style="3" customWidth="1"/>
    <col min="13064" max="13064" width="7.42578125" style="3" customWidth="1"/>
    <col min="13065" max="13312" width="11.42578125" style="3"/>
    <col min="13313" max="13313" width="15.85546875" style="3" customWidth="1"/>
    <col min="13314" max="13314" width="14.85546875" style="3" customWidth="1"/>
    <col min="13315" max="13315" width="13.28515625" style="3" customWidth="1"/>
    <col min="13316" max="13316" width="11.42578125" style="3"/>
    <col min="13317" max="13317" width="13.42578125" style="3" customWidth="1"/>
    <col min="13318" max="13318" width="12.7109375" style="3" customWidth="1"/>
    <col min="13319" max="13319" width="14" style="3" customWidth="1"/>
    <col min="13320" max="13320" width="7.42578125" style="3" customWidth="1"/>
    <col min="13321" max="13568" width="11.42578125" style="3"/>
    <col min="13569" max="13569" width="15.85546875" style="3" customWidth="1"/>
    <col min="13570" max="13570" width="14.85546875" style="3" customWidth="1"/>
    <col min="13571" max="13571" width="13.28515625" style="3" customWidth="1"/>
    <col min="13572" max="13572" width="11.42578125" style="3"/>
    <col min="13573" max="13573" width="13.42578125" style="3" customWidth="1"/>
    <col min="13574" max="13574" width="12.7109375" style="3" customWidth="1"/>
    <col min="13575" max="13575" width="14" style="3" customWidth="1"/>
    <col min="13576" max="13576" width="7.42578125" style="3" customWidth="1"/>
    <col min="13577" max="13824" width="11.42578125" style="3"/>
    <col min="13825" max="13825" width="15.85546875" style="3" customWidth="1"/>
    <col min="13826" max="13826" width="14.85546875" style="3" customWidth="1"/>
    <col min="13827" max="13827" width="13.28515625" style="3" customWidth="1"/>
    <col min="13828" max="13828" width="11.42578125" style="3"/>
    <col min="13829" max="13829" width="13.42578125" style="3" customWidth="1"/>
    <col min="13830" max="13830" width="12.7109375" style="3" customWidth="1"/>
    <col min="13831" max="13831" width="14" style="3" customWidth="1"/>
    <col min="13832" max="13832" width="7.42578125" style="3" customWidth="1"/>
    <col min="13833" max="14080" width="11.42578125" style="3"/>
    <col min="14081" max="14081" width="15.85546875" style="3" customWidth="1"/>
    <col min="14082" max="14082" width="14.85546875" style="3" customWidth="1"/>
    <col min="14083" max="14083" width="13.28515625" style="3" customWidth="1"/>
    <col min="14084" max="14084" width="11.42578125" style="3"/>
    <col min="14085" max="14085" width="13.42578125" style="3" customWidth="1"/>
    <col min="14086" max="14086" width="12.7109375" style="3" customWidth="1"/>
    <col min="14087" max="14087" width="14" style="3" customWidth="1"/>
    <col min="14088" max="14088" width="7.42578125" style="3" customWidth="1"/>
    <col min="14089" max="14336" width="11.42578125" style="3"/>
    <col min="14337" max="14337" width="15.85546875" style="3" customWidth="1"/>
    <col min="14338" max="14338" width="14.85546875" style="3" customWidth="1"/>
    <col min="14339" max="14339" width="13.28515625" style="3" customWidth="1"/>
    <col min="14340" max="14340" width="11.42578125" style="3"/>
    <col min="14341" max="14341" width="13.42578125" style="3" customWidth="1"/>
    <col min="14342" max="14342" width="12.7109375" style="3" customWidth="1"/>
    <col min="14343" max="14343" width="14" style="3" customWidth="1"/>
    <col min="14344" max="14344" width="7.42578125" style="3" customWidth="1"/>
    <col min="14345" max="14592" width="11.42578125" style="3"/>
    <col min="14593" max="14593" width="15.85546875" style="3" customWidth="1"/>
    <col min="14594" max="14594" width="14.85546875" style="3" customWidth="1"/>
    <col min="14595" max="14595" width="13.28515625" style="3" customWidth="1"/>
    <col min="14596" max="14596" width="11.42578125" style="3"/>
    <col min="14597" max="14597" width="13.42578125" style="3" customWidth="1"/>
    <col min="14598" max="14598" width="12.7109375" style="3" customWidth="1"/>
    <col min="14599" max="14599" width="14" style="3" customWidth="1"/>
    <col min="14600" max="14600" width="7.42578125" style="3" customWidth="1"/>
    <col min="14601" max="14848" width="11.42578125" style="3"/>
    <col min="14849" max="14849" width="15.85546875" style="3" customWidth="1"/>
    <col min="14850" max="14850" width="14.85546875" style="3" customWidth="1"/>
    <col min="14851" max="14851" width="13.28515625" style="3" customWidth="1"/>
    <col min="14852" max="14852" width="11.42578125" style="3"/>
    <col min="14853" max="14853" width="13.42578125" style="3" customWidth="1"/>
    <col min="14854" max="14854" width="12.7109375" style="3" customWidth="1"/>
    <col min="14855" max="14855" width="14" style="3" customWidth="1"/>
    <col min="14856" max="14856" width="7.42578125" style="3" customWidth="1"/>
    <col min="14857" max="15104" width="11.42578125" style="3"/>
    <col min="15105" max="15105" width="15.85546875" style="3" customWidth="1"/>
    <col min="15106" max="15106" width="14.85546875" style="3" customWidth="1"/>
    <col min="15107" max="15107" width="13.28515625" style="3" customWidth="1"/>
    <col min="15108" max="15108" width="11.42578125" style="3"/>
    <col min="15109" max="15109" width="13.42578125" style="3" customWidth="1"/>
    <col min="15110" max="15110" width="12.7109375" style="3" customWidth="1"/>
    <col min="15111" max="15111" width="14" style="3" customWidth="1"/>
    <col min="15112" max="15112" width="7.42578125" style="3" customWidth="1"/>
    <col min="15113" max="15360" width="11.42578125" style="3"/>
    <col min="15361" max="15361" width="15.85546875" style="3" customWidth="1"/>
    <col min="15362" max="15362" width="14.85546875" style="3" customWidth="1"/>
    <col min="15363" max="15363" width="13.28515625" style="3" customWidth="1"/>
    <col min="15364" max="15364" width="11.42578125" style="3"/>
    <col min="15365" max="15365" width="13.42578125" style="3" customWidth="1"/>
    <col min="15366" max="15366" width="12.7109375" style="3" customWidth="1"/>
    <col min="15367" max="15367" width="14" style="3" customWidth="1"/>
    <col min="15368" max="15368" width="7.42578125" style="3" customWidth="1"/>
    <col min="15369" max="15616" width="11.42578125" style="3"/>
    <col min="15617" max="15617" width="15.85546875" style="3" customWidth="1"/>
    <col min="15618" max="15618" width="14.85546875" style="3" customWidth="1"/>
    <col min="15619" max="15619" width="13.28515625" style="3" customWidth="1"/>
    <col min="15620" max="15620" width="11.42578125" style="3"/>
    <col min="15621" max="15621" width="13.42578125" style="3" customWidth="1"/>
    <col min="15622" max="15622" width="12.7109375" style="3" customWidth="1"/>
    <col min="15623" max="15623" width="14" style="3" customWidth="1"/>
    <col min="15624" max="15624" width="7.42578125" style="3" customWidth="1"/>
    <col min="15625" max="15872" width="11.42578125" style="3"/>
    <col min="15873" max="15873" width="15.85546875" style="3" customWidth="1"/>
    <col min="15874" max="15874" width="14.85546875" style="3" customWidth="1"/>
    <col min="15875" max="15875" width="13.28515625" style="3" customWidth="1"/>
    <col min="15876" max="15876" width="11.42578125" style="3"/>
    <col min="15877" max="15877" width="13.42578125" style="3" customWidth="1"/>
    <col min="15878" max="15878" width="12.7109375" style="3" customWidth="1"/>
    <col min="15879" max="15879" width="14" style="3" customWidth="1"/>
    <col min="15880" max="15880" width="7.42578125" style="3" customWidth="1"/>
    <col min="15881" max="16128" width="11.42578125" style="3"/>
    <col min="16129" max="16129" width="15.85546875" style="3" customWidth="1"/>
    <col min="16130" max="16130" width="14.85546875" style="3" customWidth="1"/>
    <col min="16131" max="16131" width="13.28515625" style="3" customWidth="1"/>
    <col min="16132" max="16132" width="11.42578125" style="3"/>
    <col min="16133" max="16133" width="13.42578125" style="3" customWidth="1"/>
    <col min="16134" max="16134" width="12.7109375" style="3" customWidth="1"/>
    <col min="16135" max="16135" width="14" style="3" customWidth="1"/>
    <col min="16136" max="16136" width="7.42578125" style="3" customWidth="1"/>
    <col min="16137" max="16384" width="11.42578125" style="3"/>
  </cols>
  <sheetData>
    <row r="1" spans="1:21" ht="20.25">
      <c r="A1" s="1346" t="str">
        <f>PPTO!D3</f>
        <v>PRESUPUESTO
MUNICIPIO EL BAGRE (ANTIOQUIA).</v>
      </c>
      <c r="B1" s="1347"/>
      <c r="C1" s="1347"/>
      <c r="D1" s="1347"/>
      <c r="E1" s="1347"/>
      <c r="F1" s="1347"/>
      <c r="G1" s="1348"/>
      <c r="H1" s="1"/>
      <c r="I1" s="2"/>
    </row>
    <row r="2" spans="1:21" ht="18" customHeight="1">
      <c r="A2" s="1362" t="s">
        <v>16</v>
      </c>
      <c r="B2" s="1363"/>
      <c r="C2" s="1363"/>
      <c r="D2" s="1363"/>
      <c r="E2" s="1363"/>
      <c r="F2" s="1363"/>
      <c r="G2" s="1364"/>
      <c r="H2" s="1"/>
      <c r="I2" s="2"/>
    </row>
    <row r="3" spans="1:21" ht="27" customHeight="1">
      <c r="A3" s="1367" t="str">
        <f>+PPTO!$D$5</f>
        <v>PROYECTO DE MEJORAMIENTO VIAL, ESPACIO PUBLICO Y OBRAS COMPLEMENTARIAS DE LA AVENIDA LA JUVENTUD Y TRAMOS ADYACENTES Y PRIORITARIOS DEL SECTOR URBANO EN EL MUNICIPIO EL BAGRE ANTIOQUIA.</v>
      </c>
      <c r="B3" s="1368"/>
      <c r="C3" s="1368"/>
      <c r="D3" s="1368"/>
      <c r="E3" s="1368"/>
      <c r="F3" s="1368"/>
      <c r="G3" s="1369"/>
      <c r="H3" s="1"/>
      <c r="I3" s="2"/>
    </row>
    <row r="4" spans="1:21" ht="12.75" customHeight="1">
      <c r="A4" s="1370"/>
      <c r="B4" s="1368"/>
      <c r="C4" s="1368"/>
      <c r="D4" s="1368"/>
      <c r="E4" s="1368"/>
      <c r="F4" s="1368"/>
      <c r="G4" s="1369"/>
      <c r="H4" s="1"/>
      <c r="I4" s="2"/>
    </row>
    <row r="5" spans="1:21" ht="6.75" customHeight="1">
      <c r="A5" s="222"/>
      <c r="B5" s="6"/>
      <c r="C5" s="24"/>
      <c r="D5" s="25"/>
      <c r="E5" s="6"/>
      <c r="F5" s="6"/>
      <c r="G5" s="223"/>
      <c r="H5" s="9"/>
    </row>
    <row r="6" spans="1:21">
      <c r="A6" s="368">
        <v>6.38</v>
      </c>
      <c r="B6" s="1349" t="str">
        <f>VLOOKUP(A6,PPTO!D9:I136,2,FALSE)</f>
        <v>Suministro e instalación Union de 18" PVC ó Similar</v>
      </c>
      <c r="C6" s="1350"/>
      <c r="D6" s="1350"/>
      <c r="E6" s="1351"/>
      <c r="F6" s="192" t="s">
        <v>118</v>
      </c>
      <c r="G6" s="248" t="str">
        <f>VLOOKUP(A6,PPTO!D9:I136,3,FALSE)</f>
        <v>und</v>
      </c>
      <c r="H6" s="9"/>
    </row>
    <row r="7" spans="1:21" ht="3.75" customHeight="1">
      <c r="A7" s="226"/>
      <c r="B7" s="4"/>
      <c r="C7" s="6"/>
      <c r="D7" s="4"/>
      <c r="E7" s="4"/>
      <c r="F7" s="4"/>
      <c r="G7" s="227"/>
      <c r="H7" s="9"/>
    </row>
    <row r="8" spans="1:21" ht="22.5" customHeight="1">
      <c r="A8" s="1354" t="s">
        <v>69</v>
      </c>
      <c r="B8" s="1355"/>
      <c r="C8" s="1355"/>
      <c r="D8" s="1355"/>
      <c r="E8" s="1355"/>
      <c r="F8" s="1355"/>
      <c r="G8" s="1356"/>
      <c r="H8" s="9"/>
    </row>
    <row r="9" spans="1:21" ht="4.5" customHeight="1">
      <c r="A9" s="226"/>
      <c r="B9" s="4"/>
      <c r="C9" s="6"/>
      <c r="D9" s="4"/>
      <c r="E9" s="4"/>
      <c r="F9" s="4"/>
      <c r="G9" s="227"/>
      <c r="H9" s="9"/>
      <c r="I9" s="5"/>
      <c r="J9" s="5"/>
      <c r="K9" s="5"/>
      <c r="L9" s="26"/>
      <c r="M9" s="5"/>
      <c r="N9" s="5"/>
      <c r="O9" s="5"/>
      <c r="P9" s="5"/>
    </row>
    <row r="10" spans="1:21">
      <c r="A10" s="1373" t="s">
        <v>17</v>
      </c>
      <c r="B10" s="1374"/>
      <c r="C10" s="1374"/>
      <c r="D10" s="353" t="s">
        <v>18</v>
      </c>
      <c r="E10" s="353" t="s">
        <v>19</v>
      </c>
      <c r="F10" s="353" t="s">
        <v>20</v>
      </c>
      <c r="G10" s="228" t="s">
        <v>21</v>
      </c>
      <c r="H10" s="27"/>
      <c r="I10" s="28"/>
      <c r="J10" s="29"/>
      <c r="K10" s="30"/>
      <c r="L10" s="30"/>
      <c r="M10" s="30"/>
      <c r="N10" s="30"/>
      <c r="O10" s="30"/>
      <c r="P10" s="5"/>
    </row>
    <row r="11" spans="1:21">
      <c r="A11" s="1352" t="s">
        <v>47</v>
      </c>
      <c r="B11" s="1353"/>
      <c r="C11" s="1353"/>
      <c r="D11" s="353"/>
      <c r="E11" s="83"/>
      <c r="F11" s="97"/>
      <c r="G11" s="229">
        <f>+G39*10%</f>
        <v>7636</v>
      </c>
      <c r="H11" s="9"/>
      <c r="I11" s="30"/>
      <c r="J11" s="31"/>
      <c r="K11" s="30"/>
      <c r="L11" s="30"/>
      <c r="M11" s="30"/>
      <c r="N11" s="30"/>
      <c r="O11" s="30"/>
      <c r="P11" s="5"/>
    </row>
    <row r="12" spans="1:21">
      <c r="A12" s="1371"/>
      <c r="B12" s="1372"/>
      <c r="C12" s="1372"/>
      <c r="D12" s="83"/>
      <c r="E12" s="83"/>
      <c r="F12" s="93"/>
      <c r="G12" s="229"/>
      <c r="H12" s="9"/>
      <c r="I12" s="16"/>
      <c r="J12" s="13"/>
      <c r="K12" s="8"/>
      <c r="L12" s="8"/>
      <c r="M12" s="8"/>
      <c r="N12" s="8"/>
      <c r="O12" s="8"/>
      <c r="P12" s="5"/>
    </row>
    <row r="13" spans="1:21">
      <c r="A13" s="1371"/>
      <c r="B13" s="1372"/>
      <c r="C13" s="1372"/>
      <c r="D13" s="83"/>
      <c r="E13" s="83"/>
      <c r="F13" s="93"/>
      <c r="G13" s="229"/>
      <c r="H13" s="9"/>
      <c r="I13" s="13"/>
      <c r="J13" s="13"/>
      <c r="K13" s="13"/>
      <c r="L13" s="13"/>
      <c r="M13" s="13"/>
      <c r="N13" s="13"/>
      <c r="O13" s="13"/>
      <c r="P13" s="5"/>
    </row>
    <row r="14" spans="1:21">
      <c r="A14" s="1371"/>
      <c r="B14" s="1372"/>
      <c r="C14" s="1372"/>
      <c r="D14" s="83"/>
      <c r="E14" s="83"/>
      <c r="F14" s="93"/>
      <c r="G14" s="229"/>
      <c r="H14" s="9"/>
      <c r="I14" s="8"/>
      <c r="J14" s="14"/>
      <c r="K14" s="32"/>
      <c r="L14" s="14"/>
      <c r="M14" s="15"/>
      <c r="N14" s="15"/>
      <c r="O14" s="19"/>
      <c r="P14" s="5"/>
    </row>
    <row r="15" spans="1:21">
      <c r="A15" s="1371"/>
      <c r="B15" s="1372"/>
      <c r="C15" s="1372"/>
      <c r="D15" s="83"/>
      <c r="E15" s="83"/>
      <c r="F15" s="98"/>
      <c r="G15" s="229"/>
      <c r="H15" s="9"/>
      <c r="I15" s="8"/>
      <c r="J15" s="33"/>
      <c r="K15" s="32"/>
      <c r="L15" s="14"/>
      <c r="M15" s="15"/>
      <c r="N15" s="15"/>
      <c r="O15" s="19"/>
      <c r="P15" s="5"/>
      <c r="Q15" s="5"/>
      <c r="R15" s="5"/>
      <c r="S15" s="5"/>
      <c r="T15" s="5"/>
      <c r="U15" s="5"/>
    </row>
    <row r="16" spans="1:21">
      <c r="A16" s="1371"/>
      <c r="B16" s="1372"/>
      <c r="C16" s="1372"/>
      <c r="D16" s="85" t="s">
        <v>37</v>
      </c>
      <c r="E16" s="50"/>
      <c r="F16" s="49"/>
      <c r="G16" s="230">
        <f>SUM(G11:G15)</f>
        <v>7636</v>
      </c>
      <c r="H16" s="9"/>
      <c r="I16" s="34"/>
      <c r="J16" s="34"/>
      <c r="K16" s="35"/>
      <c r="L16" s="36"/>
      <c r="M16" s="7"/>
      <c r="N16" s="7"/>
      <c r="O16" s="19"/>
      <c r="P16" s="5"/>
      <c r="Q16" s="5"/>
      <c r="R16" s="5"/>
      <c r="S16" s="5"/>
      <c r="T16" s="5"/>
      <c r="U16" s="5"/>
    </row>
    <row r="17" spans="1:21" ht="4.5" customHeight="1">
      <c r="A17" s="226"/>
      <c r="B17" s="4"/>
      <c r="C17" s="6"/>
      <c r="D17" s="4"/>
      <c r="E17" s="4"/>
      <c r="F17" s="4"/>
      <c r="G17" s="227"/>
      <c r="H17" s="9"/>
      <c r="I17" s="34"/>
      <c r="J17" s="34"/>
      <c r="K17" s="35"/>
      <c r="L17" s="36"/>
      <c r="M17" s="7"/>
      <c r="N17" s="7"/>
      <c r="O17" s="19"/>
      <c r="P17" s="5"/>
      <c r="Q17" s="5"/>
      <c r="R17" s="5"/>
      <c r="S17" s="5"/>
      <c r="T17" s="5"/>
      <c r="U17" s="5"/>
    </row>
    <row r="18" spans="1:21" ht="22.5" customHeight="1">
      <c r="A18" s="1354" t="s">
        <v>70</v>
      </c>
      <c r="B18" s="1355"/>
      <c r="C18" s="1355"/>
      <c r="D18" s="1355"/>
      <c r="E18" s="1355"/>
      <c r="F18" s="1355"/>
      <c r="G18" s="1356"/>
      <c r="H18" s="9"/>
    </row>
    <row r="19" spans="1:21" ht="4.5" customHeight="1">
      <c r="A19" s="226"/>
      <c r="B19" s="4"/>
      <c r="C19" s="6"/>
      <c r="D19" s="4"/>
      <c r="E19" s="4"/>
      <c r="F19" s="38"/>
      <c r="G19" s="227"/>
      <c r="H19" s="9"/>
      <c r="I19" s="34"/>
      <c r="J19" s="34"/>
      <c r="K19" s="35"/>
      <c r="L19" s="39"/>
      <c r="M19" s="7"/>
      <c r="N19" s="7"/>
      <c r="O19" s="8"/>
      <c r="P19" s="5"/>
      <c r="Q19" s="5"/>
      <c r="R19" s="5"/>
      <c r="S19" s="5"/>
      <c r="T19" s="5"/>
      <c r="U19" s="5"/>
    </row>
    <row r="20" spans="1:21">
      <c r="A20" s="1373" t="s">
        <v>17</v>
      </c>
      <c r="B20" s="1374"/>
      <c r="C20" s="1374"/>
      <c r="D20" s="353" t="s">
        <v>3</v>
      </c>
      <c r="E20" s="353" t="s">
        <v>4</v>
      </c>
      <c r="F20" s="353" t="s">
        <v>25</v>
      </c>
      <c r="G20" s="228" t="s">
        <v>21</v>
      </c>
      <c r="H20" s="27"/>
      <c r="I20" s="34"/>
      <c r="J20" s="34"/>
      <c r="K20" s="35"/>
      <c r="L20" s="39"/>
      <c r="M20" s="7"/>
      <c r="N20" s="7"/>
      <c r="O20" s="8"/>
      <c r="P20" s="5"/>
      <c r="Q20" s="5"/>
      <c r="R20" s="5"/>
      <c r="S20" s="5"/>
      <c r="T20" s="5"/>
      <c r="U20" s="5"/>
    </row>
    <row r="21" spans="1:21" ht="31.5" customHeight="1">
      <c r="A21" s="1441" t="str">
        <f>MID(I21,25,50)</f>
        <v xml:space="preserve"> Union de 18" PVC ó Similar</v>
      </c>
      <c r="B21" s="1442"/>
      <c r="C21" s="1443"/>
      <c r="D21" s="118" t="s">
        <v>119</v>
      </c>
      <c r="E21" s="119">
        <v>1</v>
      </c>
      <c r="F21" s="87">
        <f>2567000</f>
        <v>2567000</v>
      </c>
      <c r="G21" s="231">
        <f>ROUND(F21*E21,0)</f>
        <v>2567000</v>
      </c>
      <c r="H21" s="9"/>
      <c r="I21" s="34" t="str">
        <f>B6</f>
        <v>Suministro e instalación Union de 18" PVC ó Similar</v>
      </c>
      <c r="J21" s="34"/>
      <c r="K21" s="35"/>
      <c r="L21" s="36"/>
      <c r="M21" s="7"/>
      <c r="N21" s="7"/>
      <c r="O21" s="19"/>
      <c r="P21" s="5"/>
      <c r="Q21" s="5"/>
      <c r="R21" s="5"/>
      <c r="S21" s="5"/>
      <c r="T21" s="5"/>
      <c r="U21" s="5"/>
    </row>
    <row r="22" spans="1:21">
      <c r="A22" s="1444"/>
      <c r="B22" s="1403"/>
      <c r="C22" s="1404"/>
      <c r="D22" s="116"/>
      <c r="E22" s="117"/>
      <c r="F22" s="91"/>
      <c r="G22" s="231"/>
      <c r="H22" s="9"/>
      <c r="I22" s="10"/>
      <c r="J22" s="10"/>
      <c r="K22" s="12"/>
      <c r="L22" s="39"/>
      <c r="M22" s="7"/>
      <c r="N22" s="7"/>
      <c r="O22" s="15"/>
      <c r="P22" s="5"/>
      <c r="Q22" s="5"/>
      <c r="R22" s="5"/>
      <c r="S22" s="5"/>
      <c r="T22" s="5"/>
      <c r="U22" s="5"/>
    </row>
    <row r="23" spans="1:21">
      <c r="A23" s="1386"/>
      <c r="B23" s="1353"/>
      <c r="C23" s="1353"/>
      <c r="D23" s="79"/>
      <c r="E23" s="82"/>
      <c r="F23" s="83"/>
      <c r="G23" s="67"/>
      <c r="H23" s="9"/>
      <c r="I23" s="10"/>
      <c r="J23" s="10"/>
      <c r="K23" s="12"/>
      <c r="L23" s="39"/>
      <c r="M23" s="7"/>
      <c r="N23" s="7"/>
      <c r="O23" s="15"/>
      <c r="P23" s="5"/>
      <c r="Q23" s="5"/>
      <c r="R23" s="5"/>
      <c r="S23" s="5"/>
      <c r="T23" s="5"/>
      <c r="U23" s="5"/>
    </row>
    <row r="24" spans="1:21">
      <c r="A24" s="1352"/>
      <c r="B24" s="1353"/>
      <c r="C24" s="1353"/>
      <c r="D24" s="81"/>
      <c r="E24" s="88"/>
      <c r="F24" s="78"/>
      <c r="G24" s="231"/>
      <c r="H24" s="9"/>
      <c r="I24" s="10"/>
      <c r="J24" s="40"/>
      <c r="K24" s="12"/>
      <c r="L24" s="13"/>
      <c r="M24" s="14"/>
      <c r="N24" s="14"/>
      <c r="O24" s="15"/>
      <c r="P24" s="5"/>
      <c r="Q24" s="5"/>
      <c r="R24" s="5"/>
      <c r="S24" s="5"/>
      <c r="T24" s="5"/>
      <c r="U24" s="5"/>
    </row>
    <row r="25" spans="1:21">
      <c r="A25" s="1352"/>
      <c r="B25" s="1353"/>
      <c r="C25" s="1353"/>
      <c r="D25" s="81"/>
      <c r="E25" s="82"/>
      <c r="F25" s="78"/>
      <c r="G25" s="231"/>
      <c r="H25" s="9"/>
      <c r="I25" s="10"/>
      <c r="J25" s="11"/>
      <c r="K25" s="12"/>
      <c r="L25" s="13"/>
      <c r="M25" s="14"/>
      <c r="N25" s="14"/>
      <c r="O25" s="15"/>
      <c r="P25" s="5"/>
      <c r="Q25" s="5"/>
      <c r="R25" s="5"/>
      <c r="S25" s="5"/>
      <c r="T25" s="5"/>
      <c r="U25" s="5"/>
    </row>
    <row r="26" spans="1:21">
      <c r="A26" s="1352"/>
      <c r="B26" s="1353"/>
      <c r="C26" s="1353"/>
      <c r="D26" s="79"/>
      <c r="E26" s="82"/>
      <c r="F26" s="78"/>
      <c r="G26" s="231"/>
      <c r="H26" s="9"/>
      <c r="I26" s="10"/>
      <c r="J26" s="11"/>
      <c r="K26" s="12"/>
      <c r="L26" s="13"/>
      <c r="M26" s="14"/>
      <c r="N26" s="14"/>
      <c r="O26" s="15"/>
      <c r="P26" s="5"/>
      <c r="Q26" s="5"/>
      <c r="R26" s="5"/>
      <c r="S26" s="5"/>
      <c r="T26" s="5"/>
      <c r="U26" s="5"/>
    </row>
    <row r="27" spans="1:21">
      <c r="A27" s="1352"/>
      <c r="B27" s="1353"/>
      <c r="C27" s="1353"/>
      <c r="D27" s="79"/>
      <c r="E27" s="82"/>
      <c r="F27" s="78"/>
      <c r="G27" s="231"/>
      <c r="H27" s="9"/>
      <c r="I27" s="10"/>
      <c r="J27" s="11"/>
      <c r="K27" s="12"/>
      <c r="L27" s="13"/>
      <c r="M27" s="14"/>
      <c r="N27" s="14"/>
      <c r="O27" s="15"/>
      <c r="P27" s="5"/>
      <c r="Q27" s="5"/>
      <c r="R27" s="5"/>
      <c r="S27" s="5"/>
      <c r="T27" s="5"/>
      <c r="U27" s="5"/>
    </row>
    <row r="28" spans="1:21">
      <c r="A28" s="1352"/>
      <c r="B28" s="1353"/>
      <c r="C28" s="1353"/>
      <c r="D28" s="79"/>
      <c r="E28" s="82"/>
      <c r="F28" s="83"/>
      <c r="G28" s="231"/>
      <c r="H28" s="9"/>
      <c r="I28" s="41"/>
      <c r="J28" s="41"/>
      <c r="K28" s="12"/>
      <c r="L28" s="13"/>
      <c r="M28" s="14"/>
      <c r="N28" s="14"/>
      <c r="O28" s="15"/>
      <c r="P28" s="5"/>
      <c r="Q28" s="5"/>
      <c r="R28" s="5"/>
      <c r="S28" s="5"/>
      <c r="T28" s="5"/>
      <c r="U28" s="5"/>
    </row>
    <row r="29" spans="1:21">
      <c r="A29" s="1352"/>
      <c r="B29" s="1353"/>
      <c r="C29" s="1353"/>
      <c r="D29" s="84"/>
      <c r="E29" s="84"/>
      <c r="F29" s="83"/>
      <c r="G29" s="231"/>
      <c r="H29" s="9"/>
      <c r="I29" s="42"/>
      <c r="J29" s="42"/>
      <c r="K29" s="42"/>
      <c r="L29" s="13"/>
      <c r="M29" s="14"/>
      <c r="N29" s="14"/>
      <c r="O29" s="15"/>
      <c r="P29" s="5"/>
      <c r="Q29" s="5"/>
      <c r="R29" s="5"/>
      <c r="S29" s="5"/>
      <c r="T29" s="5"/>
      <c r="U29" s="5"/>
    </row>
    <row r="30" spans="1:21">
      <c r="A30" s="1352"/>
      <c r="B30" s="1353"/>
      <c r="C30" s="1353"/>
      <c r="D30" s="85" t="s">
        <v>28</v>
      </c>
      <c r="E30" s="50"/>
      <c r="F30" s="49"/>
      <c r="G30" s="230">
        <f>SUM(G21:G29)</f>
        <v>2567000</v>
      </c>
      <c r="H30" s="9"/>
      <c r="I30" s="8"/>
      <c r="J30" s="13"/>
      <c r="K30" s="8"/>
      <c r="L30" s="13"/>
      <c r="M30" s="14"/>
      <c r="N30" s="14"/>
      <c r="O30" s="15"/>
      <c r="P30" s="5"/>
    </row>
    <row r="31" spans="1:21" ht="3.75" customHeight="1">
      <c r="A31" s="226"/>
      <c r="B31" s="4"/>
      <c r="C31" s="6"/>
      <c r="D31" s="4"/>
      <c r="E31" s="4"/>
      <c r="F31" s="4"/>
      <c r="G31" s="227"/>
      <c r="H31" s="9"/>
      <c r="I31" s="8"/>
      <c r="J31" s="13"/>
      <c r="K31" s="18"/>
      <c r="L31" s="13"/>
      <c r="M31" s="33"/>
      <c r="N31" s="33"/>
      <c r="O31" s="15"/>
      <c r="P31" s="5"/>
    </row>
    <row r="32" spans="1:21" ht="22.5" customHeight="1">
      <c r="A32" s="1354" t="s">
        <v>71</v>
      </c>
      <c r="B32" s="1355"/>
      <c r="C32" s="1355"/>
      <c r="D32" s="1355"/>
      <c r="E32" s="1355"/>
      <c r="F32" s="1355"/>
      <c r="G32" s="1356"/>
      <c r="H32" s="9"/>
    </row>
    <row r="33" spans="1:16" ht="3.75" customHeight="1">
      <c r="A33" s="226"/>
      <c r="B33" s="4"/>
      <c r="C33" s="6"/>
      <c r="D33" s="4"/>
      <c r="E33" s="4"/>
      <c r="F33" s="4"/>
      <c r="G33" s="227"/>
      <c r="H33" s="9"/>
      <c r="I33" s="8"/>
      <c r="J33" s="13"/>
      <c r="K33" s="8"/>
      <c r="L33" s="8"/>
      <c r="M33" s="8"/>
      <c r="N33" s="8"/>
      <c r="O33" s="15"/>
      <c r="P33" s="5"/>
    </row>
    <row r="34" spans="1:16">
      <c r="A34" s="232" t="s">
        <v>5</v>
      </c>
      <c r="B34" s="60" t="s">
        <v>29</v>
      </c>
      <c r="C34" s="60" t="s">
        <v>30</v>
      </c>
      <c r="D34" s="60" t="s">
        <v>31</v>
      </c>
      <c r="E34" s="60" t="s">
        <v>32</v>
      </c>
      <c r="F34" s="60" t="s">
        <v>20</v>
      </c>
      <c r="G34" s="228" t="s">
        <v>33</v>
      </c>
      <c r="H34" s="27"/>
      <c r="I34" s="8"/>
      <c r="J34" s="13"/>
      <c r="K34" s="8"/>
      <c r="L34" s="8"/>
      <c r="M34" s="8"/>
      <c r="N34" s="8"/>
      <c r="O34" s="15"/>
      <c r="P34" s="5"/>
    </row>
    <row r="35" spans="1:16">
      <c r="A35" s="233" t="s">
        <v>41</v>
      </c>
      <c r="B35" s="63">
        <f>BOF</f>
        <v>51749</v>
      </c>
      <c r="C35" s="68">
        <f>ffpp</f>
        <v>0.64539999999999997</v>
      </c>
      <c r="D35" s="72">
        <v>1</v>
      </c>
      <c r="E35" s="66">
        <f>OF</f>
        <v>88696</v>
      </c>
      <c r="F35" s="65">
        <v>4</v>
      </c>
      <c r="G35" s="231">
        <f>ROUND(+D35*E35/F35,0)</f>
        <v>22174</v>
      </c>
      <c r="H35" s="9"/>
      <c r="I35" s="16"/>
      <c r="J35" s="13"/>
      <c r="K35" s="8"/>
      <c r="L35" s="8"/>
      <c r="M35" s="8"/>
      <c r="N35" s="8"/>
      <c r="O35" s="15"/>
      <c r="P35" s="5"/>
    </row>
    <row r="36" spans="1:16">
      <c r="A36" s="233" t="s">
        <v>38</v>
      </c>
      <c r="B36" s="63">
        <f>BOB</f>
        <v>41749</v>
      </c>
      <c r="C36" s="68">
        <f>ffpp</f>
        <v>0.64539999999999997</v>
      </c>
      <c r="D36" s="72">
        <v>3</v>
      </c>
      <c r="E36" s="66">
        <f>OB</f>
        <v>72242</v>
      </c>
      <c r="F36" s="65">
        <f>F35</f>
        <v>4</v>
      </c>
      <c r="G36" s="231">
        <f>ROUND(+D36*E36/F36,0)</f>
        <v>54182</v>
      </c>
      <c r="H36" s="9"/>
      <c r="I36" s="8"/>
      <c r="J36" s="8"/>
      <c r="K36" s="13"/>
      <c r="L36" s="13"/>
      <c r="M36" s="13"/>
      <c r="N36" s="13"/>
      <c r="O36" s="13"/>
      <c r="P36" s="5"/>
    </row>
    <row r="37" spans="1:16">
      <c r="A37" s="234"/>
      <c r="B37" s="50"/>
      <c r="C37" s="961"/>
      <c r="D37" s="50"/>
      <c r="E37" s="66"/>
      <c r="F37" s="65"/>
      <c r="G37" s="231"/>
      <c r="H37" s="9"/>
      <c r="I37" s="8"/>
      <c r="J37" s="13"/>
      <c r="K37" s="13"/>
      <c r="L37" s="13"/>
      <c r="M37" s="33"/>
      <c r="N37" s="33"/>
      <c r="O37" s="43"/>
      <c r="P37" s="5"/>
    </row>
    <row r="38" spans="1:16">
      <c r="A38" s="233"/>
      <c r="B38" s="65"/>
      <c r="C38" s="68"/>
      <c r="D38" s="65"/>
      <c r="E38" s="69"/>
      <c r="F38" s="69"/>
      <c r="G38" s="236"/>
      <c r="H38" s="9"/>
      <c r="I38" s="8"/>
      <c r="J38" s="13"/>
      <c r="K38" s="13"/>
      <c r="L38" s="13"/>
      <c r="M38" s="33"/>
      <c r="N38" s="33"/>
      <c r="O38" s="43"/>
      <c r="P38" s="5"/>
    </row>
    <row r="39" spans="1:16">
      <c r="A39" s="249"/>
      <c r="B39" s="71"/>
      <c r="C39" s="71"/>
      <c r="D39" s="71" t="s">
        <v>34</v>
      </c>
      <c r="E39" s="71"/>
      <c r="F39" s="71"/>
      <c r="G39" s="250">
        <f>SUM(G35:G38)</f>
        <v>76356</v>
      </c>
      <c r="H39" s="9"/>
      <c r="I39" s="8"/>
      <c r="J39" s="13"/>
      <c r="K39" s="13"/>
      <c r="L39" s="13"/>
      <c r="M39" s="14"/>
      <c r="N39" s="14"/>
      <c r="O39" s="15"/>
      <c r="P39" s="5"/>
    </row>
    <row r="40" spans="1:16">
      <c r="A40" s="226"/>
      <c r="B40" s="4"/>
      <c r="C40" s="6"/>
      <c r="D40" s="4"/>
      <c r="E40" s="4"/>
      <c r="F40" s="4"/>
      <c r="G40" s="227"/>
      <c r="H40" s="9"/>
      <c r="I40" s="8"/>
      <c r="J40" s="13"/>
      <c r="K40" s="13"/>
      <c r="L40" s="13"/>
      <c r="M40" s="14"/>
      <c r="N40" s="14"/>
      <c r="O40" s="19"/>
      <c r="P40" s="5"/>
    </row>
    <row r="41" spans="1:16">
      <c r="A41" s="226"/>
      <c r="B41" s="4"/>
      <c r="C41" s="6"/>
      <c r="D41" s="4"/>
      <c r="E41" s="4"/>
      <c r="F41" s="4"/>
      <c r="G41" s="227"/>
      <c r="H41" s="9"/>
      <c r="I41" s="8"/>
      <c r="J41" s="13"/>
      <c r="K41" s="13"/>
      <c r="L41" s="13"/>
      <c r="M41" s="17"/>
      <c r="N41" s="17"/>
      <c r="O41" s="37"/>
      <c r="P41" s="5"/>
    </row>
    <row r="42" spans="1:16" ht="14.25">
      <c r="A42" s="226"/>
      <c r="B42" s="4"/>
      <c r="C42" s="6"/>
      <c r="D42" s="1357" t="s">
        <v>35</v>
      </c>
      <c r="E42" s="1358"/>
      <c r="F42" s="1359"/>
      <c r="G42" s="239">
        <f>+G39+G30+G16</f>
        <v>2650992</v>
      </c>
      <c r="H42" s="9"/>
      <c r="I42" s="48"/>
      <c r="J42" s="20"/>
      <c r="K42" s="8"/>
      <c r="L42" s="8"/>
      <c r="M42" s="8"/>
      <c r="N42" s="8"/>
      <c r="O42" s="8"/>
      <c r="P42" s="5"/>
    </row>
    <row r="43" spans="1:16" ht="14.25">
      <c r="A43" s="240"/>
      <c r="B43" s="57"/>
      <c r="C43" s="58"/>
      <c r="D43" s="99"/>
      <c r="E43" s="99"/>
      <c r="F43" s="99"/>
      <c r="G43" s="251"/>
      <c r="H43" s="9"/>
      <c r="I43" s="48"/>
      <c r="J43" s="20"/>
      <c r="K43" s="8"/>
      <c r="L43" s="8"/>
      <c r="M43" s="8"/>
      <c r="N43" s="8"/>
      <c r="O43" s="8"/>
      <c r="P43" s="5"/>
    </row>
    <row r="44" spans="1:16" ht="14.25">
      <c r="A44" s="374"/>
      <c r="B44" s="375"/>
      <c r="C44" s="375"/>
      <c r="D44" s="99"/>
      <c r="E44" s="99"/>
      <c r="F44" s="99"/>
      <c r="G44" s="251"/>
      <c r="H44" s="9"/>
      <c r="I44" s="48"/>
      <c r="J44" s="20"/>
      <c r="K44" s="8"/>
      <c r="L44" s="8"/>
      <c r="M44" s="8"/>
      <c r="N44" s="8"/>
      <c r="O44" s="8"/>
      <c r="P44" s="5"/>
    </row>
    <row r="45" spans="1:16" ht="14.25">
      <c r="A45" s="373"/>
      <c r="B45" s="376"/>
      <c r="C45" s="376"/>
      <c r="D45" s="99"/>
      <c r="E45" s="99"/>
      <c r="F45" s="99"/>
      <c r="G45" s="251"/>
      <c r="H45" s="9"/>
      <c r="I45" s="48"/>
      <c r="J45" s="20"/>
      <c r="K45" s="8"/>
      <c r="L45" s="8"/>
      <c r="M45" s="8"/>
      <c r="N45" s="8"/>
      <c r="O45" s="8"/>
      <c r="P45" s="5"/>
    </row>
    <row r="46" spans="1:16" ht="14.25">
      <c r="A46" s="373"/>
      <c r="B46" s="376"/>
      <c r="C46" s="376"/>
      <c r="D46" s="44"/>
      <c r="E46" s="45"/>
      <c r="F46" s="45"/>
      <c r="G46" s="251"/>
      <c r="H46" s="9"/>
      <c r="I46" s="8"/>
      <c r="J46" s="13"/>
      <c r="K46" s="8"/>
      <c r="L46" s="8"/>
      <c r="M46" s="8"/>
      <c r="N46" s="8"/>
      <c r="O46" s="8"/>
      <c r="P46" s="5"/>
    </row>
    <row r="47" spans="1:16" ht="15" thickBot="1">
      <c r="A47" s="242"/>
      <c r="B47" s="243"/>
      <c r="C47" s="244"/>
      <c r="D47" s="245"/>
      <c r="E47" s="246"/>
      <c r="F47" s="246"/>
      <c r="G47" s="247"/>
      <c r="H47" s="9"/>
      <c r="I47" s="8"/>
      <c r="J47" s="13"/>
      <c r="K47" s="8"/>
      <c r="L47" s="8"/>
      <c r="M47" s="8"/>
      <c r="N47" s="8"/>
      <c r="O47" s="8"/>
      <c r="P47" s="5"/>
    </row>
    <row r="48" spans="1:16">
      <c r="I48" s="5"/>
      <c r="J48" s="5"/>
      <c r="K48" s="5"/>
      <c r="L48" s="5"/>
      <c r="M48" s="5"/>
      <c r="N48" s="5"/>
      <c r="O48" s="5"/>
      <c r="P48" s="5"/>
    </row>
    <row r="49" spans="9:16">
      <c r="I49" s="5"/>
      <c r="J49" s="5"/>
      <c r="K49" s="5"/>
      <c r="L49" s="5"/>
      <c r="M49" s="5"/>
      <c r="N49" s="5"/>
      <c r="O49" s="5"/>
      <c r="P49" s="5"/>
    </row>
  </sheetData>
  <mergeCells count="26">
    <mergeCell ref="A10:C10"/>
    <mergeCell ref="A1:G1"/>
    <mergeCell ref="A2:G2"/>
    <mergeCell ref="A3:G4"/>
    <mergeCell ref="B6:E6"/>
    <mergeCell ref="A8:G8"/>
    <mergeCell ref="A24:C24"/>
    <mergeCell ref="A11:C11"/>
    <mergeCell ref="A12:C12"/>
    <mergeCell ref="A13:C13"/>
    <mergeCell ref="A14:C14"/>
    <mergeCell ref="A15:C15"/>
    <mergeCell ref="A16:C16"/>
    <mergeCell ref="A18:G18"/>
    <mergeCell ref="A20:C20"/>
    <mergeCell ref="A21:C21"/>
    <mergeCell ref="A22:C22"/>
    <mergeCell ref="A23:C23"/>
    <mergeCell ref="A32:G32"/>
    <mergeCell ref="D42:F42"/>
    <mergeCell ref="A25:C25"/>
    <mergeCell ref="A26:C26"/>
    <mergeCell ref="A27:C27"/>
    <mergeCell ref="A28:C28"/>
    <mergeCell ref="A29:C29"/>
    <mergeCell ref="A30:C30"/>
  </mergeCells>
  <printOptions horizontalCentered="1" verticalCentered="1"/>
  <pageMargins left="0.74803149606299213" right="0.74803149606299213" top="0" bottom="0.98425196850393704" header="0" footer="0"/>
  <pageSetup scale="90" orientation="portrait" r:id="rId1"/>
  <headerFooter alignWithMargins="0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93"/>
  <dimension ref="A1:U49"/>
  <sheetViews>
    <sheetView view="pageBreakPreview" zoomScaleNormal="100" zoomScaleSheetLayoutView="100" workbookViewId="0">
      <selection activeCell="I7" sqref="I7"/>
    </sheetView>
  </sheetViews>
  <sheetFormatPr baseColWidth="10" defaultColWidth="10.7109375" defaultRowHeight="12.75"/>
  <cols>
    <col min="1" max="1" width="15.85546875" style="3" customWidth="1"/>
    <col min="2" max="2" width="14.85546875" style="3" customWidth="1"/>
    <col min="3" max="3" width="13.28515625" style="3" customWidth="1"/>
    <col min="4" max="4" width="11.42578125" style="3"/>
    <col min="5" max="5" width="13.42578125" style="3" customWidth="1"/>
    <col min="6" max="6" width="12.7109375" style="3" customWidth="1"/>
    <col min="7" max="7" width="14" style="3" customWidth="1"/>
    <col min="8" max="8" width="7.42578125" style="3" customWidth="1"/>
    <col min="9" max="256" width="11.42578125" style="3"/>
    <col min="257" max="257" width="15.85546875" style="3" customWidth="1"/>
    <col min="258" max="258" width="14.85546875" style="3" customWidth="1"/>
    <col min="259" max="259" width="13.28515625" style="3" customWidth="1"/>
    <col min="260" max="260" width="11.42578125" style="3"/>
    <col min="261" max="261" width="13.42578125" style="3" customWidth="1"/>
    <col min="262" max="262" width="12.7109375" style="3" customWidth="1"/>
    <col min="263" max="263" width="14" style="3" customWidth="1"/>
    <col min="264" max="264" width="7.42578125" style="3" customWidth="1"/>
    <col min="265" max="512" width="11.42578125" style="3"/>
    <col min="513" max="513" width="15.85546875" style="3" customWidth="1"/>
    <col min="514" max="514" width="14.85546875" style="3" customWidth="1"/>
    <col min="515" max="515" width="13.28515625" style="3" customWidth="1"/>
    <col min="516" max="516" width="11.42578125" style="3"/>
    <col min="517" max="517" width="13.42578125" style="3" customWidth="1"/>
    <col min="518" max="518" width="12.7109375" style="3" customWidth="1"/>
    <col min="519" max="519" width="14" style="3" customWidth="1"/>
    <col min="520" max="520" width="7.42578125" style="3" customWidth="1"/>
    <col min="521" max="768" width="11.42578125" style="3"/>
    <col min="769" max="769" width="15.85546875" style="3" customWidth="1"/>
    <col min="770" max="770" width="14.85546875" style="3" customWidth="1"/>
    <col min="771" max="771" width="13.28515625" style="3" customWidth="1"/>
    <col min="772" max="772" width="11.42578125" style="3"/>
    <col min="773" max="773" width="13.42578125" style="3" customWidth="1"/>
    <col min="774" max="774" width="12.7109375" style="3" customWidth="1"/>
    <col min="775" max="775" width="14" style="3" customWidth="1"/>
    <col min="776" max="776" width="7.42578125" style="3" customWidth="1"/>
    <col min="777" max="1024" width="11.42578125" style="3"/>
    <col min="1025" max="1025" width="15.85546875" style="3" customWidth="1"/>
    <col min="1026" max="1026" width="14.85546875" style="3" customWidth="1"/>
    <col min="1027" max="1027" width="13.28515625" style="3" customWidth="1"/>
    <col min="1028" max="1028" width="11.42578125" style="3"/>
    <col min="1029" max="1029" width="13.42578125" style="3" customWidth="1"/>
    <col min="1030" max="1030" width="12.7109375" style="3" customWidth="1"/>
    <col min="1031" max="1031" width="14" style="3" customWidth="1"/>
    <col min="1032" max="1032" width="7.42578125" style="3" customWidth="1"/>
    <col min="1033" max="1280" width="11.42578125" style="3"/>
    <col min="1281" max="1281" width="15.85546875" style="3" customWidth="1"/>
    <col min="1282" max="1282" width="14.85546875" style="3" customWidth="1"/>
    <col min="1283" max="1283" width="13.28515625" style="3" customWidth="1"/>
    <col min="1284" max="1284" width="11.42578125" style="3"/>
    <col min="1285" max="1285" width="13.42578125" style="3" customWidth="1"/>
    <col min="1286" max="1286" width="12.7109375" style="3" customWidth="1"/>
    <col min="1287" max="1287" width="14" style="3" customWidth="1"/>
    <col min="1288" max="1288" width="7.42578125" style="3" customWidth="1"/>
    <col min="1289" max="1536" width="11.42578125" style="3"/>
    <col min="1537" max="1537" width="15.85546875" style="3" customWidth="1"/>
    <col min="1538" max="1538" width="14.85546875" style="3" customWidth="1"/>
    <col min="1539" max="1539" width="13.28515625" style="3" customWidth="1"/>
    <col min="1540" max="1540" width="11.42578125" style="3"/>
    <col min="1541" max="1541" width="13.42578125" style="3" customWidth="1"/>
    <col min="1542" max="1542" width="12.7109375" style="3" customWidth="1"/>
    <col min="1543" max="1543" width="14" style="3" customWidth="1"/>
    <col min="1544" max="1544" width="7.42578125" style="3" customWidth="1"/>
    <col min="1545" max="1792" width="11.42578125" style="3"/>
    <col min="1793" max="1793" width="15.85546875" style="3" customWidth="1"/>
    <col min="1794" max="1794" width="14.85546875" style="3" customWidth="1"/>
    <col min="1795" max="1795" width="13.28515625" style="3" customWidth="1"/>
    <col min="1796" max="1796" width="11.42578125" style="3"/>
    <col min="1797" max="1797" width="13.42578125" style="3" customWidth="1"/>
    <col min="1798" max="1798" width="12.7109375" style="3" customWidth="1"/>
    <col min="1799" max="1799" width="14" style="3" customWidth="1"/>
    <col min="1800" max="1800" width="7.42578125" style="3" customWidth="1"/>
    <col min="1801" max="2048" width="11.42578125" style="3"/>
    <col min="2049" max="2049" width="15.85546875" style="3" customWidth="1"/>
    <col min="2050" max="2050" width="14.85546875" style="3" customWidth="1"/>
    <col min="2051" max="2051" width="13.28515625" style="3" customWidth="1"/>
    <col min="2052" max="2052" width="11.42578125" style="3"/>
    <col min="2053" max="2053" width="13.42578125" style="3" customWidth="1"/>
    <col min="2054" max="2054" width="12.7109375" style="3" customWidth="1"/>
    <col min="2055" max="2055" width="14" style="3" customWidth="1"/>
    <col min="2056" max="2056" width="7.42578125" style="3" customWidth="1"/>
    <col min="2057" max="2304" width="11.42578125" style="3"/>
    <col min="2305" max="2305" width="15.85546875" style="3" customWidth="1"/>
    <col min="2306" max="2306" width="14.85546875" style="3" customWidth="1"/>
    <col min="2307" max="2307" width="13.28515625" style="3" customWidth="1"/>
    <col min="2308" max="2308" width="11.42578125" style="3"/>
    <col min="2309" max="2309" width="13.42578125" style="3" customWidth="1"/>
    <col min="2310" max="2310" width="12.7109375" style="3" customWidth="1"/>
    <col min="2311" max="2311" width="14" style="3" customWidth="1"/>
    <col min="2312" max="2312" width="7.42578125" style="3" customWidth="1"/>
    <col min="2313" max="2560" width="11.42578125" style="3"/>
    <col min="2561" max="2561" width="15.85546875" style="3" customWidth="1"/>
    <col min="2562" max="2562" width="14.85546875" style="3" customWidth="1"/>
    <col min="2563" max="2563" width="13.28515625" style="3" customWidth="1"/>
    <col min="2564" max="2564" width="11.42578125" style="3"/>
    <col min="2565" max="2565" width="13.42578125" style="3" customWidth="1"/>
    <col min="2566" max="2566" width="12.7109375" style="3" customWidth="1"/>
    <col min="2567" max="2567" width="14" style="3" customWidth="1"/>
    <col min="2568" max="2568" width="7.42578125" style="3" customWidth="1"/>
    <col min="2569" max="2816" width="11.42578125" style="3"/>
    <col min="2817" max="2817" width="15.85546875" style="3" customWidth="1"/>
    <col min="2818" max="2818" width="14.85546875" style="3" customWidth="1"/>
    <col min="2819" max="2819" width="13.28515625" style="3" customWidth="1"/>
    <col min="2820" max="2820" width="11.42578125" style="3"/>
    <col min="2821" max="2821" width="13.42578125" style="3" customWidth="1"/>
    <col min="2822" max="2822" width="12.7109375" style="3" customWidth="1"/>
    <col min="2823" max="2823" width="14" style="3" customWidth="1"/>
    <col min="2824" max="2824" width="7.42578125" style="3" customWidth="1"/>
    <col min="2825" max="3072" width="11.42578125" style="3"/>
    <col min="3073" max="3073" width="15.85546875" style="3" customWidth="1"/>
    <col min="3074" max="3074" width="14.85546875" style="3" customWidth="1"/>
    <col min="3075" max="3075" width="13.28515625" style="3" customWidth="1"/>
    <col min="3076" max="3076" width="11.42578125" style="3"/>
    <col min="3077" max="3077" width="13.42578125" style="3" customWidth="1"/>
    <col min="3078" max="3078" width="12.7109375" style="3" customWidth="1"/>
    <col min="3079" max="3079" width="14" style="3" customWidth="1"/>
    <col min="3080" max="3080" width="7.42578125" style="3" customWidth="1"/>
    <col min="3081" max="3328" width="11.42578125" style="3"/>
    <col min="3329" max="3329" width="15.85546875" style="3" customWidth="1"/>
    <col min="3330" max="3330" width="14.85546875" style="3" customWidth="1"/>
    <col min="3331" max="3331" width="13.28515625" style="3" customWidth="1"/>
    <col min="3332" max="3332" width="11.42578125" style="3"/>
    <col min="3333" max="3333" width="13.42578125" style="3" customWidth="1"/>
    <col min="3334" max="3334" width="12.7109375" style="3" customWidth="1"/>
    <col min="3335" max="3335" width="14" style="3" customWidth="1"/>
    <col min="3336" max="3336" width="7.42578125" style="3" customWidth="1"/>
    <col min="3337" max="3584" width="11.42578125" style="3"/>
    <col min="3585" max="3585" width="15.85546875" style="3" customWidth="1"/>
    <col min="3586" max="3586" width="14.85546875" style="3" customWidth="1"/>
    <col min="3587" max="3587" width="13.28515625" style="3" customWidth="1"/>
    <col min="3588" max="3588" width="11.42578125" style="3"/>
    <col min="3589" max="3589" width="13.42578125" style="3" customWidth="1"/>
    <col min="3590" max="3590" width="12.7109375" style="3" customWidth="1"/>
    <col min="3591" max="3591" width="14" style="3" customWidth="1"/>
    <col min="3592" max="3592" width="7.42578125" style="3" customWidth="1"/>
    <col min="3593" max="3840" width="11.42578125" style="3"/>
    <col min="3841" max="3841" width="15.85546875" style="3" customWidth="1"/>
    <col min="3842" max="3842" width="14.85546875" style="3" customWidth="1"/>
    <col min="3843" max="3843" width="13.28515625" style="3" customWidth="1"/>
    <col min="3844" max="3844" width="11.42578125" style="3"/>
    <col min="3845" max="3845" width="13.42578125" style="3" customWidth="1"/>
    <col min="3846" max="3846" width="12.7109375" style="3" customWidth="1"/>
    <col min="3847" max="3847" width="14" style="3" customWidth="1"/>
    <col min="3848" max="3848" width="7.42578125" style="3" customWidth="1"/>
    <col min="3849" max="4096" width="11.42578125" style="3"/>
    <col min="4097" max="4097" width="15.85546875" style="3" customWidth="1"/>
    <col min="4098" max="4098" width="14.85546875" style="3" customWidth="1"/>
    <col min="4099" max="4099" width="13.28515625" style="3" customWidth="1"/>
    <col min="4100" max="4100" width="11.42578125" style="3"/>
    <col min="4101" max="4101" width="13.42578125" style="3" customWidth="1"/>
    <col min="4102" max="4102" width="12.7109375" style="3" customWidth="1"/>
    <col min="4103" max="4103" width="14" style="3" customWidth="1"/>
    <col min="4104" max="4104" width="7.42578125" style="3" customWidth="1"/>
    <col min="4105" max="4352" width="11.42578125" style="3"/>
    <col min="4353" max="4353" width="15.85546875" style="3" customWidth="1"/>
    <col min="4354" max="4354" width="14.85546875" style="3" customWidth="1"/>
    <col min="4355" max="4355" width="13.28515625" style="3" customWidth="1"/>
    <col min="4356" max="4356" width="11.42578125" style="3"/>
    <col min="4357" max="4357" width="13.42578125" style="3" customWidth="1"/>
    <col min="4358" max="4358" width="12.7109375" style="3" customWidth="1"/>
    <col min="4359" max="4359" width="14" style="3" customWidth="1"/>
    <col min="4360" max="4360" width="7.42578125" style="3" customWidth="1"/>
    <col min="4361" max="4608" width="11.42578125" style="3"/>
    <col min="4609" max="4609" width="15.85546875" style="3" customWidth="1"/>
    <col min="4610" max="4610" width="14.85546875" style="3" customWidth="1"/>
    <col min="4611" max="4611" width="13.28515625" style="3" customWidth="1"/>
    <col min="4612" max="4612" width="11.42578125" style="3"/>
    <col min="4613" max="4613" width="13.42578125" style="3" customWidth="1"/>
    <col min="4614" max="4614" width="12.7109375" style="3" customWidth="1"/>
    <col min="4615" max="4615" width="14" style="3" customWidth="1"/>
    <col min="4616" max="4616" width="7.42578125" style="3" customWidth="1"/>
    <col min="4617" max="4864" width="11.42578125" style="3"/>
    <col min="4865" max="4865" width="15.85546875" style="3" customWidth="1"/>
    <col min="4866" max="4866" width="14.85546875" style="3" customWidth="1"/>
    <col min="4867" max="4867" width="13.28515625" style="3" customWidth="1"/>
    <col min="4868" max="4868" width="11.42578125" style="3"/>
    <col min="4869" max="4869" width="13.42578125" style="3" customWidth="1"/>
    <col min="4870" max="4870" width="12.7109375" style="3" customWidth="1"/>
    <col min="4871" max="4871" width="14" style="3" customWidth="1"/>
    <col min="4872" max="4872" width="7.42578125" style="3" customWidth="1"/>
    <col min="4873" max="5120" width="11.42578125" style="3"/>
    <col min="5121" max="5121" width="15.85546875" style="3" customWidth="1"/>
    <col min="5122" max="5122" width="14.85546875" style="3" customWidth="1"/>
    <col min="5123" max="5123" width="13.28515625" style="3" customWidth="1"/>
    <col min="5124" max="5124" width="11.42578125" style="3"/>
    <col min="5125" max="5125" width="13.42578125" style="3" customWidth="1"/>
    <col min="5126" max="5126" width="12.7109375" style="3" customWidth="1"/>
    <col min="5127" max="5127" width="14" style="3" customWidth="1"/>
    <col min="5128" max="5128" width="7.42578125" style="3" customWidth="1"/>
    <col min="5129" max="5376" width="11.42578125" style="3"/>
    <col min="5377" max="5377" width="15.85546875" style="3" customWidth="1"/>
    <col min="5378" max="5378" width="14.85546875" style="3" customWidth="1"/>
    <col min="5379" max="5379" width="13.28515625" style="3" customWidth="1"/>
    <col min="5380" max="5380" width="11.42578125" style="3"/>
    <col min="5381" max="5381" width="13.42578125" style="3" customWidth="1"/>
    <col min="5382" max="5382" width="12.7109375" style="3" customWidth="1"/>
    <col min="5383" max="5383" width="14" style="3" customWidth="1"/>
    <col min="5384" max="5384" width="7.42578125" style="3" customWidth="1"/>
    <col min="5385" max="5632" width="11.42578125" style="3"/>
    <col min="5633" max="5633" width="15.85546875" style="3" customWidth="1"/>
    <col min="5634" max="5634" width="14.85546875" style="3" customWidth="1"/>
    <col min="5635" max="5635" width="13.28515625" style="3" customWidth="1"/>
    <col min="5636" max="5636" width="11.42578125" style="3"/>
    <col min="5637" max="5637" width="13.42578125" style="3" customWidth="1"/>
    <col min="5638" max="5638" width="12.7109375" style="3" customWidth="1"/>
    <col min="5639" max="5639" width="14" style="3" customWidth="1"/>
    <col min="5640" max="5640" width="7.42578125" style="3" customWidth="1"/>
    <col min="5641" max="5888" width="11.42578125" style="3"/>
    <col min="5889" max="5889" width="15.85546875" style="3" customWidth="1"/>
    <col min="5890" max="5890" width="14.85546875" style="3" customWidth="1"/>
    <col min="5891" max="5891" width="13.28515625" style="3" customWidth="1"/>
    <col min="5892" max="5892" width="11.42578125" style="3"/>
    <col min="5893" max="5893" width="13.42578125" style="3" customWidth="1"/>
    <col min="5894" max="5894" width="12.7109375" style="3" customWidth="1"/>
    <col min="5895" max="5895" width="14" style="3" customWidth="1"/>
    <col min="5896" max="5896" width="7.42578125" style="3" customWidth="1"/>
    <col min="5897" max="6144" width="11.42578125" style="3"/>
    <col min="6145" max="6145" width="15.85546875" style="3" customWidth="1"/>
    <col min="6146" max="6146" width="14.85546875" style="3" customWidth="1"/>
    <col min="6147" max="6147" width="13.28515625" style="3" customWidth="1"/>
    <col min="6148" max="6148" width="11.42578125" style="3"/>
    <col min="6149" max="6149" width="13.42578125" style="3" customWidth="1"/>
    <col min="6150" max="6150" width="12.7109375" style="3" customWidth="1"/>
    <col min="6151" max="6151" width="14" style="3" customWidth="1"/>
    <col min="6152" max="6152" width="7.42578125" style="3" customWidth="1"/>
    <col min="6153" max="6400" width="11.42578125" style="3"/>
    <col min="6401" max="6401" width="15.85546875" style="3" customWidth="1"/>
    <col min="6402" max="6402" width="14.85546875" style="3" customWidth="1"/>
    <col min="6403" max="6403" width="13.28515625" style="3" customWidth="1"/>
    <col min="6404" max="6404" width="11.42578125" style="3"/>
    <col min="6405" max="6405" width="13.42578125" style="3" customWidth="1"/>
    <col min="6406" max="6406" width="12.7109375" style="3" customWidth="1"/>
    <col min="6407" max="6407" width="14" style="3" customWidth="1"/>
    <col min="6408" max="6408" width="7.42578125" style="3" customWidth="1"/>
    <col min="6409" max="6656" width="11.42578125" style="3"/>
    <col min="6657" max="6657" width="15.85546875" style="3" customWidth="1"/>
    <col min="6658" max="6658" width="14.85546875" style="3" customWidth="1"/>
    <col min="6659" max="6659" width="13.28515625" style="3" customWidth="1"/>
    <col min="6660" max="6660" width="11.42578125" style="3"/>
    <col min="6661" max="6661" width="13.42578125" style="3" customWidth="1"/>
    <col min="6662" max="6662" width="12.7109375" style="3" customWidth="1"/>
    <col min="6663" max="6663" width="14" style="3" customWidth="1"/>
    <col min="6664" max="6664" width="7.42578125" style="3" customWidth="1"/>
    <col min="6665" max="6912" width="11.42578125" style="3"/>
    <col min="6913" max="6913" width="15.85546875" style="3" customWidth="1"/>
    <col min="6914" max="6914" width="14.85546875" style="3" customWidth="1"/>
    <col min="6915" max="6915" width="13.28515625" style="3" customWidth="1"/>
    <col min="6916" max="6916" width="11.42578125" style="3"/>
    <col min="6917" max="6917" width="13.42578125" style="3" customWidth="1"/>
    <col min="6918" max="6918" width="12.7109375" style="3" customWidth="1"/>
    <col min="6919" max="6919" width="14" style="3" customWidth="1"/>
    <col min="6920" max="6920" width="7.42578125" style="3" customWidth="1"/>
    <col min="6921" max="7168" width="11.42578125" style="3"/>
    <col min="7169" max="7169" width="15.85546875" style="3" customWidth="1"/>
    <col min="7170" max="7170" width="14.85546875" style="3" customWidth="1"/>
    <col min="7171" max="7171" width="13.28515625" style="3" customWidth="1"/>
    <col min="7172" max="7172" width="11.42578125" style="3"/>
    <col min="7173" max="7173" width="13.42578125" style="3" customWidth="1"/>
    <col min="7174" max="7174" width="12.7109375" style="3" customWidth="1"/>
    <col min="7175" max="7175" width="14" style="3" customWidth="1"/>
    <col min="7176" max="7176" width="7.42578125" style="3" customWidth="1"/>
    <col min="7177" max="7424" width="11.42578125" style="3"/>
    <col min="7425" max="7425" width="15.85546875" style="3" customWidth="1"/>
    <col min="7426" max="7426" width="14.85546875" style="3" customWidth="1"/>
    <col min="7427" max="7427" width="13.28515625" style="3" customWidth="1"/>
    <col min="7428" max="7428" width="11.42578125" style="3"/>
    <col min="7429" max="7429" width="13.42578125" style="3" customWidth="1"/>
    <col min="7430" max="7430" width="12.7109375" style="3" customWidth="1"/>
    <col min="7431" max="7431" width="14" style="3" customWidth="1"/>
    <col min="7432" max="7432" width="7.42578125" style="3" customWidth="1"/>
    <col min="7433" max="7680" width="11.42578125" style="3"/>
    <col min="7681" max="7681" width="15.85546875" style="3" customWidth="1"/>
    <col min="7682" max="7682" width="14.85546875" style="3" customWidth="1"/>
    <col min="7683" max="7683" width="13.28515625" style="3" customWidth="1"/>
    <col min="7684" max="7684" width="11.42578125" style="3"/>
    <col min="7685" max="7685" width="13.42578125" style="3" customWidth="1"/>
    <col min="7686" max="7686" width="12.7109375" style="3" customWidth="1"/>
    <col min="7687" max="7687" width="14" style="3" customWidth="1"/>
    <col min="7688" max="7688" width="7.42578125" style="3" customWidth="1"/>
    <col min="7689" max="7936" width="11.42578125" style="3"/>
    <col min="7937" max="7937" width="15.85546875" style="3" customWidth="1"/>
    <col min="7938" max="7938" width="14.85546875" style="3" customWidth="1"/>
    <col min="7939" max="7939" width="13.28515625" style="3" customWidth="1"/>
    <col min="7940" max="7940" width="11.42578125" style="3"/>
    <col min="7941" max="7941" width="13.42578125" style="3" customWidth="1"/>
    <col min="7942" max="7942" width="12.7109375" style="3" customWidth="1"/>
    <col min="7943" max="7943" width="14" style="3" customWidth="1"/>
    <col min="7944" max="7944" width="7.42578125" style="3" customWidth="1"/>
    <col min="7945" max="8192" width="11.42578125" style="3"/>
    <col min="8193" max="8193" width="15.85546875" style="3" customWidth="1"/>
    <col min="8194" max="8194" width="14.85546875" style="3" customWidth="1"/>
    <col min="8195" max="8195" width="13.28515625" style="3" customWidth="1"/>
    <col min="8196" max="8196" width="11.42578125" style="3"/>
    <col min="8197" max="8197" width="13.42578125" style="3" customWidth="1"/>
    <col min="8198" max="8198" width="12.7109375" style="3" customWidth="1"/>
    <col min="8199" max="8199" width="14" style="3" customWidth="1"/>
    <col min="8200" max="8200" width="7.42578125" style="3" customWidth="1"/>
    <col min="8201" max="8448" width="11.42578125" style="3"/>
    <col min="8449" max="8449" width="15.85546875" style="3" customWidth="1"/>
    <col min="8450" max="8450" width="14.85546875" style="3" customWidth="1"/>
    <col min="8451" max="8451" width="13.28515625" style="3" customWidth="1"/>
    <col min="8452" max="8452" width="11.42578125" style="3"/>
    <col min="8453" max="8453" width="13.42578125" style="3" customWidth="1"/>
    <col min="8454" max="8454" width="12.7109375" style="3" customWidth="1"/>
    <col min="8455" max="8455" width="14" style="3" customWidth="1"/>
    <col min="8456" max="8456" width="7.42578125" style="3" customWidth="1"/>
    <col min="8457" max="8704" width="11.42578125" style="3"/>
    <col min="8705" max="8705" width="15.85546875" style="3" customWidth="1"/>
    <col min="8706" max="8706" width="14.85546875" style="3" customWidth="1"/>
    <col min="8707" max="8707" width="13.28515625" style="3" customWidth="1"/>
    <col min="8708" max="8708" width="11.42578125" style="3"/>
    <col min="8709" max="8709" width="13.42578125" style="3" customWidth="1"/>
    <col min="8710" max="8710" width="12.7109375" style="3" customWidth="1"/>
    <col min="8711" max="8711" width="14" style="3" customWidth="1"/>
    <col min="8712" max="8712" width="7.42578125" style="3" customWidth="1"/>
    <col min="8713" max="8960" width="11.42578125" style="3"/>
    <col min="8961" max="8961" width="15.85546875" style="3" customWidth="1"/>
    <col min="8962" max="8962" width="14.85546875" style="3" customWidth="1"/>
    <col min="8963" max="8963" width="13.28515625" style="3" customWidth="1"/>
    <col min="8964" max="8964" width="11.42578125" style="3"/>
    <col min="8965" max="8965" width="13.42578125" style="3" customWidth="1"/>
    <col min="8966" max="8966" width="12.7109375" style="3" customWidth="1"/>
    <col min="8967" max="8967" width="14" style="3" customWidth="1"/>
    <col min="8968" max="8968" width="7.42578125" style="3" customWidth="1"/>
    <col min="8969" max="9216" width="11.42578125" style="3"/>
    <col min="9217" max="9217" width="15.85546875" style="3" customWidth="1"/>
    <col min="9218" max="9218" width="14.85546875" style="3" customWidth="1"/>
    <col min="9219" max="9219" width="13.28515625" style="3" customWidth="1"/>
    <col min="9220" max="9220" width="11.42578125" style="3"/>
    <col min="9221" max="9221" width="13.42578125" style="3" customWidth="1"/>
    <col min="9222" max="9222" width="12.7109375" style="3" customWidth="1"/>
    <col min="9223" max="9223" width="14" style="3" customWidth="1"/>
    <col min="9224" max="9224" width="7.42578125" style="3" customWidth="1"/>
    <col min="9225" max="9472" width="11.42578125" style="3"/>
    <col min="9473" max="9473" width="15.85546875" style="3" customWidth="1"/>
    <col min="9474" max="9474" width="14.85546875" style="3" customWidth="1"/>
    <col min="9475" max="9475" width="13.28515625" style="3" customWidth="1"/>
    <col min="9476" max="9476" width="11.42578125" style="3"/>
    <col min="9477" max="9477" width="13.42578125" style="3" customWidth="1"/>
    <col min="9478" max="9478" width="12.7109375" style="3" customWidth="1"/>
    <col min="9479" max="9479" width="14" style="3" customWidth="1"/>
    <col min="9480" max="9480" width="7.42578125" style="3" customWidth="1"/>
    <col min="9481" max="9728" width="11.42578125" style="3"/>
    <col min="9729" max="9729" width="15.85546875" style="3" customWidth="1"/>
    <col min="9730" max="9730" width="14.85546875" style="3" customWidth="1"/>
    <col min="9731" max="9731" width="13.28515625" style="3" customWidth="1"/>
    <col min="9732" max="9732" width="11.42578125" style="3"/>
    <col min="9733" max="9733" width="13.42578125" style="3" customWidth="1"/>
    <col min="9734" max="9734" width="12.7109375" style="3" customWidth="1"/>
    <col min="9735" max="9735" width="14" style="3" customWidth="1"/>
    <col min="9736" max="9736" width="7.42578125" style="3" customWidth="1"/>
    <col min="9737" max="9984" width="11.42578125" style="3"/>
    <col min="9985" max="9985" width="15.85546875" style="3" customWidth="1"/>
    <col min="9986" max="9986" width="14.85546875" style="3" customWidth="1"/>
    <col min="9987" max="9987" width="13.28515625" style="3" customWidth="1"/>
    <col min="9988" max="9988" width="11.42578125" style="3"/>
    <col min="9989" max="9989" width="13.42578125" style="3" customWidth="1"/>
    <col min="9990" max="9990" width="12.7109375" style="3" customWidth="1"/>
    <col min="9991" max="9991" width="14" style="3" customWidth="1"/>
    <col min="9992" max="9992" width="7.42578125" style="3" customWidth="1"/>
    <col min="9993" max="10240" width="11.42578125" style="3"/>
    <col min="10241" max="10241" width="15.85546875" style="3" customWidth="1"/>
    <col min="10242" max="10242" width="14.85546875" style="3" customWidth="1"/>
    <col min="10243" max="10243" width="13.28515625" style="3" customWidth="1"/>
    <col min="10244" max="10244" width="11.42578125" style="3"/>
    <col min="10245" max="10245" width="13.42578125" style="3" customWidth="1"/>
    <col min="10246" max="10246" width="12.7109375" style="3" customWidth="1"/>
    <col min="10247" max="10247" width="14" style="3" customWidth="1"/>
    <col min="10248" max="10248" width="7.42578125" style="3" customWidth="1"/>
    <col min="10249" max="10496" width="11.42578125" style="3"/>
    <col min="10497" max="10497" width="15.85546875" style="3" customWidth="1"/>
    <col min="10498" max="10498" width="14.85546875" style="3" customWidth="1"/>
    <col min="10499" max="10499" width="13.28515625" style="3" customWidth="1"/>
    <col min="10500" max="10500" width="11.42578125" style="3"/>
    <col min="10501" max="10501" width="13.42578125" style="3" customWidth="1"/>
    <col min="10502" max="10502" width="12.7109375" style="3" customWidth="1"/>
    <col min="10503" max="10503" width="14" style="3" customWidth="1"/>
    <col min="10504" max="10504" width="7.42578125" style="3" customWidth="1"/>
    <col min="10505" max="10752" width="11.42578125" style="3"/>
    <col min="10753" max="10753" width="15.85546875" style="3" customWidth="1"/>
    <col min="10754" max="10754" width="14.85546875" style="3" customWidth="1"/>
    <col min="10755" max="10755" width="13.28515625" style="3" customWidth="1"/>
    <col min="10756" max="10756" width="11.42578125" style="3"/>
    <col min="10757" max="10757" width="13.42578125" style="3" customWidth="1"/>
    <col min="10758" max="10758" width="12.7109375" style="3" customWidth="1"/>
    <col min="10759" max="10759" width="14" style="3" customWidth="1"/>
    <col min="10760" max="10760" width="7.42578125" style="3" customWidth="1"/>
    <col min="10761" max="11008" width="11.42578125" style="3"/>
    <col min="11009" max="11009" width="15.85546875" style="3" customWidth="1"/>
    <col min="11010" max="11010" width="14.85546875" style="3" customWidth="1"/>
    <col min="11011" max="11011" width="13.28515625" style="3" customWidth="1"/>
    <col min="11012" max="11012" width="11.42578125" style="3"/>
    <col min="11013" max="11013" width="13.42578125" style="3" customWidth="1"/>
    <col min="11014" max="11014" width="12.7109375" style="3" customWidth="1"/>
    <col min="11015" max="11015" width="14" style="3" customWidth="1"/>
    <col min="11016" max="11016" width="7.42578125" style="3" customWidth="1"/>
    <col min="11017" max="11264" width="11.42578125" style="3"/>
    <col min="11265" max="11265" width="15.85546875" style="3" customWidth="1"/>
    <col min="11266" max="11266" width="14.85546875" style="3" customWidth="1"/>
    <col min="11267" max="11267" width="13.28515625" style="3" customWidth="1"/>
    <col min="11268" max="11268" width="11.42578125" style="3"/>
    <col min="11269" max="11269" width="13.42578125" style="3" customWidth="1"/>
    <col min="11270" max="11270" width="12.7109375" style="3" customWidth="1"/>
    <col min="11271" max="11271" width="14" style="3" customWidth="1"/>
    <col min="11272" max="11272" width="7.42578125" style="3" customWidth="1"/>
    <col min="11273" max="11520" width="11.42578125" style="3"/>
    <col min="11521" max="11521" width="15.85546875" style="3" customWidth="1"/>
    <col min="11522" max="11522" width="14.85546875" style="3" customWidth="1"/>
    <col min="11523" max="11523" width="13.28515625" style="3" customWidth="1"/>
    <col min="11524" max="11524" width="11.42578125" style="3"/>
    <col min="11525" max="11525" width="13.42578125" style="3" customWidth="1"/>
    <col min="11526" max="11526" width="12.7109375" style="3" customWidth="1"/>
    <col min="11527" max="11527" width="14" style="3" customWidth="1"/>
    <col min="11528" max="11528" width="7.42578125" style="3" customWidth="1"/>
    <col min="11529" max="11776" width="11.42578125" style="3"/>
    <col min="11777" max="11777" width="15.85546875" style="3" customWidth="1"/>
    <col min="11778" max="11778" width="14.85546875" style="3" customWidth="1"/>
    <col min="11779" max="11779" width="13.28515625" style="3" customWidth="1"/>
    <col min="11780" max="11780" width="11.42578125" style="3"/>
    <col min="11781" max="11781" width="13.42578125" style="3" customWidth="1"/>
    <col min="11782" max="11782" width="12.7109375" style="3" customWidth="1"/>
    <col min="11783" max="11783" width="14" style="3" customWidth="1"/>
    <col min="11784" max="11784" width="7.42578125" style="3" customWidth="1"/>
    <col min="11785" max="12032" width="11.42578125" style="3"/>
    <col min="12033" max="12033" width="15.85546875" style="3" customWidth="1"/>
    <col min="12034" max="12034" width="14.85546875" style="3" customWidth="1"/>
    <col min="12035" max="12035" width="13.28515625" style="3" customWidth="1"/>
    <col min="12036" max="12036" width="11.42578125" style="3"/>
    <col min="12037" max="12037" width="13.42578125" style="3" customWidth="1"/>
    <col min="12038" max="12038" width="12.7109375" style="3" customWidth="1"/>
    <col min="12039" max="12039" width="14" style="3" customWidth="1"/>
    <col min="12040" max="12040" width="7.42578125" style="3" customWidth="1"/>
    <col min="12041" max="12288" width="11.42578125" style="3"/>
    <col min="12289" max="12289" width="15.85546875" style="3" customWidth="1"/>
    <col min="12290" max="12290" width="14.85546875" style="3" customWidth="1"/>
    <col min="12291" max="12291" width="13.28515625" style="3" customWidth="1"/>
    <col min="12292" max="12292" width="11.42578125" style="3"/>
    <col min="12293" max="12293" width="13.42578125" style="3" customWidth="1"/>
    <col min="12294" max="12294" width="12.7109375" style="3" customWidth="1"/>
    <col min="12295" max="12295" width="14" style="3" customWidth="1"/>
    <col min="12296" max="12296" width="7.42578125" style="3" customWidth="1"/>
    <col min="12297" max="12544" width="11.42578125" style="3"/>
    <col min="12545" max="12545" width="15.85546875" style="3" customWidth="1"/>
    <col min="12546" max="12546" width="14.85546875" style="3" customWidth="1"/>
    <col min="12547" max="12547" width="13.28515625" style="3" customWidth="1"/>
    <col min="12548" max="12548" width="11.42578125" style="3"/>
    <col min="12549" max="12549" width="13.42578125" style="3" customWidth="1"/>
    <col min="12550" max="12550" width="12.7109375" style="3" customWidth="1"/>
    <col min="12551" max="12551" width="14" style="3" customWidth="1"/>
    <col min="12552" max="12552" width="7.42578125" style="3" customWidth="1"/>
    <col min="12553" max="12800" width="11.42578125" style="3"/>
    <col min="12801" max="12801" width="15.85546875" style="3" customWidth="1"/>
    <col min="12802" max="12802" width="14.85546875" style="3" customWidth="1"/>
    <col min="12803" max="12803" width="13.28515625" style="3" customWidth="1"/>
    <col min="12804" max="12804" width="11.42578125" style="3"/>
    <col min="12805" max="12805" width="13.42578125" style="3" customWidth="1"/>
    <col min="12806" max="12806" width="12.7109375" style="3" customWidth="1"/>
    <col min="12807" max="12807" width="14" style="3" customWidth="1"/>
    <col min="12808" max="12808" width="7.42578125" style="3" customWidth="1"/>
    <col min="12809" max="13056" width="11.42578125" style="3"/>
    <col min="13057" max="13057" width="15.85546875" style="3" customWidth="1"/>
    <col min="13058" max="13058" width="14.85546875" style="3" customWidth="1"/>
    <col min="13059" max="13059" width="13.28515625" style="3" customWidth="1"/>
    <col min="13060" max="13060" width="11.42578125" style="3"/>
    <col min="13061" max="13061" width="13.42578125" style="3" customWidth="1"/>
    <col min="13062" max="13062" width="12.7109375" style="3" customWidth="1"/>
    <col min="13063" max="13063" width="14" style="3" customWidth="1"/>
    <col min="13064" max="13064" width="7.42578125" style="3" customWidth="1"/>
    <col min="13065" max="13312" width="11.42578125" style="3"/>
    <col min="13313" max="13313" width="15.85546875" style="3" customWidth="1"/>
    <col min="13314" max="13314" width="14.85546875" style="3" customWidth="1"/>
    <col min="13315" max="13315" width="13.28515625" style="3" customWidth="1"/>
    <col min="13316" max="13316" width="11.42578125" style="3"/>
    <col min="13317" max="13317" width="13.42578125" style="3" customWidth="1"/>
    <col min="13318" max="13318" width="12.7109375" style="3" customWidth="1"/>
    <col min="13319" max="13319" width="14" style="3" customWidth="1"/>
    <col min="13320" max="13320" width="7.42578125" style="3" customWidth="1"/>
    <col min="13321" max="13568" width="11.42578125" style="3"/>
    <col min="13569" max="13569" width="15.85546875" style="3" customWidth="1"/>
    <col min="13570" max="13570" width="14.85546875" style="3" customWidth="1"/>
    <col min="13571" max="13571" width="13.28515625" style="3" customWidth="1"/>
    <col min="13572" max="13572" width="11.42578125" style="3"/>
    <col min="13573" max="13573" width="13.42578125" style="3" customWidth="1"/>
    <col min="13574" max="13574" width="12.7109375" style="3" customWidth="1"/>
    <col min="13575" max="13575" width="14" style="3" customWidth="1"/>
    <col min="13576" max="13576" width="7.42578125" style="3" customWidth="1"/>
    <col min="13577" max="13824" width="11.42578125" style="3"/>
    <col min="13825" max="13825" width="15.85546875" style="3" customWidth="1"/>
    <col min="13826" max="13826" width="14.85546875" style="3" customWidth="1"/>
    <col min="13827" max="13827" width="13.28515625" style="3" customWidth="1"/>
    <col min="13828" max="13828" width="11.42578125" style="3"/>
    <col min="13829" max="13829" width="13.42578125" style="3" customWidth="1"/>
    <col min="13830" max="13830" width="12.7109375" style="3" customWidth="1"/>
    <col min="13831" max="13831" width="14" style="3" customWidth="1"/>
    <col min="13832" max="13832" width="7.42578125" style="3" customWidth="1"/>
    <col min="13833" max="14080" width="11.42578125" style="3"/>
    <col min="14081" max="14081" width="15.85546875" style="3" customWidth="1"/>
    <col min="14082" max="14082" width="14.85546875" style="3" customWidth="1"/>
    <col min="14083" max="14083" width="13.28515625" style="3" customWidth="1"/>
    <col min="14084" max="14084" width="11.42578125" style="3"/>
    <col min="14085" max="14085" width="13.42578125" style="3" customWidth="1"/>
    <col min="14086" max="14086" width="12.7109375" style="3" customWidth="1"/>
    <col min="14087" max="14087" width="14" style="3" customWidth="1"/>
    <col min="14088" max="14088" width="7.42578125" style="3" customWidth="1"/>
    <col min="14089" max="14336" width="11.42578125" style="3"/>
    <col min="14337" max="14337" width="15.85546875" style="3" customWidth="1"/>
    <col min="14338" max="14338" width="14.85546875" style="3" customWidth="1"/>
    <col min="14339" max="14339" width="13.28515625" style="3" customWidth="1"/>
    <col min="14340" max="14340" width="11.42578125" style="3"/>
    <col min="14341" max="14341" width="13.42578125" style="3" customWidth="1"/>
    <col min="14342" max="14342" width="12.7109375" style="3" customWidth="1"/>
    <col min="14343" max="14343" width="14" style="3" customWidth="1"/>
    <col min="14344" max="14344" width="7.42578125" style="3" customWidth="1"/>
    <col min="14345" max="14592" width="11.42578125" style="3"/>
    <col min="14593" max="14593" width="15.85546875" style="3" customWidth="1"/>
    <col min="14594" max="14594" width="14.85546875" style="3" customWidth="1"/>
    <col min="14595" max="14595" width="13.28515625" style="3" customWidth="1"/>
    <col min="14596" max="14596" width="11.42578125" style="3"/>
    <col min="14597" max="14597" width="13.42578125" style="3" customWidth="1"/>
    <col min="14598" max="14598" width="12.7109375" style="3" customWidth="1"/>
    <col min="14599" max="14599" width="14" style="3" customWidth="1"/>
    <col min="14600" max="14600" width="7.42578125" style="3" customWidth="1"/>
    <col min="14601" max="14848" width="11.42578125" style="3"/>
    <col min="14849" max="14849" width="15.85546875" style="3" customWidth="1"/>
    <col min="14850" max="14850" width="14.85546875" style="3" customWidth="1"/>
    <col min="14851" max="14851" width="13.28515625" style="3" customWidth="1"/>
    <col min="14852" max="14852" width="11.42578125" style="3"/>
    <col min="14853" max="14853" width="13.42578125" style="3" customWidth="1"/>
    <col min="14854" max="14854" width="12.7109375" style="3" customWidth="1"/>
    <col min="14855" max="14855" width="14" style="3" customWidth="1"/>
    <col min="14856" max="14856" width="7.42578125" style="3" customWidth="1"/>
    <col min="14857" max="15104" width="11.42578125" style="3"/>
    <col min="15105" max="15105" width="15.85546875" style="3" customWidth="1"/>
    <col min="15106" max="15106" width="14.85546875" style="3" customWidth="1"/>
    <col min="15107" max="15107" width="13.28515625" style="3" customWidth="1"/>
    <col min="15108" max="15108" width="11.42578125" style="3"/>
    <col min="15109" max="15109" width="13.42578125" style="3" customWidth="1"/>
    <col min="15110" max="15110" width="12.7109375" style="3" customWidth="1"/>
    <col min="15111" max="15111" width="14" style="3" customWidth="1"/>
    <col min="15112" max="15112" width="7.42578125" style="3" customWidth="1"/>
    <col min="15113" max="15360" width="11.42578125" style="3"/>
    <col min="15361" max="15361" width="15.85546875" style="3" customWidth="1"/>
    <col min="15362" max="15362" width="14.85546875" style="3" customWidth="1"/>
    <col min="15363" max="15363" width="13.28515625" style="3" customWidth="1"/>
    <col min="15364" max="15364" width="11.42578125" style="3"/>
    <col min="15365" max="15365" width="13.42578125" style="3" customWidth="1"/>
    <col min="15366" max="15366" width="12.7109375" style="3" customWidth="1"/>
    <col min="15367" max="15367" width="14" style="3" customWidth="1"/>
    <col min="15368" max="15368" width="7.42578125" style="3" customWidth="1"/>
    <col min="15369" max="15616" width="11.42578125" style="3"/>
    <col min="15617" max="15617" width="15.85546875" style="3" customWidth="1"/>
    <col min="15618" max="15618" width="14.85546875" style="3" customWidth="1"/>
    <col min="15619" max="15619" width="13.28515625" style="3" customWidth="1"/>
    <col min="15620" max="15620" width="11.42578125" style="3"/>
    <col min="15621" max="15621" width="13.42578125" style="3" customWidth="1"/>
    <col min="15622" max="15622" width="12.7109375" style="3" customWidth="1"/>
    <col min="15623" max="15623" width="14" style="3" customWidth="1"/>
    <col min="15624" max="15624" width="7.42578125" style="3" customWidth="1"/>
    <col min="15625" max="15872" width="11.42578125" style="3"/>
    <col min="15873" max="15873" width="15.85546875" style="3" customWidth="1"/>
    <col min="15874" max="15874" width="14.85546875" style="3" customWidth="1"/>
    <col min="15875" max="15875" width="13.28515625" style="3" customWidth="1"/>
    <col min="15876" max="15876" width="11.42578125" style="3"/>
    <col min="15877" max="15877" width="13.42578125" style="3" customWidth="1"/>
    <col min="15878" max="15878" width="12.7109375" style="3" customWidth="1"/>
    <col min="15879" max="15879" width="14" style="3" customWidth="1"/>
    <col min="15880" max="15880" width="7.42578125" style="3" customWidth="1"/>
    <col min="15881" max="16128" width="11.42578125" style="3"/>
    <col min="16129" max="16129" width="15.85546875" style="3" customWidth="1"/>
    <col min="16130" max="16130" width="14.85546875" style="3" customWidth="1"/>
    <col min="16131" max="16131" width="13.28515625" style="3" customWidth="1"/>
    <col min="16132" max="16132" width="11.42578125" style="3"/>
    <col min="16133" max="16133" width="13.42578125" style="3" customWidth="1"/>
    <col min="16134" max="16134" width="12.7109375" style="3" customWidth="1"/>
    <col min="16135" max="16135" width="14" style="3" customWidth="1"/>
    <col min="16136" max="16136" width="7.42578125" style="3" customWidth="1"/>
    <col min="16137" max="16384" width="11.42578125" style="3"/>
  </cols>
  <sheetData>
    <row r="1" spans="1:21" ht="20.25">
      <c r="A1" s="1346" t="str">
        <f>PPTO!D3</f>
        <v>PRESUPUESTO
MUNICIPIO EL BAGRE (ANTIOQUIA).</v>
      </c>
      <c r="B1" s="1347"/>
      <c r="C1" s="1347"/>
      <c r="D1" s="1347"/>
      <c r="E1" s="1347"/>
      <c r="F1" s="1347"/>
      <c r="G1" s="1348"/>
      <c r="H1" s="1"/>
      <c r="I1" s="2"/>
    </row>
    <row r="2" spans="1:21" ht="18" customHeight="1">
      <c r="A2" s="1362" t="s">
        <v>16</v>
      </c>
      <c r="B2" s="1363"/>
      <c r="C2" s="1363"/>
      <c r="D2" s="1363"/>
      <c r="E2" s="1363"/>
      <c r="F2" s="1363"/>
      <c r="G2" s="1364"/>
      <c r="H2" s="1"/>
      <c r="I2" s="2"/>
    </row>
    <row r="3" spans="1:21" ht="27" customHeight="1">
      <c r="A3" s="1367" t="str">
        <f>+PPTO!$D$5</f>
        <v>PROYECTO DE MEJORAMIENTO VIAL, ESPACIO PUBLICO Y OBRAS COMPLEMENTARIAS DE LA AVENIDA LA JUVENTUD Y TRAMOS ADYACENTES Y PRIORITARIOS DEL SECTOR URBANO EN EL MUNICIPIO EL BAGRE ANTIOQUIA.</v>
      </c>
      <c r="B3" s="1368"/>
      <c r="C3" s="1368"/>
      <c r="D3" s="1368"/>
      <c r="E3" s="1368"/>
      <c r="F3" s="1368"/>
      <c r="G3" s="1369"/>
      <c r="H3" s="1"/>
      <c r="I3" s="2"/>
    </row>
    <row r="4" spans="1:21">
      <c r="A4" s="1370"/>
      <c r="B4" s="1368"/>
      <c r="C4" s="1368"/>
      <c r="D4" s="1368"/>
      <c r="E4" s="1368"/>
      <c r="F4" s="1368"/>
      <c r="G4" s="1369"/>
      <c r="H4" s="1"/>
      <c r="I4" s="2"/>
    </row>
    <row r="5" spans="1:21" ht="6.75" customHeight="1">
      <c r="A5" s="222"/>
      <c r="B5" s="6"/>
      <c r="C5" s="24"/>
      <c r="D5" s="25"/>
      <c r="E5" s="6"/>
      <c r="F5" s="6"/>
      <c r="G5" s="223"/>
      <c r="H5" s="9"/>
    </row>
    <row r="6" spans="1:21">
      <c r="A6" s="368">
        <v>6.39</v>
      </c>
      <c r="B6" s="1349" t="str">
        <f>VLOOKUP(A6,PPTO!D9:I136,2,FALSE)</f>
        <v>Suministro e instalación Valvula Mariposa de 3" o similar</v>
      </c>
      <c r="C6" s="1350"/>
      <c r="D6" s="1350"/>
      <c r="E6" s="1351"/>
      <c r="F6" s="192" t="s">
        <v>118</v>
      </c>
      <c r="G6" s="248" t="str">
        <f>VLOOKUP(A6,PPTO!D9:I136,3,FALSE)</f>
        <v>und</v>
      </c>
      <c r="H6" s="9"/>
    </row>
    <row r="7" spans="1:21" ht="3.75" customHeight="1">
      <c r="A7" s="226"/>
      <c r="B7" s="4"/>
      <c r="C7" s="6"/>
      <c r="D7" s="4"/>
      <c r="E7" s="4"/>
      <c r="F7" s="4"/>
      <c r="G7" s="227"/>
      <c r="H7" s="9"/>
    </row>
    <row r="8" spans="1:21" ht="22.5" customHeight="1">
      <c r="A8" s="1354" t="s">
        <v>69</v>
      </c>
      <c r="B8" s="1355"/>
      <c r="C8" s="1355"/>
      <c r="D8" s="1355"/>
      <c r="E8" s="1355"/>
      <c r="F8" s="1355"/>
      <c r="G8" s="1356"/>
      <c r="H8" s="9"/>
    </row>
    <row r="9" spans="1:21" ht="4.5" customHeight="1">
      <c r="A9" s="226"/>
      <c r="B9" s="4"/>
      <c r="C9" s="6"/>
      <c r="D9" s="4"/>
      <c r="E9" s="4"/>
      <c r="F9" s="4"/>
      <c r="G9" s="227"/>
      <c r="H9" s="9"/>
      <c r="I9" s="5"/>
      <c r="J9" s="5"/>
      <c r="K9" s="5"/>
      <c r="L9" s="26"/>
      <c r="M9" s="5"/>
      <c r="N9" s="5"/>
      <c r="O9" s="5"/>
      <c r="P9" s="5"/>
    </row>
    <row r="10" spans="1:21">
      <c r="A10" s="1373" t="s">
        <v>17</v>
      </c>
      <c r="B10" s="1374"/>
      <c r="C10" s="1374"/>
      <c r="D10" s="353" t="s">
        <v>18</v>
      </c>
      <c r="E10" s="353" t="s">
        <v>19</v>
      </c>
      <c r="F10" s="353" t="s">
        <v>20</v>
      </c>
      <c r="G10" s="228" t="s">
        <v>21</v>
      </c>
      <c r="H10" s="27"/>
      <c r="I10" s="28"/>
      <c r="J10" s="29"/>
      <c r="K10" s="30"/>
      <c r="L10" s="30"/>
      <c r="M10" s="30"/>
      <c r="N10" s="30"/>
      <c r="O10" s="30"/>
      <c r="P10" s="5"/>
    </row>
    <row r="11" spans="1:21">
      <c r="A11" s="1352" t="s">
        <v>47</v>
      </c>
      <c r="B11" s="1353"/>
      <c r="C11" s="1353"/>
      <c r="D11" s="353"/>
      <c r="E11" s="83"/>
      <c r="F11" s="97"/>
      <c r="G11" s="229">
        <f>+G39*10%</f>
        <v>15271</v>
      </c>
      <c r="H11" s="9"/>
      <c r="I11" s="30"/>
      <c r="J11" s="31"/>
      <c r="K11" s="30"/>
      <c r="L11" s="30"/>
      <c r="M11" s="30"/>
      <c r="N11" s="30"/>
      <c r="O11" s="30"/>
      <c r="P11" s="5"/>
    </row>
    <row r="12" spans="1:21">
      <c r="A12" s="1371"/>
      <c r="B12" s="1372"/>
      <c r="C12" s="1372"/>
      <c r="D12" s="83"/>
      <c r="E12" s="83"/>
      <c r="F12" s="93"/>
      <c r="G12" s="229"/>
      <c r="H12" s="9"/>
      <c r="I12" s="16"/>
      <c r="J12" s="13"/>
      <c r="K12" s="8"/>
      <c r="L12" s="8"/>
      <c r="M12" s="8"/>
      <c r="N12" s="8"/>
      <c r="O12" s="8"/>
      <c r="P12" s="5"/>
    </row>
    <row r="13" spans="1:21">
      <c r="A13" s="1371"/>
      <c r="B13" s="1372"/>
      <c r="C13" s="1372"/>
      <c r="D13" s="83"/>
      <c r="E13" s="83"/>
      <c r="F13" s="93"/>
      <c r="G13" s="229"/>
      <c r="H13" s="9"/>
      <c r="I13" s="13"/>
      <c r="J13" s="13"/>
      <c r="K13" s="13"/>
      <c r="L13" s="13"/>
      <c r="M13" s="13"/>
      <c r="N13" s="13"/>
      <c r="O13" s="13"/>
      <c r="P13" s="5"/>
    </row>
    <row r="14" spans="1:21">
      <c r="A14" s="1371"/>
      <c r="B14" s="1372"/>
      <c r="C14" s="1372"/>
      <c r="D14" s="83"/>
      <c r="E14" s="83"/>
      <c r="F14" s="93"/>
      <c r="G14" s="229"/>
      <c r="H14" s="9"/>
      <c r="I14" s="8"/>
      <c r="J14" s="14"/>
      <c r="K14" s="32"/>
      <c r="L14" s="14"/>
      <c r="M14" s="15"/>
      <c r="N14" s="15"/>
      <c r="O14" s="19"/>
      <c r="P14" s="5"/>
    </row>
    <row r="15" spans="1:21">
      <c r="A15" s="1371"/>
      <c r="B15" s="1372"/>
      <c r="C15" s="1372"/>
      <c r="D15" s="83"/>
      <c r="E15" s="83"/>
      <c r="F15" s="98"/>
      <c r="G15" s="229"/>
      <c r="H15" s="9"/>
      <c r="I15" s="8"/>
      <c r="J15" s="33"/>
      <c r="K15" s="32"/>
      <c r="L15" s="14"/>
      <c r="M15" s="15"/>
      <c r="N15" s="15"/>
      <c r="O15" s="19"/>
      <c r="P15" s="5"/>
      <c r="Q15" s="5"/>
      <c r="R15" s="5"/>
      <c r="S15" s="5"/>
      <c r="T15" s="5"/>
      <c r="U15" s="5"/>
    </row>
    <row r="16" spans="1:21">
      <c r="A16" s="1371"/>
      <c r="B16" s="1372"/>
      <c r="C16" s="1372"/>
      <c r="D16" s="85" t="s">
        <v>37</v>
      </c>
      <c r="E16" s="50"/>
      <c r="F16" s="49"/>
      <c r="G16" s="230">
        <f>SUM(G11:G15)</f>
        <v>15271</v>
      </c>
      <c r="H16" s="9"/>
      <c r="I16" s="34"/>
      <c r="J16" s="34"/>
      <c r="K16" s="35"/>
      <c r="L16" s="36"/>
      <c r="M16" s="7"/>
      <c r="N16" s="7"/>
      <c r="O16" s="19"/>
      <c r="P16" s="5"/>
      <c r="Q16" s="5"/>
      <c r="R16" s="5"/>
      <c r="S16" s="5"/>
      <c r="T16" s="5"/>
      <c r="U16" s="5"/>
    </row>
    <row r="17" spans="1:21" ht="4.5" customHeight="1">
      <c r="A17" s="226"/>
      <c r="B17" s="4"/>
      <c r="C17" s="6"/>
      <c r="D17" s="4"/>
      <c r="E17" s="4"/>
      <c r="F17" s="4"/>
      <c r="G17" s="227"/>
      <c r="H17" s="9"/>
      <c r="I17" s="34"/>
      <c r="J17" s="34"/>
      <c r="K17" s="35"/>
      <c r="L17" s="36"/>
      <c r="M17" s="7"/>
      <c r="N17" s="7"/>
      <c r="O17" s="19"/>
      <c r="P17" s="5"/>
      <c r="Q17" s="5"/>
      <c r="R17" s="5"/>
      <c r="S17" s="5"/>
      <c r="T17" s="5"/>
      <c r="U17" s="5"/>
    </row>
    <row r="18" spans="1:21" ht="22.5" customHeight="1">
      <c r="A18" s="1354" t="s">
        <v>70</v>
      </c>
      <c r="B18" s="1355"/>
      <c r="C18" s="1355"/>
      <c r="D18" s="1355"/>
      <c r="E18" s="1355"/>
      <c r="F18" s="1355"/>
      <c r="G18" s="1356"/>
      <c r="H18" s="9"/>
    </row>
    <row r="19" spans="1:21" ht="4.5" customHeight="1">
      <c r="A19" s="226"/>
      <c r="B19" s="4"/>
      <c r="C19" s="6"/>
      <c r="D19" s="4"/>
      <c r="E19" s="4"/>
      <c r="F19" s="38"/>
      <c r="G19" s="227"/>
      <c r="H19" s="9"/>
      <c r="I19" s="34"/>
      <c r="J19" s="34"/>
      <c r="K19" s="35"/>
      <c r="L19" s="39"/>
      <c r="M19" s="7"/>
      <c r="N19" s="7"/>
      <c r="O19" s="8"/>
      <c r="P19" s="5"/>
      <c r="Q19" s="5"/>
      <c r="R19" s="5"/>
      <c r="S19" s="5"/>
      <c r="T19" s="5"/>
      <c r="U19" s="5"/>
    </row>
    <row r="20" spans="1:21">
      <c r="A20" s="1373" t="s">
        <v>17</v>
      </c>
      <c r="B20" s="1374"/>
      <c r="C20" s="1374"/>
      <c r="D20" s="353" t="s">
        <v>3</v>
      </c>
      <c r="E20" s="353" t="s">
        <v>4</v>
      </c>
      <c r="F20" s="353" t="s">
        <v>25</v>
      </c>
      <c r="G20" s="228" t="s">
        <v>21</v>
      </c>
      <c r="H20" s="27"/>
      <c r="I20" s="34"/>
      <c r="J20" s="34"/>
      <c r="K20" s="35"/>
      <c r="L20" s="39"/>
      <c r="M20" s="7"/>
      <c r="N20" s="7"/>
      <c r="O20" s="8"/>
      <c r="P20" s="5"/>
      <c r="Q20" s="5"/>
      <c r="R20" s="5"/>
      <c r="S20" s="5"/>
      <c r="T20" s="5"/>
      <c r="U20" s="5"/>
    </row>
    <row r="21" spans="1:21" ht="31.5" customHeight="1">
      <c r="A21" s="1441" t="str">
        <f>MID(I21,25,50)</f>
        <v xml:space="preserve"> Valvula Mariposa de 3" o similar</v>
      </c>
      <c r="B21" s="1442"/>
      <c r="C21" s="1443"/>
      <c r="D21" s="118" t="s">
        <v>119</v>
      </c>
      <c r="E21" s="119">
        <v>1</v>
      </c>
      <c r="F21" s="87">
        <f>209330*IPC</f>
        <v>215987</v>
      </c>
      <c r="G21" s="231">
        <f>ROUND(F21*E21,0)</f>
        <v>215987</v>
      </c>
      <c r="H21" s="9"/>
      <c r="I21" s="34" t="str">
        <f>B6</f>
        <v>Suministro e instalación Valvula Mariposa de 3" o similar</v>
      </c>
      <c r="J21" s="34"/>
      <c r="K21" s="35"/>
      <c r="L21" s="36"/>
      <c r="M21" s="7"/>
      <c r="N21" s="7"/>
      <c r="O21" s="19"/>
      <c r="P21" s="5"/>
      <c r="Q21" s="5"/>
      <c r="R21" s="5"/>
      <c r="S21" s="5"/>
      <c r="T21" s="5"/>
      <c r="U21" s="5"/>
    </row>
    <row r="22" spans="1:21">
      <c r="A22" s="1444"/>
      <c r="B22" s="1403"/>
      <c r="C22" s="1404"/>
      <c r="D22" s="116"/>
      <c r="E22" s="117"/>
      <c r="F22" s="91"/>
      <c r="G22" s="231"/>
      <c r="H22" s="9"/>
      <c r="I22" s="10"/>
      <c r="J22" s="10"/>
      <c r="K22" s="12"/>
      <c r="L22" s="39"/>
      <c r="M22" s="7"/>
      <c r="N22" s="7"/>
      <c r="O22" s="15"/>
      <c r="P22" s="5"/>
      <c r="Q22" s="5"/>
      <c r="R22" s="5"/>
      <c r="S22" s="5"/>
      <c r="T22" s="5"/>
      <c r="U22" s="5"/>
    </row>
    <row r="23" spans="1:21">
      <c r="A23" s="1386"/>
      <c r="B23" s="1353"/>
      <c r="C23" s="1353"/>
      <c r="D23" s="79"/>
      <c r="E23" s="82"/>
      <c r="F23" s="83"/>
      <c r="G23" s="67"/>
      <c r="H23" s="9"/>
      <c r="I23" s="10"/>
      <c r="J23" s="10"/>
      <c r="K23" s="12"/>
      <c r="L23" s="39"/>
      <c r="M23" s="7"/>
      <c r="N23" s="7"/>
      <c r="O23" s="15"/>
      <c r="P23" s="5"/>
      <c r="Q23" s="5"/>
      <c r="R23" s="5"/>
      <c r="S23" s="5"/>
      <c r="T23" s="5"/>
      <c r="U23" s="5"/>
    </row>
    <row r="24" spans="1:21">
      <c r="A24" s="1352"/>
      <c r="B24" s="1353"/>
      <c r="C24" s="1353"/>
      <c r="D24" s="81"/>
      <c r="E24" s="88"/>
      <c r="F24" s="78"/>
      <c r="G24" s="231"/>
      <c r="H24" s="9"/>
      <c r="I24" s="10"/>
      <c r="J24" s="40"/>
      <c r="K24" s="12"/>
      <c r="L24" s="13"/>
      <c r="M24" s="14"/>
      <c r="N24" s="14"/>
      <c r="O24" s="15"/>
      <c r="P24" s="5"/>
      <c r="Q24" s="5"/>
      <c r="R24" s="5"/>
      <c r="S24" s="5"/>
      <c r="T24" s="5"/>
      <c r="U24" s="5"/>
    </row>
    <row r="25" spans="1:21">
      <c r="A25" s="1352"/>
      <c r="B25" s="1353"/>
      <c r="C25" s="1353"/>
      <c r="D25" s="81"/>
      <c r="E25" s="82"/>
      <c r="F25" s="78"/>
      <c r="G25" s="231"/>
      <c r="H25" s="9"/>
      <c r="I25" s="10"/>
      <c r="J25" s="11"/>
      <c r="K25" s="12"/>
      <c r="L25" s="13"/>
      <c r="M25" s="14"/>
      <c r="N25" s="14"/>
      <c r="O25" s="15"/>
      <c r="P25" s="5"/>
      <c r="Q25" s="5"/>
      <c r="R25" s="5"/>
      <c r="S25" s="5"/>
      <c r="T25" s="5"/>
      <c r="U25" s="5"/>
    </row>
    <row r="26" spans="1:21">
      <c r="A26" s="1352"/>
      <c r="B26" s="1353"/>
      <c r="C26" s="1353"/>
      <c r="D26" s="79"/>
      <c r="E26" s="82"/>
      <c r="F26" s="78"/>
      <c r="G26" s="231"/>
      <c r="H26" s="9"/>
      <c r="I26" s="10"/>
      <c r="J26" s="11"/>
      <c r="K26" s="12"/>
      <c r="L26" s="13"/>
      <c r="M26" s="14"/>
      <c r="N26" s="14"/>
      <c r="O26" s="15"/>
      <c r="P26" s="5"/>
      <c r="Q26" s="5"/>
      <c r="R26" s="5"/>
      <c r="S26" s="5"/>
      <c r="T26" s="5"/>
      <c r="U26" s="5"/>
    </row>
    <row r="27" spans="1:21">
      <c r="A27" s="1352"/>
      <c r="B27" s="1353"/>
      <c r="C27" s="1353"/>
      <c r="D27" s="79"/>
      <c r="E27" s="82"/>
      <c r="F27" s="78"/>
      <c r="G27" s="231"/>
      <c r="H27" s="9"/>
      <c r="I27" s="10"/>
      <c r="J27" s="11"/>
      <c r="K27" s="12"/>
      <c r="L27" s="13"/>
      <c r="M27" s="14"/>
      <c r="N27" s="14"/>
      <c r="O27" s="15"/>
      <c r="P27" s="5"/>
      <c r="Q27" s="5"/>
      <c r="R27" s="5"/>
      <c r="S27" s="5"/>
      <c r="T27" s="5"/>
      <c r="U27" s="5"/>
    </row>
    <row r="28" spans="1:21">
      <c r="A28" s="1352"/>
      <c r="B28" s="1353"/>
      <c r="C28" s="1353"/>
      <c r="D28" s="79"/>
      <c r="E28" s="82"/>
      <c r="F28" s="83"/>
      <c r="G28" s="231"/>
      <c r="H28" s="9"/>
      <c r="I28" s="41"/>
      <c r="J28" s="41"/>
      <c r="K28" s="12"/>
      <c r="L28" s="13"/>
      <c r="M28" s="14"/>
      <c r="N28" s="14"/>
      <c r="O28" s="15"/>
      <c r="P28" s="5"/>
      <c r="Q28" s="5"/>
      <c r="R28" s="5"/>
      <c r="S28" s="5"/>
      <c r="T28" s="5"/>
      <c r="U28" s="5"/>
    </row>
    <row r="29" spans="1:21">
      <c r="A29" s="1352"/>
      <c r="B29" s="1353"/>
      <c r="C29" s="1353"/>
      <c r="D29" s="84"/>
      <c r="E29" s="84"/>
      <c r="F29" s="83"/>
      <c r="G29" s="231"/>
      <c r="H29" s="9"/>
      <c r="I29" s="42"/>
      <c r="J29" s="42"/>
      <c r="K29" s="42"/>
      <c r="L29" s="13"/>
      <c r="M29" s="14"/>
      <c r="N29" s="14"/>
      <c r="O29" s="15"/>
      <c r="P29" s="5"/>
      <c r="Q29" s="5"/>
      <c r="R29" s="5"/>
      <c r="S29" s="5"/>
      <c r="T29" s="5"/>
      <c r="U29" s="5"/>
    </row>
    <row r="30" spans="1:21">
      <c r="A30" s="1352"/>
      <c r="B30" s="1353"/>
      <c r="C30" s="1353"/>
      <c r="D30" s="85" t="s">
        <v>28</v>
      </c>
      <c r="E30" s="50"/>
      <c r="F30" s="49"/>
      <c r="G30" s="230">
        <f>SUM(G21:G29)</f>
        <v>215987</v>
      </c>
      <c r="H30" s="9"/>
      <c r="I30" s="8"/>
      <c r="J30" s="13"/>
      <c r="K30" s="8"/>
      <c r="L30" s="13"/>
      <c r="M30" s="14"/>
      <c r="N30" s="14"/>
      <c r="O30" s="15"/>
      <c r="P30" s="5"/>
    </row>
    <row r="31" spans="1:21" ht="3.75" customHeight="1">
      <c r="A31" s="226"/>
      <c r="B31" s="4"/>
      <c r="C31" s="6"/>
      <c r="D31" s="4"/>
      <c r="E31" s="4"/>
      <c r="F31" s="4"/>
      <c r="G31" s="227"/>
      <c r="H31" s="9"/>
      <c r="I31" s="8"/>
      <c r="J31" s="13"/>
      <c r="K31" s="18"/>
      <c r="L31" s="13"/>
      <c r="M31" s="33"/>
      <c r="N31" s="33"/>
      <c r="O31" s="15"/>
      <c r="P31" s="5"/>
    </row>
    <row r="32" spans="1:21" ht="22.5" customHeight="1">
      <c r="A32" s="1354" t="s">
        <v>71</v>
      </c>
      <c r="B32" s="1355"/>
      <c r="C32" s="1355"/>
      <c r="D32" s="1355"/>
      <c r="E32" s="1355"/>
      <c r="F32" s="1355"/>
      <c r="G32" s="1356"/>
      <c r="H32" s="9"/>
    </row>
    <row r="33" spans="1:16" ht="3.75" customHeight="1">
      <c r="A33" s="226"/>
      <c r="B33" s="4"/>
      <c r="C33" s="6"/>
      <c r="D33" s="4"/>
      <c r="E33" s="4"/>
      <c r="F33" s="4"/>
      <c r="G33" s="227"/>
      <c r="H33" s="9"/>
      <c r="I33" s="8"/>
      <c r="J33" s="13"/>
      <c r="K33" s="8"/>
      <c r="L33" s="8"/>
      <c r="M33" s="8"/>
      <c r="N33" s="8"/>
      <c r="O33" s="15"/>
      <c r="P33" s="5"/>
    </row>
    <row r="34" spans="1:16">
      <c r="A34" s="232" t="s">
        <v>5</v>
      </c>
      <c r="B34" s="60" t="s">
        <v>29</v>
      </c>
      <c r="C34" s="60" t="s">
        <v>30</v>
      </c>
      <c r="D34" s="60" t="s">
        <v>31</v>
      </c>
      <c r="E34" s="60" t="s">
        <v>32</v>
      </c>
      <c r="F34" s="60" t="s">
        <v>20</v>
      </c>
      <c r="G34" s="228" t="s">
        <v>33</v>
      </c>
      <c r="H34" s="27"/>
      <c r="I34" s="8"/>
      <c r="J34" s="13"/>
      <c r="K34" s="8"/>
      <c r="L34" s="8"/>
      <c r="M34" s="8"/>
      <c r="N34" s="8"/>
      <c r="O34" s="15"/>
      <c r="P34" s="5"/>
    </row>
    <row r="35" spans="1:16">
      <c r="A35" s="233" t="s">
        <v>41</v>
      </c>
      <c r="B35" s="63">
        <f>BOF</f>
        <v>51749</v>
      </c>
      <c r="C35" s="68">
        <f>ffpp</f>
        <v>0.64539999999999997</v>
      </c>
      <c r="D35" s="72">
        <v>1</v>
      </c>
      <c r="E35" s="66">
        <f>OF</f>
        <v>88696</v>
      </c>
      <c r="F35" s="65">
        <v>2</v>
      </c>
      <c r="G35" s="231">
        <f>ROUND(+D35*E35/F35,0)</f>
        <v>44348</v>
      </c>
      <c r="H35" s="9"/>
      <c r="I35" s="16"/>
      <c r="J35" s="13"/>
      <c r="K35" s="8"/>
      <c r="L35" s="8"/>
      <c r="M35" s="8"/>
      <c r="N35" s="8"/>
      <c r="O35" s="15"/>
      <c r="P35" s="5"/>
    </row>
    <row r="36" spans="1:16">
      <c r="A36" s="233" t="s">
        <v>38</v>
      </c>
      <c r="B36" s="63">
        <f>BOB</f>
        <v>41749</v>
      </c>
      <c r="C36" s="68">
        <f>ffpp</f>
        <v>0.64539999999999997</v>
      </c>
      <c r="D36" s="72">
        <v>3</v>
      </c>
      <c r="E36" s="66">
        <f>OB</f>
        <v>72242</v>
      </c>
      <c r="F36" s="65">
        <f>F35</f>
        <v>2</v>
      </c>
      <c r="G36" s="231">
        <f>ROUND(+D36*E36/F36,0)</f>
        <v>108363</v>
      </c>
      <c r="H36" s="9"/>
      <c r="I36" s="8"/>
      <c r="J36" s="8"/>
      <c r="K36" s="13"/>
      <c r="L36" s="13"/>
      <c r="M36" s="13"/>
      <c r="N36" s="13"/>
      <c r="O36" s="13"/>
      <c r="P36" s="5"/>
    </row>
    <row r="37" spans="1:16">
      <c r="A37" s="234"/>
      <c r="B37" s="50"/>
      <c r="C37" s="961"/>
      <c r="D37" s="50"/>
      <c r="E37" s="66"/>
      <c r="F37" s="65"/>
      <c r="G37" s="231"/>
      <c r="H37" s="9"/>
      <c r="I37" s="8"/>
      <c r="J37" s="13"/>
      <c r="K37" s="13"/>
      <c r="L37" s="13"/>
      <c r="M37" s="33"/>
      <c r="N37" s="33"/>
      <c r="O37" s="43"/>
      <c r="P37" s="5"/>
    </row>
    <row r="38" spans="1:16">
      <c r="A38" s="233"/>
      <c r="B38" s="65"/>
      <c r="C38" s="68"/>
      <c r="D38" s="65"/>
      <c r="E38" s="69"/>
      <c r="F38" s="69"/>
      <c r="G38" s="236"/>
      <c r="H38" s="9"/>
      <c r="I38" s="8"/>
      <c r="J38" s="13"/>
      <c r="K38" s="13"/>
      <c r="L38" s="13"/>
      <c r="M38" s="33"/>
      <c r="N38" s="33"/>
      <c r="O38" s="43"/>
      <c r="P38" s="5"/>
    </row>
    <row r="39" spans="1:16">
      <c r="A39" s="249"/>
      <c r="B39" s="71"/>
      <c r="C39" s="71"/>
      <c r="D39" s="71" t="s">
        <v>34</v>
      </c>
      <c r="E39" s="71"/>
      <c r="F39" s="71"/>
      <c r="G39" s="250">
        <f>SUM(G35:G38)</f>
        <v>152711</v>
      </c>
      <c r="H39" s="9"/>
      <c r="I39" s="8"/>
      <c r="J39" s="13"/>
      <c r="K39" s="13"/>
      <c r="L39" s="13"/>
      <c r="M39" s="14"/>
      <c r="N39" s="14"/>
      <c r="O39" s="15"/>
      <c r="P39" s="5"/>
    </row>
    <row r="40" spans="1:16">
      <c r="A40" s="226"/>
      <c r="B40" s="4"/>
      <c r="C40" s="6"/>
      <c r="D40" s="4"/>
      <c r="E40" s="4"/>
      <c r="F40" s="4"/>
      <c r="G40" s="227"/>
      <c r="H40" s="9"/>
      <c r="I40" s="8"/>
      <c r="J40" s="13"/>
      <c r="K40" s="13"/>
      <c r="L40" s="13"/>
      <c r="M40" s="14"/>
      <c r="N40" s="14"/>
      <c r="O40" s="19"/>
      <c r="P40" s="5"/>
    </row>
    <row r="41" spans="1:16">
      <c r="A41" s="226"/>
      <c r="B41" s="4"/>
      <c r="C41" s="6"/>
      <c r="D41" s="4"/>
      <c r="E41" s="4"/>
      <c r="F41" s="4"/>
      <c r="G41" s="227"/>
      <c r="H41" s="9"/>
      <c r="I41" s="8"/>
      <c r="J41" s="13"/>
      <c r="K41" s="13"/>
      <c r="L41" s="13"/>
      <c r="M41" s="17"/>
      <c r="N41" s="17"/>
      <c r="O41" s="37"/>
      <c r="P41" s="5"/>
    </row>
    <row r="42" spans="1:16" ht="14.25">
      <c r="A42" s="226"/>
      <c r="B42" s="4"/>
      <c r="C42" s="6"/>
      <c r="D42" s="1357" t="s">
        <v>35</v>
      </c>
      <c r="E42" s="1358"/>
      <c r="F42" s="1359"/>
      <c r="G42" s="239">
        <f>+G39+G30+G16</f>
        <v>383969</v>
      </c>
      <c r="H42" s="9"/>
      <c r="I42" s="48"/>
      <c r="J42" s="20"/>
      <c r="K42" s="8"/>
      <c r="L42" s="8"/>
      <c r="M42" s="8"/>
      <c r="N42" s="8"/>
      <c r="O42" s="8"/>
      <c r="P42" s="5"/>
    </row>
    <row r="43" spans="1:16" ht="14.25">
      <c r="A43" s="240"/>
      <c r="B43" s="57"/>
      <c r="C43" s="58"/>
      <c r="D43" s="99"/>
      <c r="E43" s="99"/>
      <c r="F43" s="99"/>
      <c r="G43" s="251"/>
      <c r="H43" s="9"/>
      <c r="I43" s="48"/>
      <c r="J43" s="20"/>
      <c r="K43" s="8"/>
      <c r="L43" s="8"/>
      <c r="M43" s="8"/>
      <c r="N43" s="8"/>
      <c r="O43" s="8"/>
      <c r="P43" s="5"/>
    </row>
    <row r="44" spans="1:16" ht="14.25">
      <c r="A44" s="374"/>
      <c r="B44" s="375"/>
      <c r="C44" s="375"/>
      <c r="D44" s="99"/>
      <c r="E44" s="99"/>
      <c r="F44" s="99"/>
      <c r="G44" s="251"/>
      <c r="H44" s="9"/>
      <c r="I44" s="48"/>
      <c r="J44" s="20"/>
      <c r="K44" s="8"/>
      <c r="L44" s="8"/>
      <c r="M44" s="8"/>
      <c r="N44" s="8"/>
      <c r="O44" s="8"/>
      <c r="P44" s="5"/>
    </row>
    <row r="45" spans="1:16" ht="14.25">
      <c r="A45" s="373"/>
      <c r="B45" s="376"/>
      <c r="C45" s="376"/>
      <c r="D45" s="99"/>
      <c r="E45" s="99"/>
      <c r="F45" s="99"/>
      <c r="G45" s="251"/>
      <c r="H45" s="9"/>
      <c r="I45" s="48"/>
      <c r="J45" s="20"/>
      <c r="K45" s="8"/>
      <c r="L45" s="8"/>
      <c r="M45" s="8"/>
      <c r="N45" s="8"/>
      <c r="O45" s="8"/>
      <c r="P45" s="5"/>
    </row>
    <row r="46" spans="1:16" ht="14.25">
      <c r="A46" s="373"/>
      <c r="B46" s="376"/>
      <c r="C46" s="376"/>
      <c r="D46" s="44"/>
      <c r="E46" s="45"/>
      <c r="F46" s="45"/>
      <c r="G46" s="251"/>
      <c r="H46" s="9"/>
      <c r="I46" s="8"/>
      <c r="J46" s="13"/>
      <c r="K46" s="8"/>
      <c r="L46" s="8"/>
      <c r="M46" s="8"/>
      <c r="N46" s="8"/>
      <c r="O46" s="8"/>
      <c r="P46" s="5"/>
    </row>
    <row r="47" spans="1:16" ht="15" thickBot="1">
      <c r="A47" s="242"/>
      <c r="B47" s="243"/>
      <c r="C47" s="244"/>
      <c r="D47" s="245"/>
      <c r="E47" s="246"/>
      <c r="F47" s="246"/>
      <c r="G47" s="247"/>
      <c r="H47" s="9"/>
      <c r="I47" s="8"/>
      <c r="J47" s="13"/>
      <c r="K47" s="8"/>
      <c r="L47" s="8"/>
      <c r="M47" s="8"/>
      <c r="N47" s="8"/>
      <c r="O47" s="8"/>
      <c r="P47" s="5"/>
    </row>
    <row r="48" spans="1:16">
      <c r="I48" s="5"/>
      <c r="J48" s="5"/>
      <c r="K48" s="5"/>
      <c r="L48" s="5"/>
      <c r="M48" s="5"/>
      <c r="N48" s="5"/>
      <c r="O48" s="5"/>
      <c r="P48" s="5"/>
    </row>
    <row r="49" spans="9:16">
      <c r="I49" s="5"/>
      <c r="J49" s="5"/>
      <c r="K49" s="5"/>
      <c r="L49" s="5"/>
      <c r="M49" s="5"/>
      <c r="N49" s="5"/>
      <c r="O49" s="5"/>
      <c r="P49" s="5"/>
    </row>
  </sheetData>
  <mergeCells count="26">
    <mergeCell ref="A10:C10"/>
    <mergeCell ref="A1:G1"/>
    <mergeCell ref="A2:G2"/>
    <mergeCell ref="A3:G4"/>
    <mergeCell ref="B6:E6"/>
    <mergeCell ref="A8:G8"/>
    <mergeCell ref="A24:C24"/>
    <mergeCell ref="A11:C11"/>
    <mergeCell ref="A12:C12"/>
    <mergeCell ref="A13:C13"/>
    <mergeCell ref="A14:C14"/>
    <mergeCell ref="A15:C15"/>
    <mergeCell ref="A16:C16"/>
    <mergeCell ref="A18:G18"/>
    <mergeCell ref="A20:C20"/>
    <mergeCell ref="A21:C21"/>
    <mergeCell ref="A22:C22"/>
    <mergeCell ref="A23:C23"/>
    <mergeCell ref="A32:G32"/>
    <mergeCell ref="D42:F42"/>
    <mergeCell ref="A25:C25"/>
    <mergeCell ref="A26:C26"/>
    <mergeCell ref="A27:C27"/>
    <mergeCell ref="A28:C28"/>
    <mergeCell ref="A29:C29"/>
    <mergeCell ref="A30:C30"/>
  </mergeCells>
  <printOptions horizontalCentered="1" verticalCentered="1"/>
  <pageMargins left="0.74803149606299213" right="0.74803149606299213" top="0" bottom="0.98425196850393704" header="0" footer="0"/>
  <pageSetup scale="90" orientation="portrait" r:id="rId1"/>
  <headerFooter alignWithMargins="0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9"/>
  <sheetViews>
    <sheetView view="pageBreakPreview" zoomScaleNormal="100" zoomScaleSheetLayoutView="100" workbookViewId="0">
      <selection activeCell="I7" sqref="I7"/>
    </sheetView>
  </sheetViews>
  <sheetFormatPr baseColWidth="10" defaultColWidth="10.7109375" defaultRowHeight="12.75"/>
  <cols>
    <col min="1" max="1" width="15.85546875" style="3" customWidth="1"/>
    <col min="2" max="2" width="14.85546875" style="3" customWidth="1"/>
    <col min="3" max="3" width="13.28515625" style="3" customWidth="1"/>
    <col min="4" max="4" width="11.42578125" style="3"/>
    <col min="5" max="5" width="13.42578125" style="3" customWidth="1"/>
    <col min="6" max="6" width="12.7109375" style="3" customWidth="1"/>
    <col min="7" max="7" width="14" style="3" customWidth="1"/>
    <col min="8" max="8" width="7.42578125" style="3" customWidth="1"/>
    <col min="9" max="256" width="11.42578125" style="3"/>
    <col min="257" max="257" width="15.85546875" style="3" customWidth="1"/>
    <col min="258" max="258" width="14.85546875" style="3" customWidth="1"/>
    <col min="259" max="259" width="13.28515625" style="3" customWidth="1"/>
    <col min="260" max="260" width="11.42578125" style="3"/>
    <col min="261" max="261" width="13.42578125" style="3" customWidth="1"/>
    <col min="262" max="262" width="12.7109375" style="3" customWidth="1"/>
    <col min="263" max="263" width="14" style="3" customWidth="1"/>
    <col min="264" max="264" width="7.42578125" style="3" customWidth="1"/>
    <col min="265" max="512" width="11.42578125" style="3"/>
    <col min="513" max="513" width="15.85546875" style="3" customWidth="1"/>
    <col min="514" max="514" width="14.85546875" style="3" customWidth="1"/>
    <col min="515" max="515" width="13.28515625" style="3" customWidth="1"/>
    <col min="516" max="516" width="11.42578125" style="3"/>
    <col min="517" max="517" width="13.42578125" style="3" customWidth="1"/>
    <col min="518" max="518" width="12.7109375" style="3" customWidth="1"/>
    <col min="519" max="519" width="14" style="3" customWidth="1"/>
    <col min="520" max="520" width="7.42578125" style="3" customWidth="1"/>
    <col min="521" max="768" width="11.42578125" style="3"/>
    <col min="769" max="769" width="15.85546875" style="3" customWidth="1"/>
    <col min="770" max="770" width="14.85546875" style="3" customWidth="1"/>
    <col min="771" max="771" width="13.28515625" style="3" customWidth="1"/>
    <col min="772" max="772" width="11.42578125" style="3"/>
    <col min="773" max="773" width="13.42578125" style="3" customWidth="1"/>
    <col min="774" max="774" width="12.7109375" style="3" customWidth="1"/>
    <col min="775" max="775" width="14" style="3" customWidth="1"/>
    <col min="776" max="776" width="7.42578125" style="3" customWidth="1"/>
    <col min="777" max="1024" width="11.42578125" style="3"/>
    <col min="1025" max="1025" width="15.85546875" style="3" customWidth="1"/>
    <col min="1026" max="1026" width="14.85546875" style="3" customWidth="1"/>
    <col min="1027" max="1027" width="13.28515625" style="3" customWidth="1"/>
    <col min="1028" max="1028" width="11.42578125" style="3"/>
    <col min="1029" max="1029" width="13.42578125" style="3" customWidth="1"/>
    <col min="1030" max="1030" width="12.7109375" style="3" customWidth="1"/>
    <col min="1031" max="1031" width="14" style="3" customWidth="1"/>
    <col min="1032" max="1032" width="7.42578125" style="3" customWidth="1"/>
    <col min="1033" max="1280" width="11.42578125" style="3"/>
    <col min="1281" max="1281" width="15.85546875" style="3" customWidth="1"/>
    <col min="1282" max="1282" width="14.85546875" style="3" customWidth="1"/>
    <col min="1283" max="1283" width="13.28515625" style="3" customWidth="1"/>
    <col min="1284" max="1284" width="11.42578125" style="3"/>
    <col min="1285" max="1285" width="13.42578125" style="3" customWidth="1"/>
    <col min="1286" max="1286" width="12.7109375" style="3" customWidth="1"/>
    <col min="1287" max="1287" width="14" style="3" customWidth="1"/>
    <col min="1288" max="1288" width="7.42578125" style="3" customWidth="1"/>
    <col min="1289" max="1536" width="11.42578125" style="3"/>
    <col min="1537" max="1537" width="15.85546875" style="3" customWidth="1"/>
    <col min="1538" max="1538" width="14.85546875" style="3" customWidth="1"/>
    <col min="1539" max="1539" width="13.28515625" style="3" customWidth="1"/>
    <col min="1540" max="1540" width="11.42578125" style="3"/>
    <col min="1541" max="1541" width="13.42578125" style="3" customWidth="1"/>
    <col min="1542" max="1542" width="12.7109375" style="3" customWidth="1"/>
    <col min="1543" max="1543" width="14" style="3" customWidth="1"/>
    <col min="1544" max="1544" width="7.42578125" style="3" customWidth="1"/>
    <col min="1545" max="1792" width="11.42578125" style="3"/>
    <col min="1793" max="1793" width="15.85546875" style="3" customWidth="1"/>
    <col min="1794" max="1794" width="14.85546875" style="3" customWidth="1"/>
    <col min="1795" max="1795" width="13.28515625" style="3" customWidth="1"/>
    <col min="1796" max="1796" width="11.42578125" style="3"/>
    <col min="1797" max="1797" width="13.42578125" style="3" customWidth="1"/>
    <col min="1798" max="1798" width="12.7109375" style="3" customWidth="1"/>
    <col min="1799" max="1799" width="14" style="3" customWidth="1"/>
    <col min="1800" max="1800" width="7.42578125" style="3" customWidth="1"/>
    <col min="1801" max="2048" width="11.42578125" style="3"/>
    <col min="2049" max="2049" width="15.85546875" style="3" customWidth="1"/>
    <col min="2050" max="2050" width="14.85546875" style="3" customWidth="1"/>
    <col min="2051" max="2051" width="13.28515625" style="3" customWidth="1"/>
    <col min="2052" max="2052" width="11.42578125" style="3"/>
    <col min="2053" max="2053" width="13.42578125" style="3" customWidth="1"/>
    <col min="2054" max="2054" width="12.7109375" style="3" customWidth="1"/>
    <col min="2055" max="2055" width="14" style="3" customWidth="1"/>
    <col min="2056" max="2056" width="7.42578125" style="3" customWidth="1"/>
    <col min="2057" max="2304" width="11.42578125" style="3"/>
    <col min="2305" max="2305" width="15.85546875" style="3" customWidth="1"/>
    <col min="2306" max="2306" width="14.85546875" style="3" customWidth="1"/>
    <col min="2307" max="2307" width="13.28515625" style="3" customWidth="1"/>
    <col min="2308" max="2308" width="11.42578125" style="3"/>
    <col min="2309" max="2309" width="13.42578125" style="3" customWidth="1"/>
    <col min="2310" max="2310" width="12.7109375" style="3" customWidth="1"/>
    <col min="2311" max="2311" width="14" style="3" customWidth="1"/>
    <col min="2312" max="2312" width="7.42578125" style="3" customWidth="1"/>
    <col min="2313" max="2560" width="11.42578125" style="3"/>
    <col min="2561" max="2561" width="15.85546875" style="3" customWidth="1"/>
    <col min="2562" max="2562" width="14.85546875" style="3" customWidth="1"/>
    <col min="2563" max="2563" width="13.28515625" style="3" customWidth="1"/>
    <col min="2564" max="2564" width="11.42578125" style="3"/>
    <col min="2565" max="2565" width="13.42578125" style="3" customWidth="1"/>
    <col min="2566" max="2566" width="12.7109375" style="3" customWidth="1"/>
    <col min="2567" max="2567" width="14" style="3" customWidth="1"/>
    <col min="2568" max="2568" width="7.42578125" style="3" customWidth="1"/>
    <col min="2569" max="2816" width="11.42578125" style="3"/>
    <col min="2817" max="2817" width="15.85546875" style="3" customWidth="1"/>
    <col min="2818" max="2818" width="14.85546875" style="3" customWidth="1"/>
    <col min="2819" max="2819" width="13.28515625" style="3" customWidth="1"/>
    <col min="2820" max="2820" width="11.42578125" style="3"/>
    <col min="2821" max="2821" width="13.42578125" style="3" customWidth="1"/>
    <col min="2822" max="2822" width="12.7109375" style="3" customWidth="1"/>
    <col min="2823" max="2823" width="14" style="3" customWidth="1"/>
    <col min="2824" max="2824" width="7.42578125" style="3" customWidth="1"/>
    <col min="2825" max="3072" width="11.42578125" style="3"/>
    <col min="3073" max="3073" width="15.85546875" style="3" customWidth="1"/>
    <col min="3074" max="3074" width="14.85546875" style="3" customWidth="1"/>
    <col min="3075" max="3075" width="13.28515625" style="3" customWidth="1"/>
    <col min="3076" max="3076" width="11.42578125" style="3"/>
    <col min="3077" max="3077" width="13.42578125" style="3" customWidth="1"/>
    <col min="3078" max="3078" width="12.7109375" style="3" customWidth="1"/>
    <col min="3079" max="3079" width="14" style="3" customWidth="1"/>
    <col min="3080" max="3080" width="7.42578125" style="3" customWidth="1"/>
    <col min="3081" max="3328" width="11.42578125" style="3"/>
    <col min="3329" max="3329" width="15.85546875" style="3" customWidth="1"/>
    <col min="3330" max="3330" width="14.85546875" style="3" customWidth="1"/>
    <col min="3331" max="3331" width="13.28515625" style="3" customWidth="1"/>
    <col min="3332" max="3332" width="11.42578125" style="3"/>
    <col min="3333" max="3333" width="13.42578125" style="3" customWidth="1"/>
    <col min="3334" max="3334" width="12.7109375" style="3" customWidth="1"/>
    <col min="3335" max="3335" width="14" style="3" customWidth="1"/>
    <col min="3336" max="3336" width="7.42578125" style="3" customWidth="1"/>
    <col min="3337" max="3584" width="11.42578125" style="3"/>
    <col min="3585" max="3585" width="15.85546875" style="3" customWidth="1"/>
    <col min="3586" max="3586" width="14.85546875" style="3" customWidth="1"/>
    <col min="3587" max="3587" width="13.28515625" style="3" customWidth="1"/>
    <col min="3588" max="3588" width="11.42578125" style="3"/>
    <col min="3589" max="3589" width="13.42578125" style="3" customWidth="1"/>
    <col min="3590" max="3590" width="12.7109375" style="3" customWidth="1"/>
    <col min="3591" max="3591" width="14" style="3" customWidth="1"/>
    <col min="3592" max="3592" width="7.42578125" style="3" customWidth="1"/>
    <col min="3593" max="3840" width="11.42578125" style="3"/>
    <col min="3841" max="3841" width="15.85546875" style="3" customWidth="1"/>
    <col min="3842" max="3842" width="14.85546875" style="3" customWidth="1"/>
    <col min="3843" max="3843" width="13.28515625" style="3" customWidth="1"/>
    <col min="3844" max="3844" width="11.42578125" style="3"/>
    <col min="3845" max="3845" width="13.42578125" style="3" customWidth="1"/>
    <col min="3846" max="3846" width="12.7109375" style="3" customWidth="1"/>
    <col min="3847" max="3847" width="14" style="3" customWidth="1"/>
    <col min="3848" max="3848" width="7.42578125" style="3" customWidth="1"/>
    <col min="3849" max="4096" width="11.42578125" style="3"/>
    <col min="4097" max="4097" width="15.85546875" style="3" customWidth="1"/>
    <col min="4098" max="4098" width="14.85546875" style="3" customWidth="1"/>
    <col min="4099" max="4099" width="13.28515625" style="3" customWidth="1"/>
    <col min="4100" max="4100" width="11.42578125" style="3"/>
    <col min="4101" max="4101" width="13.42578125" style="3" customWidth="1"/>
    <col min="4102" max="4102" width="12.7109375" style="3" customWidth="1"/>
    <col min="4103" max="4103" width="14" style="3" customWidth="1"/>
    <col min="4104" max="4104" width="7.42578125" style="3" customWidth="1"/>
    <col min="4105" max="4352" width="11.42578125" style="3"/>
    <col min="4353" max="4353" width="15.85546875" style="3" customWidth="1"/>
    <col min="4354" max="4354" width="14.85546875" style="3" customWidth="1"/>
    <col min="4355" max="4355" width="13.28515625" style="3" customWidth="1"/>
    <col min="4356" max="4356" width="11.42578125" style="3"/>
    <col min="4357" max="4357" width="13.42578125" style="3" customWidth="1"/>
    <col min="4358" max="4358" width="12.7109375" style="3" customWidth="1"/>
    <col min="4359" max="4359" width="14" style="3" customWidth="1"/>
    <col min="4360" max="4360" width="7.42578125" style="3" customWidth="1"/>
    <col min="4361" max="4608" width="11.42578125" style="3"/>
    <col min="4609" max="4609" width="15.85546875" style="3" customWidth="1"/>
    <col min="4610" max="4610" width="14.85546875" style="3" customWidth="1"/>
    <col min="4611" max="4611" width="13.28515625" style="3" customWidth="1"/>
    <col min="4612" max="4612" width="11.42578125" style="3"/>
    <col min="4613" max="4613" width="13.42578125" style="3" customWidth="1"/>
    <col min="4614" max="4614" width="12.7109375" style="3" customWidth="1"/>
    <col min="4615" max="4615" width="14" style="3" customWidth="1"/>
    <col min="4616" max="4616" width="7.42578125" style="3" customWidth="1"/>
    <col min="4617" max="4864" width="11.42578125" style="3"/>
    <col min="4865" max="4865" width="15.85546875" style="3" customWidth="1"/>
    <col min="4866" max="4866" width="14.85546875" style="3" customWidth="1"/>
    <col min="4867" max="4867" width="13.28515625" style="3" customWidth="1"/>
    <col min="4868" max="4868" width="11.42578125" style="3"/>
    <col min="4869" max="4869" width="13.42578125" style="3" customWidth="1"/>
    <col min="4870" max="4870" width="12.7109375" style="3" customWidth="1"/>
    <col min="4871" max="4871" width="14" style="3" customWidth="1"/>
    <col min="4872" max="4872" width="7.42578125" style="3" customWidth="1"/>
    <col min="4873" max="5120" width="11.42578125" style="3"/>
    <col min="5121" max="5121" width="15.85546875" style="3" customWidth="1"/>
    <col min="5122" max="5122" width="14.85546875" style="3" customWidth="1"/>
    <col min="5123" max="5123" width="13.28515625" style="3" customWidth="1"/>
    <col min="5124" max="5124" width="11.42578125" style="3"/>
    <col min="5125" max="5125" width="13.42578125" style="3" customWidth="1"/>
    <col min="5126" max="5126" width="12.7109375" style="3" customWidth="1"/>
    <col min="5127" max="5127" width="14" style="3" customWidth="1"/>
    <col min="5128" max="5128" width="7.42578125" style="3" customWidth="1"/>
    <col min="5129" max="5376" width="11.42578125" style="3"/>
    <col min="5377" max="5377" width="15.85546875" style="3" customWidth="1"/>
    <col min="5378" max="5378" width="14.85546875" style="3" customWidth="1"/>
    <col min="5379" max="5379" width="13.28515625" style="3" customWidth="1"/>
    <col min="5380" max="5380" width="11.42578125" style="3"/>
    <col min="5381" max="5381" width="13.42578125" style="3" customWidth="1"/>
    <col min="5382" max="5382" width="12.7109375" style="3" customWidth="1"/>
    <col min="5383" max="5383" width="14" style="3" customWidth="1"/>
    <col min="5384" max="5384" width="7.42578125" style="3" customWidth="1"/>
    <col min="5385" max="5632" width="11.42578125" style="3"/>
    <col min="5633" max="5633" width="15.85546875" style="3" customWidth="1"/>
    <col min="5634" max="5634" width="14.85546875" style="3" customWidth="1"/>
    <col min="5635" max="5635" width="13.28515625" style="3" customWidth="1"/>
    <col min="5636" max="5636" width="11.42578125" style="3"/>
    <col min="5637" max="5637" width="13.42578125" style="3" customWidth="1"/>
    <col min="5638" max="5638" width="12.7109375" style="3" customWidth="1"/>
    <col min="5639" max="5639" width="14" style="3" customWidth="1"/>
    <col min="5640" max="5640" width="7.42578125" style="3" customWidth="1"/>
    <col min="5641" max="5888" width="11.42578125" style="3"/>
    <col min="5889" max="5889" width="15.85546875" style="3" customWidth="1"/>
    <col min="5890" max="5890" width="14.85546875" style="3" customWidth="1"/>
    <col min="5891" max="5891" width="13.28515625" style="3" customWidth="1"/>
    <col min="5892" max="5892" width="11.42578125" style="3"/>
    <col min="5893" max="5893" width="13.42578125" style="3" customWidth="1"/>
    <col min="5894" max="5894" width="12.7109375" style="3" customWidth="1"/>
    <col min="5895" max="5895" width="14" style="3" customWidth="1"/>
    <col min="5896" max="5896" width="7.42578125" style="3" customWidth="1"/>
    <col min="5897" max="6144" width="11.42578125" style="3"/>
    <col min="6145" max="6145" width="15.85546875" style="3" customWidth="1"/>
    <col min="6146" max="6146" width="14.85546875" style="3" customWidth="1"/>
    <col min="6147" max="6147" width="13.28515625" style="3" customWidth="1"/>
    <col min="6148" max="6148" width="11.42578125" style="3"/>
    <col min="6149" max="6149" width="13.42578125" style="3" customWidth="1"/>
    <col min="6150" max="6150" width="12.7109375" style="3" customWidth="1"/>
    <col min="6151" max="6151" width="14" style="3" customWidth="1"/>
    <col min="6152" max="6152" width="7.42578125" style="3" customWidth="1"/>
    <col min="6153" max="6400" width="11.42578125" style="3"/>
    <col min="6401" max="6401" width="15.85546875" style="3" customWidth="1"/>
    <col min="6402" max="6402" width="14.85546875" style="3" customWidth="1"/>
    <col min="6403" max="6403" width="13.28515625" style="3" customWidth="1"/>
    <col min="6404" max="6404" width="11.42578125" style="3"/>
    <col min="6405" max="6405" width="13.42578125" style="3" customWidth="1"/>
    <col min="6406" max="6406" width="12.7109375" style="3" customWidth="1"/>
    <col min="6407" max="6407" width="14" style="3" customWidth="1"/>
    <col min="6408" max="6408" width="7.42578125" style="3" customWidth="1"/>
    <col min="6409" max="6656" width="11.42578125" style="3"/>
    <col min="6657" max="6657" width="15.85546875" style="3" customWidth="1"/>
    <col min="6658" max="6658" width="14.85546875" style="3" customWidth="1"/>
    <col min="6659" max="6659" width="13.28515625" style="3" customWidth="1"/>
    <col min="6660" max="6660" width="11.42578125" style="3"/>
    <col min="6661" max="6661" width="13.42578125" style="3" customWidth="1"/>
    <col min="6662" max="6662" width="12.7109375" style="3" customWidth="1"/>
    <col min="6663" max="6663" width="14" style="3" customWidth="1"/>
    <col min="6664" max="6664" width="7.42578125" style="3" customWidth="1"/>
    <col min="6665" max="6912" width="11.42578125" style="3"/>
    <col min="6913" max="6913" width="15.85546875" style="3" customWidth="1"/>
    <col min="6914" max="6914" width="14.85546875" style="3" customWidth="1"/>
    <col min="6915" max="6915" width="13.28515625" style="3" customWidth="1"/>
    <col min="6916" max="6916" width="11.42578125" style="3"/>
    <col min="6917" max="6917" width="13.42578125" style="3" customWidth="1"/>
    <col min="6918" max="6918" width="12.7109375" style="3" customWidth="1"/>
    <col min="6919" max="6919" width="14" style="3" customWidth="1"/>
    <col min="6920" max="6920" width="7.42578125" style="3" customWidth="1"/>
    <col min="6921" max="7168" width="11.42578125" style="3"/>
    <col min="7169" max="7169" width="15.85546875" style="3" customWidth="1"/>
    <col min="7170" max="7170" width="14.85546875" style="3" customWidth="1"/>
    <col min="7171" max="7171" width="13.28515625" style="3" customWidth="1"/>
    <col min="7172" max="7172" width="11.42578125" style="3"/>
    <col min="7173" max="7173" width="13.42578125" style="3" customWidth="1"/>
    <col min="7174" max="7174" width="12.7109375" style="3" customWidth="1"/>
    <col min="7175" max="7175" width="14" style="3" customWidth="1"/>
    <col min="7176" max="7176" width="7.42578125" style="3" customWidth="1"/>
    <col min="7177" max="7424" width="11.42578125" style="3"/>
    <col min="7425" max="7425" width="15.85546875" style="3" customWidth="1"/>
    <col min="7426" max="7426" width="14.85546875" style="3" customWidth="1"/>
    <col min="7427" max="7427" width="13.28515625" style="3" customWidth="1"/>
    <col min="7428" max="7428" width="11.42578125" style="3"/>
    <col min="7429" max="7429" width="13.42578125" style="3" customWidth="1"/>
    <col min="7430" max="7430" width="12.7109375" style="3" customWidth="1"/>
    <col min="7431" max="7431" width="14" style="3" customWidth="1"/>
    <col min="7432" max="7432" width="7.42578125" style="3" customWidth="1"/>
    <col min="7433" max="7680" width="11.42578125" style="3"/>
    <col min="7681" max="7681" width="15.85546875" style="3" customWidth="1"/>
    <col min="7682" max="7682" width="14.85546875" style="3" customWidth="1"/>
    <col min="7683" max="7683" width="13.28515625" style="3" customWidth="1"/>
    <col min="7684" max="7684" width="11.42578125" style="3"/>
    <col min="7685" max="7685" width="13.42578125" style="3" customWidth="1"/>
    <col min="7686" max="7686" width="12.7109375" style="3" customWidth="1"/>
    <col min="7687" max="7687" width="14" style="3" customWidth="1"/>
    <col min="7688" max="7688" width="7.42578125" style="3" customWidth="1"/>
    <col min="7689" max="7936" width="11.42578125" style="3"/>
    <col min="7937" max="7937" width="15.85546875" style="3" customWidth="1"/>
    <col min="7938" max="7938" width="14.85546875" style="3" customWidth="1"/>
    <col min="7939" max="7939" width="13.28515625" style="3" customWidth="1"/>
    <col min="7940" max="7940" width="11.42578125" style="3"/>
    <col min="7941" max="7941" width="13.42578125" style="3" customWidth="1"/>
    <col min="7942" max="7942" width="12.7109375" style="3" customWidth="1"/>
    <col min="7943" max="7943" width="14" style="3" customWidth="1"/>
    <col min="7944" max="7944" width="7.42578125" style="3" customWidth="1"/>
    <col min="7945" max="8192" width="11.42578125" style="3"/>
    <col min="8193" max="8193" width="15.85546875" style="3" customWidth="1"/>
    <col min="8194" max="8194" width="14.85546875" style="3" customWidth="1"/>
    <col min="8195" max="8195" width="13.28515625" style="3" customWidth="1"/>
    <col min="8196" max="8196" width="11.42578125" style="3"/>
    <col min="8197" max="8197" width="13.42578125" style="3" customWidth="1"/>
    <col min="8198" max="8198" width="12.7109375" style="3" customWidth="1"/>
    <col min="8199" max="8199" width="14" style="3" customWidth="1"/>
    <col min="8200" max="8200" width="7.42578125" style="3" customWidth="1"/>
    <col min="8201" max="8448" width="11.42578125" style="3"/>
    <col min="8449" max="8449" width="15.85546875" style="3" customWidth="1"/>
    <col min="8450" max="8450" width="14.85546875" style="3" customWidth="1"/>
    <col min="8451" max="8451" width="13.28515625" style="3" customWidth="1"/>
    <col min="8452" max="8452" width="11.42578125" style="3"/>
    <col min="8453" max="8453" width="13.42578125" style="3" customWidth="1"/>
    <col min="8454" max="8454" width="12.7109375" style="3" customWidth="1"/>
    <col min="8455" max="8455" width="14" style="3" customWidth="1"/>
    <col min="8456" max="8456" width="7.42578125" style="3" customWidth="1"/>
    <col min="8457" max="8704" width="11.42578125" style="3"/>
    <col min="8705" max="8705" width="15.85546875" style="3" customWidth="1"/>
    <col min="8706" max="8706" width="14.85546875" style="3" customWidth="1"/>
    <col min="8707" max="8707" width="13.28515625" style="3" customWidth="1"/>
    <col min="8708" max="8708" width="11.42578125" style="3"/>
    <col min="8709" max="8709" width="13.42578125" style="3" customWidth="1"/>
    <col min="8710" max="8710" width="12.7109375" style="3" customWidth="1"/>
    <col min="8711" max="8711" width="14" style="3" customWidth="1"/>
    <col min="8712" max="8712" width="7.42578125" style="3" customWidth="1"/>
    <col min="8713" max="8960" width="11.42578125" style="3"/>
    <col min="8961" max="8961" width="15.85546875" style="3" customWidth="1"/>
    <col min="8962" max="8962" width="14.85546875" style="3" customWidth="1"/>
    <col min="8963" max="8963" width="13.28515625" style="3" customWidth="1"/>
    <col min="8964" max="8964" width="11.42578125" style="3"/>
    <col min="8965" max="8965" width="13.42578125" style="3" customWidth="1"/>
    <col min="8966" max="8966" width="12.7109375" style="3" customWidth="1"/>
    <col min="8967" max="8967" width="14" style="3" customWidth="1"/>
    <col min="8968" max="8968" width="7.42578125" style="3" customWidth="1"/>
    <col min="8969" max="9216" width="11.42578125" style="3"/>
    <col min="9217" max="9217" width="15.85546875" style="3" customWidth="1"/>
    <col min="9218" max="9218" width="14.85546875" style="3" customWidth="1"/>
    <col min="9219" max="9219" width="13.28515625" style="3" customWidth="1"/>
    <col min="9220" max="9220" width="11.42578125" style="3"/>
    <col min="9221" max="9221" width="13.42578125" style="3" customWidth="1"/>
    <col min="9222" max="9222" width="12.7109375" style="3" customWidth="1"/>
    <col min="9223" max="9223" width="14" style="3" customWidth="1"/>
    <col min="9224" max="9224" width="7.42578125" style="3" customWidth="1"/>
    <col min="9225" max="9472" width="11.42578125" style="3"/>
    <col min="9473" max="9473" width="15.85546875" style="3" customWidth="1"/>
    <col min="9474" max="9474" width="14.85546875" style="3" customWidth="1"/>
    <col min="9475" max="9475" width="13.28515625" style="3" customWidth="1"/>
    <col min="9476" max="9476" width="11.42578125" style="3"/>
    <col min="9477" max="9477" width="13.42578125" style="3" customWidth="1"/>
    <col min="9478" max="9478" width="12.7109375" style="3" customWidth="1"/>
    <col min="9479" max="9479" width="14" style="3" customWidth="1"/>
    <col min="9480" max="9480" width="7.42578125" style="3" customWidth="1"/>
    <col min="9481" max="9728" width="11.42578125" style="3"/>
    <col min="9729" max="9729" width="15.85546875" style="3" customWidth="1"/>
    <col min="9730" max="9730" width="14.85546875" style="3" customWidth="1"/>
    <col min="9731" max="9731" width="13.28515625" style="3" customWidth="1"/>
    <col min="9732" max="9732" width="11.42578125" style="3"/>
    <col min="9733" max="9733" width="13.42578125" style="3" customWidth="1"/>
    <col min="9734" max="9734" width="12.7109375" style="3" customWidth="1"/>
    <col min="9735" max="9735" width="14" style="3" customWidth="1"/>
    <col min="9736" max="9736" width="7.42578125" style="3" customWidth="1"/>
    <col min="9737" max="9984" width="11.42578125" style="3"/>
    <col min="9985" max="9985" width="15.85546875" style="3" customWidth="1"/>
    <col min="9986" max="9986" width="14.85546875" style="3" customWidth="1"/>
    <col min="9987" max="9987" width="13.28515625" style="3" customWidth="1"/>
    <col min="9988" max="9988" width="11.42578125" style="3"/>
    <col min="9989" max="9989" width="13.42578125" style="3" customWidth="1"/>
    <col min="9990" max="9990" width="12.7109375" style="3" customWidth="1"/>
    <col min="9991" max="9991" width="14" style="3" customWidth="1"/>
    <col min="9992" max="9992" width="7.42578125" style="3" customWidth="1"/>
    <col min="9993" max="10240" width="11.42578125" style="3"/>
    <col min="10241" max="10241" width="15.85546875" style="3" customWidth="1"/>
    <col min="10242" max="10242" width="14.85546875" style="3" customWidth="1"/>
    <col min="10243" max="10243" width="13.28515625" style="3" customWidth="1"/>
    <col min="10244" max="10244" width="11.42578125" style="3"/>
    <col min="10245" max="10245" width="13.42578125" style="3" customWidth="1"/>
    <col min="10246" max="10246" width="12.7109375" style="3" customWidth="1"/>
    <col min="10247" max="10247" width="14" style="3" customWidth="1"/>
    <col min="10248" max="10248" width="7.42578125" style="3" customWidth="1"/>
    <col min="10249" max="10496" width="11.42578125" style="3"/>
    <col min="10497" max="10497" width="15.85546875" style="3" customWidth="1"/>
    <col min="10498" max="10498" width="14.85546875" style="3" customWidth="1"/>
    <col min="10499" max="10499" width="13.28515625" style="3" customWidth="1"/>
    <col min="10500" max="10500" width="11.42578125" style="3"/>
    <col min="10501" max="10501" width="13.42578125" style="3" customWidth="1"/>
    <col min="10502" max="10502" width="12.7109375" style="3" customWidth="1"/>
    <col min="10503" max="10503" width="14" style="3" customWidth="1"/>
    <col min="10504" max="10504" width="7.42578125" style="3" customWidth="1"/>
    <col min="10505" max="10752" width="11.42578125" style="3"/>
    <col min="10753" max="10753" width="15.85546875" style="3" customWidth="1"/>
    <col min="10754" max="10754" width="14.85546875" style="3" customWidth="1"/>
    <col min="10755" max="10755" width="13.28515625" style="3" customWidth="1"/>
    <col min="10756" max="10756" width="11.42578125" style="3"/>
    <col min="10757" max="10757" width="13.42578125" style="3" customWidth="1"/>
    <col min="10758" max="10758" width="12.7109375" style="3" customWidth="1"/>
    <col min="10759" max="10759" width="14" style="3" customWidth="1"/>
    <col min="10760" max="10760" width="7.42578125" style="3" customWidth="1"/>
    <col min="10761" max="11008" width="11.42578125" style="3"/>
    <col min="11009" max="11009" width="15.85546875" style="3" customWidth="1"/>
    <col min="11010" max="11010" width="14.85546875" style="3" customWidth="1"/>
    <col min="11011" max="11011" width="13.28515625" style="3" customWidth="1"/>
    <col min="11012" max="11012" width="11.42578125" style="3"/>
    <col min="11013" max="11013" width="13.42578125" style="3" customWidth="1"/>
    <col min="11014" max="11014" width="12.7109375" style="3" customWidth="1"/>
    <col min="11015" max="11015" width="14" style="3" customWidth="1"/>
    <col min="11016" max="11016" width="7.42578125" style="3" customWidth="1"/>
    <col min="11017" max="11264" width="11.42578125" style="3"/>
    <col min="11265" max="11265" width="15.85546875" style="3" customWidth="1"/>
    <col min="11266" max="11266" width="14.85546875" style="3" customWidth="1"/>
    <col min="11267" max="11267" width="13.28515625" style="3" customWidth="1"/>
    <col min="11268" max="11268" width="11.42578125" style="3"/>
    <col min="11269" max="11269" width="13.42578125" style="3" customWidth="1"/>
    <col min="11270" max="11270" width="12.7109375" style="3" customWidth="1"/>
    <col min="11271" max="11271" width="14" style="3" customWidth="1"/>
    <col min="11272" max="11272" width="7.42578125" style="3" customWidth="1"/>
    <col min="11273" max="11520" width="11.42578125" style="3"/>
    <col min="11521" max="11521" width="15.85546875" style="3" customWidth="1"/>
    <col min="11522" max="11522" width="14.85546875" style="3" customWidth="1"/>
    <col min="11523" max="11523" width="13.28515625" style="3" customWidth="1"/>
    <col min="11524" max="11524" width="11.42578125" style="3"/>
    <col min="11525" max="11525" width="13.42578125" style="3" customWidth="1"/>
    <col min="11526" max="11526" width="12.7109375" style="3" customWidth="1"/>
    <col min="11527" max="11527" width="14" style="3" customWidth="1"/>
    <col min="11528" max="11528" width="7.42578125" style="3" customWidth="1"/>
    <col min="11529" max="11776" width="11.42578125" style="3"/>
    <col min="11777" max="11777" width="15.85546875" style="3" customWidth="1"/>
    <col min="11778" max="11778" width="14.85546875" style="3" customWidth="1"/>
    <col min="11779" max="11779" width="13.28515625" style="3" customWidth="1"/>
    <col min="11780" max="11780" width="11.42578125" style="3"/>
    <col min="11781" max="11781" width="13.42578125" style="3" customWidth="1"/>
    <col min="11782" max="11782" width="12.7109375" style="3" customWidth="1"/>
    <col min="11783" max="11783" width="14" style="3" customWidth="1"/>
    <col min="11784" max="11784" width="7.42578125" style="3" customWidth="1"/>
    <col min="11785" max="12032" width="11.42578125" style="3"/>
    <col min="12033" max="12033" width="15.85546875" style="3" customWidth="1"/>
    <col min="12034" max="12034" width="14.85546875" style="3" customWidth="1"/>
    <col min="12035" max="12035" width="13.28515625" style="3" customWidth="1"/>
    <col min="12036" max="12036" width="11.42578125" style="3"/>
    <col min="12037" max="12037" width="13.42578125" style="3" customWidth="1"/>
    <col min="12038" max="12038" width="12.7109375" style="3" customWidth="1"/>
    <col min="12039" max="12039" width="14" style="3" customWidth="1"/>
    <col min="12040" max="12040" width="7.42578125" style="3" customWidth="1"/>
    <col min="12041" max="12288" width="11.42578125" style="3"/>
    <col min="12289" max="12289" width="15.85546875" style="3" customWidth="1"/>
    <col min="12290" max="12290" width="14.85546875" style="3" customWidth="1"/>
    <col min="12291" max="12291" width="13.28515625" style="3" customWidth="1"/>
    <col min="12292" max="12292" width="11.42578125" style="3"/>
    <col min="12293" max="12293" width="13.42578125" style="3" customWidth="1"/>
    <col min="12294" max="12294" width="12.7109375" style="3" customWidth="1"/>
    <col min="12295" max="12295" width="14" style="3" customWidth="1"/>
    <col min="12296" max="12296" width="7.42578125" style="3" customWidth="1"/>
    <col min="12297" max="12544" width="11.42578125" style="3"/>
    <col min="12545" max="12545" width="15.85546875" style="3" customWidth="1"/>
    <col min="12546" max="12546" width="14.85546875" style="3" customWidth="1"/>
    <col min="12547" max="12547" width="13.28515625" style="3" customWidth="1"/>
    <col min="12548" max="12548" width="11.42578125" style="3"/>
    <col min="12549" max="12549" width="13.42578125" style="3" customWidth="1"/>
    <col min="12550" max="12550" width="12.7109375" style="3" customWidth="1"/>
    <col min="12551" max="12551" width="14" style="3" customWidth="1"/>
    <col min="12552" max="12552" width="7.42578125" style="3" customWidth="1"/>
    <col min="12553" max="12800" width="11.42578125" style="3"/>
    <col min="12801" max="12801" width="15.85546875" style="3" customWidth="1"/>
    <col min="12802" max="12802" width="14.85546875" style="3" customWidth="1"/>
    <col min="12803" max="12803" width="13.28515625" style="3" customWidth="1"/>
    <col min="12804" max="12804" width="11.42578125" style="3"/>
    <col min="12805" max="12805" width="13.42578125" style="3" customWidth="1"/>
    <col min="12806" max="12806" width="12.7109375" style="3" customWidth="1"/>
    <col min="12807" max="12807" width="14" style="3" customWidth="1"/>
    <col min="12808" max="12808" width="7.42578125" style="3" customWidth="1"/>
    <col min="12809" max="13056" width="11.42578125" style="3"/>
    <col min="13057" max="13057" width="15.85546875" style="3" customWidth="1"/>
    <col min="13058" max="13058" width="14.85546875" style="3" customWidth="1"/>
    <col min="13059" max="13059" width="13.28515625" style="3" customWidth="1"/>
    <col min="13060" max="13060" width="11.42578125" style="3"/>
    <col min="13061" max="13061" width="13.42578125" style="3" customWidth="1"/>
    <col min="13062" max="13062" width="12.7109375" style="3" customWidth="1"/>
    <col min="13063" max="13063" width="14" style="3" customWidth="1"/>
    <col min="13064" max="13064" width="7.42578125" style="3" customWidth="1"/>
    <col min="13065" max="13312" width="11.42578125" style="3"/>
    <col min="13313" max="13313" width="15.85546875" style="3" customWidth="1"/>
    <col min="13314" max="13314" width="14.85546875" style="3" customWidth="1"/>
    <col min="13315" max="13315" width="13.28515625" style="3" customWidth="1"/>
    <col min="13316" max="13316" width="11.42578125" style="3"/>
    <col min="13317" max="13317" width="13.42578125" style="3" customWidth="1"/>
    <col min="13318" max="13318" width="12.7109375" style="3" customWidth="1"/>
    <col min="13319" max="13319" width="14" style="3" customWidth="1"/>
    <col min="13320" max="13320" width="7.42578125" style="3" customWidth="1"/>
    <col min="13321" max="13568" width="11.42578125" style="3"/>
    <col min="13569" max="13569" width="15.85546875" style="3" customWidth="1"/>
    <col min="13570" max="13570" width="14.85546875" style="3" customWidth="1"/>
    <col min="13571" max="13571" width="13.28515625" style="3" customWidth="1"/>
    <col min="13572" max="13572" width="11.42578125" style="3"/>
    <col min="13573" max="13573" width="13.42578125" style="3" customWidth="1"/>
    <col min="13574" max="13574" width="12.7109375" style="3" customWidth="1"/>
    <col min="13575" max="13575" width="14" style="3" customWidth="1"/>
    <col min="13576" max="13576" width="7.42578125" style="3" customWidth="1"/>
    <col min="13577" max="13824" width="11.42578125" style="3"/>
    <col min="13825" max="13825" width="15.85546875" style="3" customWidth="1"/>
    <col min="13826" max="13826" width="14.85546875" style="3" customWidth="1"/>
    <col min="13827" max="13827" width="13.28515625" style="3" customWidth="1"/>
    <col min="13828" max="13828" width="11.42578125" style="3"/>
    <col min="13829" max="13829" width="13.42578125" style="3" customWidth="1"/>
    <col min="13830" max="13830" width="12.7109375" style="3" customWidth="1"/>
    <col min="13831" max="13831" width="14" style="3" customWidth="1"/>
    <col min="13832" max="13832" width="7.42578125" style="3" customWidth="1"/>
    <col min="13833" max="14080" width="11.42578125" style="3"/>
    <col min="14081" max="14081" width="15.85546875" style="3" customWidth="1"/>
    <col min="14082" max="14082" width="14.85546875" style="3" customWidth="1"/>
    <col min="14083" max="14083" width="13.28515625" style="3" customWidth="1"/>
    <col min="14084" max="14084" width="11.42578125" style="3"/>
    <col min="14085" max="14085" width="13.42578125" style="3" customWidth="1"/>
    <col min="14086" max="14086" width="12.7109375" style="3" customWidth="1"/>
    <col min="14087" max="14087" width="14" style="3" customWidth="1"/>
    <col min="14088" max="14088" width="7.42578125" style="3" customWidth="1"/>
    <col min="14089" max="14336" width="11.42578125" style="3"/>
    <col min="14337" max="14337" width="15.85546875" style="3" customWidth="1"/>
    <col min="14338" max="14338" width="14.85546875" style="3" customWidth="1"/>
    <col min="14339" max="14339" width="13.28515625" style="3" customWidth="1"/>
    <col min="14340" max="14340" width="11.42578125" style="3"/>
    <col min="14341" max="14341" width="13.42578125" style="3" customWidth="1"/>
    <col min="14342" max="14342" width="12.7109375" style="3" customWidth="1"/>
    <col min="14343" max="14343" width="14" style="3" customWidth="1"/>
    <col min="14344" max="14344" width="7.42578125" style="3" customWidth="1"/>
    <col min="14345" max="14592" width="11.42578125" style="3"/>
    <col min="14593" max="14593" width="15.85546875" style="3" customWidth="1"/>
    <col min="14594" max="14594" width="14.85546875" style="3" customWidth="1"/>
    <col min="14595" max="14595" width="13.28515625" style="3" customWidth="1"/>
    <col min="14596" max="14596" width="11.42578125" style="3"/>
    <col min="14597" max="14597" width="13.42578125" style="3" customWidth="1"/>
    <col min="14598" max="14598" width="12.7109375" style="3" customWidth="1"/>
    <col min="14599" max="14599" width="14" style="3" customWidth="1"/>
    <col min="14600" max="14600" width="7.42578125" style="3" customWidth="1"/>
    <col min="14601" max="14848" width="11.42578125" style="3"/>
    <col min="14849" max="14849" width="15.85546875" style="3" customWidth="1"/>
    <col min="14850" max="14850" width="14.85546875" style="3" customWidth="1"/>
    <col min="14851" max="14851" width="13.28515625" style="3" customWidth="1"/>
    <col min="14852" max="14852" width="11.42578125" style="3"/>
    <col min="14853" max="14853" width="13.42578125" style="3" customWidth="1"/>
    <col min="14854" max="14854" width="12.7109375" style="3" customWidth="1"/>
    <col min="14855" max="14855" width="14" style="3" customWidth="1"/>
    <col min="14856" max="14856" width="7.42578125" style="3" customWidth="1"/>
    <col min="14857" max="15104" width="11.42578125" style="3"/>
    <col min="15105" max="15105" width="15.85546875" style="3" customWidth="1"/>
    <col min="15106" max="15106" width="14.85546875" style="3" customWidth="1"/>
    <col min="15107" max="15107" width="13.28515625" style="3" customWidth="1"/>
    <col min="15108" max="15108" width="11.42578125" style="3"/>
    <col min="15109" max="15109" width="13.42578125" style="3" customWidth="1"/>
    <col min="15110" max="15110" width="12.7109375" style="3" customWidth="1"/>
    <col min="15111" max="15111" width="14" style="3" customWidth="1"/>
    <col min="15112" max="15112" width="7.42578125" style="3" customWidth="1"/>
    <col min="15113" max="15360" width="11.42578125" style="3"/>
    <col min="15361" max="15361" width="15.85546875" style="3" customWidth="1"/>
    <col min="15362" max="15362" width="14.85546875" style="3" customWidth="1"/>
    <col min="15363" max="15363" width="13.28515625" style="3" customWidth="1"/>
    <col min="15364" max="15364" width="11.42578125" style="3"/>
    <col min="15365" max="15365" width="13.42578125" style="3" customWidth="1"/>
    <col min="15366" max="15366" width="12.7109375" style="3" customWidth="1"/>
    <col min="15367" max="15367" width="14" style="3" customWidth="1"/>
    <col min="15368" max="15368" width="7.42578125" style="3" customWidth="1"/>
    <col min="15369" max="15616" width="11.42578125" style="3"/>
    <col min="15617" max="15617" width="15.85546875" style="3" customWidth="1"/>
    <col min="15618" max="15618" width="14.85546875" style="3" customWidth="1"/>
    <col min="15619" max="15619" width="13.28515625" style="3" customWidth="1"/>
    <col min="15620" max="15620" width="11.42578125" style="3"/>
    <col min="15621" max="15621" width="13.42578125" style="3" customWidth="1"/>
    <col min="15622" max="15622" width="12.7109375" style="3" customWidth="1"/>
    <col min="15623" max="15623" width="14" style="3" customWidth="1"/>
    <col min="15624" max="15624" width="7.42578125" style="3" customWidth="1"/>
    <col min="15625" max="15872" width="11.42578125" style="3"/>
    <col min="15873" max="15873" width="15.85546875" style="3" customWidth="1"/>
    <col min="15874" max="15874" width="14.85546875" style="3" customWidth="1"/>
    <col min="15875" max="15875" width="13.28515625" style="3" customWidth="1"/>
    <col min="15876" max="15876" width="11.42578125" style="3"/>
    <col min="15877" max="15877" width="13.42578125" style="3" customWidth="1"/>
    <col min="15878" max="15878" width="12.7109375" style="3" customWidth="1"/>
    <col min="15879" max="15879" width="14" style="3" customWidth="1"/>
    <col min="15880" max="15880" width="7.42578125" style="3" customWidth="1"/>
    <col min="15881" max="16128" width="11.42578125" style="3"/>
    <col min="16129" max="16129" width="15.85546875" style="3" customWidth="1"/>
    <col min="16130" max="16130" width="14.85546875" style="3" customWidth="1"/>
    <col min="16131" max="16131" width="13.28515625" style="3" customWidth="1"/>
    <col min="16132" max="16132" width="11.42578125" style="3"/>
    <col min="16133" max="16133" width="13.42578125" style="3" customWidth="1"/>
    <col min="16134" max="16134" width="12.7109375" style="3" customWidth="1"/>
    <col min="16135" max="16135" width="14" style="3" customWidth="1"/>
    <col min="16136" max="16136" width="7.42578125" style="3" customWidth="1"/>
    <col min="16137" max="16384" width="11.42578125" style="3"/>
  </cols>
  <sheetData>
    <row r="1" spans="1:21" ht="20.25">
      <c r="A1" s="1346" t="str">
        <f>PPTO!D3</f>
        <v>PRESUPUESTO
MUNICIPIO EL BAGRE (ANTIOQUIA).</v>
      </c>
      <c r="B1" s="1347"/>
      <c r="C1" s="1347"/>
      <c r="D1" s="1347"/>
      <c r="E1" s="1347"/>
      <c r="F1" s="1347"/>
      <c r="G1" s="1348"/>
      <c r="H1" s="1"/>
      <c r="I1" s="2"/>
    </row>
    <row r="2" spans="1:21" ht="18" customHeight="1">
      <c r="A2" s="1362" t="s">
        <v>16</v>
      </c>
      <c r="B2" s="1363"/>
      <c r="C2" s="1363"/>
      <c r="D2" s="1363"/>
      <c r="E2" s="1363"/>
      <c r="F2" s="1363"/>
      <c r="G2" s="1364"/>
      <c r="H2" s="1"/>
      <c r="I2" s="2"/>
    </row>
    <row r="3" spans="1:21" ht="27" customHeight="1">
      <c r="A3" s="1367" t="str">
        <f>+PPTO!$D$5</f>
        <v>PROYECTO DE MEJORAMIENTO VIAL, ESPACIO PUBLICO Y OBRAS COMPLEMENTARIAS DE LA AVENIDA LA JUVENTUD Y TRAMOS ADYACENTES Y PRIORITARIOS DEL SECTOR URBANO EN EL MUNICIPIO EL BAGRE ANTIOQUIA.</v>
      </c>
      <c r="B3" s="1368"/>
      <c r="C3" s="1368"/>
      <c r="D3" s="1368"/>
      <c r="E3" s="1368"/>
      <c r="F3" s="1368"/>
      <c r="G3" s="1369"/>
      <c r="H3" s="1"/>
      <c r="I3" s="2"/>
    </row>
    <row r="4" spans="1:21">
      <c r="A4" s="1370"/>
      <c r="B4" s="1368"/>
      <c r="C4" s="1368"/>
      <c r="D4" s="1368"/>
      <c r="E4" s="1368"/>
      <c r="F4" s="1368"/>
      <c r="G4" s="1369"/>
      <c r="H4" s="1"/>
      <c r="I4" s="2"/>
    </row>
    <row r="5" spans="1:21" ht="6.75" customHeight="1">
      <c r="A5" s="222"/>
      <c r="B5" s="6"/>
      <c r="C5" s="24"/>
      <c r="D5" s="25"/>
      <c r="E5" s="6"/>
      <c r="F5" s="6"/>
      <c r="G5" s="223"/>
      <c r="H5" s="9"/>
    </row>
    <row r="6" spans="1:21">
      <c r="A6" s="371" t="s">
        <v>257</v>
      </c>
      <c r="B6" s="1349" t="e">
        <f>VLOOKUP(A6,PPTO!D9:I136,2,FALSE)</f>
        <v>#N/A</v>
      </c>
      <c r="C6" s="1350"/>
      <c r="D6" s="1350"/>
      <c r="E6" s="1351"/>
      <c r="F6" s="192" t="s">
        <v>118</v>
      </c>
      <c r="G6" s="248" t="e">
        <f>VLOOKUP(A6,PPTO!D9:I136,3,FALSE)</f>
        <v>#N/A</v>
      </c>
      <c r="H6" s="9"/>
    </row>
    <row r="7" spans="1:21" ht="3.75" customHeight="1">
      <c r="A7" s="226"/>
      <c r="B7" s="4"/>
      <c r="C7" s="6"/>
      <c r="D7" s="4"/>
      <c r="E7" s="4"/>
      <c r="F7" s="4"/>
      <c r="G7" s="227"/>
      <c r="H7" s="9"/>
    </row>
    <row r="8" spans="1:21" ht="22.5" customHeight="1">
      <c r="A8" s="1354" t="s">
        <v>69</v>
      </c>
      <c r="B8" s="1355"/>
      <c r="C8" s="1355"/>
      <c r="D8" s="1355"/>
      <c r="E8" s="1355"/>
      <c r="F8" s="1355"/>
      <c r="G8" s="1356"/>
      <c r="H8" s="9"/>
    </row>
    <row r="9" spans="1:21" ht="4.5" customHeight="1">
      <c r="A9" s="226"/>
      <c r="B9" s="4"/>
      <c r="C9" s="6"/>
      <c r="D9" s="4"/>
      <c r="E9" s="4"/>
      <c r="F9" s="4"/>
      <c r="G9" s="227"/>
      <c r="H9" s="9"/>
      <c r="I9" s="5"/>
      <c r="J9" s="5"/>
      <c r="K9" s="5"/>
      <c r="L9" s="26"/>
      <c r="M9" s="5"/>
      <c r="N9" s="5"/>
      <c r="O9" s="5"/>
      <c r="P9" s="5"/>
    </row>
    <row r="10" spans="1:21">
      <c r="A10" s="1373" t="s">
        <v>17</v>
      </c>
      <c r="B10" s="1374"/>
      <c r="C10" s="1374"/>
      <c r="D10" s="882" t="s">
        <v>18</v>
      </c>
      <c r="E10" s="882" t="s">
        <v>19</v>
      </c>
      <c r="F10" s="882" t="s">
        <v>20</v>
      </c>
      <c r="G10" s="228" t="s">
        <v>21</v>
      </c>
      <c r="H10" s="27"/>
      <c r="I10" s="28"/>
      <c r="J10" s="29"/>
      <c r="K10" s="30"/>
      <c r="L10" s="30"/>
      <c r="M10" s="30"/>
      <c r="N10" s="30"/>
      <c r="O10" s="30"/>
      <c r="P10" s="5"/>
    </row>
    <row r="11" spans="1:21">
      <c r="A11" s="1352" t="s">
        <v>47</v>
      </c>
      <c r="B11" s="1353"/>
      <c r="C11" s="1353"/>
      <c r="D11" s="882"/>
      <c r="E11" s="83"/>
      <c r="F11" s="97"/>
      <c r="G11" s="229">
        <f>+G39*10%</f>
        <v>15271</v>
      </c>
      <c r="H11" s="9"/>
      <c r="I11" s="30"/>
      <c r="J11" s="31"/>
      <c r="K11" s="30"/>
      <c r="L11" s="30"/>
      <c r="M11" s="30"/>
      <c r="N11" s="30"/>
      <c r="O11" s="30"/>
      <c r="P11" s="5"/>
    </row>
    <row r="12" spans="1:21">
      <c r="A12" s="1371"/>
      <c r="B12" s="1372"/>
      <c r="C12" s="1372"/>
      <c r="D12" s="83"/>
      <c r="E12" s="83"/>
      <c r="F12" s="93"/>
      <c r="G12" s="229"/>
      <c r="H12" s="9"/>
      <c r="I12" s="16"/>
      <c r="J12" s="13"/>
      <c r="K12" s="8"/>
      <c r="L12" s="8"/>
      <c r="M12" s="8"/>
      <c r="N12" s="8"/>
      <c r="O12" s="8"/>
      <c r="P12" s="5"/>
    </row>
    <row r="13" spans="1:21">
      <c r="A13" s="1371"/>
      <c r="B13" s="1372"/>
      <c r="C13" s="1372"/>
      <c r="D13" s="83"/>
      <c r="E13" s="83"/>
      <c r="F13" s="93"/>
      <c r="G13" s="229"/>
      <c r="H13" s="9"/>
      <c r="I13" s="13"/>
      <c r="J13" s="13"/>
      <c r="K13" s="13"/>
      <c r="L13" s="13"/>
      <c r="M13" s="13"/>
      <c r="N13" s="13"/>
      <c r="O13" s="13"/>
      <c r="P13" s="5"/>
    </row>
    <row r="14" spans="1:21">
      <c r="A14" s="1371"/>
      <c r="B14" s="1372"/>
      <c r="C14" s="1372"/>
      <c r="D14" s="83"/>
      <c r="E14" s="83"/>
      <c r="F14" s="93"/>
      <c r="G14" s="229"/>
      <c r="H14" s="9"/>
      <c r="I14" s="8"/>
      <c r="J14" s="14"/>
      <c r="K14" s="32"/>
      <c r="L14" s="14"/>
      <c r="M14" s="15"/>
      <c r="N14" s="15"/>
      <c r="O14" s="19"/>
      <c r="P14" s="5"/>
    </row>
    <row r="15" spans="1:21">
      <c r="A15" s="1371"/>
      <c r="B15" s="1372"/>
      <c r="C15" s="1372"/>
      <c r="D15" s="83"/>
      <c r="E15" s="83"/>
      <c r="F15" s="98"/>
      <c r="G15" s="229"/>
      <c r="H15" s="9"/>
      <c r="I15" s="8"/>
      <c r="J15" s="33"/>
      <c r="K15" s="32"/>
      <c r="L15" s="14"/>
      <c r="M15" s="15"/>
      <c r="N15" s="15"/>
      <c r="O15" s="19"/>
      <c r="P15" s="5"/>
      <c r="Q15" s="5"/>
      <c r="R15" s="5"/>
      <c r="S15" s="5"/>
      <c r="T15" s="5"/>
      <c r="U15" s="5"/>
    </row>
    <row r="16" spans="1:21">
      <c r="A16" s="1371"/>
      <c r="B16" s="1372"/>
      <c r="C16" s="1372"/>
      <c r="D16" s="85" t="s">
        <v>37</v>
      </c>
      <c r="E16" s="50"/>
      <c r="F16" s="49"/>
      <c r="G16" s="230">
        <f>SUM(G11:G15)</f>
        <v>15271</v>
      </c>
      <c r="H16" s="9"/>
      <c r="I16" s="34"/>
      <c r="J16" s="34"/>
      <c r="K16" s="35"/>
      <c r="L16" s="36"/>
      <c r="M16" s="7"/>
      <c r="N16" s="7"/>
      <c r="O16" s="19"/>
      <c r="P16" s="5"/>
      <c r="Q16" s="5"/>
      <c r="R16" s="5"/>
      <c r="S16" s="5"/>
      <c r="T16" s="5"/>
      <c r="U16" s="5"/>
    </row>
    <row r="17" spans="1:21" ht="4.5" customHeight="1">
      <c r="A17" s="226"/>
      <c r="B17" s="4"/>
      <c r="C17" s="6"/>
      <c r="D17" s="4"/>
      <c r="E17" s="4"/>
      <c r="F17" s="4"/>
      <c r="G17" s="227"/>
      <c r="H17" s="9"/>
      <c r="I17" s="34"/>
      <c r="J17" s="34"/>
      <c r="K17" s="35"/>
      <c r="L17" s="36"/>
      <c r="M17" s="7"/>
      <c r="N17" s="7"/>
      <c r="O17" s="19"/>
      <c r="P17" s="5"/>
      <c r="Q17" s="5"/>
      <c r="R17" s="5"/>
      <c r="S17" s="5"/>
      <c r="T17" s="5"/>
      <c r="U17" s="5"/>
    </row>
    <row r="18" spans="1:21" ht="22.5" customHeight="1">
      <c r="A18" s="1354" t="s">
        <v>70</v>
      </c>
      <c r="B18" s="1355"/>
      <c r="C18" s="1355"/>
      <c r="D18" s="1355"/>
      <c r="E18" s="1355"/>
      <c r="F18" s="1355"/>
      <c r="G18" s="1356"/>
      <c r="H18" s="9"/>
    </row>
    <row r="19" spans="1:21" ht="4.5" customHeight="1">
      <c r="A19" s="226"/>
      <c r="B19" s="4"/>
      <c r="C19" s="6"/>
      <c r="D19" s="4"/>
      <c r="E19" s="4"/>
      <c r="F19" s="38"/>
      <c r="G19" s="227"/>
      <c r="H19" s="9"/>
      <c r="I19" s="34"/>
      <c r="J19" s="34"/>
      <c r="K19" s="35"/>
      <c r="L19" s="39"/>
      <c r="M19" s="7"/>
      <c r="N19" s="7"/>
      <c r="O19" s="8"/>
      <c r="P19" s="5"/>
      <c r="Q19" s="5"/>
      <c r="R19" s="5"/>
      <c r="S19" s="5"/>
      <c r="T19" s="5"/>
      <c r="U19" s="5"/>
    </row>
    <row r="20" spans="1:21">
      <c r="A20" s="1373" t="s">
        <v>17</v>
      </c>
      <c r="B20" s="1374"/>
      <c r="C20" s="1374"/>
      <c r="D20" s="882" t="s">
        <v>3</v>
      </c>
      <c r="E20" s="882" t="s">
        <v>4</v>
      </c>
      <c r="F20" s="882" t="s">
        <v>25</v>
      </c>
      <c r="G20" s="228" t="s">
        <v>21</v>
      </c>
      <c r="H20" s="27"/>
      <c r="I20" s="34"/>
      <c r="J20" s="34"/>
      <c r="K20" s="35"/>
      <c r="L20" s="39"/>
      <c r="M20" s="7"/>
      <c r="N20" s="7"/>
      <c r="O20" s="8"/>
      <c r="P20" s="5"/>
      <c r="Q20" s="5"/>
      <c r="R20" s="5"/>
      <c r="S20" s="5"/>
      <c r="T20" s="5"/>
      <c r="U20" s="5"/>
    </row>
    <row r="21" spans="1:21" ht="24.75" customHeight="1">
      <c r="A21" s="1441" t="e">
        <f>MID(I21,25,50)</f>
        <v>#N/A</v>
      </c>
      <c r="B21" s="1442"/>
      <c r="C21" s="1443"/>
      <c r="D21" s="118" t="s">
        <v>119</v>
      </c>
      <c r="E21" s="119">
        <v>1</v>
      </c>
      <c r="F21" s="87">
        <f>285560*IPC</f>
        <v>294641</v>
      </c>
      <c r="G21" s="231">
        <f>ROUND(F21*E21,0)</f>
        <v>294641</v>
      </c>
      <c r="H21" s="9"/>
      <c r="I21" s="34" t="e">
        <f>B6</f>
        <v>#N/A</v>
      </c>
      <c r="J21" s="34"/>
      <c r="K21" s="35"/>
      <c r="L21" s="36"/>
      <c r="M21" s="7"/>
      <c r="N21" s="7"/>
      <c r="O21" s="19"/>
      <c r="P21" s="5"/>
      <c r="Q21" s="5"/>
      <c r="R21" s="5"/>
      <c r="S21" s="5"/>
      <c r="T21" s="5"/>
      <c r="U21" s="5"/>
    </row>
    <row r="22" spans="1:21">
      <c r="A22" s="1444"/>
      <c r="B22" s="1403"/>
      <c r="C22" s="1404"/>
      <c r="D22" s="116"/>
      <c r="E22" s="117"/>
      <c r="F22" s="91"/>
      <c r="G22" s="231"/>
      <c r="H22" s="9"/>
      <c r="I22" s="10"/>
      <c r="J22" s="10"/>
      <c r="K22" s="12"/>
      <c r="L22" s="39"/>
      <c r="M22" s="7"/>
      <c r="N22" s="7"/>
      <c r="O22" s="15"/>
      <c r="P22" s="5"/>
      <c r="Q22" s="5"/>
      <c r="R22" s="5"/>
      <c r="S22" s="5"/>
      <c r="T22" s="5"/>
      <c r="U22" s="5"/>
    </row>
    <row r="23" spans="1:21">
      <c r="A23" s="1386"/>
      <c r="B23" s="1353"/>
      <c r="C23" s="1353"/>
      <c r="D23" s="79"/>
      <c r="E23" s="82"/>
      <c r="F23" s="83"/>
      <c r="G23" s="67"/>
      <c r="H23" s="9"/>
      <c r="I23" s="10"/>
      <c r="J23" s="10"/>
      <c r="K23" s="12"/>
      <c r="L23" s="39"/>
      <c r="M23" s="7"/>
      <c r="N23" s="7"/>
      <c r="O23" s="15"/>
      <c r="P23" s="5"/>
      <c r="Q23" s="5"/>
      <c r="R23" s="5"/>
      <c r="S23" s="5"/>
      <c r="T23" s="5"/>
      <c r="U23" s="5"/>
    </row>
    <row r="24" spans="1:21">
      <c r="A24" s="1352"/>
      <c r="B24" s="1353"/>
      <c r="C24" s="1353"/>
      <c r="D24" s="81"/>
      <c r="E24" s="88"/>
      <c r="F24" s="78"/>
      <c r="G24" s="231"/>
      <c r="H24" s="9"/>
      <c r="I24" s="10"/>
      <c r="J24" s="40"/>
      <c r="K24" s="12"/>
      <c r="L24" s="13"/>
      <c r="M24" s="14"/>
      <c r="N24" s="14"/>
      <c r="O24" s="15"/>
      <c r="P24" s="5"/>
      <c r="Q24" s="5"/>
      <c r="R24" s="5"/>
      <c r="S24" s="5"/>
      <c r="T24" s="5"/>
      <c r="U24" s="5"/>
    </row>
    <row r="25" spans="1:21">
      <c r="A25" s="1352"/>
      <c r="B25" s="1353"/>
      <c r="C25" s="1353"/>
      <c r="D25" s="81"/>
      <c r="E25" s="82"/>
      <c r="F25" s="78"/>
      <c r="G25" s="231"/>
      <c r="H25" s="9"/>
      <c r="I25" s="10"/>
      <c r="J25" s="11"/>
      <c r="K25" s="12"/>
      <c r="L25" s="13"/>
      <c r="M25" s="14"/>
      <c r="N25" s="14"/>
      <c r="O25" s="15"/>
      <c r="P25" s="5"/>
      <c r="Q25" s="5"/>
      <c r="R25" s="5"/>
      <c r="S25" s="5"/>
      <c r="T25" s="5"/>
      <c r="U25" s="5"/>
    </row>
    <row r="26" spans="1:21">
      <c r="A26" s="1352"/>
      <c r="B26" s="1353"/>
      <c r="C26" s="1353"/>
      <c r="D26" s="79"/>
      <c r="E26" s="82"/>
      <c r="F26" s="78"/>
      <c r="G26" s="231"/>
      <c r="H26" s="9"/>
      <c r="I26" s="10"/>
      <c r="J26" s="11"/>
      <c r="K26" s="12"/>
      <c r="L26" s="13"/>
      <c r="M26" s="14"/>
      <c r="N26" s="14"/>
      <c r="O26" s="15"/>
      <c r="P26" s="5"/>
      <c r="Q26" s="5"/>
      <c r="R26" s="5"/>
      <c r="S26" s="5"/>
      <c r="T26" s="5"/>
      <c r="U26" s="5"/>
    </row>
    <row r="27" spans="1:21">
      <c r="A27" s="1352"/>
      <c r="B27" s="1353"/>
      <c r="C27" s="1353"/>
      <c r="D27" s="79"/>
      <c r="E27" s="82"/>
      <c r="F27" s="78"/>
      <c r="G27" s="231"/>
      <c r="H27" s="9"/>
      <c r="I27" s="10"/>
      <c r="J27" s="11"/>
      <c r="K27" s="12"/>
      <c r="L27" s="13"/>
      <c r="M27" s="14"/>
      <c r="N27" s="14"/>
      <c r="O27" s="15"/>
      <c r="P27" s="5"/>
      <c r="Q27" s="5"/>
      <c r="R27" s="5"/>
      <c r="S27" s="5"/>
      <c r="T27" s="5"/>
      <c r="U27" s="5"/>
    </row>
    <row r="28" spans="1:21">
      <c r="A28" s="1352"/>
      <c r="B28" s="1353"/>
      <c r="C28" s="1353"/>
      <c r="D28" s="79"/>
      <c r="E28" s="82"/>
      <c r="F28" s="83"/>
      <c r="G28" s="231"/>
      <c r="H28" s="9"/>
      <c r="I28" s="41"/>
      <c r="J28" s="41"/>
      <c r="K28" s="12"/>
      <c r="L28" s="13"/>
      <c r="M28" s="14"/>
      <c r="N28" s="14"/>
      <c r="O28" s="15"/>
      <c r="P28" s="5"/>
      <c r="Q28" s="5"/>
      <c r="R28" s="5"/>
      <c r="S28" s="5"/>
      <c r="T28" s="5"/>
      <c r="U28" s="5"/>
    </row>
    <row r="29" spans="1:21">
      <c r="A29" s="1352"/>
      <c r="B29" s="1353"/>
      <c r="C29" s="1353"/>
      <c r="D29" s="84"/>
      <c r="E29" s="84"/>
      <c r="F29" s="83"/>
      <c r="G29" s="231"/>
      <c r="H29" s="9"/>
      <c r="I29" s="42"/>
      <c r="J29" s="42"/>
      <c r="K29" s="42"/>
      <c r="L29" s="13"/>
      <c r="M29" s="14"/>
      <c r="N29" s="14"/>
      <c r="O29" s="15"/>
      <c r="P29" s="5"/>
      <c r="Q29" s="5"/>
      <c r="R29" s="5"/>
      <c r="S29" s="5"/>
      <c r="T29" s="5"/>
      <c r="U29" s="5"/>
    </row>
    <row r="30" spans="1:21">
      <c r="A30" s="1352"/>
      <c r="B30" s="1353"/>
      <c r="C30" s="1353"/>
      <c r="D30" s="85" t="s">
        <v>28</v>
      </c>
      <c r="E30" s="50"/>
      <c r="F30" s="49"/>
      <c r="G30" s="230">
        <f>SUM(G21:G29)</f>
        <v>294641</v>
      </c>
      <c r="H30" s="9"/>
      <c r="I30" s="8"/>
      <c r="J30" s="13"/>
      <c r="K30" s="8"/>
      <c r="L30" s="13"/>
      <c r="M30" s="14"/>
      <c r="N30" s="14"/>
      <c r="O30" s="15"/>
      <c r="P30" s="5"/>
    </row>
    <row r="31" spans="1:21" ht="3.75" customHeight="1">
      <c r="A31" s="226"/>
      <c r="B31" s="4"/>
      <c r="C31" s="6"/>
      <c r="D31" s="4"/>
      <c r="E31" s="4"/>
      <c r="F31" s="4"/>
      <c r="G31" s="227"/>
      <c r="H31" s="9"/>
      <c r="I31" s="8"/>
      <c r="J31" s="13"/>
      <c r="K31" s="18"/>
      <c r="L31" s="13"/>
      <c r="M31" s="33"/>
      <c r="N31" s="33"/>
      <c r="O31" s="15"/>
      <c r="P31" s="5"/>
    </row>
    <row r="32" spans="1:21" ht="22.5" customHeight="1">
      <c r="A32" s="1354" t="s">
        <v>71</v>
      </c>
      <c r="B32" s="1355"/>
      <c r="C32" s="1355"/>
      <c r="D32" s="1355"/>
      <c r="E32" s="1355"/>
      <c r="F32" s="1355"/>
      <c r="G32" s="1356"/>
      <c r="H32" s="9"/>
    </row>
    <row r="33" spans="1:16" ht="3.75" customHeight="1">
      <c r="A33" s="226"/>
      <c r="B33" s="4"/>
      <c r="C33" s="6"/>
      <c r="D33" s="4"/>
      <c r="E33" s="4"/>
      <c r="F33" s="4"/>
      <c r="G33" s="227"/>
      <c r="H33" s="9"/>
      <c r="I33" s="8"/>
      <c r="J33" s="13"/>
      <c r="K33" s="8"/>
      <c r="L33" s="8"/>
      <c r="M33" s="8"/>
      <c r="N33" s="8"/>
      <c r="O33" s="15"/>
      <c r="P33" s="5"/>
    </row>
    <row r="34" spans="1:16">
      <c r="A34" s="232" t="s">
        <v>5</v>
      </c>
      <c r="B34" s="60" t="s">
        <v>29</v>
      </c>
      <c r="C34" s="60" t="s">
        <v>30</v>
      </c>
      <c r="D34" s="60" t="s">
        <v>31</v>
      </c>
      <c r="E34" s="60" t="s">
        <v>32</v>
      </c>
      <c r="F34" s="60" t="s">
        <v>20</v>
      </c>
      <c r="G34" s="228" t="s">
        <v>33</v>
      </c>
      <c r="H34" s="27"/>
      <c r="I34" s="8"/>
      <c r="J34" s="13"/>
      <c r="K34" s="8"/>
      <c r="L34" s="8"/>
      <c r="M34" s="8"/>
      <c r="N34" s="8"/>
      <c r="O34" s="15"/>
      <c r="P34" s="5"/>
    </row>
    <row r="35" spans="1:16">
      <c r="A35" s="233" t="s">
        <v>41</v>
      </c>
      <c r="B35" s="63">
        <f>BOF</f>
        <v>51749</v>
      </c>
      <c r="C35" s="68">
        <f>ffpp</f>
        <v>0.64539999999999997</v>
      </c>
      <c r="D35" s="72">
        <v>1</v>
      </c>
      <c r="E35" s="66">
        <f>OF</f>
        <v>88696</v>
      </c>
      <c r="F35" s="65">
        <v>2</v>
      </c>
      <c r="G35" s="231">
        <f>ROUND(+D35*E35/F35,0)</f>
        <v>44348</v>
      </c>
      <c r="H35" s="9"/>
      <c r="I35" s="16"/>
      <c r="J35" s="13"/>
      <c r="K35" s="8"/>
      <c r="L35" s="8"/>
      <c r="M35" s="8"/>
      <c r="N35" s="8"/>
      <c r="O35" s="15"/>
      <c r="P35" s="5"/>
    </row>
    <row r="36" spans="1:16">
      <c r="A36" s="233" t="s">
        <v>38</v>
      </c>
      <c r="B36" s="63">
        <f>BOB</f>
        <v>41749</v>
      </c>
      <c r="C36" s="68">
        <f>ffpp</f>
        <v>0.64539999999999997</v>
      </c>
      <c r="D36" s="72">
        <v>3</v>
      </c>
      <c r="E36" s="66">
        <f>OB</f>
        <v>72242</v>
      </c>
      <c r="F36" s="65">
        <f>F35</f>
        <v>2</v>
      </c>
      <c r="G36" s="231">
        <f>ROUND(+D36*E36/F36,0)</f>
        <v>108363</v>
      </c>
      <c r="H36" s="9"/>
      <c r="I36" s="8"/>
      <c r="J36" s="8"/>
      <c r="K36" s="13"/>
      <c r="L36" s="13"/>
      <c r="M36" s="13"/>
      <c r="N36" s="13"/>
      <c r="O36" s="13"/>
      <c r="P36" s="5"/>
    </row>
    <row r="37" spans="1:16">
      <c r="A37" s="234"/>
      <c r="B37" s="50"/>
      <c r="C37" s="961"/>
      <c r="D37" s="50"/>
      <c r="E37" s="66"/>
      <c r="F37" s="65"/>
      <c r="G37" s="231"/>
      <c r="H37" s="9"/>
      <c r="I37" s="8"/>
      <c r="J37" s="13"/>
      <c r="K37" s="13"/>
      <c r="L37" s="13"/>
      <c r="M37" s="33"/>
      <c r="N37" s="33"/>
      <c r="O37" s="43"/>
      <c r="P37" s="5"/>
    </row>
    <row r="38" spans="1:16">
      <c r="A38" s="233"/>
      <c r="B38" s="65"/>
      <c r="C38" s="68"/>
      <c r="D38" s="65"/>
      <c r="E38" s="69"/>
      <c r="F38" s="69"/>
      <c r="G38" s="236"/>
      <c r="H38" s="9"/>
      <c r="I38" s="8"/>
      <c r="J38" s="13"/>
      <c r="K38" s="13"/>
      <c r="L38" s="13"/>
      <c r="M38" s="33"/>
      <c r="N38" s="33"/>
      <c r="O38" s="43"/>
      <c r="P38" s="5"/>
    </row>
    <row r="39" spans="1:16">
      <c r="A39" s="249"/>
      <c r="B39" s="71"/>
      <c r="C39" s="71"/>
      <c r="D39" s="71" t="s">
        <v>34</v>
      </c>
      <c r="E39" s="71"/>
      <c r="F39" s="71"/>
      <c r="G39" s="250">
        <f>SUM(G35:G38)</f>
        <v>152711</v>
      </c>
      <c r="H39" s="9"/>
      <c r="I39" s="8"/>
      <c r="J39" s="13"/>
      <c r="K39" s="13"/>
      <c r="L39" s="13"/>
      <c r="M39" s="14"/>
      <c r="N39" s="14"/>
      <c r="O39" s="15"/>
      <c r="P39" s="5"/>
    </row>
    <row r="40" spans="1:16">
      <c r="A40" s="226"/>
      <c r="B40" s="4"/>
      <c r="C40" s="6"/>
      <c r="D40" s="4"/>
      <c r="E40" s="4"/>
      <c r="F40" s="4"/>
      <c r="G40" s="227"/>
      <c r="H40" s="9"/>
      <c r="I40" s="8"/>
      <c r="J40" s="13"/>
      <c r="K40" s="13"/>
      <c r="L40" s="13"/>
      <c r="M40" s="14"/>
      <c r="N40" s="14"/>
      <c r="O40" s="19"/>
      <c r="P40" s="5"/>
    </row>
    <row r="41" spans="1:16">
      <c r="A41" s="226"/>
      <c r="B41" s="4"/>
      <c r="C41" s="6"/>
      <c r="D41" s="4"/>
      <c r="E41" s="4"/>
      <c r="F41" s="4"/>
      <c r="G41" s="227"/>
      <c r="H41" s="9"/>
      <c r="I41" s="8"/>
      <c r="J41" s="13"/>
      <c r="K41" s="13"/>
      <c r="L41" s="13"/>
      <c r="M41" s="17"/>
      <c r="N41" s="17"/>
      <c r="O41" s="37"/>
      <c r="P41" s="5"/>
    </row>
    <row r="42" spans="1:16" ht="14.25">
      <c r="A42" s="226"/>
      <c r="B42" s="4"/>
      <c r="C42" s="6"/>
      <c r="D42" s="1357" t="s">
        <v>35</v>
      </c>
      <c r="E42" s="1358"/>
      <c r="F42" s="1359"/>
      <c r="G42" s="239">
        <f>+G39+G30+G16</f>
        <v>462623</v>
      </c>
      <c r="H42" s="9"/>
      <c r="I42" s="48"/>
      <c r="J42" s="20"/>
      <c r="K42" s="8"/>
      <c r="L42" s="8"/>
      <c r="M42" s="8"/>
      <c r="N42" s="8"/>
      <c r="O42" s="8"/>
      <c r="P42" s="5"/>
    </row>
    <row r="43" spans="1:16" ht="14.25">
      <c r="A43" s="240"/>
      <c r="B43" s="57"/>
      <c r="C43" s="58"/>
      <c r="D43" s="99"/>
      <c r="E43" s="99"/>
      <c r="F43" s="99"/>
      <c r="G43" s="251"/>
      <c r="H43" s="9"/>
      <c r="I43" s="48"/>
      <c r="J43" s="20"/>
      <c r="K43" s="8"/>
      <c r="L43" s="8"/>
      <c r="M43" s="8"/>
      <c r="N43" s="8"/>
      <c r="O43" s="8"/>
      <c r="P43" s="5"/>
    </row>
    <row r="44" spans="1:16" ht="14.25">
      <c r="A44" s="374"/>
      <c r="B44" s="375"/>
      <c r="C44" s="375"/>
      <c r="D44" s="99"/>
      <c r="E44" s="99"/>
      <c r="F44" s="99"/>
      <c r="G44" s="251"/>
      <c r="H44" s="9"/>
      <c r="I44" s="48"/>
      <c r="J44" s="20"/>
      <c r="K44" s="8"/>
      <c r="L44" s="8"/>
      <c r="M44" s="8"/>
      <c r="N44" s="8"/>
      <c r="O44" s="8"/>
      <c r="P44" s="5"/>
    </row>
    <row r="45" spans="1:16" ht="14.25">
      <c r="A45" s="373"/>
      <c r="B45" s="376"/>
      <c r="C45" s="376"/>
      <c r="D45" s="99"/>
      <c r="E45" s="99"/>
      <c r="F45" s="99"/>
      <c r="G45" s="251"/>
      <c r="H45" s="9"/>
      <c r="I45" s="48"/>
      <c r="J45" s="20"/>
      <c r="K45" s="8"/>
      <c r="L45" s="8"/>
      <c r="M45" s="8"/>
      <c r="N45" s="8"/>
      <c r="O45" s="8"/>
      <c r="P45" s="5"/>
    </row>
    <row r="46" spans="1:16" ht="14.25">
      <c r="A46" s="373"/>
      <c r="B46" s="376"/>
      <c r="C46" s="376"/>
      <c r="D46" s="44"/>
      <c r="E46" s="45"/>
      <c r="F46" s="45"/>
      <c r="G46" s="251"/>
      <c r="H46" s="9"/>
      <c r="I46" s="8"/>
      <c r="J46" s="13"/>
      <c r="K46" s="8"/>
      <c r="L46" s="8"/>
      <c r="M46" s="8"/>
      <c r="N46" s="8"/>
      <c r="O46" s="8"/>
      <c r="P46" s="5"/>
    </row>
    <row r="47" spans="1:16" ht="15" thickBot="1">
      <c r="A47" s="242"/>
      <c r="B47" s="243"/>
      <c r="C47" s="244"/>
      <c r="D47" s="245"/>
      <c r="E47" s="246"/>
      <c r="F47" s="246"/>
      <c r="G47" s="247"/>
      <c r="H47" s="9"/>
      <c r="I47" s="8"/>
      <c r="J47" s="13"/>
      <c r="K47" s="8"/>
      <c r="L47" s="8"/>
      <c r="M47" s="8"/>
      <c r="N47" s="8"/>
      <c r="O47" s="8"/>
      <c r="P47" s="5"/>
    </row>
    <row r="48" spans="1:16">
      <c r="I48" s="5"/>
      <c r="J48" s="5"/>
      <c r="K48" s="5"/>
      <c r="L48" s="5"/>
      <c r="M48" s="5"/>
      <c r="N48" s="5"/>
      <c r="O48" s="5"/>
      <c r="P48" s="5"/>
    </row>
    <row r="49" spans="9:16">
      <c r="I49" s="5"/>
      <c r="J49" s="5"/>
      <c r="K49" s="5"/>
      <c r="L49" s="5"/>
      <c r="M49" s="5"/>
      <c r="N49" s="5"/>
      <c r="O49" s="5"/>
      <c r="P49" s="5"/>
    </row>
  </sheetData>
  <mergeCells count="26">
    <mergeCell ref="A10:C10"/>
    <mergeCell ref="A1:G1"/>
    <mergeCell ref="A2:G2"/>
    <mergeCell ref="A3:G4"/>
    <mergeCell ref="B6:E6"/>
    <mergeCell ref="A8:G8"/>
    <mergeCell ref="A24:C24"/>
    <mergeCell ref="A11:C11"/>
    <mergeCell ref="A12:C12"/>
    <mergeCell ref="A13:C13"/>
    <mergeCell ref="A14:C14"/>
    <mergeCell ref="A15:C15"/>
    <mergeCell ref="A16:C16"/>
    <mergeCell ref="A18:G18"/>
    <mergeCell ref="A20:C20"/>
    <mergeCell ref="A21:C21"/>
    <mergeCell ref="A22:C22"/>
    <mergeCell ref="A23:C23"/>
    <mergeCell ref="A32:G32"/>
    <mergeCell ref="D42:F42"/>
    <mergeCell ref="A25:C25"/>
    <mergeCell ref="A26:C26"/>
    <mergeCell ref="A27:C27"/>
    <mergeCell ref="A28:C28"/>
    <mergeCell ref="A29:C29"/>
    <mergeCell ref="A30:C30"/>
  </mergeCells>
  <printOptions horizontalCentered="1" verticalCentered="1"/>
  <pageMargins left="0.74803149606299213" right="0.74803149606299213" top="0" bottom="0.98425196850393704" header="0" footer="0"/>
  <pageSetup scale="90" orientation="portrait" r:id="rId1"/>
  <headerFooter alignWithMargins="0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9"/>
  <sheetViews>
    <sheetView view="pageBreakPreview" zoomScaleNormal="100" zoomScaleSheetLayoutView="100" workbookViewId="0">
      <selection activeCell="I7" sqref="I7"/>
    </sheetView>
  </sheetViews>
  <sheetFormatPr baseColWidth="10" defaultColWidth="10.7109375" defaultRowHeight="12.75"/>
  <cols>
    <col min="1" max="1" width="15.85546875" style="3" customWidth="1"/>
    <col min="2" max="2" width="14.85546875" style="3" customWidth="1"/>
    <col min="3" max="3" width="13.28515625" style="3" customWidth="1"/>
    <col min="4" max="4" width="11.42578125" style="3"/>
    <col min="5" max="5" width="13.42578125" style="3" customWidth="1"/>
    <col min="6" max="6" width="12.7109375" style="3" customWidth="1"/>
    <col min="7" max="7" width="14" style="3" customWidth="1"/>
    <col min="8" max="8" width="7.42578125" style="3" customWidth="1"/>
    <col min="9" max="256" width="11.42578125" style="3"/>
    <col min="257" max="257" width="15.85546875" style="3" customWidth="1"/>
    <col min="258" max="258" width="14.85546875" style="3" customWidth="1"/>
    <col min="259" max="259" width="13.28515625" style="3" customWidth="1"/>
    <col min="260" max="260" width="11.42578125" style="3"/>
    <col min="261" max="261" width="13.42578125" style="3" customWidth="1"/>
    <col min="262" max="262" width="12.7109375" style="3" customWidth="1"/>
    <col min="263" max="263" width="14" style="3" customWidth="1"/>
    <col min="264" max="264" width="7.42578125" style="3" customWidth="1"/>
    <col min="265" max="512" width="11.42578125" style="3"/>
    <col min="513" max="513" width="15.85546875" style="3" customWidth="1"/>
    <col min="514" max="514" width="14.85546875" style="3" customWidth="1"/>
    <col min="515" max="515" width="13.28515625" style="3" customWidth="1"/>
    <col min="516" max="516" width="11.42578125" style="3"/>
    <col min="517" max="517" width="13.42578125" style="3" customWidth="1"/>
    <col min="518" max="518" width="12.7109375" style="3" customWidth="1"/>
    <col min="519" max="519" width="14" style="3" customWidth="1"/>
    <col min="520" max="520" width="7.42578125" style="3" customWidth="1"/>
    <col min="521" max="768" width="11.42578125" style="3"/>
    <col min="769" max="769" width="15.85546875" style="3" customWidth="1"/>
    <col min="770" max="770" width="14.85546875" style="3" customWidth="1"/>
    <col min="771" max="771" width="13.28515625" style="3" customWidth="1"/>
    <col min="772" max="772" width="11.42578125" style="3"/>
    <col min="773" max="773" width="13.42578125" style="3" customWidth="1"/>
    <col min="774" max="774" width="12.7109375" style="3" customWidth="1"/>
    <col min="775" max="775" width="14" style="3" customWidth="1"/>
    <col min="776" max="776" width="7.42578125" style="3" customWidth="1"/>
    <col min="777" max="1024" width="11.42578125" style="3"/>
    <col min="1025" max="1025" width="15.85546875" style="3" customWidth="1"/>
    <col min="1026" max="1026" width="14.85546875" style="3" customWidth="1"/>
    <col min="1027" max="1027" width="13.28515625" style="3" customWidth="1"/>
    <col min="1028" max="1028" width="11.42578125" style="3"/>
    <col min="1029" max="1029" width="13.42578125" style="3" customWidth="1"/>
    <col min="1030" max="1030" width="12.7109375" style="3" customWidth="1"/>
    <col min="1031" max="1031" width="14" style="3" customWidth="1"/>
    <col min="1032" max="1032" width="7.42578125" style="3" customWidth="1"/>
    <col min="1033" max="1280" width="11.42578125" style="3"/>
    <col min="1281" max="1281" width="15.85546875" style="3" customWidth="1"/>
    <col min="1282" max="1282" width="14.85546875" style="3" customWidth="1"/>
    <col min="1283" max="1283" width="13.28515625" style="3" customWidth="1"/>
    <col min="1284" max="1284" width="11.42578125" style="3"/>
    <col min="1285" max="1285" width="13.42578125" style="3" customWidth="1"/>
    <col min="1286" max="1286" width="12.7109375" style="3" customWidth="1"/>
    <col min="1287" max="1287" width="14" style="3" customWidth="1"/>
    <col min="1288" max="1288" width="7.42578125" style="3" customWidth="1"/>
    <col min="1289" max="1536" width="11.42578125" style="3"/>
    <col min="1537" max="1537" width="15.85546875" style="3" customWidth="1"/>
    <col min="1538" max="1538" width="14.85546875" style="3" customWidth="1"/>
    <col min="1539" max="1539" width="13.28515625" style="3" customWidth="1"/>
    <col min="1540" max="1540" width="11.42578125" style="3"/>
    <col min="1541" max="1541" width="13.42578125" style="3" customWidth="1"/>
    <col min="1542" max="1542" width="12.7109375" style="3" customWidth="1"/>
    <col min="1543" max="1543" width="14" style="3" customWidth="1"/>
    <col min="1544" max="1544" width="7.42578125" style="3" customWidth="1"/>
    <col min="1545" max="1792" width="11.42578125" style="3"/>
    <col min="1793" max="1793" width="15.85546875" style="3" customWidth="1"/>
    <col min="1794" max="1794" width="14.85546875" style="3" customWidth="1"/>
    <col min="1795" max="1795" width="13.28515625" style="3" customWidth="1"/>
    <col min="1796" max="1796" width="11.42578125" style="3"/>
    <col min="1797" max="1797" width="13.42578125" style="3" customWidth="1"/>
    <col min="1798" max="1798" width="12.7109375" style="3" customWidth="1"/>
    <col min="1799" max="1799" width="14" style="3" customWidth="1"/>
    <col min="1800" max="1800" width="7.42578125" style="3" customWidth="1"/>
    <col min="1801" max="2048" width="11.42578125" style="3"/>
    <col min="2049" max="2049" width="15.85546875" style="3" customWidth="1"/>
    <col min="2050" max="2050" width="14.85546875" style="3" customWidth="1"/>
    <col min="2051" max="2051" width="13.28515625" style="3" customWidth="1"/>
    <col min="2052" max="2052" width="11.42578125" style="3"/>
    <col min="2053" max="2053" width="13.42578125" style="3" customWidth="1"/>
    <col min="2054" max="2054" width="12.7109375" style="3" customWidth="1"/>
    <col min="2055" max="2055" width="14" style="3" customWidth="1"/>
    <col min="2056" max="2056" width="7.42578125" style="3" customWidth="1"/>
    <col min="2057" max="2304" width="11.42578125" style="3"/>
    <col min="2305" max="2305" width="15.85546875" style="3" customWidth="1"/>
    <col min="2306" max="2306" width="14.85546875" style="3" customWidth="1"/>
    <col min="2307" max="2307" width="13.28515625" style="3" customWidth="1"/>
    <col min="2308" max="2308" width="11.42578125" style="3"/>
    <col min="2309" max="2309" width="13.42578125" style="3" customWidth="1"/>
    <col min="2310" max="2310" width="12.7109375" style="3" customWidth="1"/>
    <col min="2311" max="2311" width="14" style="3" customWidth="1"/>
    <col min="2312" max="2312" width="7.42578125" style="3" customWidth="1"/>
    <col min="2313" max="2560" width="11.42578125" style="3"/>
    <col min="2561" max="2561" width="15.85546875" style="3" customWidth="1"/>
    <col min="2562" max="2562" width="14.85546875" style="3" customWidth="1"/>
    <col min="2563" max="2563" width="13.28515625" style="3" customWidth="1"/>
    <col min="2564" max="2564" width="11.42578125" style="3"/>
    <col min="2565" max="2565" width="13.42578125" style="3" customWidth="1"/>
    <col min="2566" max="2566" width="12.7109375" style="3" customWidth="1"/>
    <col min="2567" max="2567" width="14" style="3" customWidth="1"/>
    <col min="2568" max="2568" width="7.42578125" style="3" customWidth="1"/>
    <col min="2569" max="2816" width="11.42578125" style="3"/>
    <col min="2817" max="2817" width="15.85546875" style="3" customWidth="1"/>
    <col min="2818" max="2818" width="14.85546875" style="3" customWidth="1"/>
    <col min="2819" max="2819" width="13.28515625" style="3" customWidth="1"/>
    <col min="2820" max="2820" width="11.42578125" style="3"/>
    <col min="2821" max="2821" width="13.42578125" style="3" customWidth="1"/>
    <col min="2822" max="2822" width="12.7109375" style="3" customWidth="1"/>
    <col min="2823" max="2823" width="14" style="3" customWidth="1"/>
    <col min="2824" max="2824" width="7.42578125" style="3" customWidth="1"/>
    <col min="2825" max="3072" width="11.42578125" style="3"/>
    <col min="3073" max="3073" width="15.85546875" style="3" customWidth="1"/>
    <col min="3074" max="3074" width="14.85546875" style="3" customWidth="1"/>
    <col min="3075" max="3075" width="13.28515625" style="3" customWidth="1"/>
    <col min="3076" max="3076" width="11.42578125" style="3"/>
    <col min="3077" max="3077" width="13.42578125" style="3" customWidth="1"/>
    <col min="3078" max="3078" width="12.7109375" style="3" customWidth="1"/>
    <col min="3079" max="3079" width="14" style="3" customWidth="1"/>
    <col min="3080" max="3080" width="7.42578125" style="3" customWidth="1"/>
    <col min="3081" max="3328" width="11.42578125" style="3"/>
    <col min="3329" max="3329" width="15.85546875" style="3" customWidth="1"/>
    <col min="3330" max="3330" width="14.85546875" style="3" customWidth="1"/>
    <col min="3331" max="3331" width="13.28515625" style="3" customWidth="1"/>
    <col min="3332" max="3332" width="11.42578125" style="3"/>
    <col min="3333" max="3333" width="13.42578125" style="3" customWidth="1"/>
    <col min="3334" max="3334" width="12.7109375" style="3" customWidth="1"/>
    <col min="3335" max="3335" width="14" style="3" customWidth="1"/>
    <col min="3336" max="3336" width="7.42578125" style="3" customWidth="1"/>
    <col min="3337" max="3584" width="11.42578125" style="3"/>
    <col min="3585" max="3585" width="15.85546875" style="3" customWidth="1"/>
    <col min="3586" max="3586" width="14.85546875" style="3" customWidth="1"/>
    <col min="3587" max="3587" width="13.28515625" style="3" customWidth="1"/>
    <col min="3588" max="3588" width="11.42578125" style="3"/>
    <col min="3589" max="3589" width="13.42578125" style="3" customWidth="1"/>
    <col min="3590" max="3590" width="12.7109375" style="3" customWidth="1"/>
    <col min="3591" max="3591" width="14" style="3" customWidth="1"/>
    <col min="3592" max="3592" width="7.42578125" style="3" customWidth="1"/>
    <col min="3593" max="3840" width="11.42578125" style="3"/>
    <col min="3841" max="3841" width="15.85546875" style="3" customWidth="1"/>
    <col min="3842" max="3842" width="14.85546875" style="3" customWidth="1"/>
    <col min="3843" max="3843" width="13.28515625" style="3" customWidth="1"/>
    <col min="3844" max="3844" width="11.42578125" style="3"/>
    <col min="3845" max="3845" width="13.42578125" style="3" customWidth="1"/>
    <col min="3846" max="3846" width="12.7109375" style="3" customWidth="1"/>
    <col min="3847" max="3847" width="14" style="3" customWidth="1"/>
    <col min="3848" max="3848" width="7.42578125" style="3" customWidth="1"/>
    <col min="3849" max="4096" width="11.42578125" style="3"/>
    <col min="4097" max="4097" width="15.85546875" style="3" customWidth="1"/>
    <col min="4098" max="4098" width="14.85546875" style="3" customWidth="1"/>
    <col min="4099" max="4099" width="13.28515625" style="3" customWidth="1"/>
    <col min="4100" max="4100" width="11.42578125" style="3"/>
    <col min="4101" max="4101" width="13.42578125" style="3" customWidth="1"/>
    <col min="4102" max="4102" width="12.7109375" style="3" customWidth="1"/>
    <col min="4103" max="4103" width="14" style="3" customWidth="1"/>
    <col min="4104" max="4104" width="7.42578125" style="3" customWidth="1"/>
    <col min="4105" max="4352" width="11.42578125" style="3"/>
    <col min="4353" max="4353" width="15.85546875" style="3" customWidth="1"/>
    <col min="4354" max="4354" width="14.85546875" style="3" customWidth="1"/>
    <col min="4355" max="4355" width="13.28515625" style="3" customWidth="1"/>
    <col min="4356" max="4356" width="11.42578125" style="3"/>
    <col min="4357" max="4357" width="13.42578125" style="3" customWidth="1"/>
    <col min="4358" max="4358" width="12.7109375" style="3" customWidth="1"/>
    <col min="4359" max="4359" width="14" style="3" customWidth="1"/>
    <col min="4360" max="4360" width="7.42578125" style="3" customWidth="1"/>
    <col min="4361" max="4608" width="11.42578125" style="3"/>
    <col min="4609" max="4609" width="15.85546875" style="3" customWidth="1"/>
    <col min="4610" max="4610" width="14.85546875" style="3" customWidth="1"/>
    <col min="4611" max="4611" width="13.28515625" style="3" customWidth="1"/>
    <col min="4612" max="4612" width="11.42578125" style="3"/>
    <col min="4613" max="4613" width="13.42578125" style="3" customWidth="1"/>
    <col min="4614" max="4614" width="12.7109375" style="3" customWidth="1"/>
    <col min="4615" max="4615" width="14" style="3" customWidth="1"/>
    <col min="4616" max="4616" width="7.42578125" style="3" customWidth="1"/>
    <col min="4617" max="4864" width="11.42578125" style="3"/>
    <col min="4865" max="4865" width="15.85546875" style="3" customWidth="1"/>
    <col min="4866" max="4866" width="14.85546875" style="3" customWidth="1"/>
    <col min="4867" max="4867" width="13.28515625" style="3" customWidth="1"/>
    <col min="4868" max="4868" width="11.42578125" style="3"/>
    <col min="4869" max="4869" width="13.42578125" style="3" customWidth="1"/>
    <col min="4870" max="4870" width="12.7109375" style="3" customWidth="1"/>
    <col min="4871" max="4871" width="14" style="3" customWidth="1"/>
    <col min="4872" max="4872" width="7.42578125" style="3" customWidth="1"/>
    <col min="4873" max="5120" width="11.42578125" style="3"/>
    <col min="5121" max="5121" width="15.85546875" style="3" customWidth="1"/>
    <col min="5122" max="5122" width="14.85546875" style="3" customWidth="1"/>
    <col min="5123" max="5123" width="13.28515625" style="3" customWidth="1"/>
    <col min="5124" max="5124" width="11.42578125" style="3"/>
    <col min="5125" max="5125" width="13.42578125" style="3" customWidth="1"/>
    <col min="5126" max="5126" width="12.7109375" style="3" customWidth="1"/>
    <col min="5127" max="5127" width="14" style="3" customWidth="1"/>
    <col min="5128" max="5128" width="7.42578125" style="3" customWidth="1"/>
    <col min="5129" max="5376" width="11.42578125" style="3"/>
    <col min="5377" max="5377" width="15.85546875" style="3" customWidth="1"/>
    <col min="5378" max="5378" width="14.85546875" style="3" customWidth="1"/>
    <col min="5379" max="5379" width="13.28515625" style="3" customWidth="1"/>
    <col min="5380" max="5380" width="11.42578125" style="3"/>
    <col min="5381" max="5381" width="13.42578125" style="3" customWidth="1"/>
    <col min="5382" max="5382" width="12.7109375" style="3" customWidth="1"/>
    <col min="5383" max="5383" width="14" style="3" customWidth="1"/>
    <col min="5384" max="5384" width="7.42578125" style="3" customWidth="1"/>
    <col min="5385" max="5632" width="11.42578125" style="3"/>
    <col min="5633" max="5633" width="15.85546875" style="3" customWidth="1"/>
    <col min="5634" max="5634" width="14.85546875" style="3" customWidth="1"/>
    <col min="5635" max="5635" width="13.28515625" style="3" customWidth="1"/>
    <col min="5636" max="5636" width="11.42578125" style="3"/>
    <col min="5637" max="5637" width="13.42578125" style="3" customWidth="1"/>
    <col min="5638" max="5638" width="12.7109375" style="3" customWidth="1"/>
    <col min="5639" max="5639" width="14" style="3" customWidth="1"/>
    <col min="5640" max="5640" width="7.42578125" style="3" customWidth="1"/>
    <col min="5641" max="5888" width="11.42578125" style="3"/>
    <col min="5889" max="5889" width="15.85546875" style="3" customWidth="1"/>
    <col min="5890" max="5890" width="14.85546875" style="3" customWidth="1"/>
    <col min="5891" max="5891" width="13.28515625" style="3" customWidth="1"/>
    <col min="5892" max="5892" width="11.42578125" style="3"/>
    <col min="5893" max="5893" width="13.42578125" style="3" customWidth="1"/>
    <col min="5894" max="5894" width="12.7109375" style="3" customWidth="1"/>
    <col min="5895" max="5895" width="14" style="3" customWidth="1"/>
    <col min="5896" max="5896" width="7.42578125" style="3" customWidth="1"/>
    <col min="5897" max="6144" width="11.42578125" style="3"/>
    <col min="6145" max="6145" width="15.85546875" style="3" customWidth="1"/>
    <col min="6146" max="6146" width="14.85546875" style="3" customWidth="1"/>
    <col min="6147" max="6147" width="13.28515625" style="3" customWidth="1"/>
    <col min="6148" max="6148" width="11.42578125" style="3"/>
    <col min="6149" max="6149" width="13.42578125" style="3" customWidth="1"/>
    <col min="6150" max="6150" width="12.7109375" style="3" customWidth="1"/>
    <col min="6151" max="6151" width="14" style="3" customWidth="1"/>
    <col min="6152" max="6152" width="7.42578125" style="3" customWidth="1"/>
    <col min="6153" max="6400" width="11.42578125" style="3"/>
    <col min="6401" max="6401" width="15.85546875" style="3" customWidth="1"/>
    <col min="6402" max="6402" width="14.85546875" style="3" customWidth="1"/>
    <col min="6403" max="6403" width="13.28515625" style="3" customWidth="1"/>
    <col min="6404" max="6404" width="11.42578125" style="3"/>
    <col min="6405" max="6405" width="13.42578125" style="3" customWidth="1"/>
    <col min="6406" max="6406" width="12.7109375" style="3" customWidth="1"/>
    <col min="6407" max="6407" width="14" style="3" customWidth="1"/>
    <col min="6408" max="6408" width="7.42578125" style="3" customWidth="1"/>
    <col min="6409" max="6656" width="11.42578125" style="3"/>
    <col min="6657" max="6657" width="15.85546875" style="3" customWidth="1"/>
    <col min="6658" max="6658" width="14.85546875" style="3" customWidth="1"/>
    <col min="6659" max="6659" width="13.28515625" style="3" customWidth="1"/>
    <col min="6660" max="6660" width="11.42578125" style="3"/>
    <col min="6661" max="6661" width="13.42578125" style="3" customWidth="1"/>
    <col min="6662" max="6662" width="12.7109375" style="3" customWidth="1"/>
    <col min="6663" max="6663" width="14" style="3" customWidth="1"/>
    <col min="6664" max="6664" width="7.42578125" style="3" customWidth="1"/>
    <col min="6665" max="6912" width="11.42578125" style="3"/>
    <col min="6913" max="6913" width="15.85546875" style="3" customWidth="1"/>
    <col min="6914" max="6914" width="14.85546875" style="3" customWidth="1"/>
    <col min="6915" max="6915" width="13.28515625" style="3" customWidth="1"/>
    <col min="6916" max="6916" width="11.42578125" style="3"/>
    <col min="6917" max="6917" width="13.42578125" style="3" customWidth="1"/>
    <col min="6918" max="6918" width="12.7109375" style="3" customWidth="1"/>
    <col min="6919" max="6919" width="14" style="3" customWidth="1"/>
    <col min="6920" max="6920" width="7.42578125" style="3" customWidth="1"/>
    <col min="6921" max="7168" width="11.42578125" style="3"/>
    <col min="7169" max="7169" width="15.85546875" style="3" customWidth="1"/>
    <col min="7170" max="7170" width="14.85546875" style="3" customWidth="1"/>
    <col min="7171" max="7171" width="13.28515625" style="3" customWidth="1"/>
    <col min="7172" max="7172" width="11.42578125" style="3"/>
    <col min="7173" max="7173" width="13.42578125" style="3" customWidth="1"/>
    <col min="7174" max="7174" width="12.7109375" style="3" customWidth="1"/>
    <col min="7175" max="7175" width="14" style="3" customWidth="1"/>
    <col min="7176" max="7176" width="7.42578125" style="3" customWidth="1"/>
    <col min="7177" max="7424" width="11.42578125" style="3"/>
    <col min="7425" max="7425" width="15.85546875" style="3" customWidth="1"/>
    <col min="7426" max="7426" width="14.85546875" style="3" customWidth="1"/>
    <col min="7427" max="7427" width="13.28515625" style="3" customWidth="1"/>
    <col min="7428" max="7428" width="11.42578125" style="3"/>
    <col min="7429" max="7429" width="13.42578125" style="3" customWidth="1"/>
    <col min="7430" max="7430" width="12.7109375" style="3" customWidth="1"/>
    <col min="7431" max="7431" width="14" style="3" customWidth="1"/>
    <col min="7432" max="7432" width="7.42578125" style="3" customWidth="1"/>
    <col min="7433" max="7680" width="11.42578125" style="3"/>
    <col min="7681" max="7681" width="15.85546875" style="3" customWidth="1"/>
    <col min="7682" max="7682" width="14.85546875" style="3" customWidth="1"/>
    <col min="7683" max="7683" width="13.28515625" style="3" customWidth="1"/>
    <col min="7684" max="7684" width="11.42578125" style="3"/>
    <col min="7685" max="7685" width="13.42578125" style="3" customWidth="1"/>
    <col min="7686" max="7686" width="12.7109375" style="3" customWidth="1"/>
    <col min="7687" max="7687" width="14" style="3" customWidth="1"/>
    <col min="7688" max="7688" width="7.42578125" style="3" customWidth="1"/>
    <col min="7689" max="7936" width="11.42578125" style="3"/>
    <col min="7937" max="7937" width="15.85546875" style="3" customWidth="1"/>
    <col min="7938" max="7938" width="14.85546875" style="3" customWidth="1"/>
    <col min="7939" max="7939" width="13.28515625" style="3" customWidth="1"/>
    <col min="7940" max="7940" width="11.42578125" style="3"/>
    <col min="7941" max="7941" width="13.42578125" style="3" customWidth="1"/>
    <col min="7942" max="7942" width="12.7109375" style="3" customWidth="1"/>
    <col min="7943" max="7943" width="14" style="3" customWidth="1"/>
    <col min="7944" max="7944" width="7.42578125" style="3" customWidth="1"/>
    <col min="7945" max="8192" width="11.42578125" style="3"/>
    <col min="8193" max="8193" width="15.85546875" style="3" customWidth="1"/>
    <col min="8194" max="8194" width="14.85546875" style="3" customWidth="1"/>
    <col min="8195" max="8195" width="13.28515625" style="3" customWidth="1"/>
    <col min="8196" max="8196" width="11.42578125" style="3"/>
    <col min="8197" max="8197" width="13.42578125" style="3" customWidth="1"/>
    <col min="8198" max="8198" width="12.7109375" style="3" customWidth="1"/>
    <col min="8199" max="8199" width="14" style="3" customWidth="1"/>
    <col min="8200" max="8200" width="7.42578125" style="3" customWidth="1"/>
    <col min="8201" max="8448" width="11.42578125" style="3"/>
    <col min="8449" max="8449" width="15.85546875" style="3" customWidth="1"/>
    <col min="8450" max="8450" width="14.85546875" style="3" customWidth="1"/>
    <col min="8451" max="8451" width="13.28515625" style="3" customWidth="1"/>
    <col min="8452" max="8452" width="11.42578125" style="3"/>
    <col min="8453" max="8453" width="13.42578125" style="3" customWidth="1"/>
    <col min="8454" max="8454" width="12.7109375" style="3" customWidth="1"/>
    <col min="8455" max="8455" width="14" style="3" customWidth="1"/>
    <col min="8456" max="8456" width="7.42578125" style="3" customWidth="1"/>
    <col min="8457" max="8704" width="11.42578125" style="3"/>
    <col min="8705" max="8705" width="15.85546875" style="3" customWidth="1"/>
    <col min="8706" max="8706" width="14.85546875" style="3" customWidth="1"/>
    <col min="8707" max="8707" width="13.28515625" style="3" customWidth="1"/>
    <col min="8708" max="8708" width="11.42578125" style="3"/>
    <col min="8709" max="8709" width="13.42578125" style="3" customWidth="1"/>
    <col min="8710" max="8710" width="12.7109375" style="3" customWidth="1"/>
    <col min="8711" max="8711" width="14" style="3" customWidth="1"/>
    <col min="8712" max="8712" width="7.42578125" style="3" customWidth="1"/>
    <col min="8713" max="8960" width="11.42578125" style="3"/>
    <col min="8961" max="8961" width="15.85546875" style="3" customWidth="1"/>
    <col min="8962" max="8962" width="14.85546875" style="3" customWidth="1"/>
    <col min="8963" max="8963" width="13.28515625" style="3" customWidth="1"/>
    <col min="8964" max="8964" width="11.42578125" style="3"/>
    <col min="8965" max="8965" width="13.42578125" style="3" customWidth="1"/>
    <col min="8966" max="8966" width="12.7109375" style="3" customWidth="1"/>
    <col min="8967" max="8967" width="14" style="3" customWidth="1"/>
    <col min="8968" max="8968" width="7.42578125" style="3" customWidth="1"/>
    <col min="8969" max="9216" width="11.42578125" style="3"/>
    <col min="9217" max="9217" width="15.85546875" style="3" customWidth="1"/>
    <col min="9218" max="9218" width="14.85546875" style="3" customWidth="1"/>
    <col min="9219" max="9219" width="13.28515625" style="3" customWidth="1"/>
    <col min="9220" max="9220" width="11.42578125" style="3"/>
    <col min="9221" max="9221" width="13.42578125" style="3" customWidth="1"/>
    <col min="9222" max="9222" width="12.7109375" style="3" customWidth="1"/>
    <col min="9223" max="9223" width="14" style="3" customWidth="1"/>
    <col min="9224" max="9224" width="7.42578125" style="3" customWidth="1"/>
    <col min="9225" max="9472" width="11.42578125" style="3"/>
    <col min="9473" max="9473" width="15.85546875" style="3" customWidth="1"/>
    <col min="9474" max="9474" width="14.85546875" style="3" customWidth="1"/>
    <col min="9475" max="9475" width="13.28515625" style="3" customWidth="1"/>
    <col min="9476" max="9476" width="11.42578125" style="3"/>
    <col min="9477" max="9477" width="13.42578125" style="3" customWidth="1"/>
    <col min="9478" max="9478" width="12.7109375" style="3" customWidth="1"/>
    <col min="9479" max="9479" width="14" style="3" customWidth="1"/>
    <col min="9480" max="9480" width="7.42578125" style="3" customWidth="1"/>
    <col min="9481" max="9728" width="11.42578125" style="3"/>
    <col min="9729" max="9729" width="15.85546875" style="3" customWidth="1"/>
    <col min="9730" max="9730" width="14.85546875" style="3" customWidth="1"/>
    <col min="9731" max="9731" width="13.28515625" style="3" customWidth="1"/>
    <col min="9732" max="9732" width="11.42578125" style="3"/>
    <col min="9733" max="9733" width="13.42578125" style="3" customWidth="1"/>
    <col min="9734" max="9734" width="12.7109375" style="3" customWidth="1"/>
    <col min="9735" max="9735" width="14" style="3" customWidth="1"/>
    <col min="9736" max="9736" width="7.42578125" style="3" customWidth="1"/>
    <col min="9737" max="9984" width="11.42578125" style="3"/>
    <col min="9985" max="9985" width="15.85546875" style="3" customWidth="1"/>
    <col min="9986" max="9986" width="14.85546875" style="3" customWidth="1"/>
    <col min="9987" max="9987" width="13.28515625" style="3" customWidth="1"/>
    <col min="9988" max="9988" width="11.42578125" style="3"/>
    <col min="9989" max="9989" width="13.42578125" style="3" customWidth="1"/>
    <col min="9990" max="9990" width="12.7109375" style="3" customWidth="1"/>
    <col min="9991" max="9991" width="14" style="3" customWidth="1"/>
    <col min="9992" max="9992" width="7.42578125" style="3" customWidth="1"/>
    <col min="9993" max="10240" width="11.42578125" style="3"/>
    <col min="10241" max="10241" width="15.85546875" style="3" customWidth="1"/>
    <col min="10242" max="10242" width="14.85546875" style="3" customWidth="1"/>
    <col min="10243" max="10243" width="13.28515625" style="3" customWidth="1"/>
    <col min="10244" max="10244" width="11.42578125" style="3"/>
    <col min="10245" max="10245" width="13.42578125" style="3" customWidth="1"/>
    <col min="10246" max="10246" width="12.7109375" style="3" customWidth="1"/>
    <col min="10247" max="10247" width="14" style="3" customWidth="1"/>
    <col min="10248" max="10248" width="7.42578125" style="3" customWidth="1"/>
    <col min="10249" max="10496" width="11.42578125" style="3"/>
    <col min="10497" max="10497" width="15.85546875" style="3" customWidth="1"/>
    <col min="10498" max="10498" width="14.85546875" style="3" customWidth="1"/>
    <col min="10499" max="10499" width="13.28515625" style="3" customWidth="1"/>
    <col min="10500" max="10500" width="11.42578125" style="3"/>
    <col min="10501" max="10501" width="13.42578125" style="3" customWidth="1"/>
    <col min="10502" max="10502" width="12.7109375" style="3" customWidth="1"/>
    <col min="10503" max="10503" width="14" style="3" customWidth="1"/>
    <col min="10504" max="10504" width="7.42578125" style="3" customWidth="1"/>
    <col min="10505" max="10752" width="11.42578125" style="3"/>
    <col min="10753" max="10753" width="15.85546875" style="3" customWidth="1"/>
    <col min="10754" max="10754" width="14.85546875" style="3" customWidth="1"/>
    <col min="10755" max="10755" width="13.28515625" style="3" customWidth="1"/>
    <col min="10756" max="10756" width="11.42578125" style="3"/>
    <col min="10757" max="10757" width="13.42578125" style="3" customWidth="1"/>
    <col min="10758" max="10758" width="12.7109375" style="3" customWidth="1"/>
    <col min="10759" max="10759" width="14" style="3" customWidth="1"/>
    <col min="10760" max="10760" width="7.42578125" style="3" customWidth="1"/>
    <col min="10761" max="11008" width="11.42578125" style="3"/>
    <col min="11009" max="11009" width="15.85546875" style="3" customWidth="1"/>
    <col min="11010" max="11010" width="14.85546875" style="3" customWidth="1"/>
    <col min="11011" max="11011" width="13.28515625" style="3" customWidth="1"/>
    <col min="11012" max="11012" width="11.42578125" style="3"/>
    <col min="11013" max="11013" width="13.42578125" style="3" customWidth="1"/>
    <col min="11014" max="11014" width="12.7109375" style="3" customWidth="1"/>
    <col min="11015" max="11015" width="14" style="3" customWidth="1"/>
    <col min="11016" max="11016" width="7.42578125" style="3" customWidth="1"/>
    <col min="11017" max="11264" width="11.42578125" style="3"/>
    <col min="11265" max="11265" width="15.85546875" style="3" customWidth="1"/>
    <col min="11266" max="11266" width="14.85546875" style="3" customWidth="1"/>
    <col min="11267" max="11267" width="13.28515625" style="3" customWidth="1"/>
    <col min="11268" max="11268" width="11.42578125" style="3"/>
    <col min="11269" max="11269" width="13.42578125" style="3" customWidth="1"/>
    <col min="11270" max="11270" width="12.7109375" style="3" customWidth="1"/>
    <col min="11271" max="11271" width="14" style="3" customWidth="1"/>
    <col min="11272" max="11272" width="7.42578125" style="3" customWidth="1"/>
    <col min="11273" max="11520" width="11.42578125" style="3"/>
    <col min="11521" max="11521" width="15.85546875" style="3" customWidth="1"/>
    <col min="11522" max="11522" width="14.85546875" style="3" customWidth="1"/>
    <col min="11523" max="11523" width="13.28515625" style="3" customWidth="1"/>
    <col min="11524" max="11524" width="11.42578125" style="3"/>
    <col min="11525" max="11525" width="13.42578125" style="3" customWidth="1"/>
    <col min="11526" max="11526" width="12.7109375" style="3" customWidth="1"/>
    <col min="11527" max="11527" width="14" style="3" customWidth="1"/>
    <col min="11528" max="11528" width="7.42578125" style="3" customWidth="1"/>
    <col min="11529" max="11776" width="11.42578125" style="3"/>
    <col min="11777" max="11777" width="15.85546875" style="3" customWidth="1"/>
    <col min="11778" max="11778" width="14.85546875" style="3" customWidth="1"/>
    <col min="11779" max="11779" width="13.28515625" style="3" customWidth="1"/>
    <col min="11780" max="11780" width="11.42578125" style="3"/>
    <col min="11781" max="11781" width="13.42578125" style="3" customWidth="1"/>
    <col min="11782" max="11782" width="12.7109375" style="3" customWidth="1"/>
    <col min="11783" max="11783" width="14" style="3" customWidth="1"/>
    <col min="11784" max="11784" width="7.42578125" style="3" customWidth="1"/>
    <col min="11785" max="12032" width="11.42578125" style="3"/>
    <col min="12033" max="12033" width="15.85546875" style="3" customWidth="1"/>
    <col min="12034" max="12034" width="14.85546875" style="3" customWidth="1"/>
    <col min="12035" max="12035" width="13.28515625" style="3" customWidth="1"/>
    <col min="12036" max="12036" width="11.42578125" style="3"/>
    <col min="12037" max="12037" width="13.42578125" style="3" customWidth="1"/>
    <col min="12038" max="12038" width="12.7109375" style="3" customWidth="1"/>
    <col min="12039" max="12039" width="14" style="3" customWidth="1"/>
    <col min="12040" max="12040" width="7.42578125" style="3" customWidth="1"/>
    <col min="12041" max="12288" width="11.42578125" style="3"/>
    <col min="12289" max="12289" width="15.85546875" style="3" customWidth="1"/>
    <col min="12290" max="12290" width="14.85546875" style="3" customWidth="1"/>
    <col min="12291" max="12291" width="13.28515625" style="3" customWidth="1"/>
    <col min="12292" max="12292" width="11.42578125" style="3"/>
    <col min="12293" max="12293" width="13.42578125" style="3" customWidth="1"/>
    <col min="12294" max="12294" width="12.7109375" style="3" customWidth="1"/>
    <col min="12295" max="12295" width="14" style="3" customWidth="1"/>
    <col min="12296" max="12296" width="7.42578125" style="3" customWidth="1"/>
    <col min="12297" max="12544" width="11.42578125" style="3"/>
    <col min="12545" max="12545" width="15.85546875" style="3" customWidth="1"/>
    <col min="12546" max="12546" width="14.85546875" style="3" customWidth="1"/>
    <col min="12547" max="12547" width="13.28515625" style="3" customWidth="1"/>
    <col min="12548" max="12548" width="11.42578125" style="3"/>
    <col min="12549" max="12549" width="13.42578125" style="3" customWidth="1"/>
    <col min="12550" max="12550" width="12.7109375" style="3" customWidth="1"/>
    <col min="12551" max="12551" width="14" style="3" customWidth="1"/>
    <col min="12552" max="12552" width="7.42578125" style="3" customWidth="1"/>
    <col min="12553" max="12800" width="11.42578125" style="3"/>
    <col min="12801" max="12801" width="15.85546875" style="3" customWidth="1"/>
    <col min="12802" max="12802" width="14.85546875" style="3" customWidth="1"/>
    <col min="12803" max="12803" width="13.28515625" style="3" customWidth="1"/>
    <col min="12804" max="12804" width="11.42578125" style="3"/>
    <col min="12805" max="12805" width="13.42578125" style="3" customWidth="1"/>
    <col min="12806" max="12806" width="12.7109375" style="3" customWidth="1"/>
    <col min="12807" max="12807" width="14" style="3" customWidth="1"/>
    <col min="12808" max="12808" width="7.42578125" style="3" customWidth="1"/>
    <col min="12809" max="13056" width="11.42578125" style="3"/>
    <col min="13057" max="13057" width="15.85546875" style="3" customWidth="1"/>
    <col min="13058" max="13058" width="14.85546875" style="3" customWidth="1"/>
    <col min="13059" max="13059" width="13.28515625" style="3" customWidth="1"/>
    <col min="13060" max="13060" width="11.42578125" style="3"/>
    <col min="13061" max="13061" width="13.42578125" style="3" customWidth="1"/>
    <col min="13062" max="13062" width="12.7109375" style="3" customWidth="1"/>
    <col min="13063" max="13063" width="14" style="3" customWidth="1"/>
    <col min="13064" max="13064" width="7.42578125" style="3" customWidth="1"/>
    <col min="13065" max="13312" width="11.42578125" style="3"/>
    <col min="13313" max="13313" width="15.85546875" style="3" customWidth="1"/>
    <col min="13314" max="13314" width="14.85546875" style="3" customWidth="1"/>
    <col min="13315" max="13315" width="13.28515625" style="3" customWidth="1"/>
    <col min="13316" max="13316" width="11.42578125" style="3"/>
    <col min="13317" max="13317" width="13.42578125" style="3" customWidth="1"/>
    <col min="13318" max="13318" width="12.7109375" style="3" customWidth="1"/>
    <col min="13319" max="13319" width="14" style="3" customWidth="1"/>
    <col min="13320" max="13320" width="7.42578125" style="3" customWidth="1"/>
    <col min="13321" max="13568" width="11.42578125" style="3"/>
    <col min="13569" max="13569" width="15.85546875" style="3" customWidth="1"/>
    <col min="13570" max="13570" width="14.85546875" style="3" customWidth="1"/>
    <col min="13571" max="13571" width="13.28515625" style="3" customWidth="1"/>
    <col min="13572" max="13572" width="11.42578125" style="3"/>
    <col min="13573" max="13573" width="13.42578125" style="3" customWidth="1"/>
    <col min="13574" max="13574" width="12.7109375" style="3" customWidth="1"/>
    <col min="13575" max="13575" width="14" style="3" customWidth="1"/>
    <col min="13576" max="13576" width="7.42578125" style="3" customWidth="1"/>
    <col min="13577" max="13824" width="11.42578125" style="3"/>
    <col min="13825" max="13825" width="15.85546875" style="3" customWidth="1"/>
    <col min="13826" max="13826" width="14.85546875" style="3" customWidth="1"/>
    <col min="13827" max="13827" width="13.28515625" style="3" customWidth="1"/>
    <col min="13828" max="13828" width="11.42578125" style="3"/>
    <col min="13829" max="13829" width="13.42578125" style="3" customWidth="1"/>
    <col min="13830" max="13830" width="12.7109375" style="3" customWidth="1"/>
    <col min="13831" max="13831" width="14" style="3" customWidth="1"/>
    <col min="13832" max="13832" width="7.42578125" style="3" customWidth="1"/>
    <col min="13833" max="14080" width="11.42578125" style="3"/>
    <col min="14081" max="14081" width="15.85546875" style="3" customWidth="1"/>
    <col min="14082" max="14082" width="14.85546875" style="3" customWidth="1"/>
    <col min="14083" max="14083" width="13.28515625" style="3" customWidth="1"/>
    <col min="14084" max="14084" width="11.42578125" style="3"/>
    <col min="14085" max="14085" width="13.42578125" style="3" customWidth="1"/>
    <col min="14086" max="14086" width="12.7109375" style="3" customWidth="1"/>
    <col min="14087" max="14087" width="14" style="3" customWidth="1"/>
    <col min="14088" max="14088" width="7.42578125" style="3" customWidth="1"/>
    <col min="14089" max="14336" width="11.42578125" style="3"/>
    <col min="14337" max="14337" width="15.85546875" style="3" customWidth="1"/>
    <col min="14338" max="14338" width="14.85546875" style="3" customWidth="1"/>
    <col min="14339" max="14339" width="13.28515625" style="3" customWidth="1"/>
    <col min="14340" max="14340" width="11.42578125" style="3"/>
    <col min="14341" max="14341" width="13.42578125" style="3" customWidth="1"/>
    <col min="14342" max="14342" width="12.7109375" style="3" customWidth="1"/>
    <col min="14343" max="14343" width="14" style="3" customWidth="1"/>
    <col min="14344" max="14344" width="7.42578125" style="3" customWidth="1"/>
    <col min="14345" max="14592" width="11.42578125" style="3"/>
    <col min="14593" max="14593" width="15.85546875" style="3" customWidth="1"/>
    <col min="14594" max="14594" width="14.85546875" style="3" customWidth="1"/>
    <col min="14595" max="14595" width="13.28515625" style="3" customWidth="1"/>
    <col min="14596" max="14596" width="11.42578125" style="3"/>
    <col min="14597" max="14597" width="13.42578125" style="3" customWidth="1"/>
    <col min="14598" max="14598" width="12.7109375" style="3" customWidth="1"/>
    <col min="14599" max="14599" width="14" style="3" customWidth="1"/>
    <col min="14600" max="14600" width="7.42578125" style="3" customWidth="1"/>
    <col min="14601" max="14848" width="11.42578125" style="3"/>
    <col min="14849" max="14849" width="15.85546875" style="3" customWidth="1"/>
    <col min="14850" max="14850" width="14.85546875" style="3" customWidth="1"/>
    <col min="14851" max="14851" width="13.28515625" style="3" customWidth="1"/>
    <col min="14852" max="14852" width="11.42578125" style="3"/>
    <col min="14853" max="14853" width="13.42578125" style="3" customWidth="1"/>
    <col min="14854" max="14854" width="12.7109375" style="3" customWidth="1"/>
    <col min="14855" max="14855" width="14" style="3" customWidth="1"/>
    <col min="14856" max="14856" width="7.42578125" style="3" customWidth="1"/>
    <col min="14857" max="15104" width="11.42578125" style="3"/>
    <col min="15105" max="15105" width="15.85546875" style="3" customWidth="1"/>
    <col min="15106" max="15106" width="14.85546875" style="3" customWidth="1"/>
    <col min="15107" max="15107" width="13.28515625" style="3" customWidth="1"/>
    <col min="15108" max="15108" width="11.42578125" style="3"/>
    <col min="15109" max="15109" width="13.42578125" style="3" customWidth="1"/>
    <col min="15110" max="15110" width="12.7109375" style="3" customWidth="1"/>
    <col min="15111" max="15111" width="14" style="3" customWidth="1"/>
    <col min="15112" max="15112" width="7.42578125" style="3" customWidth="1"/>
    <col min="15113" max="15360" width="11.42578125" style="3"/>
    <col min="15361" max="15361" width="15.85546875" style="3" customWidth="1"/>
    <col min="15362" max="15362" width="14.85546875" style="3" customWidth="1"/>
    <col min="15363" max="15363" width="13.28515625" style="3" customWidth="1"/>
    <col min="15364" max="15364" width="11.42578125" style="3"/>
    <col min="15365" max="15365" width="13.42578125" style="3" customWidth="1"/>
    <col min="15366" max="15366" width="12.7109375" style="3" customWidth="1"/>
    <col min="15367" max="15367" width="14" style="3" customWidth="1"/>
    <col min="15368" max="15368" width="7.42578125" style="3" customWidth="1"/>
    <col min="15369" max="15616" width="11.42578125" style="3"/>
    <col min="15617" max="15617" width="15.85546875" style="3" customWidth="1"/>
    <col min="15618" max="15618" width="14.85546875" style="3" customWidth="1"/>
    <col min="15619" max="15619" width="13.28515625" style="3" customWidth="1"/>
    <col min="15620" max="15620" width="11.42578125" style="3"/>
    <col min="15621" max="15621" width="13.42578125" style="3" customWidth="1"/>
    <col min="15622" max="15622" width="12.7109375" style="3" customWidth="1"/>
    <col min="15623" max="15623" width="14" style="3" customWidth="1"/>
    <col min="15624" max="15624" width="7.42578125" style="3" customWidth="1"/>
    <col min="15625" max="15872" width="11.42578125" style="3"/>
    <col min="15873" max="15873" width="15.85546875" style="3" customWidth="1"/>
    <col min="15874" max="15874" width="14.85546875" style="3" customWidth="1"/>
    <col min="15875" max="15875" width="13.28515625" style="3" customWidth="1"/>
    <col min="15876" max="15876" width="11.42578125" style="3"/>
    <col min="15877" max="15877" width="13.42578125" style="3" customWidth="1"/>
    <col min="15878" max="15878" width="12.7109375" style="3" customWidth="1"/>
    <col min="15879" max="15879" width="14" style="3" customWidth="1"/>
    <col min="15880" max="15880" width="7.42578125" style="3" customWidth="1"/>
    <col min="15881" max="16128" width="11.42578125" style="3"/>
    <col min="16129" max="16129" width="15.85546875" style="3" customWidth="1"/>
    <col min="16130" max="16130" width="14.85546875" style="3" customWidth="1"/>
    <col min="16131" max="16131" width="13.28515625" style="3" customWidth="1"/>
    <col min="16132" max="16132" width="11.42578125" style="3"/>
    <col min="16133" max="16133" width="13.42578125" style="3" customWidth="1"/>
    <col min="16134" max="16134" width="12.7109375" style="3" customWidth="1"/>
    <col min="16135" max="16135" width="14" style="3" customWidth="1"/>
    <col min="16136" max="16136" width="7.42578125" style="3" customWidth="1"/>
    <col min="16137" max="16384" width="11.42578125" style="3"/>
  </cols>
  <sheetData>
    <row r="1" spans="1:21" ht="20.25">
      <c r="A1" s="1346" t="str">
        <f>PPTO!D3</f>
        <v>PRESUPUESTO
MUNICIPIO EL BAGRE (ANTIOQUIA).</v>
      </c>
      <c r="B1" s="1347"/>
      <c r="C1" s="1347"/>
      <c r="D1" s="1347"/>
      <c r="E1" s="1347"/>
      <c r="F1" s="1347"/>
      <c r="G1" s="1348"/>
      <c r="H1" s="1"/>
      <c r="I1" s="2"/>
    </row>
    <row r="2" spans="1:21" ht="18" customHeight="1">
      <c r="A2" s="1362" t="s">
        <v>16</v>
      </c>
      <c r="B2" s="1363"/>
      <c r="C2" s="1363"/>
      <c r="D2" s="1363"/>
      <c r="E2" s="1363"/>
      <c r="F2" s="1363"/>
      <c r="G2" s="1364"/>
      <c r="H2" s="1"/>
      <c r="I2" s="2"/>
    </row>
    <row r="3" spans="1:21" ht="27" customHeight="1">
      <c r="A3" s="1367" t="str">
        <f>+PPTO!$D$5</f>
        <v>PROYECTO DE MEJORAMIENTO VIAL, ESPACIO PUBLICO Y OBRAS COMPLEMENTARIAS DE LA AVENIDA LA JUVENTUD Y TRAMOS ADYACENTES Y PRIORITARIOS DEL SECTOR URBANO EN EL MUNICIPIO EL BAGRE ANTIOQUIA.</v>
      </c>
      <c r="B3" s="1368"/>
      <c r="C3" s="1368"/>
      <c r="D3" s="1368"/>
      <c r="E3" s="1368"/>
      <c r="F3" s="1368"/>
      <c r="G3" s="1369"/>
      <c r="H3" s="1"/>
      <c r="I3" s="2"/>
    </row>
    <row r="4" spans="1:21">
      <c r="A4" s="1370"/>
      <c r="B4" s="1368"/>
      <c r="C4" s="1368"/>
      <c r="D4" s="1368"/>
      <c r="E4" s="1368"/>
      <c r="F4" s="1368"/>
      <c r="G4" s="1369"/>
      <c r="H4" s="1"/>
      <c r="I4" s="2"/>
    </row>
    <row r="5" spans="1:21" ht="6.75" customHeight="1">
      <c r="A5" s="222"/>
      <c r="B5" s="6"/>
      <c r="C5" s="24"/>
      <c r="D5" s="25"/>
      <c r="E5" s="6"/>
      <c r="F5" s="6"/>
      <c r="G5" s="223"/>
      <c r="H5" s="9"/>
    </row>
    <row r="6" spans="1:21">
      <c r="A6" s="886">
        <v>6.41</v>
      </c>
      <c r="B6" s="1349" t="str">
        <f>VLOOKUP(A6,PPTO!D9:I136,2,FALSE)</f>
        <v>Suministro e instalación Valvula Mariposa de 6" o similar</v>
      </c>
      <c r="C6" s="1350"/>
      <c r="D6" s="1350"/>
      <c r="E6" s="1351"/>
      <c r="F6" s="192" t="s">
        <v>118</v>
      </c>
      <c r="G6" s="248" t="str">
        <f>VLOOKUP(A6,PPTO!D9:I136,3,FALSE)</f>
        <v>und</v>
      </c>
      <c r="H6" s="9"/>
    </row>
    <row r="7" spans="1:21" ht="3.75" customHeight="1">
      <c r="A7" s="226"/>
      <c r="B7" s="4"/>
      <c r="C7" s="6"/>
      <c r="D7" s="4"/>
      <c r="E7" s="4"/>
      <c r="F7" s="4"/>
      <c r="G7" s="227"/>
      <c r="H7" s="9"/>
    </row>
    <row r="8" spans="1:21" ht="22.5" customHeight="1">
      <c r="A8" s="1354" t="s">
        <v>69</v>
      </c>
      <c r="B8" s="1355"/>
      <c r="C8" s="1355"/>
      <c r="D8" s="1355"/>
      <c r="E8" s="1355"/>
      <c r="F8" s="1355"/>
      <c r="G8" s="1356"/>
      <c r="H8" s="9"/>
    </row>
    <row r="9" spans="1:21" ht="4.5" customHeight="1">
      <c r="A9" s="226"/>
      <c r="B9" s="4"/>
      <c r="C9" s="6"/>
      <c r="D9" s="4"/>
      <c r="E9" s="4"/>
      <c r="F9" s="4"/>
      <c r="G9" s="227"/>
      <c r="H9" s="9"/>
      <c r="I9" s="5"/>
      <c r="J9" s="5"/>
      <c r="K9" s="5"/>
      <c r="L9" s="26"/>
      <c r="M9" s="5"/>
      <c r="N9" s="5"/>
      <c r="O9" s="5"/>
      <c r="P9" s="5"/>
    </row>
    <row r="10" spans="1:21">
      <c r="A10" s="1373" t="s">
        <v>17</v>
      </c>
      <c r="B10" s="1374"/>
      <c r="C10" s="1374"/>
      <c r="D10" s="882" t="s">
        <v>18</v>
      </c>
      <c r="E10" s="882" t="s">
        <v>19</v>
      </c>
      <c r="F10" s="882" t="s">
        <v>20</v>
      </c>
      <c r="G10" s="228" t="s">
        <v>21</v>
      </c>
      <c r="H10" s="27"/>
      <c r="I10" s="28"/>
      <c r="J10" s="29"/>
      <c r="K10" s="30"/>
      <c r="L10" s="30"/>
      <c r="M10" s="30"/>
      <c r="N10" s="30"/>
      <c r="O10" s="30"/>
      <c r="P10" s="5"/>
    </row>
    <row r="11" spans="1:21">
      <c r="A11" s="1352" t="s">
        <v>47</v>
      </c>
      <c r="B11" s="1353"/>
      <c r="C11" s="1353"/>
      <c r="D11" s="882"/>
      <c r="E11" s="83"/>
      <c r="F11" s="97"/>
      <c r="G11" s="229">
        <f>+G39*10%</f>
        <v>15271</v>
      </c>
      <c r="H11" s="9"/>
      <c r="I11" s="30"/>
      <c r="J11" s="31"/>
      <c r="K11" s="30"/>
      <c r="L11" s="30"/>
      <c r="M11" s="30"/>
      <c r="N11" s="30"/>
      <c r="O11" s="30"/>
      <c r="P11" s="5"/>
    </row>
    <row r="12" spans="1:21">
      <c r="A12" s="1371"/>
      <c r="B12" s="1372"/>
      <c r="C12" s="1372"/>
      <c r="D12" s="83"/>
      <c r="E12" s="83"/>
      <c r="F12" s="93"/>
      <c r="G12" s="229"/>
      <c r="H12" s="9"/>
      <c r="I12" s="16"/>
      <c r="J12" s="13"/>
      <c r="K12" s="8"/>
      <c r="L12" s="8"/>
      <c r="M12" s="8"/>
      <c r="N12" s="8"/>
      <c r="O12" s="8"/>
      <c r="P12" s="5"/>
    </row>
    <row r="13" spans="1:21">
      <c r="A13" s="1371"/>
      <c r="B13" s="1372"/>
      <c r="C13" s="1372"/>
      <c r="D13" s="83"/>
      <c r="E13" s="83"/>
      <c r="F13" s="93"/>
      <c r="G13" s="229"/>
      <c r="H13" s="9"/>
      <c r="I13" s="13"/>
      <c r="J13" s="13"/>
      <c r="K13" s="13"/>
      <c r="L13" s="13"/>
      <c r="M13" s="13"/>
      <c r="N13" s="13"/>
      <c r="O13" s="13"/>
      <c r="P13" s="5"/>
    </row>
    <row r="14" spans="1:21">
      <c r="A14" s="1371"/>
      <c r="B14" s="1372"/>
      <c r="C14" s="1372"/>
      <c r="D14" s="83"/>
      <c r="E14" s="83"/>
      <c r="F14" s="93"/>
      <c r="G14" s="229"/>
      <c r="H14" s="9"/>
      <c r="I14" s="8"/>
      <c r="J14" s="14"/>
      <c r="K14" s="32"/>
      <c r="L14" s="14"/>
      <c r="M14" s="15"/>
      <c r="N14" s="15"/>
      <c r="O14" s="19"/>
      <c r="P14" s="5"/>
    </row>
    <row r="15" spans="1:21">
      <c r="A15" s="1371"/>
      <c r="B15" s="1372"/>
      <c r="C15" s="1372"/>
      <c r="D15" s="83"/>
      <c r="E15" s="83"/>
      <c r="F15" s="98"/>
      <c r="G15" s="229"/>
      <c r="H15" s="9"/>
      <c r="I15" s="8"/>
      <c r="J15" s="33"/>
      <c r="K15" s="32"/>
      <c r="L15" s="14"/>
      <c r="M15" s="15"/>
      <c r="N15" s="15"/>
      <c r="O15" s="19"/>
      <c r="P15" s="5"/>
      <c r="Q15" s="5"/>
      <c r="R15" s="5"/>
      <c r="S15" s="5"/>
      <c r="T15" s="5"/>
      <c r="U15" s="5"/>
    </row>
    <row r="16" spans="1:21">
      <c r="A16" s="1371"/>
      <c r="B16" s="1372"/>
      <c r="C16" s="1372"/>
      <c r="D16" s="85" t="s">
        <v>37</v>
      </c>
      <c r="E16" s="50"/>
      <c r="F16" s="49"/>
      <c r="G16" s="230">
        <f>SUM(G11:G15)</f>
        <v>15271</v>
      </c>
      <c r="H16" s="9"/>
      <c r="I16" s="34"/>
      <c r="J16" s="34"/>
      <c r="K16" s="35"/>
      <c r="L16" s="36"/>
      <c r="M16" s="7"/>
      <c r="N16" s="7"/>
      <c r="O16" s="19"/>
      <c r="P16" s="5"/>
      <c r="Q16" s="5"/>
      <c r="R16" s="5"/>
      <c r="S16" s="5"/>
      <c r="T16" s="5"/>
      <c r="U16" s="5"/>
    </row>
    <row r="17" spans="1:21" ht="4.5" customHeight="1">
      <c r="A17" s="226"/>
      <c r="B17" s="4"/>
      <c r="C17" s="6"/>
      <c r="D17" s="4"/>
      <c r="E17" s="4"/>
      <c r="F17" s="4"/>
      <c r="G17" s="227"/>
      <c r="H17" s="9"/>
      <c r="I17" s="34"/>
      <c r="J17" s="34"/>
      <c r="K17" s="35"/>
      <c r="L17" s="36"/>
      <c r="M17" s="7"/>
      <c r="N17" s="7"/>
      <c r="O17" s="19"/>
      <c r="P17" s="5"/>
      <c r="Q17" s="5"/>
      <c r="R17" s="5"/>
      <c r="S17" s="5"/>
      <c r="T17" s="5"/>
      <c r="U17" s="5"/>
    </row>
    <row r="18" spans="1:21" ht="22.5" customHeight="1">
      <c r="A18" s="1354" t="s">
        <v>70</v>
      </c>
      <c r="B18" s="1355"/>
      <c r="C18" s="1355"/>
      <c r="D18" s="1355"/>
      <c r="E18" s="1355"/>
      <c r="F18" s="1355"/>
      <c r="G18" s="1356"/>
      <c r="H18" s="9"/>
    </row>
    <row r="19" spans="1:21" ht="4.5" customHeight="1">
      <c r="A19" s="226"/>
      <c r="B19" s="4"/>
      <c r="C19" s="6"/>
      <c r="D19" s="4"/>
      <c r="E19" s="4"/>
      <c r="F19" s="38"/>
      <c r="G19" s="227"/>
      <c r="H19" s="9"/>
      <c r="I19" s="34"/>
      <c r="J19" s="34"/>
      <c r="K19" s="35"/>
      <c r="L19" s="39"/>
      <c r="M19" s="7"/>
      <c r="N19" s="7"/>
      <c r="O19" s="8"/>
      <c r="P19" s="5"/>
      <c r="Q19" s="5"/>
      <c r="R19" s="5"/>
      <c r="S19" s="5"/>
      <c r="T19" s="5"/>
      <c r="U19" s="5"/>
    </row>
    <row r="20" spans="1:21">
      <c r="A20" s="1373" t="s">
        <v>17</v>
      </c>
      <c r="B20" s="1374"/>
      <c r="C20" s="1374"/>
      <c r="D20" s="882" t="s">
        <v>3</v>
      </c>
      <c r="E20" s="882" t="s">
        <v>4</v>
      </c>
      <c r="F20" s="882" t="s">
        <v>25</v>
      </c>
      <c r="G20" s="228" t="s">
        <v>21</v>
      </c>
      <c r="H20" s="27"/>
      <c r="I20" s="34"/>
      <c r="J20" s="34"/>
      <c r="K20" s="35"/>
      <c r="L20" s="39"/>
      <c r="M20" s="7"/>
      <c r="N20" s="7"/>
      <c r="O20" s="8"/>
      <c r="P20" s="5"/>
      <c r="Q20" s="5"/>
      <c r="R20" s="5"/>
      <c r="S20" s="5"/>
      <c r="T20" s="5"/>
      <c r="U20" s="5"/>
    </row>
    <row r="21" spans="1:21" ht="24.75" customHeight="1">
      <c r="A21" s="1441" t="str">
        <f>MID(I21,25,50)</f>
        <v xml:space="preserve"> Valvula Mariposa de 6" o similar</v>
      </c>
      <c r="B21" s="1442"/>
      <c r="C21" s="1443"/>
      <c r="D21" s="118" t="s">
        <v>119</v>
      </c>
      <c r="E21" s="119">
        <v>1</v>
      </c>
      <c r="F21" s="87">
        <f>444675*IPC</f>
        <v>458816</v>
      </c>
      <c r="G21" s="231">
        <f>ROUND(F21*E21,0)</f>
        <v>458816</v>
      </c>
      <c r="H21" s="9"/>
      <c r="I21" s="34" t="str">
        <f>B6</f>
        <v>Suministro e instalación Valvula Mariposa de 6" o similar</v>
      </c>
      <c r="J21" s="34"/>
      <c r="K21" s="35"/>
      <c r="L21" s="36"/>
      <c r="M21" s="7"/>
      <c r="N21" s="7"/>
      <c r="O21" s="19"/>
      <c r="P21" s="5"/>
      <c r="Q21" s="5"/>
      <c r="R21" s="5"/>
      <c r="S21" s="5"/>
      <c r="T21" s="5"/>
      <c r="U21" s="5"/>
    </row>
    <row r="22" spans="1:21">
      <c r="A22" s="1444"/>
      <c r="B22" s="1403"/>
      <c r="C22" s="1404"/>
      <c r="D22" s="116"/>
      <c r="E22" s="117"/>
      <c r="F22" s="91"/>
      <c r="G22" s="231"/>
      <c r="H22" s="9"/>
      <c r="I22" s="10"/>
      <c r="J22" s="10"/>
      <c r="K22" s="12"/>
      <c r="L22" s="39"/>
      <c r="M22" s="7"/>
      <c r="N22" s="7"/>
      <c r="O22" s="15"/>
      <c r="P22" s="5"/>
      <c r="Q22" s="5"/>
      <c r="R22" s="5"/>
      <c r="S22" s="5"/>
      <c r="T22" s="5"/>
      <c r="U22" s="5"/>
    </row>
    <row r="23" spans="1:21">
      <c r="A23" s="1386"/>
      <c r="B23" s="1353"/>
      <c r="C23" s="1353"/>
      <c r="D23" s="79"/>
      <c r="E23" s="82"/>
      <c r="F23" s="83"/>
      <c r="G23" s="67"/>
      <c r="H23" s="9"/>
      <c r="I23" s="10"/>
      <c r="J23" s="10"/>
      <c r="K23" s="12"/>
      <c r="L23" s="39"/>
      <c r="M23" s="7"/>
      <c r="N23" s="7"/>
      <c r="O23" s="15"/>
      <c r="P23" s="5"/>
      <c r="Q23" s="5"/>
      <c r="R23" s="5"/>
      <c r="S23" s="5"/>
      <c r="T23" s="5"/>
      <c r="U23" s="5"/>
    </row>
    <row r="24" spans="1:21">
      <c r="A24" s="1352"/>
      <c r="B24" s="1353"/>
      <c r="C24" s="1353"/>
      <c r="D24" s="81"/>
      <c r="E24" s="88"/>
      <c r="F24" s="78"/>
      <c r="G24" s="231"/>
      <c r="H24" s="9"/>
      <c r="I24" s="10"/>
      <c r="J24" s="40"/>
      <c r="K24" s="12"/>
      <c r="L24" s="13"/>
      <c r="M24" s="14"/>
      <c r="N24" s="14"/>
      <c r="O24" s="15"/>
      <c r="P24" s="5"/>
      <c r="Q24" s="5"/>
      <c r="R24" s="5"/>
      <c r="S24" s="5"/>
      <c r="T24" s="5"/>
      <c r="U24" s="5"/>
    </row>
    <row r="25" spans="1:21">
      <c r="A25" s="1352"/>
      <c r="B25" s="1353"/>
      <c r="C25" s="1353"/>
      <c r="D25" s="81"/>
      <c r="E25" s="82"/>
      <c r="F25" s="78"/>
      <c r="G25" s="231"/>
      <c r="H25" s="9"/>
      <c r="I25" s="10"/>
      <c r="J25" s="11"/>
      <c r="K25" s="12"/>
      <c r="L25" s="13"/>
      <c r="M25" s="14"/>
      <c r="N25" s="14"/>
      <c r="O25" s="15"/>
      <c r="P25" s="5"/>
      <c r="Q25" s="5"/>
      <c r="R25" s="5"/>
      <c r="S25" s="5"/>
      <c r="T25" s="5"/>
      <c r="U25" s="5"/>
    </row>
    <row r="26" spans="1:21">
      <c r="A26" s="1352"/>
      <c r="B26" s="1353"/>
      <c r="C26" s="1353"/>
      <c r="D26" s="79"/>
      <c r="E26" s="82"/>
      <c r="F26" s="78"/>
      <c r="G26" s="231"/>
      <c r="H26" s="9"/>
      <c r="I26" s="10"/>
      <c r="J26" s="11"/>
      <c r="K26" s="12"/>
      <c r="L26" s="13"/>
      <c r="M26" s="14"/>
      <c r="N26" s="14"/>
      <c r="O26" s="15"/>
      <c r="P26" s="5"/>
      <c r="Q26" s="5"/>
      <c r="R26" s="5"/>
      <c r="S26" s="5"/>
      <c r="T26" s="5"/>
      <c r="U26" s="5"/>
    </row>
    <row r="27" spans="1:21">
      <c r="A27" s="1352"/>
      <c r="B27" s="1353"/>
      <c r="C27" s="1353"/>
      <c r="D27" s="79"/>
      <c r="E27" s="82"/>
      <c r="F27" s="78"/>
      <c r="G27" s="231"/>
      <c r="H27" s="9"/>
      <c r="I27" s="10"/>
      <c r="J27" s="11"/>
      <c r="K27" s="12"/>
      <c r="L27" s="13"/>
      <c r="M27" s="14"/>
      <c r="N27" s="14"/>
      <c r="O27" s="15"/>
      <c r="P27" s="5"/>
      <c r="Q27" s="5"/>
      <c r="R27" s="5"/>
      <c r="S27" s="5"/>
      <c r="T27" s="5"/>
      <c r="U27" s="5"/>
    </row>
    <row r="28" spans="1:21">
      <c r="A28" s="1352"/>
      <c r="B28" s="1353"/>
      <c r="C28" s="1353"/>
      <c r="D28" s="79"/>
      <c r="E28" s="82"/>
      <c r="F28" s="83"/>
      <c r="G28" s="231"/>
      <c r="H28" s="9"/>
      <c r="I28" s="41"/>
      <c r="J28" s="41"/>
      <c r="K28" s="12"/>
      <c r="L28" s="13"/>
      <c r="M28" s="14"/>
      <c r="N28" s="14"/>
      <c r="O28" s="15"/>
      <c r="P28" s="5"/>
      <c r="Q28" s="5"/>
      <c r="R28" s="5"/>
      <c r="S28" s="5"/>
      <c r="T28" s="5"/>
      <c r="U28" s="5"/>
    </row>
    <row r="29" spans="1:21">
      <c r="A29" s="1352"/>
      <c r="B29" s="1353"/>
      <c r="C29" s="1353"/>
      <c r="D29" s="84"/>
      <c r="E29" s="84"/>
      <c r="F29" s="83"/>
      <c r="G29" s="231"/>
      <c r="H29" s="9"/>
      <c r="I29" s="42"/>
      <c r="J29" s="42"/>
      <c r="K29" s="42"/>
      <c r="L29" s="13"/>
      <c r="M29" s="14"/>
      <c r="N29" s="14"/>
      <c r="O29" s="15"/>
      <c r="P29" s="5"/>
      <c r="Q29" s="5"/>
      <c r="R29" s="5"/>
      <c r="S29" s="5"/>
      <c r="T29" s="5"/>
      <c r="U29" s="5"/>
    </row>
    <row r="30" spans="1:21">
      <c r="A30" s="1352"/>
      <c r="B30" s="1353"/>
      <c r="C30" s="1353"/>
      <c r="D30" s="85" t="s">
        <v>28</v>
      </c>
      <c r="E30" s="50"/>
      <c r="F30" s="49"/>
      <c r="G30" s="230">
        <f>SUM(G21:G29)</f>
        <v>458816</v>
      </c>
      <c r="H30" s="9"/>
      <c r="I30" s="8"/>
      <c r="J30" s="13"/>
      <c r="K30" s="8"/>
      <c r="L30" s="13"/>
      <c r="M30" s="14"/>
      <c r="N30" s="14"/>
      <c r="O30" s="15"/>
      <c r="P30" s="5"/>
    </row>
    <row r="31" spans="1:21" ht="3.75" customHeight="1">
      <c r="A31" s="226"/>
      <c r="B31" s="4"/>
      <c r="C31" s="6"/>
      <c r="D31" s="4"/>
      <c r="E31" s="4"/>
      <c r="F31" s="4"/>
      <c r="G31" s="227"/>
      <c r="H31" s="9"/>
      <c r="I31" s="8"/>
      <c r="J31" s="13"/>
      <c r="K31" s="18"/>
      <c r="L31" s="13"/>
      <c r="M31" s="33"/>
      <c r="N31" s="33"/>
      <c r="O31" s="15"/>
      <c r="P31" s="5"/>
    </row>
    <row r="32" spans="1:21" ht="22.5" customHeight="1">
      <c r="A32" s="1354" t="s">
        <v>71</v>
      </c>
      <c r="B32" s="1355"/>
      <c r="C32" s="1355"/>
      <c r="D32" s="1355"/>
      <c r="E32" s="1355"/>
      <c r="F32" s="1355"/>
      <c r="G32" s="1356"/>
      <c r="H32" s="9"/>
    </row>
    <row r="33" spans="1:16" ht="3.75" customHeight="1">
      <c r="A33" s="226"/>
      <c r="B33" s="4"/>
      <c r="C33" s="6"/>
      <c r="D33" s="4"/>
      <c r="E33" s="4"/>
      <c r="F33" s="4"/>
      <c r="G33" s="227"/>
      <c r="H33" s="9"/>
      <c r="I33" s="8"/>
      <c r="J33" s="13"/>
      <c r="K33" s="8"/>
      <c r="L33" s="8"/>
      <c r="M33" s="8"/>
      <c r="N33" s="8"/>
      <c r="O33" s="15"/>
      <c r="P33" s="5"/>
    </row>
    <row r="34" spans="1:16">
      <c r="A34" s="232" t="s">
        <v>5</v>
      </c>
      <c r="B34" s="60" t="s">
        <v>29</v>
      </c>
      <c r="C34" s="60" t="s">
        <v>30</v>
      </c>
      <c r="D34" s="60" t="s">
        <v>31</v>
      </c>
      <c r="E34" s="60" t="s">
        <v>32</v>
      </c>
      <c r="F34" s="60" t="s">
        <v>20</v>
      </c>
      <c r="G34" s="228" t="s">
        <v>33</v>
      </c>
      <c r="H34" s="27"/>
      <c r="I34" s="8"/>
      <c r="J34" s="13"/>
      <c r="K34" s="8"/>
      <c r="L34" s="8"/>
      <c r="M34" s="8"/>
      <c r="N34" s="8"/>
      <c r="O34" s="15"/>
      <c r="P34" s="5"/>
    </row>
    <row r="35" spans="1:16">
      <c r="A35" s="233" t="s">
        <v>41</v>
      </c>
      <c r="B35" s="63">
        <f>BOF</f>
        <v>51749</v>
      </c>
      <c r="C35" s="68">
        <f>ffpp</f>
        <v>0.64539999999999997</v>
      </c>
      <c r="D35" s="72">
        <v>1</v>
      </c>
      <c r="E35" s="66">
        <f>OF</f>
        <v>88696</v>
      </c>
      <c r="F35" s="65">
        <v>2</v>
      </c>
      <c r="G35" s="231">
        <f>ROUND(+D35*E35/F35,0)</f>
        <v>44348</v>
      </c>
      <c r="H35" s="9"/>
      <c r="I35" s="16"/>
      <c r="J35" s="13"/>
      <c r="K35" s="8"/>
      <c r="L35" s="8"/>
      <c r="M35" s="8"/>
      <c r="N35" s="8"/>
      <c r="O35" s="15"/>
      <c r="P35" s="5"/>
    </row>
    <row r="36" spans="1:16">
      <c r="A36" s="233" t="s">
        <v>38</v>
      </c>
      <c r="B36" s="63">
        <f>BOB</f>
        <v>41749</v>
      </c>
      <c r="C36" s="68">
        <f>ffpp</f>
        <v>0.64539999999999997</v>
      </c>
      <c r="D36" s="72">
        <v>3</v>
      </c>
      <c r="E36" s="66">
        <f>OB</f>
        <v>72242</v>
      </c>
      <c r="F36" s="65">
        <f>F35</f>
        <v>2</v>
      </c>
      <c r="G36" s="231">
        <f>ROUND(+D36*E36/F36,0)</f>
        <v>108363</v>
      </c>
      <c r="H36" s="9"/>
      <c r="I36" s="8"/>
      <c r="J36" s="8"/>
      <c r="K36" s="13"/>
      <c r="L36" s="13"/>
      <c r="M36" s="13"/>
      <c r="N36" s="13"/>
      <c r="O36" s="13"/>
      <c r="P36" s="5"/>
    </row>
    <row r="37" spans="1:16">
      <c r="A37" s="234"/>
      <c r="B37" s="50"/>
      <c r="C37" s="961"/>
      <c r="D37" s="50"/>
      <c r="E37" s="66"/>
      <c r="F37" s="65"/>
      <c r="G37" s="231"/>
      <c r="H37" s="9"/>
      <c r="I37" s="8"/>
      <c r="J37" s="13"/>
      <c r="K37" s="13"/>
      <c r="L37" s="13"/>
      <c r="M37" s="33"/>
      <c r="N37" s="33"/>
      <c r="O37" s="43"/>
      <c r="P37" s="5"/>
    </row>
    <row r="38" spans="1:16">
      <c r="A38" s="233"/>
      <c r="B38" s="65"/>
      <c r="C38" s="68"/>
      <c r="D38" s="65"/>
      <c r="E38" s="69"/>
      <c r="F38" s="69"/>
      <c r="G38" s="236"/>
      <c r="H38" s="9"/>
      <c r="I38" s="8"/>
      <c r="J38" s="13"/>
      <c r="K38" s="13"/>
      <c r="L38" s="13"/>
      <c r="M38" s="33"/>
      <c r="N38" s="33"/>
      <c r="O38" s="43"/>
      <c r="P38" s="5"/>
    </row>
    <row r="39" spans="1:16">
      <c r="A39" s="249"/>
      <c r="B39" s="71"/>
      <c r="C39" s="71"/>
      <c r="D39" s="71" t="s">
        <v>34</v>
      </c>
      <c r="E39" s="71"/>
      <c r="F39" s="71"/>
      <c r="G39" s="250">
        <f>SUM(G35:G38)</f>
        <v>152711</v>
      </c>
      <c r="H39" s="9"/>
      <c r="I39" s="8"/>
      <c r="J39" s="13"/>
      <c r="K39" s="13"/>
      <c r="L39" s="13"/>
      <c r="M39" s="14"/>
      <c r="N39" s="14"/>
      <c r="O39" s="15"/>
      <c r="P39" s="5"/>
    </row>
    <row r="40" spans="1:16">
      <c r="A40" s="226"/>
      <c r="B40" s="4"/>
      <c r="C40" s="6"/>
      <c r="D40" s="4"/>
      <c r="E40" s="4"/>
      <c r="F40" s="4"/>
      <c r="G40" s="227"/>
      <c r="H40" s="9"/>
      <c r="I40" s="8"/>
      <c r="J40" s="13"/>
      <c r="K40" s="13"/>
      <c r="L40" s="13"/>
      <c r="M40" s="14"/>
      <c r="N40" s="14"/>
      <c r="O40" s="19"/>
      <c r="P40" s="5"/>
    </row>
    <row r="41" spans="1:16">
      <c r="A41" s="226"/>
      <c r="B41" s="4"/>
      <c r="C41" s="6"/>
      <c r="D41" s="4"/>
      <c r="E41" s="4"/>
      <c r="F41" s="4"/>
      <c r="G41" s="227"/>
      <c r="H41" s="9"/>
      <c r="I41" s="8"/>
      <c r="J41" s="13"/>
      <c r="K41" s="13"/>
      <c r="L41" s="13"/>
      <c r="M41" s="17"/>
      <c r="N41" s="17"/>
      <c r="O41" s="37"/>
      <c r="P41" s="5"/>
    </row>
    <row r="42" spans="1:16" ht="14.25">
      <c r="A42" s="226"/>
      <c r="B42" s="4"/>
      <c r="C42" s="6"/>
      <c r="D42" s="1357" t="s">
        <v>35</v>
      </c>
      <c r="E42" s="1358"/>
      <c r="F42" s="1359"/>
      <c r="G42" s="239">
        <f>+G39+G30+G16</f>
        <v>626798</v>
      </c>
      <c r="H42" s="9"/>
      <c r="I42" s="48"/>
      <c r="J42" s="20"/>
      <c r="K42" s="8"/>
      <c r="L42" s="8"/>
      <c r="M42" s="8"/>
      <c r="N42" s="8"/>
      <c r="O42" s="8"/>
      <c r="P42" s="5"/>
    </row>
    <row r="43" spans="1:16" ht="14.25">
      <c r="A43" s="240"/>
      <c r="B43" s="57"/>
      <c r="C43" s="58"/>
      <c r="D43" s="99"/>
      <c r="E43" s="99"/>
      <c r="F43" s="99"/>
      <c r="G43" s="251"/>
      <c r="H43" s="9"/>
      <c r="I43" s="48"/>
      <c r="J43" s="20"/>
      <c r="K43" s="8"/>
      <c r="L43" s="8"/>
      <c r="M43" s="8"/>
      <c r="N43" s="8"/>
      <c r="O43" s="8"/>
      <c r="P43" s="5"/>
    </row>
    <row r="44" spans="1:16" ht="14.25">
      <c r="A44" s="374"/>
      <c r="B44" s="375"/>
      <c r="C44" s="375"/>
      <c r="D44" s="99"/>
      <c r="E44" s="99"/>
      <c r="F44" s="99"/>
      <c r="G44" s="251"/>
      <c r="H44" s="9"/>
      <c r="I44" s="48"/>
      <c r="J44" s="20"/>
      <c r="K44" s="8"/>
      <c r="L44" s="8"/>
      <c r="M44" s="8"/>
      <c r="N44" s="8"/>
      <c r="O44" s="8"/>
      <c r="P44" s="5"/>
    </row>
    <row r="45" spans="1:16" ht="14.25">
      <c r="A45" s="373"/>
      <c r="B45" s="376"/>
      <c r="C45" s="376"/>
      <c r="D45" s="99"/>
      <c r="E45" s="99"/>
      <c r="F45" s="99"/>
      <c r="G45" s="251"/>
      <c r="H45" s="9"/>
      <c r="I45" s="48"/>
      <c r="J45" s="20"/>
      <c r="K45" s="8"/>
      <c r="L45" s="8"/>
      <c r="M45" s="8"/>
      <c r="N45" s="8"/>
      <c r="O45" s="8"/>
      <c r="P45" s="5"/>
    </row>
    <row r="46" spans="1:16" ht="14.25">
      <c r="A46" s="373"/>
      <c r="B46" s="376"/>
      <c r="C46" s="376"/>
      <c r="D46" s="44"/>
      <c r="E46" s="45"/>
      <c r="F46" s="45"/>
      <c r="G46" s="251"/>
      <c r="H46" s="9"/>
      <c r="I46" s="8"/>
      <c r="J46" s="13"/>
      <c r="K46" s="8"/>
      <c r="L46" s="8"/>
      <c r="M46" s="8"/>
      <c r="N46" s="8"/>
      <c r="O46" s="8"/>
      <c r="P46" s="5"/>
    </row>
    <row r="47" spans="1:16" ht="15" thickBot="1">
      <c r="A47" s="242"/>
      <c r="B47" s="243"/>
      <c r="C47" s="244"/>
      <c r="D47" s="245"/>
      <c r="E47" s="246"/>
      <c r="F47" s="246"/>
      <c r="G47" s="247"/>
      <c r="H47" s="9"/>
      <c r="I47" s="8"/>
      <c r="J47" s="13"/>
      <c r="K47" s="8"/>
      <c r="L47" s="8"/>
      <c r="M47" s="8"/>
      <c r="N47" s="8"/>
      <c r="O47" s="8"/>
      <c r="P47" s="5"/>
    </row>
    <row r="48" spans="1:16">
      <c r="I48" s="5"/>
      <c r="J48" s="5"/>
      <c r="K48" s="5"/>
      <c r="L48" s="5"/>
      <c r="M48" s="5"/>
      <c r="N48" s="5"/>
      <c r="O48" s="5"/>
      <c r="P48" s="5"/>
    </row>
    <row r="49" spans="9:16">
      <c r="I49" s="5"/>
      <c r="J49" s="5"/>
      <c r="K49" s="5"/>
      <c r="L49" s="5"/>
      <c r="M49" s="5"/>
      <c r="N49" s="5"/>
      <c r="O49" s="5"/>
      <c r="P49" s="5"/>
    </row>
  </sheetData>
  <mergeCells count="26">
    <mergeCell ref="A10:C10"/>
    <mergeCell ref="A1:G1"/>
    <mergeCell ref="A2:G2"/>
    <mergeCell ref="A3:G4"/>
    <mergeCell ref="B6:E6"/>
    <mergeCell ref="A8:G8"/>
    <mergeCell ref="A24:C24"/>
    <mergeCell ref="A11:C11"/>
    <mergeCell ref="A12:C12"/>
    <mergeCell ref="A13:C13"/>
    <mergeCell ref="A14:C14"/>
    <mergeCell ref="A15:C15"/>
    <mergeCell ref="A16:C16"/>
    <mergeCell ref="A18:G18"/>
    <mergeCell ref="A20:C20"/>
    <mergeCell ref="A21:C21"/>
    <mergeCell ref="A22:C22"/>
    <mergeCell ref="A23:C23"/>
    <mergeCell ref="A32:G32"/>
    <mergeCell ref="D42:F42"/>
    <mergeCell ref="A25:C25"/>
    <mergeCell ref="A26:C26"/>
    <mergeCell ref="A27:C27"/>
    <mergeCell ref="A28:C28"/>
    <mergeCell ref="A29:C29"/>
    <mergeCell ref="A30:C30"/>
  </mergeCells>
  <printOptions horizontalCentered="1" verticalCentered="1"/>
  <pageMargins left="0.74803149606299213" right="0.74803149606299213" top="0" bottom="0.98425196850393704" header="0" footer="0"/>
  <pageSetup scale="90" orientation="portrait" r:id="rId1"/>
  <headerFooter alignWithMargins="0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9"/>
  <sheetViews>
    <sheetView view="pageBreakPreview" zoomScaleNormal="100" zoomScaleSheetLayoutView="100" workbookViewId="0">
      <selection activeCell="I7" sqref="I7"/>
    </sheetView>
  </sheetViews>
  <sheetFormatPr baseColWidth="10" defaultColWidth="10.7109375" defaultRowHeight="12.75"/>
  <cols>
    <col min="1" max="1" width="15.85546875" style="3" customWidth="1"/>
    <col min="2" max="2" width="14.85546875" style="3" customWidth="1"/>
    <col min="3" max="3" width="13.28515625" style="3" customWidth="1"/>
    <col min="4" max="4" width="11.42578125" style="3"/>
    <col min="5" max="5" width="13.42578125" style="3" customWidth="1"/>
    <col min="6" max="6" width="12.7109375" style="3" customWidth="1"/>
    <col min="7" max="7" width="14" style="3" customWidth="1"/>
    <col min="8" max="8" width="7.42578125" style="3" customWidth="1"/>
    <col min="9" max="256" width="11.42578125" style="3"/>
    <col min="257" max="257" width="15.85546875" style="3" customWidth="1"/>
    <col min="258" max="258" width="14.85546875" style="3" customWidth="1"/>
    <col min="259" max="259" width="13.28515625" style="3" customWidth="1"/>
    <col min="260" max="260" width="11.42578125" style="3"/>
    <col min="261" max="261" width="13.42578125" style="3" customWidth="1"/>
    <col min="262" max="262" width="12.7109375" style="3" customWidth="1"/>
    <col min="263" max="263" width="14" style="3" customWidth="1"/>
    <col min="264" max="264" width="7.42578125" style="3" customWidth="1"/>
    <col min="265" max="512" width="11.42578125" style="3"/>
    <col min="513" max="513" width="15.85546875" style="3" customWidth="1"/>
    <col min="514" max="514" width="14.85546875" style="3" customWidth="1"/>
    <col min="515" max="515" width="13.28515625" style="3" customWidth="1"/>
    <col min="516" max="516" width="11.42578125" style="3"/>
    <col min="517" max="517" width="13.42578125" style="3" customWidth="1"/>
    <col min="518" max="518" width="12.7109375" style="3" customWidth="1"/>
    <col min="519" max="519" width="14" style="3" customWidth="1"/>
    <col min="520" max="520" width="7.42578125" style="3" customWidth="1"/>
    <col min="521" max="768" width="11.42578125" style="3"/>
    <col min="769" max="769" width="15.85546875" style="3" customWidth="1"/>
    <col min="770" max="770" width="14.85546875" style="3" customWidth="1"/>
    <col min="771" max="771" width="13.28515625" style="3" customWidth="1"/>
    <col min="772" max="772" width="11.42578125" style="3"/>
    <col min="773" max="773" width="13.42578125" style="3" customWidth="1"/>
    <col min="774" max="774" width="12.7109375" style="3" customWidth="1"/>
    <col min="775" max="775" width="14" style="3" customWidth="1"/>
    <col min="776" max="776" width="7.42578125" style="3" customWidth="1"/>
    <col min="777" max="1024" width="11.42578125" style="3"/>
    <col min="1025" max="1025" width="15.85546875" style="3" customWidth="1"/>
    <col min="1026" max="1026" width="14.85546875" style="3" customWidth="1"/>
    <col min="1027" max="1027" width="13.28515625" style="3" customWidth="1"/>
    <col min="1028" max="1028" width="11.42578125" style="3"/>
    <col min="1029" max="1029" width="13.42578125" style="3" customWidth="1"/>
    <col min="1030" max="1030" width="12.7109375" style="3" customWidth="1"/>
    <col min="1031" max="1031" width="14" style="3" customWidth="1"/>
    <col min="1032" max="1032" width="7.42578125" style="3" customWidth="1"/>
    <col min="1033" max="1280" width="11.42578125" style="3"/>
    <col min="1281" max="1281" width="15.85546875" style="3" customWidth="1"/>
    <col min="1282" max="1282" width="14.85546875" style="3" customWidth="1"/>
    <col min="1283" max="1283" width="13.28515625" style="3" customWidth="1"/>
    <col min="1284" max="1284" width="11.42578125" style="3"/>
    <col min="1285" max="1285" width="13.42578125" style="3" customWidth="1"/>
    <col min="1286" max="1286" width="12.7109375" style="3" customWidth="1"/>
    <col min="1287" max="1287" width="14" style="3" customWidth="1"/>
    <col min="1288" max="1288" width="7.42578125" style="3" customWidth="1"/>
    <col min="1289" max="1536" width="11.42578125" style="3"/>
    <col min="1537" max="1537" width="15.85546875" style="3" customWidth="1"/>
    <col min="1538" max="1538" width="14.85546875" style="3" customWidth="1"/>
    <col min="1539" max="1539" width="13.28515625" style="3" customWidth="1"/>
    <col min="1540" max="1540" width="11.42578125" style="3"/>
    <col min="1541" max="1541" width="13.42578125" style="3" customWidth="1"/>
    <col min="1542" max="1542" width="12.7109375" style="3" customWidth="1"/>
    <col min="1543" max="1543" width="14" style="3" customWidth="1"/>
    <col min="1544" max="1544" width="7.42578125" style="3" customWidth="1"/>
    <col min="1545" max="1792" width="11.42578125" style="3"/>
    <col min="1793" max="1793" width="15.85546875" style="3" customWidth="1"/>
    <col min="1794" max="1794" width="14.85546875" style="3" customWidth="1"/>
    <col min="1795" max="1795" width="13.28515625" style="3" customWidth="1"/>
    <col min="1796" max="1796" width="11.42578125" style="3"/>
    <col min="1797" max="1797" width="13.42578125" style="3" customWidth="1"/>
    <col min="1798" max="1798" width="12.7109375" style="3" customWidth="1"/>
    <col min="1799" max="1799" width="14" style="3" customWidth="1"/>
    <col min="1800" max="1800" width="7.42578125" style="3" customWidth="1"/>
    <col min="1801" max="2048" width="11.42578125" style="3"/>
    <col min="2049" max="2049" width="15.85546875" style="3" customWidth="1"/>
    <col min="2050" max="2050" width="14.85546875" style="3" customWidth="1"/>
    <col min="2051" max="2051" width="13.28515625" style="3" customWidth="1"/>
    <col min="2052" max="2052" width="11.42578125" style="3"/>
    <col min="2053" max="2053" width="13.42578125" style="3" customWidth="1"/>
    <col min="2054" max="2054" width="12.7109375" style="3" customWidth="1"/>
    <col min="2055" max="2055" width="14" style="3" customWidth="1"/>
    <col min="2056" max="2056" width="7.42578125" style="3" customWidth="1"/>
    <col min="2057" max="2304" width="11.42578125" style="3"/>
    <col min="2305" max="2305" width="15.85546875" style="3" customWidth="1"/>
    <col min="2306" max="2306" width="14.85546875" style="3" customWidth="1"/>
    <col min="2307" max="2307" width="13.28515625" style="3" customWidth="1"/>
    <col min="2308" max="2308" width="11.42578125" style="3"/>
    <col min="2309" max="2309" width="13.42578125" style="3" customWidth="1"/>
    <col min="2310" max="2310" width="12.7109375" style="3" customWidth="1"/>
    <col min="2311" max="2311" width="14" style="3" customWidth="1"/>
    <col min="2312" max="2312" width="7.42578125" style="3" customWidth="1"/>
    <col min="2313" max="2560" width="11.42578125" style="3"/>
    <col min="2561" max="2561" width="15.85546875" style="3" customWidth="1"/>
    <col min="2562" max="2562" width="14.85546875" style="3" customWidth="1"/>
    <col min="2563" max="2563" width="13.28515625" style="3" customWidth="1"/>
    <col min="2564" max="2564" width="11.42578125" style="3"/>
    <col min="2565" max="2565" width="13.42578125" style="3" customWidth="1"/>
    <col min="2566" max="2566" width="12.7109375" style="3" customWidth="1"/>
    <col min="2567" max="2567" width="14" style="3" customWidth="1"/>
    <col min="2568" max="2568" width="7.42578125" style="3" customWidth="1"/>
    <col min="2569" max="2816" width="11.42578125" style="3"/>
    <col min="2817" max="2817" width="15.85546875" style="3" customWidth="1"/>
    <col min="2818" max="2818" width="14.85546875" style="3" customWidth="1"/>
    <col min="2819" max="2819" width="13.28515625" style="3" customWidth="1"/>
    <col min="2820" max="2820" width="11.42578125" style="3"/>
    <col min="2821" max="2821" width="13.42578125" style="3" customWidth="1"/>
    <col min="2822" max="2822" width="12.7109375" style="3" customWidth="1"/>
    <col min="2823" max="2823" width="14" style="3" customWidth="1"/>
    <col min="2824" max="2824" width="7.42578125" style="3" customWidth="1"/>
    <col min="2825" max="3072" width="11.42578125" style="3"/>
    <col min="3073" max="3073" width="15.85546875" style="3" customWidth="1"/>
    <col min="3074" max="3074" width="14.85546875" style="3" customWidth="1"/>
    <col min="3075" max="3075" width="13.28515625" style="3" customWidth="1"/>
    <col min="3076" max="3076" width="11.42578125" style="3"/>
    <col min="3077" max="3077" width="13.42578125" style="3" customWidth="1"/>
    <col min="3078" max="3078" width="12.7109375" style="3" customWidth="1"/>
    <col min="3079" max="3079" width="14" style="3" customWidth="1"/>
    <col min="3080" max="3080" width="7.42578125" style="3" customWidth="1"/>
    <col min="3081" max="3328" width="11.42578125" style="3"/>
    <col min="3329" max="3329" width="15.85546875" style="3" customWidth="1"/>
    <col min="3330" max="3330" width="14.85546875" style="3" customWidth="1"/>
    <col min="3331" max="3331" width="13.28515625" style="3" customWidth="1"/>
    <col min="3332" max="3332" width="11.42578125" style="3"/>
    <col min="3333" max="3333" width="13.42578125" style="3" customWidth="1"/>
    <col min="3334" max="3334" width="12.7109375" style="3" customWidth="1"/>
    <col min="3335" max="3335" width="14" style="3" customWidth="1"/>
    <col min="3336" max="3336" width="7.42578125" style="3" customWidth="1"/>
    <col min="3337" max="3584" width="11.42578125" style="3"/>
    <col min="3585" max="3585" width="15.85546875" style="3" customWidth="1"/>
    <col min="3586" max="3586" width="14.85546875" style="3" customWidth="1"/>
    <col min="3587" max="3587" width="13.28515625" style="3" customWidth="1"/>
    <col min="3588" max="3588" width="11.42578125" style="3"/>
    <col min="3589" max="3589" width="13.42578125" style="3" customWidth="1"/>
    <col min="3590" max="3590" width="12.7109375" style="3" customWidth="1"/>
    <col min="3591" max="3591" width="14" style="3" customWidth="1"/>
    <col min="3592" max="3592" width="7.42578125" style="3" customWidth="1"/>
    <col min="3593" max="3840" width="11.42578125" style="3"/>
    <col min="3841" max="3841" width="15.85546875" style="3" customWidth="1"/>
    <col min="3842" max="3842" width="14.85546875" style="3" customWidth="1"/>
    <col min="3843" max="3843" width="13.28515625" style="3" customWidth="1"/>
    <col min="3844" max="3844" width="11.42578125" style="3"/>
    <col min="3845" max="3845" width="13.42578125" style="3" customWidth="1"/>
    <col min="3846" max="3846" width="12.7109375" style="3" customWidth="1"/>
    <col min="3847" max="3847" width="14" style="3" customWidth="1"/>
    <col min="3848" max="3848" width="7.42578125" style="3" customWidth="1"/>
    <col min="3849" max="4096" width="11.42578125" style="3"/>
    <col min="4097" max="4097" width="15.85546875" style="3" customWidth="1"/>
    <col min="4098" max="4098" width="14.85546875" style="3" customWidth="1"/>
    <col min="4099" max="4099" width="13.28515625" style="3" customWidth="1"/>
    <col min="4100" max="4100" width="11.42578125" style="3"/>
    <col min="4101" max="4101" width="13.42578125" style="3" customWidth="1"/>
    <col min="4102" max="4102" width="12.7109375" style="3" customWidth="1"/>
    <col min="4103" max="4103" width="14" style="3" customWidth="1"/>
    <col min="4104" max="4104" width="7.42578125" style="3" customWidth="1"/>
    <col min="4105" max="4352" width="11.42578125" style="3"/>
    <col min="4353" max="4353" width="15.85546875" style="3" customWidth="1"/>
    <col min="4354" max="4354" width="14.85546875" style="3" customWidth="1"/>
    <col min="4355" max="4355" width="13.28515625" style="3" customWidth="1"/>
    <col min="4356" max="4356" width="11.42578125" style="3"/>
    <col min="4357" max="4357" width="13.42578125" style="3" customWidth="1"/>
    <col min="4358" max="4358" width="12.7109375" style="3" customWidth="1"/>
    <col min="4359" max="4359" width="14" style="3" customWidth="1"/>
    <col min="4360" max="4360" width="7.42578125" style="3" customWidth="1"/>
    <col min="4361" max="4608" width="11.42578125" style="3"/>
    <col min="4609" max="4609" width="15.85546875" style="3" customWidth="1"/>
    <col min="4610" max="4610" width="14.85546875" style="3" customWidth="1"/>
    <col min="4611" max="4611" width="13.28515625" style="3" customWidth="1"/>
    <col min="4612" max="4612" width="11.42578125" style="3"/>
    <col min="4613" max="4613" width="13.42578125" style="3" customWidth="1"/>
    <col min="4614" max="4614" width="12.7109375" style="3" customWidth="1"/>
    <col min="4615" max="4615" width="14" style="3" customWidth="1"/>
    <col min="4616" max="4616" width="7.42578125" style="3" customWidth="1"/>
    <col min="4617" max="4864" width="11.42578125" style="3"/>
    <col min="4865" max="4865" width="15.85546875" style="3" customWidth="1"/>
    <col min="4866" max="4866" width="14.85546875" style="3" customWidth="1"/>
    <col min="4867" max="4867" width="13.28515625" style="3" customWidth="1"/>
    <col min="4868" max="4868" width="11.42578125" style="3"/>
    <col min="4869" max="4869" width="13.42578125" style="3" customWidth="1"/>
    <col min="4870" max="4870" width="12.7109375" style="3" customWidth="1"/>
    <col min="4871" max="4871" width="14" style="3" customWidth="1"/>
    <col min="4872" max="4872" width="7.42578125" style="3" customWidth="1"/>
    <col min="4873" max="5120" width="11.42578125" style="3"/>
    <col min="5121" max="5121" width="15.85546875" style="3" customWidth="1"/>
    <col min="5122" max="5122" width="14.85546875" style="3" customWidth="1"/>
    <col min="5123" max="5123" width="13.28515625" style="3" customWidth="1"/>
    <col min="5124" max="5124" width="11.42578125" style="3"/>
    <col min="5125" max="5125" width="13.42578125" style="3" customWidth="1"/>
    <col min="5126" max="5126" width="12.7109375" style="3" customWidth="1"/>
    <col min="5127" max="5127" width="14" style="3" customWidth="1"/>
    <col min="5128" max="5128" width="7.42578125" style="3" customWidth="1"/>
    <col min="5129" max="5376" width="11.42578125" style="3"/>
    <col min="5377" max="5377" width="15.85546875" style="3" customWidth="1"/>
    <col min="5378" max="5378" width="14.85546875" style="3" customWidth="1"/>
    <col min="5379" max="5379" width="13.28515625" style="3" customWidth="1"/>
    <col min="5380" max="5380" width="11.42578125" style="3"/>
    <col min="5381" max="5381" width="13.42578125" style="3" customWidth="1"/>
    <col min="5382" max="5382" width="12.7109375" style="3" customWidth="1"/>
    <col min="5383" max="5383" width="14" style="3" customWidth="1"/>
    <col min="5384" max="5384" width="7.42578125" style="3" customWidth="1"/>
    <col min="5385" max="5632" width="11.42578125" style="3"/>
    <col min="5633" max="5633" width="15.85546875" style="3" customWidth="1"/>
    <col min="5634" max="5634" width="14.85546875" style="3" customWidth="1"/>
    <col min="5635" max="5635" width="13.28515625" style="3" customWidth="1"/>
    <col min="5636" max="5636" width="11.42578125" style="3"/>
    <col min="5637" max="5637" width="13.42578125" style="3" customWidth="1"/>
    <col min="5638" max="5638" width="12.7109375" style="3" customWidth="1"/>
    <col min="5639" max="5639" width="14" style="3" customWidth="1"/>
    <col min="5640" max="5640" width="7.42578125" style="3" customWidth="1"/>
    <col min="5641" max="5888" width="11.42578125" style="3"/>
    <col min="5889" max="5889" width="15.85546875" style="3" customWidth="1"/>
    <col min="5890" max="5890" width="14.85546875" style="3" customWidth="1"/>
    <col min="5891" max="5891" width="13.28515625" style="3" customWidth="1"/>
    <col min="5892" max="5892" width="11.42578125" style="3"/>
    <col min="5893" max="5893" width="13.42578125" style="3" customWidth="1"/>
    <col min="5894" max="5894" width="12.7109375" style="3" customWidth="1"/>
    <col min="5895" max="5895" width="14" style="3" customWidth="1"/>
    <col min="5896" max="5896" width="7.42578125" style="3" customWidth="1"/>
    <col min="5897" max="6144" width="11.42578125" style="3"/>
    <col min="6145" max="6145" width="15.85546875" style="3" customWidth="1"/>
    <col min="6146" max="6146" width="14.85546875" style="3" customWidth="1"/>
    <col min="6147" max="6147" width="13.28515625" style="3" customWidth="1"/>
    <col min="6148" max="6148" width="11.42578125" style="3"/>
    <col min="6149" max="6149" width="13.42578125" style="3" customWidth="1"/>
    <col min="6150" max="6150" width="12.7109375" style="3" customWidth="1"/>
    <col min="6151" max="6151" width="14" style="3" customWidth="1"/>
    <col min="6152" max="6152" width="7.42578125" style="3" customWidth="1"/>
    <col min="6153" max="6400" width="11.42578125" style="3"/>
    <col min="6401" max="6401" width="15.85546875" style="3" customWidth="1"/>
    <col min="6402" max="6402" width="14.85546875" style="3" customWidth="1"/>
    <col min="6403" max="6403" width="13.28515625" style="3" customWidth="1"/>
    <col min="6404" max="6404" width="11.42578125" style="3"/>
    <col min="6405" max="6405" width="13.42578125" style="3" customWidth="1"/>
    <col min="6406" max="6406" width="12.7109375" style="3" customWidth="1"/>
    <col min="6407" max="6407" width="14" style="3" customWidth="1"/>
    <col min="6408" max="6408" width="7.42578125" style="3" customWidth="1"/>
    <col min="6409" max="6656" width="11.42578125" style="3"/>
    <col min="6657" max="6657" width="15.85546875" style="3" customWidth="1"/>
    <col min="6658" max="6658" width="14.85546875" style="3" customWidth="1"/>
    <col min="6659" max="6659" width="13.28515625" style="3" customWidth="1"/>
    <col min="6660" max="6660" width="11.42578125" style="3"/>
    <col min="6661" max="6661" width="13.42578125" style="3" customWidth="1"/>
    <col min="6662" max="6662" width="12.7109375" style="3" customWidth="1"/>
    <col min="6663" max="6663" width="14" style="3" customWidth="1"/>
    <col min="6664" max="6664" width="7.42578125" style="3" customWidth="1"/>
    <col min="6665" max="6912" width="11.42578125" style="3"/>
    <col min="6913" max="6913" width="15.85546875" style="3" customWidth="1"/>
    <col min="6914" max="6914" width="14.85546875" style="3" customWidth="1"/>
    <col min="6915" max="6915" width="13.28515625" style="3" customWidth="1"/>
    <col min="6916" max="6916" width="11.42578125" style="3"/>
    <col min="6917" max="6917" width="13.42578125" style="3" customWidth="1"/>
    <col min="6918" max="6918" width="12.7109375" style="3" customWidth="1"/>
    <col min="6919" max="6919" width="14" style="3" customWidth="1"/>
    <col min="6920" max="6920" width="7.42578125" style="3" customWidth="1"/>
    <col min="6921" max="7168" width="11.42578125" style="3"/>
    <col min="7169" max="7169" width="15.85546875" style="3" customWidth="1"/>
    <col min="7170" max="7170" width="14.85546875" style="3" customWidth="1"/>
    <col min="7171" max="7171" width="13.28515625" style="3" customWidth="1"/>
    <col min="7172" max="7172" width="11.42578125" style="3"/>
    <col min="7173" max="7173" width="13.42578125" style="3" customWidth="1"/>
    <col min="7174" max="7174" width="12.7109375" style="3" customWidth="1"/>
    <col min="7175" max="7175" width="14" style="3" customWidth="1"/>
    <col min="7176" max="7176" width="7.42578125" style="3" customWidth="1"/>
    <col min="7177" max="7424" width="11.42578125" style="3"/>
    <col min="7425" max="7425" width="15.85546875" style="3" customWidth="1"/>
    <col min="7426" max="7426" width="14.85546875" style="3" customWidth="1"/>
    <col min="7427" max="7427" width="13.28515625" style="3" customWidth="1"/>
    <col min="7428" max="7428" width="11.42578125" style="3"/>
    <col min="7429" max="7429" width="13.42578125" style="3" customWidth="1"/>
    <col min="7430" max="7430" width="12.7109375" style="3" customWidth="1"/>
    <col min="7431" max="7431" width="14" style="3" customWidth="1"/>
    <col min="7432" max="7432" width="7.42578125" style="3" customWidth="1"/>
    <col min="7433" max="7680" width="11.42578125" style="3"/>
    <col min="7681" max="7681" width="15.85546875" style="3" customWidth="1"/>
    <col min="7682" max="7682" width="14.85546875" style="3" customWidth="1"/>
    <col min="7683" max="7683" width="13.28515625" style="3" customWidth="1"/>
    <col min="7684" max="7684" width="11.42578125" style="3"/>
    <col min="7685" max="7685" width="13.42578125" style="3" customWidth="1"/>
    <col min="7686" max="7686" width="12.7109375" style="3" customWidth="1"/>
    <col min="7687" max="7687" width="14" style="3" customWidth="1"/>
    <col min="7688" max="7688" width="7.42578125" style="3" customWidth="1"/>
    <col min="7689" max="7936" width="11.42578125" style="3"/>
    <col min="7937" max="7937" width="15.85546875" style="3" customWidth="1"/>
    <col min="7938" max="7938" width="14.85546875" style="3" customWidth="1"/>
    <col min="7939" max="7939" width="13.28515625" style="3" customWidth="1"/>
    <col min="7940" max="7940" width="11.42578125" style="3"/>
    <col min="7941" max="7941" width="13.42578125" style="3" customWidth="1"/>
    <col min="7942" max="7942" width="12.7109375" style="3" customWidth="1"/>
    <col min="7943" max="7943" width="14" style="3" customWidth="1"/>
    <col min="7944" max="7944" width="7.42578125" style="3" customWidth="1"/>
    <col min="7945" max="8192" width="11.42578125" style="3"/>
    <col min="8193" max="8193" width="15.85546875" style="3" customWidth="1"/>
    <col min="8194" max="8194" width="14.85546875" style="3" customWidth="1"/>
    <col min="8195" max="8195" width="13.28515625" style="3" customWidth="1"/>
    <col min="8196" max="8196" width="11.42578125" style="3"/>
    <col min="8197" max="8197" width="13.42578125" style="3" customWidth="1"/>
    <col min="8198" max="8198" width="12.7109375" style="3" customWidth="1"/>
    <col min="8199" max="8199" width="14" style="3" customWidth="1"/>
    <col min="8200" max="8200" width="7.42578125" style="3" customWidth="1"/>
    <col min="8201" max="8448" width="11.42578125" style="3"/>
    <col min="8449" max="8449" width="15.85546875" style="3" customWidth="1"/>
    <col min="8450" max="8450" width="14.85546875" style="3" customWidth="1"/>
    <col min="8451" max="8451" width="13.28515625" style="3" customWidth="1"/>
    <col min="8452" max="8452" width="11.42578125" style="3"/>
    <col min="8453" max="8453" width="13.42578125" style="3" customWidth="1"/>
    <col min="8454" max="8454" width="12.7109375" style="3" customWidth="1"/>
    <col min="8455" max="8455" width="14" style="3" customWidth="1"/>
    <col min="8456" max="8456" width="7.42578125" style="3" customWidth="1"/>
    <col min="8457" max="8704" width="11.42578125" style="3"/>
    <col min="8705" max="8705" width="15.85546875" style="3" customWidth="1"/>
    <col min="8706" max="8706" width="14.85546875" style="3" customWidth="1"/>
    <col min="8707" max="8707" width="13.28515625" style="3" customWidth="1"/>
    <col min="8708" max="8708" width="11.42578125" style="3"/>
    <col min="8709" max="8709" width="13.42578125" style="3" customWidth="1"/>
    <col min="8710" max="8710" width="12.7109375" style="3" customWidth="1"/>
    <col min="8711" max="8711" width="14" style="3" customWidth="1"/>
    <col min="8712" max="8712" width="7.42578125" style="3" customWidth="1"/>
    <col min="8713" max="8960" width="11.42578125" style="3"/>
    <col min="8961" max="8961" width="15.85546875" style="3" customWidth="1"/>
    <col min="8962" max="8962" width="14.85546875" style="3" customWidth="1"/>
    <col min="8963" max="8963" width="13.28515625" style="3" customWidth="1"/>
    <col min="8964" max="8964" width="11.42578125" style="3"/>
    <col min="8965" max="8965" width="13.42578125" style="3" customWidth="1"/>
    <col min="8966" max="8966" width="12.7109375" style="3" customWidth="1"/>
    <col min="8967" max="8967" width="14" style="3" customWidth="1"/>
    <col min="8968" max="8968" width="7.42578125" style="3" customWidth="1"/>
    <col min="8969" max="9216" width="11.42578125" style="3"/>
    <col min="9217" max="9217" width="15.85546875" style="3" customWidth="1"/>
    <col min="9218" max="9218" width="14.85546875" style="3" customWidth="1"/>
    <col min="9219" max="9219" width="13.28515625" style="3" customWidth="1"/>
    <col min="9220" max="9220" width="11.42578125" style="3"/>
    <col min="9221" max="9221" width="13.42578125" style="3" customWidth="1"/>
    <col min="9222" max="9222" width="12.7109375" style="3" customWidth="1"/>
    <col min="9223" max="9223" width="14" style="3" customWidth="1"/>
    <col min="9224" max="9224" width="7.42578125" style="3" customWidth="1"/>
    <col min="9225" max="9472" width="11.42578125" style="3"/>
    <col min="9473" max="9473" width="15.85546875" style="3" customWidth="1"/>
    <col min="9474" max="9474" width="14.85546875" style="3" customWidth="1"/>
    <col min="9475" max="9475" width="13.28515625" style="3" customWidth="1"/>
    <col min="9476" max="9476" width="11.42578125" style="3"/>
    <col min="9477" max="9477" width="13.42578125" style="3" customWidth="1"/>
    <col min="9478" max="9478" width="12.7109375" style="3" customWidth="1"/>
    <col min="9479" max="9479" width="14" style="3" customWidth="1"/>
    <col min="9480" max="9480" width="7.42578125" style="3" customWidth="1"/>
    <col min="9481" max="9728" width="11.42578125" style="3"/>
    <col min="9729" max="9729" width="15.85546875" style="3" customWidth="1"/>
    <col min="9730" max="9730" width="14.85546875" style="3" customWidth="1"/>
    <col min="9731" max="9731" width="13.28515625" style="3" customWidth="1"/>
    <col min="9732" max="9732" width="11.42578125" style="3"/>
    <col min="9733" max="9733" width="13.42578125" style="3" customWidth="1"/>
    <col min="9734" max="9734" width="12.7109375" style="3" customWidth="1"/>
    <col min="9735" max="9735" width="14" style="3" customWidth="1"/>
    <col min="9736" max="9736" width="7.42578125" style="3" customWidth="1"/>
    <col min="9737" max="9984" width="11.42578125" style="3"/>
    <col min="9985" max="9985" width="15.85546875" style="3" customWidth="1"/>
    <col min="9986" max="9986" width="14.85546875" style="3" customWidth="1"/>
    <col min="9987" max="9987" width="13.28515625" style="3" customWidth="1"/>
    <col min="9988" max="9988" width="11.42578125" style="3"/>
    <col min="9989" max="9989" width="13.42578125" style="3" customWidth="1"/>
    <col min="9990" max="9990" width="12.7109375" style="3" customWidth="1"/>
    <col min="9991" max="9991" width="14" style="3" customWidth="1"/>
    <col min="9992" max="9992" width="7.42578125" style="3" customWidth="1"/>
    <col min="9993" max="10240" width="11.42578125" style="3"/>
    <col min="10241" max="10241" width="15.85546875" style="3" customWidth="1"/>
    <col min="10242" max="10242" width="14.85546875" style="3" customWidth="1"/>
    <col min="10243" max="10243" width="13.28515625" style="3" customWidth="1"/>
    <col min="10244" max="10244" width="11.42578125" style="3"/>
    <col min="10245" max="10245" width="13.42578125" style="3" customWidth="1"/>
    <col min="10246" max="10246" width="12.7109375" style="3" customWidth="1"/>
    <col min="10247" max="10247" width="14" style="3" customWidth="1"/>
    <col min="10248" max="10248" width="7.42578125" style="3" customWidth="1"/>
    <col min="10249" max="10496" width="11.42578125" style="3"/>
    <col min="10497" max="10497" width="15.85546875" style="3" customWidth="1"/>
    <col min="10498" max="10498" width="14.85546875" style="3" customWidth="1"/>
    <col min="10499" max="10499" width="13.28515625" style="3" customWidth="1"/>
    <col min="10500" max="10500" width="11.42578125" style="3"/>
    <col min="10501" max="10501" width="13.42578125" style="3" customWidth="1"/>
    <col min="10502" max="10502" width="12.7109375" style="3" customWidth="1"/>
    <col min="10503" max="10503" width="14" style="3" customWidth="1"/>
    <col min="10504" max="10504" width="7.42578125" style="3" customWidth="1"/>
    <col min="10505" max="10752" width="11.42578125" style="3"/>
    <col min="10753" max="10753" width="15.85546875" style="3" customWidth="1"/>
    <col min="10754" max="10754" width="14.85546875" style="3" customWidth="1"/>
    <col min="10755" max="10755" width="13.28515625" style="3" customWidth="1"/>
    <col min="10756" max="10756" width="11.42578125" style="3"/>
    <col min="10757" max="10757" width="13.42578125" style="3" customWidth="1"/>
    <col min="10758" max="10758" width="12.7109375" style="3" customWidth="1"/>
    <col min="10759" max="10759" width="14" style="3" customWidth="1"/>
    <col min="10760" max="10760" width="7.42578125" style="3" customWidth="1"/>
    <col min="10761" max="11008" width="11.42578125" style="3"/>
    <col min="11009" max="11009" width="15.85546875" style="3" customWidth="1"/>
    <col min="11010" max="11010" width="14.85546875" style="3" customWidth="1"/>
    <col min="11011" max="11011" width="13.28515625" style="3" customWidth="1"/>
    <col min="11012" max="11012" width="11.42578125" style="3"/>
    <col min="11013" max="11013" width="13.42578125" style="3" customWidth="1"/>
    <col min="11014" max="11014" width="12.7109375" style="3" customWidth="1"/>
    <col min="11015" max="11015" width="14" style="3" customWidth="1"/>
    <col min="11016" max="11016" width="7.42578125" style="3" customWidth="1"/>
    <col min="11017" max="11264" width="11.42578125" style="3"/>
    <col min="11265" max="11265" width="15.85546875" style="3" customWidth="1"/>
    <col min="11266" max="11266" width="14.85546875" style="3" customWidth="1"/>
    <col min="11267" max="11267" width="13.28515625" style="3" customWidth="1"/>
    <col min="11268" max="11268" width="11.42578125" style="3"/>
    <col min="11269" max="11269" width="13.42578125" style="3" customWidth="1"/>
    <col min="11270" max="11270" width="12.7109375" style="3" customWidth="1"/>
    <col min="11271" max="11271" width="14" style="3" customWidth="1"/>
    <col min="11272" max="11272" width="7.42578125" style="3" customWidth="1"/>
    <col min="11273" max="11520" width="11.42578125" style="3"/>
    <col min="11521" max="11521" width="15.85546875" style="3" customWidth="1"/>
    <col min="11522" max="11522" width="14.85546875" style="3" customWidth="1"/>
    <col min="11523" max="11523" width="13.28515625" style="3" customWidth="1"/>
    <col min="11524" max="11524" width="11.42578125" style="3"/>
    <col min="11525" max="11525" width="13.42578125" style="3" customWidth="1"/>
    <col min="11526" max="11526" width="12.7109375" style="3" customWidth="1"/>
    <col min="11527" max="11527" width="14" style="3" customWidth="1"/>
    <col min="11528" max="11528" width="7.42578125" style="3" customWidth="1"/>
    <col min="11529" max="11776" width="11.42578125" style="3"/>
    <col min="11777" max="11777" width="15.85546875" style="3" customWidth="1"/>
    <col min="11778" max="11778" width="14.85546875" style="3" customWidth="1"/>
    <col min="11779" max="11779" width="13.28515625" style="3" customWidth="1"/>
    <col min="11780" max="11780" width="11.42578125" style="3"/>
    <col min="11781" max="11781" width="13.42578125" style="3" customWidth="1"/>
    <col min="11782" max="11782" width="12.7109375" style="3" customWidth="1"/>
    <col min="11783" max="11783" width="14" style="3" customWidth="1"/>
    <col min="11784" max="11784" width="7.42578125" style="3" customWidth="1"/>
    <col min="11785" max="12032" width="11.42578125" style="3"/>
    <col min="12033" max="12033" width="15.85546875" style="3" customWidth="1"/>
    <col min="12034" max="12034" width="14.85546875" style="3" customWidth="1"/>
    <col min="12035" max="12035" width="13.28515625" style="3" customWidth="1"/>
    <col min="12036" max="12036" width="11.42578125" style="3"/>
    <col min="12037" max="12037" width="13.42578125" style="3" customWidth="1"/>
    <col min="12038" max="12038" width="12.7109375" style="3" customWidth="1"/>
    <col min="12039" max="12039" width="14" style="3" customWidth="1"/>
    <col min="12040" max="12040" width="7.42578125" style="3" customWidth="1"/>
    <col min="12041" max="12288" width="11.42578125" style="3"/>
    <col min="12289" max="12289" width="15.85546875" style="3" customWidth="1"/>
    <col min="12290" max="12290" width="14.85546875" style="3" customWidth="1"/>
    <col min="12291" max="12291" width="13.28515625" style="3" customWidth="1"/>
    <col min="12292" max="12292" width="11.42578125" style="3"/>
    <col min="12293" max="12293" width="13.42578125" style="3" customWidth="1"/>
    <col min="12294" max="12294" width="12.7109375" style="3" customWidth="1"/>
    <col min="12295" max="12295" width="14" style="3" customWidth="1"/>
    <col min="12296" max="12296" width="7.42578125" style="3" customWidth="1"/>
    <col min="12297" max="12544" width="11.42578125" style="3"/>
    <col min="12545" max="12545" width="15.85546875" style="3" customWidth="1"/>
    <col min="12546" max="12546" width="14.85546875" style="3" customWidth="1"/>
    <col min="12547" max="12547" width="13.28515625" style="3" customWidth="1"/>
    <col min="12548" max="12548" width="11.42578125" style="3"/>
    <col min="12549" max="12549" width="13.42578125" style="3" customWidth="1"/>
    <col min="12550" max="12550" width="12.7109375" style="3" customWidth="1"/>
    <col min="12551" max="12551" width="14" style="3" customWidth="1"/>
    <col min="12552" max="12552" width="7.42578125" style="3" customWidth="1"/>
    <col min="12553" max="12800" width="11.42578125" style="3"/>
    <col min="12801" max="12801" width="15.85546875" style="3" customWidth="1"/>
    <col min="12802" max="12802" width="14.85546875" style="3" customWidth="1"/>
    <col min="12803" max="12803" width="13.28515625" style="3" customWidth="1"/>
    <col min="12804" max="12804" width="11.42578125" style="3"/>
    <col min="12805" max="12805" width="13.42578125" style="3" customWidth="1"/>
    <col min="12806" max="12806" width="12.7109375" style="3" customWidth="1"/>
    <col min="12807" max="12807" width="14" style="3" customWidth="1"/>
    <col min="12808" max="12808" width="7.42578125" style="3" customWidth="1"/>
    <col min="12809" max="13056" width="11.42578125" style="3"/>
    <col min="13057" max="13057" width="15.85546875" style="3" customWidth="1"/>
    <col min="13058" max="13058" width="14.85546875" style="3" customWidth="1"/>
    <col min="13059" max="13059" width="13.28515625" style="3" customWidth="1"/>
    <col min="13060" max="13060" width="11.42578125" style="3"/>
    <col min="13061" max="13061" width="13.42578125" style="3" customWidth="1"/>
    <col min="13062" max="13062" width="12.7109375" style="3" customWidth="1"/>
    <col min="13063" max="13063" width="14" style="3" customWidth="1"/>
    <col min="13064" max="13064" width="7.42578125" style="3" customWidth="1"/>
    <col min="13065" max="13312" width="11.42578125" style="3"/>
    <col min="13313" max="13313" width="15.85546875" style="3" customWidth="1"/>
    <col min="13314" max="13314" width="14.85546875" style="3" customWidth="1"/>
    <col min="13315" max="13315" width="13.28515625" style="3" customWidth="1"/>
    <col min="13316" max="13316" width="11.42578125" style="3"/>
    <col min="13317" max="13317" width="13.42578125" style="3" customWidth="1"/>
    <col min="13318" max="13318" width="12.7109375" style="3" customWidth="1"/>
    <col min="13319" max="13319" width="14" style="3" customWidth="1"/>
    <col min="13320" max="13320" width="7.42578125" style="3" customWidth="1"/>
    <col min="13321" max="13568" width="11.42578125" style="3"/>
    <col min="13569" max="13569" width="15.85546875" style="3" customWidth="1"/>
    <col min="13570" max="13570" width="14.85546875" style="3" customWidth="1"/>
    <col min="13571" max="13571" width="13.28515625" style="3" customWidth="1"/>
    <col min="13572" max="13572" width="11.42578125" style="3"/>
    <col min="13573" max="13573" width="13.42578125" style="3" customWidth="1"/>
    <col min="13574" max="13574" width="12.7109375" style="3" customWidth="1"/>
    <col min="13575" max="13575" width="14" style="3" customWidth="1"/>
    <col min="13576" max="13576" width="7.42578125" style="3" customWidth="1"/>
    <col min="13577" max="13824" width="11.42578125" style="3"/>
    <col min="13825" max="13825" width="15.85546875" style="3" customWidth="1"/>
    <col min="13826" max="13826" width="14.85546875" style="3" customWidth="1"/>
    <col min="13827" max="13827" width="13.28515625" style="3" customWidth="1"/>
    <col min="13828" max="13828" width="11.42578125" style="3"/>
    <col min="13829" max="13829" width="13.42578125" style="3" customWidth="1"/>
    <col min="13830" max="13830" width="12.7109375" style="3" customWidth="1"/>
    <col min="13831" max="13831" width="14" style="3" customWidth="1"/>
    <col min="13832" max="13832" width="7.42578125" style="3" customWidth="1"/>
    <col min="13833" max="14080" width="11.42578125" style="3"/>
    <col min="14081" max="14081" width="15.85546875" style="3" customWidth="1"/>
    <col min="14082" max="14082" width="14.85546875" style="3" customWidth="1"/>
    <col min="14083" max="14083" width="13.28515625" style="3" customWidth="1"/>
    <col min="14084" max="14084" width="11.42578125" style="3"/>
    <col min="14085" max="14085" width="13.42578125" style="3" customWidth="1"/>
    <col min="14086" max="14086" width="12.7109375" style="3" customWidth="1"/>
    <col min="14087" max="14087" width="14" style="3" customWidth="1"/>
    <col min="14088" max="14088" width="7.42578125" style="3" customWidth="1"/>
    <col min="14089" max="14336" width="11.42578125" style="3"/>
    <col min="14337" max="14337" width="15.85546875" style="3" customWidth="1"/>
    <col min="14338" max="14338" width="14.85546875" style="3" customWidth="1"/>
    <col min="14339" max="14339" width="13.28515625" style="3" customWidth="1"/>
    <col min="14340" max="14340" width="11.42578125" style="3"/>
    <col min="14341" max="14341" width="13.42578125" style="3" customWidth="1"/>
    <col min="14342" max="14342" width="12.7109375" style="3" customWidth="1"/>
    <col min="14343" max="14343" width="14" style="3" customWidth="1"/>
    <col min="14344" max="14344" width="7.42578125" style="3" customWidth="1"/>
    <col min="14345" max="14592" width="11.42578125" style="3"/>
    <col min="14593" max="14593" width="15.85546875" style="3" customWidth="1"/>
    <col min="14594" max="14594" width="14.85546875" style="3" customWidth="1"/>
    <col min="14595" max="14595" width="13.28515625" style="3" customWidth="1"/>
    <col min="14596" max="14596" width="11.42578125" style="3"/>
    <col min="14597" max="14597" width="13.42578125" style="3" customWidth="1"/>
    <col min="14598" max="14598" width="12.7109375" style="3" customWidth="1"/>
    <col min="14599" max="14599" width="14" style="3" customWidth="1"/>
    <col min="14600" max="14600" width="7.42578125" style="3" customWidth="1"/>
    <col min="14601" max="14848" width="11.42578125" style="3"/>
    <col min="14849" max="14849" width="15.85546875" style="3" customWidth="1"/>
    <col min="14850" max="14850" width="14.85546875" style="3" customWidth="1"/>
    <col min="14851" max="14851" width="13.28515625" style="3" customWidth="1"/>
    <col min="14852" max="14852" width="11.42578125" style="3"/>
    <col min="14853" max="14853" width="13.42578125" style="3" customWidth="1"/>
    <col min="14854" max="14854" width="12.7109375" style="3" customWidth="1"/>
    <col min="14855" max="14855" width="14" style="3" customWidth="1"/>
    <col min="14856" max="14856" width="7.42578125" style="3" customWidth="1"/>
    <col min="14857" max="15104" width="11.42578125" style="3"/>
    <col min="15105" max="15105" width="15.85546875" style="3" customWidth="1"/>
    <col min="15106" max="15106" width="14.85546875" style="3" customWidth="1"/>
    <col min="15107" max="15107" width="13.28515625" style="3" customWidth="1"/>
    <col min="15108" max="15108" width="11.42578125" style="3"/>
    <col min="15109" max="15109" width="13.42578125" style="3" customWidth="1"/>
    <col min="15110" max="15110" width="12.7109375" style="3" customWidth="1"/>
    <col min="15111" max="15111" width="14" style="3" customWidth="1"/>
    <col min="15112" max="15112" width="7.42578125" style="3" customWidth="1"/>
    <col min="15113" max="15360" width="11.42578125" style="3"/>
    <col min="15361" max="15361" width="15.85546875" style="3" customWidth="1"/>
    <col min="15362" max="15362" width="14.85546875" style="3" customWidth="1"/>
    <col min="15363" max="15363" width="13.28515625" style="3" customWidth="1"/>
    <col min="15364" max="15364" width="11.42578125" style="3"/>
    <col min="15365" max="15365" width="13.42578125" style="3" customWidth="1"/>
    <col min="15366" max="15366" width="12.7109375" style="3" customWidth="1"/>
    <col min="15367" max="15367" width="14" style="3" customWidth="1"/>
    <col min="15368" max="15368" width="7.42578125" style="3" customWidth="1"/>
    <col min="15369" max="15616" width="11.42578125" style="3"/>
    <col min="15617" max="15617" width="15.85546875" style="3" customWidth="1"/>
    <col min="15618" max="15618" width="14.85546875" style="3" customWidth="1"/>
    <col min="15619" max="15619" width="13.28515625" style="3" customWidth="1"/>
    <col min="15620" max="15620" width="11.42578125" style="3"/>
    <col min="15621" max="15621" width="13.42578125" style="3" customWidth="1"/>
    <col min="15622" max="15622" width="12.7109375" style="3" customWidth="1"/>
    <col min="15623" max="15623" width="14" style="3" customWidth="1"/>
    <col min="15624" max="15624" width="7.42578125" style="3" customWidth="1"/>
    <col min="15625" max="15872" width="11.42578125" style="3"/>
    <col min="15873" max="15873" width="15.85546875" style="3" customWidth="1"/>
    <col min="15874" max="15874" width="14.85546875" style="3" customWidth="1"/>
    <col min="15875" max="15875" width="13.28515625" style="3" customWidth="1"/>
    <col min="15876" max="15876" width="11.42578125" style="3"/>
    <col min="15877" max="15877" width="13.42578125" style="3" customWidth="1"/>
    <col min="15878" max="15878" width="12.7109375" style="3" customWidth="1"/>
    <col min="15879" max="15879" width="14" style="3" customWidth="1"/>
    <col min="15880" max="15880" width="7.42578125" style="3" customWidth="1"/>
    <col min="15881" max="16128" width="11.42578125" style="3"/>
    <col min="16129" max="16129" width="15.85546875" style="3" customWidth="1"/>
    <col min="16130" max="16130" width="14.85546875" style="3" customWidth="1"/>
    <col min="16131" max="16131" width="13.28515625" style="3" customWidth="1"/>
    <col min="16132" max="16132" width="11.42578125" style="3"/>
    <col min="16133" max="16133" width="13.42578125" style="3" customWidth="1"/>
    <col min="16134" max="16134" width="12.7109375" style="3" customWidth="1"/>
    <col min="16135" max="16135" width="14" style="3" customWidth="1"/>
    <col min="16136" max="16136" width="7.42578125" style="3" customWidth="1"/>
    <col min="16137" max="16384" width="11.42578125" style="3"/>
  </cols>
  <sheetData>
    <row r="1" spans="1:21" ht="20.25">
      <c r="A1" s="1346" t="str">
        <f>PPTO!D3</f>
        <v>PRESUPUESTO
MUNICIPIO EL BAGRE (ANTIOQUIA).</v>
      </c>
      <c r="B1" s="1347"/>
      <c r="C1" s="1347"/>
      <c r="D1" s="1347"/>
      <c r="E1" s="1347"/>
      <c r="F1" s="1347"/>
      <c r="G1" s="1348"/>
      <c r="H1" s="1"/>
      <c r="I1" s="2"/>
    </row>
    <row r="2" spans="1:21" ht="18" customHeight="1">
      <c r="A2" s="1362" t="s">
        <v>16</v>
      </c>
      <c r="B2" s="1363"/>
      <c r="C2" s="1363"/>
      <c r="D2" s="1363"/>
      <c r="E2" s="1363"/>
      <c r="F2" s="1363"/>
      <c r="G2" s="1364"/>
      <c r="H2" s="1"/>
      <c r="I2" s="2"/>
    </row>
    <row r="3" spans="1:21" ht="27" customHeight="1">
      <c r="A3" s="1367" t="str">
        <f>+PPTO!$D$5</f>
        <v>PROYECTO DE MEJORAMIENTO VIAL, ESPACIO PUBLICO Y OBRAS COMPLEMENTARIAS DE LA AVENIDA LA JUVENTUD Y TRAMOS ADYACENTES Y PRIORITARIOS DEL SECTOR URBANO EN EL MUNICIPIO EL BAGRE ANTIOQUIA.</v>
      </c>
      <c r="B3" s="1368"/>
      <c r="C3" s="1368"/>
      <c r="D3" s="1368"/>
      <c r="E3" s="1368"/>
      <c r="F3" s="1368"/>
      <c r="G3" s="1369"/>
      <c r="H3" s="1"/>
      <c r="I3" s="2"/>
    </row>
    <row r="4" spans="1:21">
      <c r="A4" s="1370"/>
      <c r="B4" s="1368"/>
      <c r="C4" s="1368"/>
      <c r="D4" s="1368"/>
      <c r="E4" s="1368"/>
      <c r="F4" s="1368"/>
      <c r="G4" s="1369"/>
      <c r="H4" s="1"/>
      <c r="I4" s="2"/>
    </row>
    <row r="5" spans="1:21" ht="6.75" customHeight="1">
      <c r="A5" s="222"/>
      <c r="B5" s="6"/>
      <c r="C5" s="24"/>
      <c r="D5" s="25"/>
      <c r="E5" s="6"/>
      <c r="F5" s="6"/>
      <c r="G5" s="223"/>
      <c r="H5" s="9"/>
    </row>
    <row r="6" spans="1:21">
      <c r="A6" s="886">
        <v>6.42</v>
      </c>
      <c r="B6" s="1349" t="str">
        <f>VLOOKUP(A6,PPTO!D9:I136,2,FALSE)</f>
        <v>Suministro e instalación Valvula Mariposa de 10" o similar</v>
      </c>
      <c r="C6" s="1350"/>
      <c r="D6" s="1350"/>
      <c r="E6" s="1351"/>
      <c r="F6" s="192" t="s">
        <v>118</v>
      </c>
      <c r="G6" s="248" t="str">
        <f>VLOOKUP(A6,PPTO!D9:I136,3,FALSE)</f>
        <v>und</v>
      </c>
      <c r="H6" s="9"/>
    </row>
    <row r="7" spans="1:21" ht="3.75" customHeight="1">
      <c r="A7" s="226"/>
      <c r="B7" s="4"/>
      <c r="C7" s="6"/>
      <c r="D7" s="4"/>
      <c r="E7" s="4"/>
      <c r="F7" s="4"/>
      <c r="G7" s="227"/>
      <c r="H7" s="9"/>
    </row>
    <row r="8" spans="1:21" ht="22.5" customHeight="1">
      <c r="A8" s="1354" t="s">
        <v>69</v>
      </c>
      <c r="B8" s="1355"/>
      <c r="C8" s="1355"/>
      <c r="D8" s="1355"/>
      <c r="E8" s="1355"/>
      <c r="F8" s="1355"/>
      <c r="G8" s="1356"/>
      <c r="H8" s="9"/>
    </row>
    <row r="9" spans="1:21" ht="4.5" customHeight="1">
      <c r="A9" s="226"/>
      <c r="B9" s="4"/>
      <c r="C9" s="6"/>
      <c r="D9" s="4"/>
      <c r="E9" s="4"/>
      <c r="F9" s="4"/>
      <c r="G9" s="227"/>
      <c r="H9" s="9"/>
      <c r="I9" s="5"/>
      <c r="J9" s="5"/>
      <c r="K9" s="5"/>
      <c r="L9" s="26"/>
      <c r="M9" s="5"/>
      <c r="N9" s="5"/>
      <c r="O9" s="5"/>
      <c r="P9" s="5"/>
    </row>
    <row r="10" spans="1:21">
      <c r="A10" s="1373" t="s">
        <v>17</v>
      </c>
      <c r="B10" s="1374"/>
      <c r="C10" s="1374"/>
      <c r="D10" s="882" t="s">
        <v>18</v>
      </c>
      <c r="E10" s="882" t="s">
        <v>19</v>
      </c>
      <c r="F10" s="882" t="s">
        <v>20</v>
      </c>
      <c r="G10" s="228" t="s">
        <v>21</v>
      </c>
      <c r="H10" s="27"/>
      <c r="I10" s="28"/>
      <c r="J10" s="29"/>
      <c r="K10" s="30"/>
      <c r="L10" s="30"/>
      <c r="M10" s="30"/>
      <c r="N10" s="30"/>
      <c r="O10" s="30"/>
      <c r="P10" s="5"/>
    </row>
    <row r="11" spans="1:21">
      <c r="A11" s="1352" t="s">
        <v>47</v>
      </c>
      <c r="B11" s="1353"/>
      <c r="C11" s="1353"/>
      <c r="D11" s="882"/>
      <c r="E11" s="83"/>
      <c r="F11" s="97"/>
      <c r="G11" s="229">
        <f>+G39*10%</f>
        <v>15271</v>
      </c>
      <c r="H11" s="9"/>
      <c r="I11" s="30"/>
      <c r="J11" s="31"/>
      <c r="K11" s="30"/>
      <c r="L11" s="30"/>
      <c r="M11" s="30"/>
      <c r="N11" s="30"/>
      <c r="O11" s="30"/>
      <c r="P11" s="5"/>
    </row>
    <row r="12" spans="1:21">
      <c r="A12" s="1371"/>
      <c r="B12" s="1372"/>
      <c r="C12" s="1372"/>
      <c r="D12" s="83"/>
      <c r="E12" s="83"/>
      <c r="F12" s="93"/>
      <c r="G12" s="229"/>
      <c r="H12" s="9"/>
      <c r="I12" s="16"/>
      <c r="J12" s="13"/>
      <c r="K12" s="8"/>
      <c r="L12" s="8"/>
      <c r="M12" s="8"/>
      <c r="N12" s="8"/>
      <c r="O12" s="8"/>
      <c r="P12" s="5"/>
    </row>
    <row r="13" spans="1:21">
      <c r="A13" s="1371"/>
      <c r="B13" s="1372"/>
      <c r="C13" s="1372"/>
      <c r="D13" s="83"/>
      <c r="E13" s="83"/>
      <c r="F13" s="93"/>
      <c r="G13" s="229"/>
      <c r="H13" s="9"/>
      <c r="I13" s="13"/>
      <c r="J13" s="13"/>
      <c r="K13" s="13"/>
      <c r="L13" s="13"/>
      <c r="M13" s="13"/>
      <c r="N13" s="13"/>
      <c r="O13" s="13"/>
      <c r="P13" s="5"/>
    </row>
    <row r="14" spans="1:21">
      <c r="A14" s="1371"/>
      <c r="B14" s="1372"/>
      <c r="C14" s="1372"/>
      <c r="D14" s="83"/>
      <c r="E14" s="83"/>
      <c r="F14" s="93"/>
      <c r="G14" s="229"/>
      <c r="H14" s="9"/>
      <c r="I14" s="8"/>
      <c r="J14" s="14"/>
      <c r="K14" s="32"/>
      <c r="L14" s="14"/>
      <c r="M14" s="15"/>
      <c r="N14" s="15"/>
      <c r="O14" s="19"/>
      <c r="P14" s="5"/>
    </row>
    <row r="15" spans="1:21">
      <c r="A15" s="1371"/>
      <c r="B15" s="1372"/>
      <c r="C15" s="1372"/>
      <c r="D15" s="83"/>
      <c r="E15" s="83"/>
      <c r="F15" s="98"/>
      <c r="G15" s="229"/>
      <c r="H15" s="9"/>
      <c r="I15" s="8"/>
      <c r="J15" s="33"/>
      <c r="K15" s="32"/>
      <c r="L15" s="14"/>
      <c r="M15" s="15"/>
      <c r="N15" s="15"/>
      <c r="O15" s="19"/>
      <c r="P15" s="5"/>
      <c r="Q15" s="5"/>
      <c r="R15" s="5"/>
      <c r="S15" s="5"/>
      <c r="T15" s="5"/>
      <c r="U15" s="5"/>
    </row>
    <row r="16" spans="1:21">
      <c r="A16" s="1371"/>
      <c r="B16" s="1372"/>
      <c r="C16" s="1372"/>
      <c r="D16" s="85" t="s">
        <v>37</v>
      </c>
      <c r="E16" s="50"/>
      <c r="F16" s="49"/>
      <c r="G16" s="230">
        <f>SUM(G11:G15)</f>
        <v>15271</v>
      </c>
      <c r="H16" s="9"/>
      <c r="I16" s="34"/>
      <c r="J16" s="34"/>
      <c r="K16" s="35"/>
      <c r="L16" s="36"/>
      <c r="M16" s="7"/>
      <c r="N16" s="7"/>
      <c r="O16" s="19"/>
      <c r="P16" s="5"/>
      <c r="Q16" s="5"/>
      <c r="R16" s="5"/>
      <c r="S16" s="5"/>
      <c r="T16" s="5"/>
      <c r="U16" s="5"/>
    </row>
    <row r="17" spans="1:21" ht="4.5" customHeight="1">
      <c r="A17" s="226"/>
      <c r="B17" s="4"/>
      <c r="C17" s="6"/>
      <c r="D17" s="4"/>
      <c r="E17" s="4"/>
      <c r="F17" s="4"/>
      <c r="G17" s="227"/>
      <c r="H17" s="9"/>
      <c r="I17" s="34"/>
      <c r="J17" s="34"/>
      <c r="K17" s="35"/>
      <c r="L17" s="36"/>
      <c r="M17" s="7"/>
      <c r="N17" s="7"/>
      <c r="O17" s="19"/>
      <c r="P17" s="5"/>
      <c r="Q17" s="5"/>
      <c r="R17" s="5"/>
      <c r="S17" s="5"/>
      <c r="T17" s="5"/>
      <c r="U17" s="5"/>
    </row>
    <row r="18" spans="1:21" ht="22.5" customHeight="1">
      <c r="A18" s="1354" t="s">
        <v>70</v>
      </c>
      <c r="B18" s="1355"/>
      <c r="C18" s="1355"/>
      <c r="D18" s="1355"/>
      <c r="E18" s="1355"/>
      <c r="F18" s="1355"/>
      <c r="G18" s="1356"/>
      <c r="H18" s="9"/>
    </row>
    <row r="19" spans="1:21" ht="4.5" customHeight="1">
      <c r="A19" s="226"/>
      <c r="B19" s="4"/>
      <c r="C19" s="6"/>
      <c r="D19" s="4"/>
      <c r="E19" s="4"/>
      <c r="F19" s="38"/>
      <c r="G19" s="227"/>
      <c r="H19" s="9"/>
      <c r="I19" s="34"/>
      <c r="J19" s="34"/>
      <c r="K19" s="35"/>
      <c r="L19" s="39"/>
      <c r="M19" s="7"/>
      <c r="N19" s="7"/>
      <c r="O19" s="8"/>
      <c r="P19" s="5"/>
      <c r="Q19" s="5"/>
      <c r="R19" s="5"/>
      <c r="S19" s="5"/>
      <c r="T19" s="5"/>
      <c r="U19" s="5"/>
    </row>
    <row r="20" spans="1:21">
      <c r="A20" s="1373" t="s">
        <v>17</v>
      </c>
      <c r="B20" s="1374"/>
      <c r="C20" s="1374"/>
      <c r="D20" s="882" t="s">
        <v>3</v>
      </c>
      <c r="E20" s="882" t="s">
        <v>4</v>
      </c>
      <c r="F20" s="882" t="s">
        <v>25</v>
      </c>
      <c r="G20" s="228" t="s">
        <v>21</v>
      </c>
      <c r="H20" s="27"/>
      <c r="I20" s="34"/>
      <c r="J20" s="34"/>
      <c r="K20" s="35"/>
      <c r="L20" s="39"/>
      <c r="M20" s="7"/>
      <c r="N20" s="7"/>
      <c r="O20" s="8"/>
      <c r="P20" s="5"/>
      <c r="Q20" s="5"/>
      <c r="R20" s="5"/>
      <c r="S20" s="5"/>
      <c r="T20" s="5"/>
      <c r="U20" s="5"/>
    </row>
    <row r="21" spans="1:21" ht="24.75" customHeight="1">
      <c r="A21" s="1441" t="str">
        <f>MID(I21,25,50)</f>
        <v xml:space="preserve"> Valvula Mariposa de 10" o similar</v>
      </c>
      <c r="B21" s="1442"/>
      <c r="C21" s="1443"/>
      <c r="D21" s="118" t="s">
        <v>119</v>
      </c>
      <c r="E21" s="119">
        <v>1</v>
      </c>
      <c r="F21" s="87">
        <f>1345987*IPC</f>
        <v>1388789</v>
      </c>
      <c r="G21" s="231">
        <f>ROUND(F21*E21,0)</f>
        <v>1388789</v>
      </c>
      <c r="H21" s="9"/>
      <c r="I21" s="34" t="str">
        <f>B6</f>
        <v>Suministro e instalación Valvula Mariposa de 10" o similar</v>
      </c>
      <c r="J21" s="34"/>
      <c r="K21" s="35"/>
      <c r="L21" s="36"/>
      <c r="M21" s="7"/>
      <c r="N21" s="7"/>
      <c r="O21" s="19"/>
      <c r="P21" s="5"/>
      <c r="Q21" s="5"/>
      <c r="R21" s="5"/>
      <c r="S21" s="5"/>
      <c r="T21" s="5"/>
      <c r="U21" s="5"/>
    </row>
    <row r="22" spans="1:21">
      <c r="A22" s="1444"/>
      <c r="B22" s="1403"/>
      <c r="C22" s="1404"/>
      <c r="D22" s="116"/>
      <c r="E22" s="117"/>
      <c r="F22" s="91"/>
      <c r="G22" s="231"/>
      <c r="H22" s="9"/>
      <c r="I22" s="10"/>
      <c r="J22" s="10"/>
      <c r="K22" s="12"/>
      <c r="L22" s="39"/>
      <c r="M22" s="7"/>
      <c r="N22" s="7"/>
      <c r="O22" s="15"/>
      <c r="P22" s="5"/>
      <c r="Q22" s="5"/>
      <c r="R22" s="5"/>
      <c r="S22" s="5"/>
      <c r="T22" s="5"/>
      <c r="U22" s="5"/>
    </row>
    <row r="23" spans="1:21">
      <c r="A23" s="1386"/>
      <c r="B23" s="1353"/>
      <c r="C23" s="1353"/>
      <c r="D23" s="79"/>
      <c r="E23" s="82"/>
      <c r="F23" s="83"/>
      <c r="G23" s="67"/>
      <c r="H23" s="9"/>
      <c r="I23" s="10"/>
      <c r="J23" s="10"/>
      <c r="K23" s="12"/>
      <c r="L23" s="39"/>
      <c r="M23" s="7"/>
      <c r="N23" s="7"/>
      <c r="O23" s="15"/>
      <c r="P23" s="5"/>
      <c r="Q23" s="5"/>
      <c r="R23" s="5"/>
      <c r="S23" s="5"/>
      <c r="T23" s="5"/>
      <c r="U23" s="5"/>
    </row>
    <row r="24" spans="1:21">
      <c r="A24" s="1352"/>
      <c r="B24" s="1353"/>
      <c r="C24" s="1353"/>
      <c r="D24" s="81"/>
      <c r="E24" s="88"/>
      <c r="F24" s="78"/>
      <c r="G24" s="231"/>
      <c r="H24" s="9"/>
      <c r="I24" s="10"/>
      <c r="J24" s="40"/>
      <c r="K24" s="12"/>
      <c r="L24" s="13"/>
      <c r="M24" s="14"/>
      <c r="N24" s="14"/>
      <c r="O24" s="15"/>
      <c r="P24" s="5"/>
      <c r="Q24" s="5"/>
      <c r="R24" s="5"/>
      <c r="S24" s="5"/>
      <c r="T24" s="5"/>
      <c r="U24" s="5"/>
    </row>
    <row r="25" spans="1:21">
      <c r="A25" s="1352"/>
      <c r="B25" s="1353"/>
      <c r="C25" s="1353"/>
      <c r="D25" s="81"/>
      <c r="E25" s="82"/>
      <c r="F25" s="78"/>
      <c r="G25" s="231"/>
      <c r="H25" s="9"/>
      <c r="I25" s="10"/>
      <c r="J25" s="11"/>
      <c r="K25" s="12"/>
      <c r="L25" s="13"/>
      <c r="M25" s="14"/>
      <c r="N25" s="14"/>
      <c r="O25" s="15"/>
      <c r="P25" s="5"/>
      <c r="Q25" s="5"/>
      <c r="R25" s="5"/>
      <c r="S25" s="5"/>
      <c r="T25" s="5"/>
      <c r="U25" s="5"/>
    </row>
    <row r="26" spans="1:21">
      <c r="A26" s="1352"/>
      <c r="B26" s="1353"/>
      <c r="C26" s="1353"/>
      <c r="D26" s="79"/>
      <c r="E26" s="82"/>
      <c r="F26" s="78"/>
      <c r="G26" s="231"/>
      <c r="H26" s="9"/>
      <c r="I26" s="10"/>
      <c r="J26" s="11"/>
      <c r="K26" s="12"/>
      <c r="L26" s="13"/>
      <c r="M26" s="14"/>
      <c r="N26" s="14"/>
      <c r="O26" s="15"/>
      <c r="P26" s="5"/>
      <c r="Q26" s="5"/>
      <c r="R26" s="5"/>
      <c r="S26" s="5"/>
      <c r="T26" s="5"/>
      <c r="U26" s="5"/>
    </row>
    <row r="27" spans="1:21">
      <c r="A27" s="1352"/>
      <c r="B27" s="1353"/>
      <c r="C27" s="1353"/>
      <c r="D27" s="79"/>
      <c r="E27" s="82"/>
      <c r="F27" s="78"/>
      <c r="G27" s="231"/>
      <c r="H27" s="9"/>
      <c r="I27" s="10"/>
      <c r="J27" s="11"/>
      <c r="K27" s="12"/>
      <c r="L27" s="13"/>
      <c r="M27" s="14"/>
      <c r="N27" s="14"/>
      <c r="O27" s="15"/>
      <c r="P27" s="5"/>
      <c r="Q27" s="5"/>
      <c r="R27" s="5"/>
      <c r="S27" s="5"/>
      <c r="T27" s="5"/>
      <c r="U27" s="5"/>
    </row>
    <row r="28" spans="1:21">
      <c r="A28" s="1352"/>
      <c r="B28" s="1353"/>
      <c r="C28" s="1353"/>
      <c r="D28" s="79"/>
      <c r="E28" s="82"/>
      <c r="F28" s="83"/>
      <c r="G28" s="231"/>
      <c r="H28" s="9"/>
      <c r="I28" s="41"/>
      <c r="J28" s="41"/>
      <c r="K28" s="12"/>
      <c r="L28" s="13"/>
      <c r="M28" s="14"/>
      <c r="N28" s="14"/>
      <c r="O28" s="15"/>
      <c r="P28" s="5"/>
      <c r="Q28" s="5"/>
      <c r="R28" s="5"/>
      <c r="S28" s="5"/>
      <c r="T28" s="5"/>
      <c r="U28" s="5"/>
    </row>
    <row r="29" spans="1:21">
      <c r="A29" s="1352"/>
      <c r="B29" s="1353"/>
      <c r="C29" s="1353"/>
      <c r="D29" s="84"/>
      <c r="E29" s="84"/>
      <c r="F29" s="83"/>
      <c r="G29" s="231"/>
      <c r="H29" s="9"/>
      <c r="I29" s="42"/>
      <c r="J29" s="42"/>
      <c r="K29" s="42"/>
      <c r="L29" s="13"/>
      <c r="M29" s="14"/>
      <c r="N29" s="14"/>
      <c r="O29" s="15"/>
      <c r="P29" s="5"/>
      <c r="Q29" s="5"/>
      <c r="R29" s="5"/>
      <c r="S29" s="5"/>
      <c r="T29" s="5"/>
      <c r="U29" s="5"/>
    </row>
    <row r="30" spans="1:21">
      <c r="A30" s="1352"/>
      <c r="B30" s="1353"/>
      <c r="C30" s="1353"/>
      <c r="D30" s="85" t="s">
        <v>28</v>
      </c>
      <c r="E30" s="50"/>
      <c r="F30" s="49"/>
      <c r="G30" s="230">
        <f>SUM(G21:G29)</f>
        <v>1388789</v>
      </c>
      <c r="H30" s="9"/>
      <c r="I30" s="8"/>
      <c r="J30" s="13"/>
      <c r="K30" s="8"/>
      <c r="L30" s="13"/>
      <c r="M30" s="14"/>
      <c r="N30" s="14"/>
      <c r="O30" s="15"/>
      <c r="P30" s="5"/>
    </row>
    <row r="31" spans="1:21" ht="3.75" customHeight="1">
      <c r="A31" s="226"/>
      <c r="B31" s="4"/>
      <c r="C31" s="6"/>
      <c r="D31" s="4"/>
      <c r="E31" s="4"/>
      <c r="F31" s="4"/>
      <c r="G31" s="227"/>
      <c r="H31" s="9"/>
      <c r="I31" s="8"/>
      <c r="J31" s="13"/>
      <c r="K31" s="18"/>
      <c r="L31" s="13"/>
      <c r="M31" s="33"/>
      <c r="N31" s="33"/>
      <c r="O31" s="15"/>
      <c r="P31" s="5"/>
    </row>
    <row r="32" spans="1:21" ht="22.5" customHeight="1">
      <c r="A32" s="1354" t="s">
        <v>71</v>
      </c>
      <c r="B32" s="1355"/>
      <c r="C32" s="1355"/>
      <c r="D32" s="1355"/>
      <c r="E32" s="1355"/>
      <c r="F32" s="1355"/>
      <c r="G32" s="1356"/>
      <c r="H32" s="9"/>
    </row>
    <row r="33" spans="1:16" ht="3.75" customHeight="1">
      <c r="A33" s="226"/>
      <c r="B33" s="4"/>
      <c r="C33" s="6"/>
      <c r="D33" s="4"/>
      <c r="E33" s="4"/>
      <c r="F33" s="4"/>
      <c r="G33" s="227"/>
      <c r="H33" s="9"/>
      <c r="I33" s="8"/>
      <c r="J33" s="13"/>
      <c r="K33" s="8"/>
      <c r="L33" s="8"/>
      <c r="M33" s="8"/>
      <c r="N33" s="8"/>
      <c r="O33" s="15"/>
      <c r="P33" s="5"/>
    </row>
    <row r="34" spans="1:16">
      <c r="A34" s="232" t="s">
        <v>5</v>
      </c>
      <c r="B34" s="60" t="s">
        <v>29</v>
      </c>
      <c r="C34" s="60" t="s">
        <v>30</v>
      </c>
      <c r="D34" s="60" t="s">
        <v>31</v>
      </c>
      <c r="E34" s="60" t="s">
        <v>32</v>
      </c>
      <c r="F34" s="60" t="s">
        <v>20</v>
      </c>
      <c r="G34" s="228" t="s">
        <v>33</v>
      </c>
      <c r="H34" s="27"/>
      <c r="I34" s="8"/>
      <c r="J34" s="13"/>
      <c r="K34" s="8"/>
      <c r="L34" s="8"/>
      <c r="M34" s="8"/>
      <c r="N34" s="8"/>
      <c r="O34" s="15"/>
      <c r="P34" s="5"/>
    </row>
    <row r="35" spans="1:16">
      <c r="A35" s="233" t="s">
        <v>41</v>
      </c>
      <c r="B35" s="63">
        <f>BOF</f>
        <v>51749</v>
      </c>
      <c r="C35" s="68">
        <f>ffpp</f>
        <v>0.64539999999999997</v>
      </c>
      <c r="D35" s="72">
        <v>1</v>
      </c>
      <c r="E35" s="66">
        <f>OF</f>
        <v>88696</v>
      </c>
      <c r="F35" s="65">
        <v>2</v>
      </c>
      <c r="G35" s="231">
        <f>ROUND(+D35*E35/F35,0)</f>
        <v>44348</v>
      </c>
      <c r="H35" s="9"/>
      <c r="I35" s="16"/>
      <c r="J35" s="13"/>
      <c r="K35" s="8"/>
      <c r="L35" s="8"/>
      <c r="M35" s="8"/>
      <c r="N35" s="8"/>
      <c r="O35" s="15"/>
      <c r="P35" s="5"/>
    </row>
    <row r="36" spans="1:16">
      <c r="A36" s="233" t="s">
        <v>38</v>
      </c>
      <c r="B36" s="63">
        <f>BOB</f>
        <v>41749</v>
      </c>
      <c r="C36" s="68">
        <f>ffpp</f>
        <v>0.64539999999999997</v>
      </c>
      <c r="D36" s="72">
        <v>3</v>
      </c>
      <c r="E36" s="66">
        <f>OB</f>
        <v>72242</v>
      </c>
      <c r="F36" s="65">
        <f>F35</f>
        <v>2</v>
      </c>
      <c r="G36" s="231">
        <f>ROUND(+D36*E36/F36,0)</f>
        <v>108363</v>
      </c>
      <c r="H36" s="9"/>
      <c r="I36" s="8"/>
      <c r="J36" s="8"/>
      <c r="K36" s="13"/>
      <c r="L36" s="13"/>
      <c r="M36" s="13"/>
      <c r="N36" s="13"/>
      <c r="O36" s="13"/>
      <c r="P36" s="5"/>
    </row>
    <row r="37" spans="1:16">
      <c r="A37" s="234"/>
      <c r="B37" s="50"/>
      <c r="C37" s="961"/>
      <c r="D37" s="50"/>
      <c r="E37" s="66"/>
      <c r="F37" s="65"/>
      <c r="G37" s="231"/>
      <c r="H37" s="9"/>
      <c r="I37" s="8"/>
      <c r="J37" s="13"/>
      <c r="K37" s="13"/>
      <c r="L37" s="13"/>
      <c r="M37" s="33"/>
      <c r="N37" s="33"/>
      <c r="O37" s="43"/>
      <c r="P37" s="5"/>
    </row>
    <row r="38" spans="1:16">
      <c r="A38" s="233"/>
      <c r="B38" s="65"/>
      <c r="C38" s="68"/>
      <c r="D38" s="65"/>
      <c r="E38" s="69"/>
      <c r="F38" s="69"/>
      <c r="G38" s="236"/>
      <c r="H38" s="9"/>
      <c r="I38" s="8"/>
      <c r="J38" s="13"/>
      <c r="K38" s="13"/>
      <c r="L38" s="13"/>
      <c r="M38" s="33"/>
      <c r="N38" s="33"/>
      <c r="O38" s="43"/>
      <c r="P38" s="5"/>
    </row>
    <row r="39" spans="1:16">
      <c r="A39" s="249"/>
      <c r="B39" s="71"/>
      <c r="C39" s="71"/>
      <c r="D39" s="71" t="s">
        <v>34</v>
      </c>
      <c r="E39" s="71"/>
      <c r="F39" s="71"/>
      <c r="G39" s="250">
        <f>SUM(G35:G38)</f>
        <v>152711</v>
      </c>
      <c r="H39" s="9"/>
      <c r="I39" s="8"/>
      <c r="J39" s="13"/>
      <c r="K39" s="13"/>
      <c r="L39" s="13"/>
      <c r="M39" s="14"/>
      <c r="N39" s="14"/>
      <c r="O39" s="15"/>
      <c r="P39" s="5"/>
    </row>
    <row r="40" spans="1:16">
      <c r="A40" s="226"/>
      <c r="B40" s="4"/>
      <c r="C40" s="6"/>
      <c r="D40" s="4"/>
      <c r="E40" s="4"/>
      <c r="F40" s="4"/>
      <c r="G40" s="227"/>
      <c r="H40" s="9"/>
      <c r="I40" s="8"/>
      <c r="J40" s="13"/>
      <c r="K40" s="13"/>
      <c r="L40" s="13"/>
      <c r="M40" s="14"/>
      <c r="N40" s="14"/>
      <c r="O40" s="19"/>
      <c r="P40" s="5"/>
    </row>
    <row r="41" spans="1:16">
      <c r="A41" s="226"/>
      <c r="B41" s="4"/>
      <c r="C41" s="6"/>
      <c r="D41" s="4"/>
      <c r="E41" s="4"/>
      <c r="F41" s="4"/>
      <c r="G41" s="227"/>
      <c r="H41" s="9"/>
      <c r="I41" s="8"/>
      <c r="J41" s="13"/>
      <c r="K41" s="13"/>
      <c r="L41" s="13"/>
      <c r="M41" s="17"/>
      <c r="N41" s="17"/>
      <c r="O41" s="37"/>
      <c r="P41" s="5"/>
    </row>
    <row r="42" spans="1:16" ht="14.25">
      <c r="A42" s="226"/>
      <c r="B42" s="4"/>
      <c r="C42" s="6"/>
      <c r="D42" s="1357" t="s">
        <v>35</v>
      </c>
      <c r="E42" s="1358"/>
      <c r="F42" s="1359"/>
      <c r="G42" s="239">
        <f>+G39+G30+G16</f>
        <v>1556771</v>
      </c>
      <c r="H42" s="9"/>
      <c r="I42" s="48"/>
      <c r="J42" s="20"/>
      <c r="K42" s="8"/>
      <c r="L42" s="8"/>
      <c r="M42" s="8"/>
      <c r="N42" s="8"/>
      <c r="O42" s="8"/>
      <c r="P42" s="5"/>
    </row>
    <row r="43" spans="1:16" ht="14.25">
      <c r="A43" s="240"/>
      <c r="B43" s="57"/>
      <c r="C43" s="58"/>
      <c r="D43" s="99"/>
      <c r="E43" s="99"/>
      <c r="F43" s="99"/>
      <c r="G43" s="251"/>
      <c r="H43" s="9"/>
      <c r="I43" s="48"/>
      <c r="J43" s="20"/>
      <c r="K43" s="8"/>
      <c r="L43" s="8"/>
      <c r="M43" s="8"/>
      <c r="N43" s="8"/>
      <c r="O43" s="8"/>
      <c r="P43" s="5"/>
    </row>
    <row r="44" spans="1:16" ht="14.25">
      <c r="A44" s="374"/>
      <c r="B44" s="375"/>
      <c r="C44" s="375"/>
      <c r="D44" s="99"/>
      <c r="E44" s="99"/>
      <c r="F44" s="99"/>
      <c r="G44" s="251"/>
      <c r="H44" s="9"/>
      <c r="I44" s="48"/>
      <c r="J44" s="20"/>
      <c r="K44" s="8"/>
      <c r="L44" s="8"/>
      <c r="M44" s="8"/>
      <c r="N44" s="8"/>
      <c r="O44" s="8"/>
      <c r="P44" s="5"/>
    </row>
    <row r="45" spans="1:16" ht="14.25">
      <c r="A45" s="373"/>
      <c r="B45" s="376"/>
      <c r="C45" s="376"/>
      <c r="D45" s="99"/>
      <c r="E45" s="99"/>
      <c r="F45" s="99"/>
      <c r="G45" s="251"/>
      <c r="H45" s="9"/>
      <c r="I45" s="48"/>
      <c r="J45" s="20"/>
      <c r="K45" s="8"/>
      <c r="L45" s="8"/>
      <c r="M45" s="8"/>
      <c r="N45" s="8"/>
      <c r="O45" s="8"/>
      <c r="P45" s="5"/>
    </row>
    <row r="46" spans="1:16" ht="14.25">
      <c r="A46" s="373"/>
      <c r="B46" s="376"/>
      <c r="C46" s="376"/>
      <c r="D46" s="44"/>
      <c r="E46" s="45"/>
      <c r="F46" s="45"/>
      <c r="G46" s="251"/>
      <c r="H46" s="9"/>
      <c r="I46" s="8"/>
      <c r="J46" s="13"/>
      <c r="K46" s="8"/>
      <c r="L46" s="8"/>
      <c r="M46" s="8"/>
      <c r="N46" s="8"/>
      <c r="O46" s="8"/>
      <c r="P46" s="5"/>
    </row>
    <row r="47" spans="1:16" ht="15" thickBot="1">
      <c r="A47" s="242"/>
      <c r="B47" s="243"/>
      <c r="C47" s="244"/>
      <c r="D47" s="245"/>
      <c r="E47" s="246"/>
      <c r="F47" s="246"/>
      <c r="G47" s="247"/>
      <c r="H47" s="9"/>
      <c r="I47" s="8"/>
      <c r="J47" s="13"/>
      <c r="K47" s="8"/>
      <c r="L47" s="8"/>
      <c r="M47" s="8"/>
      <c r="N47" s="8"/>
      <c r="O47" s="8"/>
      <c r="P47" s="5"/>
    </row>
    <row r="48" spans="1:16">
      <c r="I48" s="5"/>
      <c r="J48" s="5"/>
      <c r="K48" s="5"/>
      <c r="L48" s="5"/>
      <c r="M48" s="5"/>
      <c r="N48" s="5"/>
      <c r="O48" s="5"/>
      <c r="P48" s="5"/>
    </row>
    <row r="49" spans="9:16">
      <c r="I49" s="5"/>
      <c r="J49" s="5"/>
      <c r="K49" s="5"/>
      <c r="L49" s="5"/>
      <c r="M49" s="5"/>
      <c r="N49" s="5"/>
      <c r="O49" s="5"/>
      <c r="P49" s="5"/>
    </row>
  </sheetData>
  <mergeCells count="26">
    <mergeCell ref="A10:C10"/>
    <mergeCell ref="A1:G1"/>
    <mergeCell ref="A2:G2"/>
    <mergeCell ref="A3:G4"/>
    <mergeCell ref="B6:E6"/>
    <mergeCell ref="A8:G8"/>
    <mergeCell ref="A24:C24"/>
    <mergeCell ref="A11:C11"/>
    <mergeCell ref="A12:C12"/>
    <mergeCell ref="A13:C13"/>
    <mergeCell ref="A14:C14"/>
    <mergeCell ref="A15:C15"/>
    <mergeCell ref="A16:C16"/>
    <mergeCell ref="A18:G18"/>
    <mergeCell ref="A20:C20"/>
    <mergeCell ref="A21:C21"/>
    <mergeCell ref="A22:C22"/>
    <mergeCell ref="A23:C23"/>
    <mergeCell ref="A32:G32"/>
    <mergeCell ref="D42:F42"/>
    <mergeCell ref="A25:C25"/>
    <mergeCell ref="A26:C26"/>
    <mergeCell ref="A27:C27"/>
    <mergeCell ref="A28:C28"/>
    <mergeCell ref="A29:C29"/>
    <mergeCell ref="A30:C30"/>
  </mergeCells>
  <printOptions horizontalCentered="1" verticalCentered="1"/>
  <pageMargins left="0.74803149606299213" right="0.74803149606299213" top="0" bottom="0.98425196850393704" header="0" footer="0"/>
  <pageSetup scale="90" orientation="portrait" r:id="rId1"/>
  <headerFooter alignWithMargins="0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9"/>
  <sheetViews>
    <sheetView view="pageBreakPreview" zoomScaleNormal="100" zoomScaleSheetLayoutView="100" workbookViewId="0">
      <selection activeCell="I7" sqref="I7"/>
    </sheetView>
  </sheetViews>
  <sheetFormatPr baseColWidth="10" defaultColWidth="10.7109375" defaultRowHeight="12.75"/>
  <cols>
    <col min="1" max="1" width="15.85546875" style="3" customWidth="1"/>
    <col min="2" max="2" width="14.85546875" style="3" customWidth="1"/>
    <col min="3" max="3" width="13.28515625" style="3" customWidth="1"/>
    <col min="4" max="4" width="11.42578125" style="3"/>
    <col min="5" max="5" width="13.42578125" style="3" customWidth="1"/>
    <col min="6" max="6" width="12.7109375" style="3" customWidth="1"/>
    <col min="7" max="7" width="14" style="3" customWidth="1"/>
    <col min="8" max="8" width="7.42578125" style="3" customWidth="1"/>
    <col min="9" max="256" width="11.42578125" style="3"/>
    <col min="257" max="257" width="15.85546875" style="3" customWidth="1"/>
    <col min="258" max="258" width="14.85546875" style="3" customWidth="1"/>
    <col min="259" max="259" width="13.28515625" style="3" customWidth="1"/>
    <col min="260" max="260" width="11.42578125" style="3"/>
    <col min="261" max="261" width="13.42578125" style="3" customWidth="1"/>
    <col min="262" max="262" width="12.7109375" style="3" customWidth="1"/>
    <col min="263" max="263" width="14" style="3" customWidth="1"/>
    <col min="264" max="264" width="7.42578125" style="3" customWidth="1"/>
    <col min="265" max="512" width="11.42578125" style="3"/>
    <col min="513" max="513" width="15.85546875" style="3" customWidth="1"/>
    <col min="514" max="514" width="14.85546875" style="3" customWidth="1"/>
    <col min="515" max="515" width="13.28515625" style="3" customWidth="1"/>
    <col min="516" max="516" width="11.42578125" style="3"/>
    <col min="517" max="517" width="13.42578125" style="3" customWidth="1"/>
    <col min="518" max="518" width="12.7109375" style="3" customWidth="1"/>
    <col min="519" max="519" width="14" style="3" customWidth="1"/>
    <col min="520" max="520" width="7.42578125" style="3" customWidth="1"/>
    <col min="521" max="768" width="11.42578125" style="3"/>
    <col min="769" max="769" width="15.85546875" style="3" customWidth="1"/>
    <col min="770" max="770" width="14.85546875" style="3" customWidth="1"/>
    <col min="771" max="771" width="13.28515625" style="3" customWidth="1"/>
    <col min="772" max="772" width="11.42578125" style="3"/>
    <col min="773" max="773" width="13.42578125" style="3" customWidth="1"/>
    <col min="774" max="774" width="12.7109375" style="3" customWidth="1"/>
    <col min="775" max="775" width="14" style="3" customWidth="1"/>
    <col min="776" max="776" width="7.42578125" style="3" customWidth="1"/>
    <col min="777" max="1024" width="11.42578125" style="3"/>
    <col min="1025" max="1025" width="15.85546875" style="3" customWidth="1"/>
    <col min="1026" max="1026" width="14.85546875" style="3" customWidth="1"/>
    <col min="1027" max="1027" width="13.28515625" style="3" customWidth="1"/>
    <col min="1028" max="1028" width="11.42578125" style="3"/>
    <col min="1029" max="1029" width="13.42578125" style="3" customWidth="1"/>
    <col min="1030" max="1030" width="12.7109375" style="3" customWidth="1"/>
    <col min="1031" max="1031" width="14" style="3" customWidth="1"/>
    <col min="1032" max="1032" width="7.42578125" style="3" customWidth="1"/>
    <col min="1033" max="1280" width="11.42578125" style="3"/>
    <col min="1281" max="1281" width="15.85546875" style="3" customWidth="1"/>
    <col min="1282" max="1282" width="14.85546875" style="3" customWidth="1"/>
    <col min="1283" max="1283" width="13.28515625" style="3" customWidth="1"/>
    <col min="1284" max="1284" width="11.42578125" style="3"/>
    <col min="1285" max="1285" width="13.42578125" style="3" customWidth="1"/>
    <col min="1286" max="1286" width="12.7109375" style="3" customWidth="1"/>
    <col min="1287" max="1287" width="14" style="3" customWidth="1"/>
    <col min="1288" max="1288" width="7.42578125" style="3" customWidth="1"/>
    <col min="1289" max="1536" width="11.42578125" style="3"/>
    <col min="1537" max="1537" width="15.85546875" style="3" customWidth="1"/>
    <col min="1538" max="1538" width="14.85546875" style="3" customWidth="1"/>
    <col min="1539" max="1539" width="13.28515625" style="3" customWidth="1"/>
    <col min="1540" max="1540" width="11.42578125" style="3"/>
    <col min="1541" max="1541" width="13.42578125" style="3" customWidth="1"/>
    <col min="1542" max="1542" width="12.7109375" style="3" customWidth="1"/>
    <col min="1543" max="1543" width="14" style="3" customWidth="1"/>
    <col min="1544" max="1544" width="7.42578125" style="3" customWidth="1"/>
    <col min="1545" max="1792" width="11.42578125" style="3"/>
    <col min="1793" max="1793" width="15.85546875" style="3" customWidth="1"/>
    <col min="1794" max="1794" width="14.85546875" style="3" customWidth="1"/>
    <col min="1795" max="1795" width="13.28515625" style="3" customWidth="1"/>
    <col min="1796" max="1796" width="11.42578125" style="3"/>
    <col min="1797" max="1797" width="13.42578125" style="3" customWidth="1"/>
    <col min="1798" max="1798" width="12.7109375" style="3" customWidth="1"/>
    <col min="1799" max="1799" width="14" style="3" customWidth="1"/>
    <col min="1800" max="1800" width="7.42578125" style="3" customWidth="1"/>
    <col min="1801" max="2048" width="11.42578125" style="3"/>
    <col min="2049" max="2049" width="15.85546875" style="3" customWidth="1"/>
    <col min="2050" max="2050" width="14.85546875" style="3" customWidth="1"/>
    <col min="2051" max="2051" width="13.28515625" style="3" customWidth="1"/>
    <col min="2052" max="2052" width="11.42578125" style="3"/>
    <col min="2053" max="2053" width="13.42578125" style="3" customWidth="1"/>
    <col min="2054" max="2054" width="12.7109375" style="3" customWidth="1"/>
    <col min="2055" max="2055" width="14" style="3" customWidth="1"/>
    <col min="2056" max="2056" width="7.42578125" style="3" customWidth="1"/>
    <col min="2057" max="2304" width="11.42578125" style="3"/>
    <col min="2305" max="2305" width="15.85546875" style="3" customWidth="1"/>
    <col min="2306" max="2306" width="14.85546875" style="3" customWidth="1"/>
    <col min="2307" max="2307" width="13.28515625" style="3" customWidth="1"/>
    <col min="2308" max="2308" width="11.42578125" style="3"/>
    <col min="2309" max="2309" width="13.42578125" style="3" customWidth="1"/>
    <col min="2310" max="2310" width="12.7109375" style="3" customWidth="1"/>
    <col min="2311" max="2311" width="14" style="3" customWidth="1"/>
    <col min="2312" max="2312" width="7.42578125" style="3" customWidth="1"/>
    <col min="2313" max="2560" width="11.42578125" style="3"/>
    <col min="2561" max="2561" width="15.85546875" style="3" customWidth="1"/>
    <col min="2562" max="2562" width="14.85546875" style="3" customWidth="1"/>
    <col min="2563" max="2563" width="13.28515625" style="3" customWidth="1"/>
    <col min="2564" max="2564" width="11.42578125" style="3"/>
    <col min="2565" max="2565" width="13.42578125" style="3" customWidth="1"/>
    <col min="2566" max="2566" width="12.7109375" style="3" customWidth="1"/>
    <col min="2567" max="2567" width="14" style="3" customWidth="1"/>
    <col min="2568" max="2568" width="7.42578125" style="3" customWidth="1"/>
    <col min="2569" max="2816" width="11.42578125" style="3"/>
    <col min="2817" max="2817" width="15.85546875" style="3" customWidth="1"/>
    <col min="2818" max="2818" width="14.85546875" style="3" customWidth="1"/>
    <col min="2819" max="2819" width="13.28515625" style="3" customWidth="1"/>
    <col min="2820" max="2820" width="11.42578125" style="3"/>
    <col min="2821" max="2821" width="13.42578125" style="3" customWidth="1"/>
    <col min="2822" max="2822" width="12.7109375" style="3" customWidth="1"/>
    <col min="2823" max="2823" width="14" style="3" customWidth="1"/>
    <col min="2824" max="2824" width="7.42578125" style="3" customWidth="1"/>
    <col min="2825" max="3072" width="11.42578125" style="3"/>
    <col min="3073" max="3073" width="15.85546875" style="3" customWidth="1"/>
    <col min="3074" max="3074" width="14.85546875" style="3" customWidth="1"/>
    <col min="3075" max="3075" width="13.28515625" style="3" customWidth="1"/>
    <col min="3076" max="3076" width="11.42578125" style="3"/>
    <col min="3077" max="3077" width="13.42578125" style="3" customWidth="1"/>
    <col min="3078" max="3078" width="12.7109375" style="3" customWidth="1"/>
    <col min="3079" max="3079" width="14" style="3" customWidth="1"/>
    <col min="3080" max="3080" width="7.42578125" style="3" customWidth="1"/>
    <col min="3081" max="3328" width="11.42578125" style="3"/>
    <col min="3329" max="3329" width="15.85546875" style="3" customWidth="1"/>
    <col min="3330" max="3330" width="14.85546875" style="3" customWidth="1"/>
    <col min="3331" max="3331" width="13.28515625" style="3" customWidth="1"/>
    <col min="3332" max="3332" width="11.42578125" style="3"/>
    <col min="3333" max="3333" width="13.42578125" style="3" customWidth="1"/>
    <col min="3334" max="3334" width="12.7109375" style="3" customWidth="1"/>
    <col min="3335" max="3335" width="14" style="3" customWidth="1"/>
    <col min="3336" max="3336" width="7.42578125" style="3" customWidth="1"/>
    <col min="3337" max="3584" width="11.42578125" style="3"/>
    <col min="3585" max="3585" width="15.85546875" style="3" customWidth="1"/>
    <col min="3586" max="3586" width="14.85546875" style="3" customWidth="1"/>
    <col min="3587" max="3587" width="13.28515625" style="3" customWidth="1"/>
    <col min="3588" max="3588" width="11.42578125" style="3"/>
    <col min="3589" max="3589" width="13.42578125" style="3" customWidth="1"/>
    <col min="3590" max="3590" width="12.7109375" style="3" customWidth="1"/>
    <col min="3591" max="3591" width="14" style="3" customWidth="1"/>
    <col min="3592" max="3592" width="7.42578125" style="3" customWidth="1"/>
    <col min="3593" max="3840" width="11.42578125" style="3"/>
    <col min="3841" max="3841" width="15.85546875" style="3" customWidth="1"/>
    <col min="3842" max="3842" width="14.85546875" style="3" customWidth="1"/>
    <col min="3843" max="3843" width="13.28515625" style="3" customWidth="1"/>
    <col min="3844" max="3844" width="11.42578125" style="3"/>
    <col min="3845" max="3845" width="13.42578125" style="3" customWidth="1"/>
    <col min="3846" max="3846" width="12.7109375" style="3" customWidth="1"/>
    <col min="3847" max="3847" width="14" style="3" customWidth="1"/>
    <col min="3848" max="3848" width="7.42578125" style="3" customWidth="1"/>
    <col min="3849" max="4096" width="11.42578125" style="3"/>
    <col min="4097" max="4097" width="15.85546875" style="3" customWidth="1"/>
    <col min="4098" max="4098" width="14.85546875" style="3" customWidth="1"/>
    <col min="4099" max="4099" width="13.28515625" style="3" customWidth="1"/>
    <col min="4100" max="4100" width="11.42578125" style="3"/>
    <col min="4101" max="4101" width="13.42578125" style="3" customWidth="1"/>
    <col min="4102" max="4102" width="12.7109375" style="3" customWidth="1"/>
    <col min="4103" max="4103" width="14" style="3" customWidth="1"/>
    <col min="4104" max="4104" width="7.42578125" style="3" customWidth="1"/>
    <col min="4105" max="4352" width="11.42578125" style="3"/>
    <col min="4353" max="4353" width="15.85546875" style="3" customWidth="1"/>
    <col min="4354" max="4354" width="14.85546875" style="3" customWidth="1"/>
    <col min="4355" max="4355" width="13.28515625" style="3" customWidth="1"/>
    <col min="4356" max="4356" width="11.42578125" style="3"/>
    <col min="4357" max="4357" width="13.42578125" style="3" customWidth="1"/>
    <col min="4358" max="4358" width="12.7109375" style="3" customWidth="1"/>
    <col min="4359" max="4359" width="14" style="3" customWidth="1"/>
    <col min="4360" max="4360" width="7.42578125" style="3" customWidth="1"/>
    <col min="4361" max="4608" width="11.42578125" style="3"/>
    <col min="4609" max="4609" width="15.85546875" style="3" customWidth="1"/>
    <col min="4610" max="4610" width="14.85546875" style="3" customWidth="1"/>
    <col min="4611" max="4611" width="13.28515625" style="3" customWidth="1"/>
    <col min="4612" max="4612" width="11.42578125" style="3"/>
    <col min="4613" max="4613" width="13.42578125" style="3" customWidth="1"/>
    <col min="4614" max="4614" width="12.7109375" style="3" customWidth="1"/>
    <col min="4615" max="4615" width="14" style="3" customWidth="1"/>
    <col min="4616" max="4616" width="7.42578125" style="3" customWidth="1"/>
    <col min="4617" max="4864" width="11.42578125" style="3"/>
    <col min="4865" max="4865" width="15.85546875" style="3" customWidth="1"/>
    <col min="4866" max="4866" width="14.85546875" style="3" customWidth="1"/>
    <col min="4867" max="4867" width="13.28515625" style="3" customWidth="1"/>
    <col min="4868" max="4868" width="11.42578125" style="3"/>
    <col min="4869" max="4869" width="13.42578125" style="3" customWidth="1"/>
    <col min="4870" max="4870" width="12.7109375" style="3" customWidth="1"/>
    <col min="4871" max="4871" width="14" style="3" customWidth="1"/>
    <col min="4872" max="4872" width="7.42578125" style="3" customWidth="1"/>
    <col min="4873" max="5120" width="11.42578125" style="3"/>
    <col min="5121" max="5121" width="15.85546875" style="3" customWidth="1"/>
    <col min="5122" max="5122" width="14.85546875" style="3" customWidth="1"/>
    <col min="5123" max="5123" width="13.28515625" style="3" customWidth="1"/>
    <col min="5124" max="5124" width="11.42578125" style="3"/>
    <col min="5125" max="5125" width="13.42578125" style="3" customWidth="1"/>
    <col min="5126" max="5126" width="12.7109375" style="3" customWidth="1"/>
    <col min="5127" max="5127" width="14" style="3" customWidth="1"/>
    <col min="5128" max="5128" width="7.42578125" style="3" customWidth="1"/>
    <col min="5129" max="5376" width="11.42578125" style="3"/>
    <col min="5377" max="5377" width="15.85546875" style="3" customWidth="1"/>
    <col min="5378" max="5378" width="14.85546875" style="3" customWidth="1"/>
    <col min="5379" max="5379" width="13.28515625" style="3" customWidth="1"/>
    <col min="5380" max="5380" width="11.42578125" style="3"/>
    <col min="5381" max="5381" width="13.42578125" style="3" customWidth="1"/>
    <col min="5382" max="5382" width="12.7109375" style="3" customWidth="1"/>
    <col min="5383" max="5383" width="14" style="3" customWidth="1"/>
    <col min="5384" max="5384" width="7.42578125" style="3" customWidth="1"/>
    <col min="5385" max="5632" width="11.42578125" style="3"/>
    <col min="5633" max="5633" width="15.85546875" style="3" customWidth="1"/>
    <col min="5634" max="5634" width="14.85546875" style="3" customWidth="1"/>
    <col min="5635" max="5635" width="13.28515625" style="3" customWidth="1"/>
    <col min="5636" max="5636" width="11.42578125" style="3"/>
    <col min="5637" max="5637" width="13.42578125" style="3" customWidth="1"/>
    <col min="5638" max="5638" width="12.7109375" style="3" customWidth="1"/>
    <col min="5639" max="5639" width="14" style="3" customWidth="1"/>
    <col min="5640" max="5640" width="7.42578125" style="3" customWidth="1"/>
    <col min="5641" max="5888" width="11.42578125" style="3"/>
    <col min="5889" max="5889" width="15.85546875" style="3" customWidth="1"/>
    <col min="5890" max="5890" width="14.85546875" style="3" customWidth="1"/>
    <col min="5891" max="5891" width="13.28515625" style="3" customWidth="1"/>
    <col min="5892" max="5892" width="11.42578125" style="3"/>
    <col min="5893" max="5893" width="13.42578125" style="3" customWidth="1"/>
    <col min="5894" max="5894" width="12.7109375" style="3" customWidth="1"/>
    <col min="5895" max="5895" width="14" style="3" customWidth="1"/>
    <col min="5896" max="5896" width="7.42578125" style="3" customWidth="1"/>
    <col min="5897" max="6144" width="11.42578125" style="3"/>
    <col min="6145" max="6145" width="15.85546875" style="3" customWidth="1"/>
    <col min="6146" max="6146" width="14.85546875" style="3" customWidth="1"/>
    <col min="6147" max="6147" width="13.28515625" style="3" customWidth="1"/>
    <col min="6148" max="6148" width="11.42578125" style="3"/>
    <col min="6149" max="6149" width="13.42578125" style="3" customWidth="1"/>
    <col min="6150" max="6150" width="12.7109375" style="3" customWidth="1"/>
    <col min="6151" max="6151" width="14" style="3" customWidth="1"/>
    <col min="6152" max="6152" width="7.42578125" style="3" customWidth="1"/>
    <col min="6153" max="6400" width="11.42578125" style="3"/>
    <col min="6401" max="6401" width="15.85546875" style="3" customWidth="1"/>
    <col min="6402" max="6402" width="14.85546875" style="3" customWidth="1"/>
    <col min="6403" max="6403" width="13.28515625" style="3" customWidth="1"/>
    <col min="6404" max="6404" width="11.42578125" style="3"/>
    <col min="6405" max="6405" width="13.42578125" style="3" customWidth="1"/>
    <col min="6406" max="6406" width="12.7109375" style="3" customWidth="1"/>
    <col min="6407" max="6407" width="14" style="3" customWidth="1"/>
    <col min="6408" max="6408" width="7.42578125" style="3" customWidth="1"/>
    <col min="6409" max="6656" width="11.42578125" style="3"/>
    <col min="6657" max="6657" width="15.85546875" style="3" customWidth="1"/>
    <col min="6658" max="6658" width="14.85546875" style="3" customWidth="1"/>
    <col min="6659" max="6659" width="13.28515625" style="3" customWidth="1"/>
    <col min="6660" max="6660" width="11.42578125" style="3"/>
    <col min="6661" max="6661" width="13.42578125" style="3" customWidth="1"/>
    <col min="6662" max="6662" width="12.7109375" style="3" customWidth="1"/>
    <col min="6663" max="6663" width="14" style="3" customWidth="1"/>
    <col min="6664" max="6664" width="7.42578125" style="3" customWidth="1"/>
    <col min="6665" max="6912" width="11.42578125" style="3"/>
    <col min="6913" max="6913" width="15.85546875" style="3" customWidth="1"/>
    <col min="6914" max="6914" width="14.85546875" style="3" customWidth="1"/>
    <col min="6915" max="6915" width="13.28515625" style="3" customWidth="1"/>
    <col min="6916" max="6916" width="11.42578125" style="3"/>
    <col min="6917" max="6917" width="13.42578125" style="3" customWidth="1"/>
    <col min="6918" max="6918" width="12.7109375" style="3" customWidth="1"/>
    <col min="6919" max="6919" width="14" style="3" customWidth="1"/>
    <col min="6920" max="6920" width="7.42578125" style="3" customWidth="1"/>
    <col min="6921" max="7168" width="11.42578125" style="3"/>
    <col min="7169" max="7169" width="15.85546875" style="3" customWidth="1"/>
    <col min="7170" max="7170" width="14.85546875" style="3" customWidth="1"/>
    <col min="7171" max="7171" width="13.28515625" style="3" customWidth="1"/>
    <col min="7172" max="7172" width="11.42578125" style="3"/>
    <col min="7173" max="7173" width="13.42578125" style="3" customWidth="1"/>
    <col min="7174" max="7174" width="12.7109375" style="3" customWidth="1"/>
    <col min="7175" max="7175" width="14" style="3" customWidth="1"/>
    <col min="7176" max="7176" width="7.42578125" style="3" customWidth="1"/>
    <col min="7177" max="7424" width="11.42578125" style="3"/>
    <col min="7425" max="7425" width="15.85546875" style="3" customWidth="1"/>
    <col min="7426" max="7426" width="14.85546875" style="3" customWidth="1"/>
    <col min="7427" max="7427" width="13.28515625" style="3" customWidth="1"/>
    <col min="7428" max="7428" width="11.42578125" style="3"/>
    <col min="7429" max="7429" width="13.42578125" style="3" customWidth="1"/>
    <col min="7430" max="7430" width="12.7109375" style="3" customWidth="1"/>
    <col min="7431" max="7431" width="14" style="3" customWidth="1"/>
    <col min="7432" max="7432" width="7.42578125" style="3" customWidth="1"/>
    <col min="7433" max="7680" width="11.42578125" style="3"/>
    <col min="7681" max="7681" width="15.85546875" style="3" customWidth="1"/>
    <col min="7682" max="7682" width="14.85546875" style="3" customWidth="1"/>
    <col min="7683" max="7683" width="13.28515625" style="3" customWidth="1"/>
    <col min="7684" max="7684" width="11.42578125" style="3"/>
    <col min="7685" max="7685" width="13.42578125" style="3" customWidth="1"/>
    <col min="7686" max="7686" width="12.7109375" style="3" customWidth="1"/>
    <col min="7687" max="7687" width="14" style="3" customWidth="1"/>
    <col min="7688" max="7688" width="7.42578125" style="3" customWidth="1"/>
    <col min="7689" max="7936" width="11.42578125" style="3"/>
    <col min="7937" max="7937" width="15.85546875" style="3" customWidth="1"/>
    <col min="7938" max="7938" width="14.85546875" style="3" customWidth="1"/>
    <col min="7939" max="7939" width="13.28515625" style="3" customWidth="1"/>
    <col min="7940" max="7940" width="11.42578125" style="3"/>
    <col min="7941" max="7941" width="13.42578125" style="3" customWidth="1"/>
    <col min="7942" max="7942" width="12.7109375" style="3" customWidth="1"/>
    <col min="7943" max="7943" width="14" style="3" customWidth="1"/>
    <col min="7944" max="7944" width="7.42578125" style="3" customWidth="1"/>
    <col min="7945" max="8192" width="11.42578125" style="3"/>
    <col min="8193" max="8193" width="15.85546875" style="3" customWidth="1"/>
    <col min="8194" max="8194" width="14.85546875" style="3" customWidth="1"/>
    <col min="8195" max="8195" width="13.28515625" style="3" customWidth="1"/>
    <col min="8196" max="8196" width="11.42578125" style="3"/>
    <col min="8197" max="8197" width="13.42578125" style="3" customWidth="1"/>
    <col min="8198" max="8198" width="12.7109375" style="3" customWidth="1"/>
    <col min="8199" max="8199" width="14" style="3" customWidth="1"/>
    <col min="8200" max="8200" width="7.42578125" style="3" customWidth="1"/>
    <col min="8201" max="8448" width="11.42578125" style="3"/>
    <col min="8449" max="8449" width="15.85546875" style="3" customWidth="1"/>
    <col min="8450" max="8450" width="14.85546875" style="3" customWidth="1"/>
    <col min="8451" max="8451" width="13.28515625" style="3" customWidth="1"/>
    <col min="8452" max="8452" width="11.42578125" style="3"/>
    <col min="8453" max="8453" width="13.42578125" style="3" customWidth="1"/>
    <col min="8454" max="8454" width="12.7109375" style="3" customWidth="1"/>
    <col min="8455" max="8455" width="14" style="3" customWidth="1"/>
    <col min="8456" max="8456" width="7.42578125" style="3" customWidth="1"/>
    <col min="8457" max="8704" width="11.42578125" style="3"/>
    <col min="8705" max="8705" width="15.85546875" style="3" customWidth="1"/>
    <col min="8706" max="8706" width="14.85546875" style="3" customWidth="1"/>
    <col min="8707" max="8707" width="13.28515625" style="3" customWidth="1"/>
    <col min="8708" max="8708" width="11.42578125" style="3"/>
    <col min="8709" max="8709" width="13.42578125" style="3" customWidth="1"/>
    <col min="8710" max="8710" width="12.7109375" style="3" customWidth="1"/>
    <col min="8711" max="8711" width="14" style="3" customWidth="1"/>
    <col min="8712" max="8712" width="7.42578125" style="3" customWidth="1"/>
    <col min="8713" max="8960" width="11.42578125" style="3"/>
    <col min="8961" max="8961" width="15.85546875" style="3" customWidth="1"/>
    <col min="8962" max="8962" width="14.85546875" style="3" customWidth="1"/>
    <col min="8963" max="8963" width="13.28515625" style="3" customWidth="1"/>
    <col min="8964" max="8964" width="11.42578125" style="3"/>
    <col min="8965" max="8965" width="13.42578125" style="3" customWidth="1"/>
    <col min="8966" max="8966" width="12.7109375" style="3" customWidth="1"/>
    <col min="8967" max="8967" width="14" style="3" customWidth="1"/>
    <col min="8968" max="8968" width="7.42578125" style="3" customWidth="1"/>
    <col min="8969" max="9216" width="11.42578125" style="3"/>
    <col min="9217" max="9217" width="15.85546875" style="3" customWidth="1"/>
    <col min="9218" max="9218" width="14.85546875" style="3" customWidth="1"/>
    <col min="9219" max="9219" width="13.28515625" style="3" customWidth="1"/>
    <col min="9220" max="9220" width="11.42578125" style="3"/>
    <col min="9221" max="9221" width="13.42578125" style="3" customWidth="1"/>
    <col min="9222" max="9222" width="12.7109375" style="3" customWidth="1"/>
    <col min="9223" max="9223" width="14" style="3" customWidth="1"/>
    <col min="9224" max="9224" width="7.42578125" style="3" customWidth="1"/>
    <col min="9225" max="9472" width="11.42578125" style="3"/>
    <col min="9473" max="9473" width="15.85546875" style="3" customWidth="1"/>
    <col min="9474" max="9474" width="14.85546875" style="3" customWidth="1"/>
    <col min="9475" max="9475" width="13.28515625" style="3" customWidth="1"/>
    <col min="9476" max="9476" width="11.42578125" style="3"/>
    <col min="9477" max="9477" width="13.42578125" style="3" customWidth="1"/>
    <col min="9478" max="9478" width="12.7109375" style="3" customWidth="1"/>
    <col min="9479" max="9479" width="14" style="3" customWidth="1"/>
    <col min="9480" max="9480" width="7.42578125" style="3" customWidth="1"/>
    <col min="9481" max="9728" width="11.42578125" style="3"/>
    <col min="9729" max="9729" width="15.85546875" style="3" customWidth="1"/>
    <col min="9730" max="9730" width="14.85546875" style="3" customWidth="1"/>
    <col min="9731" max="9731" width="13.28515625" style="3" customWidth="1"/>
    <col min="9732" max="9732" width="11.42578125" style="3"/>
    <col min="9733" max="9733" width="13.42578125" style="3" customWidth="1"/>
    <col min="9734" max="9734" width="12.7109375" style="3" customWidth="1"/>
    <col min="9735" max="9735" width="14" style="3" customWidth="1"/>
    <col min="9736" max="9736" width="7.42578125" style="3" customWidth="1"/>
    <col min="9737" max="9984" width="11.42578125" style="3"/>
    <col min="9985" max="9985" width="15.85546875" style="3" customWidth="1"/>
    <col min="9986" max="9986" width="14.85546875" style="3" customWidth="1"/>
    <col min="9987" max="9987" width="13.28515625" style="3" customWidth="1"/>
    <col min="9988" max="9988" width="11.42578125" style="3"/>
    <col min="9989" max="9989" width="13.42578125" style="3" customWidth="1"/>
    <col min="9990" max="9990" width="12.7109375" style="3" customWidth="1"/>
    <col min="9991" max="9991" width="14" style="3" customWidth="1"/>
    <col min="9992" max="9992" width="7.42578125" style="3" customWidth="1"/>
    <col min="9993" max="10240" width="11.42578125" style="3"/>
    <col min="10241" max="10241" width="15.85546875" style="3" customWidth="1"/>
    <col min="10242" max="10242" width="14.85546875" style="3" customWidth="1"/>
    <col min="10243" max="10243" width="13.28515625" style="3" customWidth="1"/>
    <col min="10244" max="10244" width="11.42578125" style="3"/>
    <col min="10245" max="10245" width="13.42578125" style="3" customWidth="1"/>
    <col min="10246" max="10246" width="12.7109375" style="3" customWidth="1"/>
    <col min="10247" max="10247" width="14" style="3" customWidth="1"/>
    <col min="10248" max="10248" width="7.42578125" style="3" customWidth="1"/>
    <col min="10249" max="10496" width="11.42578125" style="3"/>
    <col min="10497" max="10497" width="15.85546875" style="3" customWidth="1"/>
    <col min="10498" max="10498" width="14.85546875" style="3" customWidth="1"/>
    <col min="10499" max="10499" width="13.28515625" style="3" customWidth="1"/>
    <col min="10500" max="10500" width="11.42578125" style="3"/>
    <col min="10501" max="10501" width="13.42578125" style="3" customWidth="1"/>
    <col min="10502" max="10502" width="12.7109375" style="3" customWidth="1"/>
    <col min="10503" max="10503" width="14" style="3" customWidth="1"/>
    <col min="10504" max="10504" width="7.42578125" style="3" customWidth="1"/>
    <col min="10505" max="10752" width="11.42578125" style="3"/>
    <col min="10753" max="10753" width="15.85546875" style="3" customWidth="1"/>
    <col min="10754" max="10754" width="14.85546875" style="3" customWidth="1"/>
    <col min="10755" max="10755" width="13.28515625" style="3" customWidth="1"/>
    <col min="10756" max="10756" width="11.42578125" style="3"/>
    <col min="10757" max="10757" width="13.42578125" style="3" customWidth="1"/>
    <col min="10758" max="10758" width="12.7109375" style="3" customWidth="1"/>
    <col min="10759" max="10759" width="14" style="3" customWidth="1"/>
    <col min="10760" max="10760" width="7.42578125" style="3" customWidth="1"/>
    <col min="10761" max="11008" width="11.42578125" style="3"/>
    <col min="11009" max="11009" width="15.85546875" style="3" customWidth="1"/>
    <col min="11010" max="11010" width="14.85546875" style="3" customWidth="1"/>
    <col min="11011" max="11011" width="13.28515625" style="3" customWidth="1"/>
    <col min="11012" max="11012" width="11.42578125" style="3"/>
    <col min="11013" max="11013" width="13.42578125" style="3" customWidth="1"/>
    <col min="11014" max="11014" width="12.7109375" style="3" customWidth="1"/>
    <col min="11015" max="11015" width="14" style="3" customWidth="1"/>
    <col min="11016" max="11016" width="7.42578125" style="3" customWidth="1"/>
    <col min="11017" max="11264" width="11.42578125" style="3"/>
    <col min="11265" max="11265" width="15.85546875" style="3" customWidth="1"/>
    <col min="11266" max="11266" width="14.85546875" style="3" customWidth="1"/>
    <col min="11267" max="11267" width="13.28515625" style="3" customWidth="1"/>
    <col min="11268" max="11268" width="11.42578125" style="3"/>
    <col min="11269" max="11269" width="13.42578125" style="3" customWidth="1"/>
    <col min="11270" max="11270" width="12.7109375" style="3" customWidth="1"/>
    <col min="11271" max="11271" width="14" style="3" customWidth="1"/>
    <col min="11272" max="11272" width="7.42578125" style="3" customWidth="1"/>
    <col min="11273" max="11520" width="11.42578125" style="3"/>
    <col min="11521" max="11521" width="15.85546875" style="3" customWidth="1"/>
    <col min="11522" max="11522" width="14.85546875" style="3" customWidth="1"/>
    <col min="11523" max="11523" width="13.28515625" style="3" customWidth="1"/>
    <col min="11524" max="11524" width="11.42578125" style="3"/>
    <col min="11525" max="11525" width="13.42578125" style="3" customWidth="1"/>
    <col min="11526" max="11526" width="12.7109375" style="3" customWidth="1"/>
    <col min="11527" max="11527" width="14" style="3" customWidth="1"/>
    <col min="11528" max="11528" width="7.42578125" style="3" customWidth="1"/>
    <col min="11529" max="11776" width="11.42578125" style="3"/>
    <col min="11777" max="11777" width="15.85546875" style="3" customWidth="1"/>
    <col min="11778" max="11778" width="14.85546875" style="3" customWidth="1"/>
    <col min="11779" max="11779" width="13.28515625" style="3" customWidth="1"/>
    <col min="11780" max="11780" width="11.42578125" style="3"/>
    <col min="11781" max="11781" width="13.42578125" style="3" customWidth="1"/>
    <col min="11782" max="11782" width="12.7109375" style="3" customWidth="1"/>
    <col min="11783" max="11783" width="14" style="3" customWidth="1"/>
    <col min="11784" max="11784" width="7.42578125" style="3" customWidth="1"/>
    <col min="11785" max="12032" width="11.42578125" style="3"/>
    <col min="12033" max="12033" width="15.85546875" style="3" customWidth="1"/>
    <col min="12034" max="12034" width="14.85546875" style="3" customWidth="1"/>
    <col min="12035" max="12035" width="13.28515625" style="3" customWidth="1"/>
    <col min="12036" max="12036" width="11.42578125" style="3"/>
    <col min="12037" max="12037" width="13.42578125" style="3" customWidth="1"/>
    <col min="12038" max="12038" width="12.7109375" style="3" customWidth="1"/>
    <col min="12039" max="12039" width="14" style="3" customWidth="1"/>
    <col min="12040" max="12040" width="7.42578125" style="3" customWidth="1"/>
    <col min="12041" max="12288" width="11.42578125" style="3"/>
    <col min="12289" max="12289" width="15.85546875" style="3" customWidth="1"/>
    <col min="12290" max="12290" width="14.85546875" style="3" customWidth="1"/>
    <col min="12291" max="12291" width="13.28515625" style="3" customWidth="1"/>
    <col min="12292" max="12292" width="11.42578125" style="3"/>
    <col min="12293" max="12293" width="13.42578125" style="3" customWidth="1"/>
    <col min="12294" max="12294" width="12.7109375" style="3" customWidth="1"/>
    <col min="12295" max="12295" width="14" style="3" customWidth="1"/>
    <col min="12296" max="12296" width="7.42578125" style="3" customWidth="1"/>
    <col min="12297" max="12544" width="11.42578125" style="3"/>
    <col min="12545" max="12545" width="15.85546875" style="3" customWidth="1"/>
    <col min="12546" max="12546" width="14.85546875" style="3" customWidth="1"/>
    <col min="12547" max="12547" width="13.28515625" style="3" customWidth="1"/>
    <col min="12548" max="12548" width="11.42578125" style="3"/>
    <col min="12549" max="12549" width="13.42578125" style="3" customWidth="1"/>
    <col min="12550" max="12550" width="12.7109375" style="3" customWidth="1"/>
    <col min="12551" max="12551" width="14" style="3" customWidth="1"/>
    <col min="12552" max="12552" width="7.42578125" style="3" customWidth="1"/>
    <col min="12553" max="12800" width="11.42578125" style="3"/>
    <col min="12801" max="12801" width="15.85546875" style="3" customWidth="1"/>
    <col min="12802" max="12802" width="14.85546875" style="3" customWidth="1"/>
    <col min="12803" max="12803" width="13.28515625" style="3" customWidth="1"/>
    <col min="12804" max="12804" width="11.42578125" style="3"/>
    <col min="12805" max="12805" width="13.42578125" style="3" customWidth="1"/>
    <col min="12806" max="12806" width="12.7109375" style="3" customWidth="1"/>
    <col min="12807" max="12807" width="14" style="3" customWidth="1"/>
    <col min="12808" max="12808" width="7.42578125" style="3" customWidth="1"/>
    <col min="12809" max="13056" width="11.42578125" style="3"/>
    <col min="13057" max="13057" width="15.85546875" style="3" customWidth="1"/>
    <col min="13058" max="13058" width="14.85546875" style="3" customWidth="1"/>
    <col min="13059" max="13059" width="13.28515625" style="3" customWidth="1"/>
    <col min="13060" max="13060" width="11.42578125" style="3"/>
    <col min="13061" max="13061" width="13.42578125" style="3" customWidth="1"/>
    <col min="13062" max="13062" width="12.7109375" style="3" customWidth="1"/>
    <col min="13063" max="13063" width="14" style="3" customWidth="1"/>
    <col min="13064" max="13064" width="7.42578125" style="3" customWidth="1"/>
    <col min="13065" max="13312" width="11.42578125" style="3"/>
    <col min="13313" max="13313" width="15.85546875" style="3" customWidth="1"/>
    <col min="13314" max="13314" width="14.85546875" style="3" customWidth="1"/>
    <col min="13315" max="13315" width="13.28515625" style="3" customWidth="1"/>
    <col min="13316" max="13316" width="11.42578125" style="3"/>
    <col min="13317" max="13317" width="13.42578125" style="3" customWidth="1"/>
    <col min="13318" max="13318" width="12.7109375" style="3" customWidth="1"/>
    <col min="13319" max="13319" width="14" style="3" customWidth="1"/>
    <col min="13320" max="13320" width="7.42578125" style="3" customWidth="1"/>
    <col min="13321" max="13568" width="11.42578125" style="3"/>
    <col min="13569" max="13569" width="15.85546875" style="3" customWidth="1"/>
    <col min="13570" max="13570" width="14.85546875" style="3" customWidth="1"/>
    <col min="13571" max="13571" width="13.28515625" style="3" customWidth="1"/>
    <col min="13572" max="13572" width="11.42578125" style="3"/>
    <col min="13573" max="13573" width="13.42578125" style="3" customWidth="1"/>
    <col min="13574" max="13574" width="12.7109375" style="3" customWidth="1"/>
    <col min="13575" max="13575" width="14" style="3" customWidth="1"/>
    <col min="13576" max="13576" width="7.42578125" style="3" customWidth="1"/>
    <col min="13577" max="13824" width="11.42578125" style="3"/>
    <col min="13825" max="13825" width="15.85546875" style="3" customWidth="1"/>
    <col min="13826" max="13826" width="14.85546875" style="3" customWidth="1"/>
    <col min="13827" max="13827" width="13.28515625" style="3" customWidth="1"/>
    <col min="13828" max="13828" width="11.42578125" style="3"/>
    <col min="13829" max="13829" width="13.42578125" style="3" customWidth="1"/>
    <col min="13830" max="13830" width="12.7109375" style="3" customWidth="1"/>
    <col min="13831" max="13831" width="14" style="3" customWidth="1"/>
    <col min="13832" max="13832" width="7.42578125" style="3" customWidth="1"/>
    <col min="13833" max="14080" width="11.42578125" style="3"/>
    <col min="14081" max="14081" width="15.85546875" style="3" customWidth="1"/>
    <col min="14082" max="14082" width="14.85546875" style="3" customWidth="1"/>
    <col min="14083" max="14083" width="13.28515625" style="3" customWidth="1"/>
    <col min="14084" max="14084" width="11.42578125" style="3"/>
    <col min="14085" max="14085" width="13.42578125" style="3" customWidth="1"/>
    <col min="14086" max="14086" width="12.7109375" style="3" customWidth="1"/>
    <col min="14087" max="14087" width="14" style="3" customWidth="1"/>
    <col min="14088" max="14088" width="7.42578125" style="3" customWidth="1"/>
    <col min="14089" max="14336" width="11.42578125" style="3"/>
    <col min="14337" max="14337" width="15.85546875" style="3" customWidth="1"/>
    <col min="14338" max="14338" width="14.85546875" style="3" customWidth="1"/>
    <col min="14339" max="14339" width="13.28515625" style="3" customWidth="1"/>
    <col min="14340" max="14340" width="11.42578125" style="3"/>
    <col min="14341" max="14341" width="13.42578125" style="3" customWidth="1"/>
    <col min="14342" max="14342" width="12.7109375" style="3" customWidth="1"/>
    <col min="14343" max="14343" width="14" style="3" customWidth="1"/>
    <col min="14344" max="14344" width="7.42578125" style="3" customWidth="1"/>
    <col min="14345" max="14592" width="11.42578125" style="3"/>
    <col min="14593" max="14593" width="15.85546875" style="3" customWidth="1"/>
    <col min="14594" max="14594" width="14.85546875" style="3" customWidth="1"/>
    <col min="14595" max="14595" width="13.28515625" style="3" customWidth="1"/>
    <col min="14596" max="14596" width="11.42578125" style="3"/>
    <col min="14597" max="14597" width="13.42578125" style="3" customWidth="1"/>
    <col min="14598" max="14598" width="12.7109375" style="3" customWidth="1"/>
    <col min="14599" max="14599" width="14" style="3" customWidth="1"/>
    <col min="14600" max="14600" width="7.42578125" style="3" customWidth="1"/>
    <col min="14601" max="14848" width="11.42578125" style="3"/>
    <col min="14849" max="14849" width="15.85546875" style="3" customWidth="1"/>
    <col min="14850" max="14850" width="14.85546875" style="3" customWidth="1"/>
    <col min="14851" max="14851" width="13.28515625" style="3" customWidth="1"/>
    <col min="14852" max="14852" width="11.42578125" style="3"/>
    <col min="14853" max="14853" width="13.42578125" style="3" customWidth="1"/>
    <col min="14854" max="14854" width="12.7109375" style="3" customWidth="1"/>
    <col min="14855" max="14855" width="14" style="3" customWidth="1"/>
    <col min="14856" max="14856" width="7.42578125" style="3" customWidth="1"/>
    <col min="14857" max="15104" width="11.42578125" style="3"/>
    <col min="15105" max="15105" width="15.85546875" style="3" customWidth="1"/>
    <col min="15106" max="15106" width="14.85546875" style="3" customWidth="1"/>
    <col min="15107" max="15107" width="13.28515625" style="3" customWidth="1"/>
    <col min="15108" max="15108" width="11.42578125" style="3"/>
    <col min="15109" max="15109" width="13.42578125" style="3" customWidth="1"/>
    <col min="15110" max="15110" width="12.7109375" style="3" customWidth="1"/>
    <col min="15111" max="15111" width="14" style="3" customWidth="1"/>
    <col min="15112" max="15112" width="7.42578125" style="3" customWidth="1"/>
    <col min="15113" max="15360" width="11.42578125" style="3"/>
    <col min="15361" max="15361" width="15.85546875" style="3" customWidth="1"/>
    <col min="15362" max="15362" width="14.85546875" style="3" customWidth="1"/>
    <col min="15363" max="15363" width="13.28515625" style="3" customWidth="1"/>
    <col min="15364" max="15364" width="11.42578125" style="3"/>
    <col min="15365" max="15365" width="13.42578125" style="3" customWidth="1"/>
    <col min="15366" max="15366" width="12.7109375" style="3" customWidth="1"/>
    <col min="15367" max="15367" width="14" style="3" customWidth="1"/>
    <col min="15368" max="15368" width="7.42578125" style="3" customWidth="1"/>
    <col min="15369" max="15616" width="11.42578125" style="3"/>
    <col min="15617" max="15617" width="15.85546875" style="3" customWidth="1"/>
    <col min="15618" max="15618" width="14.85546875" style="3" customWidth="1"/>
    <col min="15619" max="15619" width="13.28515625" style="3" customWidth="1"/>
    <col min="15620" max="15620" width="11.42578125" style="3"/>
    <col min="15621" max="15621" width="13.42578125" style="3" customWidth="1"/>
    <col min="15622" max="15622" width="12.7109375" style="3" customWidth="1"/>
    <col min="15623" max="15623" width="14" style="3" customWidth="1"/>
    <col min="15624" max="15624" width="7.42578125" style="3" customWidth="1"/>
    <col min="15625" max="15872" width="11.42578125" style="3"/>
    <col min="15873" max="15873" width="15.85546875" style="3" customWidth="1"/>
    <col min="15874" max="15874" width="14.85546875" style="3" customWidth="1"/>
    <col min="15875" max="15875" width="13.28515625" style="3" customWidth="1"/>
    <col min="15876" max="15876" width="11.42578125" style="3"/>
    <col min="15877" max="15877" width="13.42578125" style="3" customWidth="1"/>
    <col min="15878" max="15878" width="12.7109375" style="3" customWidth="1"/>
    <col min="15879" max="15879" width="14" style="3" customWidth="1"/>
    <col min="15880" max="15880" width="7.42578125" style="3" customWidth="1"/>
    <col min="15881" max="16128" width="11.42578125" style="3"/>
    <col min="16129" max="16129" width="15.85546875" style="3" customWidth="1"/>
    <col min="16130" max="16130" width="14.85546875" style="3" customWidth="1"/>
    <col min="16131" max="16131" width="13.28515625" style="3" customWidth="1"/>
    <col min="16132" max="16132" width="11.42578125" style="3"/>
    <col min="16133" max="16133" width="13.42578125" style="3" customWidth="1"/>
    <col min="16134" max="16134" width="12.7109375" style="3" customWidth="1"/>
    <col min="16135" max="16135" width="14" style="3" customWidth="1"/>
    <col min="16136" max="16136" width="7.42578125" style="3" customWidth="1"/>
    <col min="16137" max="16384" width="11.42578125" style="3"/>
  </cols>
  <sheetData>
    <row r="1" spans="1:21" ht="20.25">
      <c r="A1" s="1346" t="str">
        <f>PPTO!D3</f>
        <v>PRESUPUESTO
MUNICIPIO EL BAGRE (ANTIOQUIA).</v>
      </c>
      <c r="B1" s="1347"/>
      <c r="C1" s="1347"/>
      <c r="D1" s="1347"/>
      <c r="E1" s="1347"/>
      <c r="F1" s="1347"/>
      <c r="G1" s="1348"/>
      <c r="H1" s="1"/>
      <c r="I1" s="2"/>
    </row>
    <row r="2" spans="1:21" ht="18" customHeight="1">
      <c r="A2" s="1362" t="s">
        <v>16</v>
      </c>
      <c r="B2" s="1363"/>
      <c r="C2" s="1363"/>
      <c r="D2" s="1363"/>
      <c r="E2" s="1363"/>
      <c r="F2" s="1363"/>
      <c r="G2" s="1364"/>
      <c r="H2" s="1"/>
      <c r="I2" s="2"/>
    </row>
    <row r="3" spans="1:21" ht="27" customHeight="1">
      <c r="A3" s="1367" t="str">
        <f>+PPTO!$D$5</f>
        <v>PROYECTO DE MEJORAMIENTO VIAL, ESPACIO PUBLICO Y OBRAS COMPLEMENTARIAS DE LA AVENIDA LA JUVENTUD Y TRAMOS ADYACENTES Y PRIORITARIOS DEL SECTOR URBANO EN EL MUNICIPIO EL BAGRE ANTIOQUIA.</v>
      </c>
      <c r="B3" s="1368"/>
      <c r="C3" s="1368"/>
      <c r="D3" s="1368"/>
      <c r="E3" s="1368"/>
      <c r="F3" s="1368"/>
      <c r="G3" s="1369"/>
      <c r="H3" s="1"/>
      <c r="I3" s="2"/>
    </row>
    <row r="4" spans="1:21">
      <c r="A4" s="1370"/>
      <c r="B4" s="1368"/>
      <c r="C4" s="1368"/>
      <c r="D4" s="1368"/>
      <c r="E4" s="1368"/>
      <c r="F4" s="1368"/>
      <c r="G4" s="1369"/>
      <c r="H4" s="1"/>
      <c r="I4" s="2"/>
    </row>
    <row r="5" spans="1:21" ht="6.75" customHeight="1">
      <c r="A5" s="222"/>
      <c r="B5" s="6"/>
      <c r="C5" s="24"/>
      <c r="D5" s="25"/>
      <c r="E5" s="6"/>
      <c r="F5" s="6"/>
      <c r="G5" s="223"/>
      <c r="H5" s="9"/>
    </row>
    <row r="6" spans="1:21">
      <c r="A6" s="886">
        <v>6.43</v>
      </c>
      <c r="B6" s="1349" t="str">
        <f>VLOOKUP(A6,PPTO!D9:I136,2,FALSE)</f>
        <v>Suministro e instalación Valvula Mariposa de 18" o similar</v>
      </c>
      <c r="C6" s="1350"/>
      <c r="D6" s="1350"/>
      <c r="E6" s="1351"/>
      <c r="F6" s="192" t="s">
        <v>118</v>
      </c>
      <c r="G6" s="248" t="str">
        <f>VLOOKUP(A6,PPTO!D9:I136,3,FALSE)</f>
        <v>und</v>
      </c>
      <c r="H6" s="9"/>
    </row>
    <row r="7" spans="1:21" ht="3.75" customHeight="1">
      <c r="A7" s="226"/>
      <c r="B7" s="4"/>
      <c r="C7" s="6"/>
      <c r="D7" s="4"/>
      <c r="E7" s="4"/>
      <c r="F7" s="4"/>
      <c r="G7" s="227"/>
      <c r="H7" s="9"/>
    </row>
    <row r="8" spans="1:21" ht="22.5" customHeight="1">
      <c r="A8" s="1354" t="s">
        <v>69</v>
      </c>
      <c r="B8" s="1355"/>
      <c r="C8" s="1355"/>
      <c r="D8" s="1355"/>
      <c r="E8" s="1355"/>
      <c r="F8" s="1355"/>
      <c r="G8" s="1356"/>
      <c r="H8" s="9"/>
    </row>
    <row r="9" spans="1:21" ht="4.5" customHeight="1">
      <c r="A9" s="226"/>
      <c r="B9" s="4"/>
      <c r="C9" s="6"/>
      <c r="D9" s="4"/>
      <c r="E9" s="4"/>
      <c r="F9" s="4"/>
      <c r="G9" s="227"/>
      <c r="H9" s="9"/>
      <c r="I9" s="5"/>
      <c r="J9" s="5"/>
      <c r="K9" s="5"/>
      <c r="L9" s="26"/>
      <c r="M9" s="5"/>
      <c r="N9" s="5"/>
      <c r="O9" s="5"/>
      <c r="P9" s="5"/>
    </row>
    <row r="10" spans="1:21">
      <c r="A10" s="1373" t="s">
        <v>17</v>
      </c>
      <c r="B10" s="1374"/>
      <c r="C10" s="1374"/>
      <c r="D10" s="882" t="s">
        <v>18</v>
      </c>
      <c r="E10" s="882" t="s">
        <v>19</v>
      </c>
      <c r="F10" s="882" t="s">
        <v>20</v>
      </c>
      <c r="G10" s="228" t="s">
        <v>21</v>
      </c>
      <c r="H10" s="27"/>
      <c r="I10" s="28"/>
      <c r="J10" s="29"/>
      <c r="K10" s="30"/>
      <c r="L10" s="30"/>
      <c r="M10" s="30"/>
      <c r="N10" s="30"/>
      <c r="O10" s="30"/>
      <c r="P10" s="5"/>
    </row>
    <row r="11" spans="1:21">
      <c r="A11" s="1352" t="s">
        <v>47</v>
      </c>
      <c r="B11" s="1353"/>
      <c r="C11" s="1353"/>
      <c r="D11" s="882"/>
      <c r="E11" s="83"/>
      <c r="F11" s="97"/>
      <c r="G11" s="229">
        <f>+G39*10%</f>
        <v>30542</v>
      </c>
      <c r="H11" s="9"/>
      <c r="I11" s="30"/>
      <c r="J11" s="31"/>
      <c r="K11" s="30"/>
      <c r="L11" s="30"/>
      <c r="M11" s="30"/>
      <c r="N11" s="30"/>
      <c r="O11" s="30"/>
      <c r="P11" s="5"/>
    </row>
    <row r="12" spans="1:21">
      <c r="A12" s="1371"/>
      <c r="B12" s="1372"/>
      <c r="C12" s="1372"/>
      <c r="D12" s="83"/>
      <c r="E12" s="83"/>
      <c r="F12" s="93"/>
      <c r="G12" s="229"/>
      <c r="H12" s="9"/>
      <c r="I12" s="16"/>
      <c r="J12" s="13"/>
      <c r="K12" s="8"/>
      <c r="L12" s="8"/>
      <c r="M12" s="8"/>
      <c r="N12" s="8"/>
      <c r="O12" s="8"/>
      <c r="P12" s="5"/>
    </row>
    <row r="13" spans="1:21">
      <c r="A13" s="1371"/>
      <c r="B13" s="1372"/>
      <c r="C13" s="1372"/>
      <c r="D13" s="83"/>
      <c r="E13" s="83"/>
      <c r="F13" s="93"/>
      <c r="G13" s="229"/>
      <c r="H13" s="9"/>
      <c r="I13" s="13"/>
      <c r="J13" s="13"/>
      <c r="K13" s="13"/>
      <c r="L13" s="13"/>
      <c r="M13" s="13"/>
      <c r="N13" s="13"/>
      <c r="O13" s="13"/>
      <c r="P13" s="5"/>
    </row>
    <row r="14" spans="1:21">
      <c r="A14" s="1371"/>
      <c r="B14" s="1372"/>
      <c r="C14" s="1372"/>
      <c r="D14" s="83"/>
      <c r="E14" s="83"/>
      <c r="F14" s="93"/>
      <c r="G14" s="229"/>
      <c r="H14" s="9"/>
      <c r="I14" s="8"/>
      <c r="J14" s="14"/>
      <c r="K14" s="32"/>
      <c r="L14" s="14"/>
      <c r="M14" s="15"/>
      <c r="N14" s="15"/>
      <c r="O14" s="19"/>
      <c r="P14" s="5"/>
    </row>
    <row r="15" spans="1:21">
      <c r="A15" s="1371"/>
      <c r="B15" s="1372"/>
      <c r="C15" s="1372"/>
      <c r="D15" s="83"/>
      <c r="E15" s="83"/>
      <c r="F15" s="98"/>
      <c r="G15" s="229"/>
      <c r="H15" s="9"/>
      <c r="I15" s="8"/>
      <c r="J15" s="33"/>
      <c r="K15" s="32"/>
      <c r="L15" s="14"/>
      <c r="M15" s="15"/>
      <c r="N15" s="15"/>
      <c r="O15" s="19"/>
      <c r="P15" s="5"/>
      <c r="Q15" s="5"/>
      <c r="R15" s="5"/>
      <c r="S15" s="5"/>
      <c r="T15" s="5"/>
      <c r="U15" s="5"/>
    </row>
    <row r="16" spans="1:21">
      <c r="A16" s="1371"/>
      <c r="B16" s="1372"/>
      <c r="C16" s="1372"/>
      <c r="D16" s="85" t="s">
        <v>37</v>
      </c>
      <c r="E16" s="50"/>
      <c r="F16" s="49"/>
      <c r="G16" s="230">
        <f>SUM(G11:G15)</f>
        <v>30542</v>
      </c>
      <c r="H16" s="9"/>
      <c r="I16" s="34"/>
      <c r="J16" s="34"/>
      <c r="K16" s="35"/>
      <c r="L16" s="36"/>
      <c r="M16" s="7"/>
      <c r="N16" s="7"/>
      <c r="O16" s="19"/>
      <c r="P16" s="5"/>
      <c r="Q16" s="5"/>
      <c r="R16" s="5"/>
      <c r="S16" s="5"/>
      <c r="T16" s="5"/>
      <c r="U16" s="5"/>
    </row>
    <row r="17" spans="1:21" ht="4.5" customHeight="1">
      <c r="A17" s="226"/>
      <c r="B17" s="4"/>
      <c r="C17" s="6"/>
      <c r="D17" s="4"/>
      <c r="E17" s="4"/>
      <c r="F17" s="4"/>
      <c r="G17" s="227"/>
      <c r="H17" s="9"/>
      <c r="I17" s="34"/>
      <c r="J17" s="34"/>
      <c r="K17" s="35"/>
      <c r="L17" s="36"/>
      <c r="M17" s="7"/>
      <c r="N17" s="7"/>
      <c r="O17" s="19"/>
      <c r="P17" s="5"/>
      <c r="Q17" s="5"/>
      <c r="R17" s="5"/>
      <c r="S17" s="5"/>
      <c r="T17" s="5"/>
      <c r="U17" s="5"/>
    </row>
    <row r="18" spans="1:21" ht="22.5" customHeight="1">
      <c r="A18" s="1354" t="s">
        <v>70</v>
      </c>
      <c r="B18" s="1355"/>
      <c r="C18" s="1355"/>
      <c r="D18" s="1355"/>
      <c r="E18" s="1355"/>
      <c r="F18" s="1355"/>
      <c r="G18" s="1356"/>
      <c r="H18" s="9"/>
    </row>
    <row r="19" spans="1:21" ht="4.5" customHeight="1">
      <c r="A19" s="226"/>
      <c r="B19" s="4"/>
      <c r="C19" s="6"/>
      <c r="D19" s="4"/>
      <c r="E19" s="4"/>
      <c r="F19" s="38"/>
      <c r="G19" s="227"/>
      <c r="H19" s="9"/>
      <c r="I19" s="34"/>
      <c r="J19" s="34"/>
      <c r="K19" s="35"/>
      <c r="L19" s="39"/>
      <c r="M19" s="7"/>
      <c r="N19" s="7"/>
      <c r="O19" s="8"/>
      <c r="P19" s="5"/>
      <c r="Q19" s="5"/>
      <c r="R19" s="5"/>
      <c r="S19" s="5"/>
      <c r="T19" s="5"/>
      <c r="U19" s="5"/>
    </row>
    <row r="20" spans="1:21">
      <c r="A20" s="1373" t="s">
        <v>17</v>
      </c>
      <c r="B20" s="1374"/>
      <c r="C20" s="1374"/>
      <c r="D20" s="882" t="s">
        <v>3</v>
      </c>
      <c r="E20" s="882" t="s">
        <v>4</v>
      </c>
      <c r="F20" s="882" t="s">
        <v>25</v>
      </c>
      <c r="G20" s="228" t="s">
        <v>21</v>
      </c>
      <c r="H20" s="27"/>
      <c r="I20" s="34"/>
      <c r="J20" s="34"/>
      <c r="K20" s="35"/>
      <c r="L20" s="39"/>
      <c r="M20" s="7"/>
      <c r="N20" s="7"/>
      <c r="O20" s="8"/>
      <c r="P20" s="5"/>
      <c r="Q20" s="5"/>
      <c r="R20" s="5"/>
      <c r="S20" s="5"/>
      <c r="T20" s="5"/>
      <c r="U20" s="5"/>
    </row>
    <row r="21" spans="1:21" ht="24.75" customHeight="1">
      <c r="A21" s="1441" t="str">
        <f>MID(I21,25,50)</f>
        <v xml:space="preserve"> Valvula Mariposa de 18" o similar</v>
      </c>
      <c r="B21" s="1442"/>
      <c r="C21" s="1443"/>
      <c r="D21" s="118" t="s">
        <v>119</v>
      </c>
      <c r="E21" s="119">
        <v>1</v>
      </c>
      <c r="F21" s="87">
        <f>2545987*IPC</f>
        <v>2626949</v>
      </c>
      <c r="G21" s="231">
        <f>ROUND(F21*E21,0)</f>
        <v>2626949</v>
      </c>
      <c r="H21" s="9"/>
      <c r="I21" s="34" t="str">
        <f>B6</f>
        <v>Suministro e instalación Valvula Mariposa de 18" o similar</v>
      </c>
      <c r="J21" s="34"/>
      <c r="K21" s="35"/>
      <c r="L21" s="36"/>
      <c r="M21" s="7"/>
      <c r="N21" s="7"/>
      <c r="O21" s="19"/>
      <c r="P21" s="5"/>
      <c r="Q21" s="5"/>
      <c r="R21" s="5"/>
      <c r="S21" s="5"/>
      <c r="T21" s="5"/>
      <c r="U21" s="5"/>
    </row>
    <row r="22" spans="1:21">
      <c r="A22" s="1444"/>
      <c r="B22" s="1403"/>
      <c r="C22" s="1404"/>
      <c r="D22" s="116"/>
      <c r="E22" s="117"/>
      <c r="F22" s="91"/>
      <c r="G22" s="231"/>
      <c r="H22" s="9"/>
      <c r="I22" s="10"/>
      <c r="J22" s="10"/>
      <c r="K22" s="12"/>
      <c r="L22" s="39"/>
      <c r="M22" s="7"/>
      <c r="N22" s="7"/>
      <c r="O22" s="15"/>
      <c r="P22" s="5"/>
      <c r="Q22" s="5"/>
      <c r="R22" s="5"/>
      <c r="S22" s="5"/>
      <c r="T22" s="5"/>
      <c r="U22" s="5"/>
    </row>
    <row r="23" spans="1:21">
      <c r="A23" s="1386"/>
      <c r="B23" s="1353"/>
      <c r="C23" s="1353"/>
      <c r="D23" s="79"/>
      <c r="E23" s="82"/>
      <c r="F23" s="83"/>
      <c r="G23" s="67"/>
      <c r="H23" s="9"/>
      <c r="I23" s="10"/>
      <c r="J23" s="10"/>
      <c r="K23" s="12"/>
      <c r="L23" s="39"/>
      <c r="M23" s="7"/>
      <c r="N23" s="7"/>
      <c r="O23" s="15"/>
      <c r="P23" s="5"/>
      <c r="Q23" s="5"/>
      <c r="R23" s="5"/>
      <c r="S23" s="5"/>
      <c r="T23" s="5"/>
      <c r="U23" s="5"/>
    </row>
    <row r="24" spans="1:21">
      <c r="A24" s="1352"/>
      <c r="B24" s="1353"/>
      <c r="C24" s="1353"/>
      <c r="D24" s="81"/>
      <c r="E24" s="88"/>
      <c r="F24" s="78"/>
      <c r="G24" s="231"/>
      <c r="H24" s="9"/>
      <c r="I24" s="10"/>
      <c r="J24" s="40"/>
      <c r="K24" s="12"/>
      <c r="L24" s="13"/>
      <c r="M24" s="14"/>
      <c r="N24" s="14"/>
      <c r="O24" s="15"/>
      <c r="P24" s="5"/>
      <c r="Q24" s="5"/>
      <c r="R24" s="5"/>
      <c r="S24" s="5"/>
      <c r="T24" s="5"/>
      <c r="U24" s="5"/>
    </row>
    <row r="25" spans="1:21">
      <c r="A25" s="1352"/>
      <c r="B25" s="1353"/>
      <c r="C25" s="1353"/>
      <c r="D25" s="81"/>
      <c r="E25" s="82"/>
      <c r="F25" s="78"/>
      <c r="G25" s="231"/>
      <c r="H25" s="9"/>
      <c r="I25" s="10"/>
      <c r="J25" s="11"/>
      <c r="K25" s="12"/>
      <c r="L25" s="13"/>
      <c r="M25" s="14"/>
      <c r="N25" s="14"/>
      <c r="O25" s="15"/>
      <c r="P25" s="5"/>
      <c r="Q25" s="5"/>
      <c r="R25" s="5"/>
      <c r="S25" s="5"/>
      <c r="T25" s="5"/>
      <c r="U25" s="5"/>
    </row>
    <row r="26" spans="1:21">
      <c r="A26" s="1352"/>
      <c r="B26" s="1353"/>
      <c r="C26" s="1353"/>
      <c r="D26" s="79"/>
      <c r="E26" s="82"/>
      <c r="F26" s="78"/>
      <c r="G26" s="231"/>
      <c r="H26" s="9"/>
      <c r="I26" s="10"/>
      <c r="J26" s="11"/>
      <c r="K26" s="12"/>
      <c r="L26" s="13"/>
      <c r="M26" s="14"/>
      <c r="N26" s="14"/>
      <c r="O26" s="15"/>
      <c r="P26" s="5"/>
      <c r="Q26" s="5"/>
      <c r="R26" s="5"/>
      <c r="S26" s="5"/>
      <c r="T26" s="5"/>
      <c r="U26" s="5"/>
    </row>
    <row r="27" spans="1:21">
      <c r="A27" s="1352"/>
      <c r="B27" s="1353"/>
      <c r="C27" s="1353"/>
      <c r="D27" s="79"/>
      <c r="E27" s="82"/>
      <c r="F27" s="78"/>
      <c r="G27" s="231"/>
      <c r="H27" s="9"/>
      <c r="I27" s="10"/>
      <c r="J27" s="11"/>
      <c r="K27" s="12"/>
      <c r="L27" s="13"/>
      <c r="M27" s="14"/>
      <c r="N27" s="14"/>
      <c r="O27" s="15"/>
      <c r="P27" s="5"/>
      <c r="Q27" s="5"/>
      <c r="R27" s="5"/>
      <c r="S27" s="5"/>
      <c r="T27" s="5"/>
      <c r="U27" s="5"/>
    </row>
    <row r="28" spans="1:21">
      <c r="A28" s="1352"/>
      <c r="B28" s="1353"/>
      <c r="C28" s="1353"/>
      <c r="D28" s="79"/>
      <c r="E28" s="82"/>
      <c r="F28" s="83"/>
      <c r="G28" s="231"/>
      <c r="H28" s="9"/>
      <c r="I28" s="41"/>
      <c r="J28" s="41"/>
      <c r="K28" s="12"/>
      <c r="L28" s="13"/>
      <c r="M28" s="14"/>
      <c r="N28" s="14"/>
      <c r="O28" s="15"/>
      <c r="P28" s="5"/>
      <c r="Q28" s="5"/>
      <c r="R28" s="5"/>
      <c r="S28" s="5"/>
      <c r="T28" s="5"/>
      <c r="U28" s="5"/>
    </row>
    <row r="29" spans="1:21">
      <c r="A29" s="1352"/>
      <c r="B29" s="1353"/>
      <c r="C29" s="1353"/>
      <c r="D29" s="84"/>
      <c r="E29" s="84"/>
      <c r="F29" s="83"/>
      <c r="G29" s="231"/>
      <c r="H29" s="9"/>
      <c r="I29" s="42"/>
      <c r="J29" s="42"/>
      <c r="K29" s="42"/>
      <c r="L29" s="13"/>
      <c r="M29" s="14"/>
      <c r="N29" s="14"/>
      <c r="O29" s="15"/>
      <c r="P29" s="5"/>
      <c r="Q29" s="5"/>
      <c r="R29" s="5"/>
      <c r="S29" s="5"/>
      <c r="T29" s="5"/>
      <c r="U29" s="5"/>
    </row>
    <row r="30" spans="1:21">
      <c r="A30" s="1352"/>
      <c r="B30" s="1353"/>
      <c r="C30" s="1353"/>
      <c r="D30" s="85" t="s">
        <v>28</v>
      </c>
      <c r="E30" s="50"/>
      <c r="F30" s="49"/>
      <c r="G30" s="230">
        <f>SUM(G21:G29)</f>
        <v>2626949</v>
      </c>
      <c r="H30" s="9"/>
      <c r="I30" s="8"/>
      <c r="J30" s="13"/>
      <c r="K30" s="8"/>
      <c r="L30" s="13"/>
      <c r="M30" s="14"/>
      <c r="N30" s="14"/>
      <c r="O30" s="15"/>
      <c r="P30" s="5"/>
    </row>
    <row r="31" spans="1:21" ht="3.75" customHeight="1">
      <c r="A31" s="226"/>
      <c r="B31" s="4"/>
      <c r="C31" s="6"/>
      <c r="D31" s="4"/>
      <c r="E31" s="4"/>
      <c r="F31" s="4"/>
      <c r="G31" s="227"/>
      <c r="H31" s="9"/>
      <c r="I31" s="8"/>
      <c r="J31" s="13"/>
      <c r="K31" s="18"/>
      <c r="L31" s="13"/>
      <c r="M31" s="33"/>
      <c r="N31" s="33"/>
      <c r="O31" s="15"/>
      <c r="P31" s="5"/>
    </row>
    <row r="32" spans="1:21" ht="22.5" customHeight="1">
      <c r="A32" s="1354" t="s">
        <v>71</v>
      </c>
      <c r="B32" s="1355"/>
      <c r="C32" s="1355"/>
      <c r="D32" s="1355"/>
      <c r="E32" s="1355"/>
      <c r="F32" s="1355"/>
      <c r="G32" s="1356"/>
      <c r="H32" s="9"/>
    </row>
    <row r="33" spans="1:16" ht="3.75" customHeight="1">
      <c r="A33" s="226"/>
      <c r="B33" s="4"/>
      <c r="C33" s="6"/>
      <c r="D33" s="4"/>
      <c r="E33" s="4"/>
      <c r="F33" s="4"/>
      <c r="G33" s="227"/>
      <c r="H33" s="9"/>
      <c r="I33" s="8"/>
      <c r="J33" s="13"/>
      <c r="K33" s="8"/>
      <c r="L33" s="8"/>
      <c r="M33" s="8"/>
      <c r="N33" s="8"/>
      <c r="O33" s="15"/>
      <c r="P33" s="5"/>
    </row>
    <row r="34" spans="1:16">
      <c r="A34" s="232" t="s">
        <v>5</v>
      </c>
      <c r="B34" s="60" t="s">
        <v>29</v>
      </c>
      <c r="C34" s="60" t="s">
        <v>30</v>
      </c>
      <c r="D34" s="60" t="s">
        <v>31</v>
      </c>
      <c r="E34" s="60" t="s">
        <v>32</v>
      </c>
      <c r="F34" s="60" t="s">
        <v>20</v>
      </c>
      <c r="G34" s="228" t="s">
        <v>33</v>
      </c>
      <c r="H34" s="27"/>
      <c r="I34" s="8"/>
      <c r="J34" s="13"/>
      <c r="K34" s="8"/>
      <c r="L34" s="8"/>
      <c r="M34" s="8"/>
      <c r="N34" s="8"/>
      <c r="O34" s="15"/>
      <c r="P34" s="5"/>
    </row>
    <row r="35" spans="1:16">
      <c r="A35" s="233" t="s">
        <v>41</v>
      </c>
      <c r="B35" s="63">
        <f>BOF</f>
        <v>51749</v>
      </c>
      <c r="C35" s="68">
        <f>ffpp</f>
        <v>0.64539999999999997</v>
      </c>
      <c r="D35" s="72">
        <v>1</v>
      </c>
      <c r="E35" s="66">
        <f>OF</f>
        <v>88696</v>
      </c>
      <c r="F35" s="65">
        <v>1</v>
      </c>
      <c r="G35" s="231">
        <f>ROUND(+D35*E35/F35,0)</f>
        <v>88696</v>
      </c>
      <c r="H35" s="9"/>
      <c r="I35" s="16"/>
      <c r="J35" s="13"/>
      <c r="K35" s="8"/>
      <c r="L35" s="8"/>
      <c r="M35" s="8"/>
      <c r="N35" s="8"/>
      <c r="O35" s="15"/>
      <c r="P35" s="5"/>
    </row>
    <row r="36" spans="1:16">
      <c r="A36" s="233" t="s">
        <v>38</v>
      </c>
      <c r="B36" s="63">
        <f>BOB</f>
        <v>41749</v>
      </c>
      <c r="C36" s="68">
        <f>ffpp</f>
        <v>0.64539999999999997</v>
      </c>
      <c r="D36" s="72">
        <v>3</v>
      </c>
      <c r="E36" s="66">
        <f>OB</f>
        <v>72242</v>
      </c>
      <c r="F36" s="65">
        <f>F35</f>
        <v>1</v>
      </c>
      <c r="G36" s="231">
        <f>ROUND(+D36*E36/F36,0)</f>
        <v>216726</v>
      </c>
      <c r="H36" s="9"/>
      <c r="I36" s="8"/>
      <c r="J36" s="8"/>
      <c r="K36" s="13"/>
      <c r="L36" s="13"/>
      <c r="M36" s="13"/>
      <c r="N36" s="13"/>
      <c r="O36" s="13"/>
      <c r="P36" s="5"/>
    </row>
    <row r="37" spans="1:16">
      <c r="A37" s="234"/>
      <c r="B37" s="50"/>
      <c r="C37" s="961"/>
      <c r="D37" s="50"/>
      <c r="E37" s="66"/>
      <c r="F37" s="65"/>
      <c r="G37" s="231"/>
      <c r="H37" s="9"/>
      <c r="I37" s="8"/>
      <c r="J37" s="13"/>
      <c r="K37" s="13"/>
      <c r="L37" s="13"/>
      <c r="M37" s="33"/>
      <c r="N37" s="33"/>
      <c r="O37" s="43"/>
      <c r="P37" s="5"/>
    </row>
    <row r="38" spans="1:16">
      <c r="A38" s="233"/>
      <c r="B38" s="65"/>
      <c r="C38" s="68"/>
      <c r="D38" s="65"/>
      <c r="E38" s="69"/>
      <c r="F38" s="69"/>
      <c r="G38" s="236"/>
      <c r="H38" s="9"/>
      <c r="I38" s="8"/>
      <c r="J38" s="13"/>
      <c r="K38" s="13"/>
      <c r="L38" s="13"/>
      <c r="M38" s="33"/>
      <c r="N38" s="33"/>
      <c r="O38" s="43"/>
      <c r="P38" s="5"/>
    </row>
    <row r="39" spans="1:16">
      <c r="A39" s="249"/>
      <c r="B39" s="71"/>
      <c r="C39" s="71"/>
      <c r="D39" s="71" t="s">
        <v>34</v>
      </c>
      <c r="E39" s="71"/>
      <c r="F39" s="71"/>
      <c r="G39" s="250">
        <f>SUM(G35:G38)</f>
        <v>305422</v>
      </c>
      <c r="H39" s="9"/>
      <c r="I39" s="8"/>
      <c r="J39" s="13"/>
      <c r="K39" s="13"/>
      <c r="L39" s="13"/>
      <c r="M39" s="14"/>
      <c r="N39" s="14"/>
      <c r="O39" s="15"/>
      <c r="P39" s="5"/>
    </row>
    <row r="40" spans="1:16">
      <c r="A40" s="226"/>
      <c r="B40" s="4"/>
      <c r="C40" s="6"/>
      <c r="D40" s="4"/>
      <c r="E40" s="4"/>
      <c r="F40" s="4"/>
      <c r="G40" s="227"/>
      <c r="H40" s="9"/>
      <c r="I40" s="8"/>
      <c r="J40" s="13"/>
      <c r="K40" s="13"/>
      <c r="L40" s="13"/>
      <c r="M40" s="14"/>
      <c r="N40" s="14"/>
      <c r="O40" s="19"/>
      <c r="P40" s="5"/>
    </row>
    <row r="41" spans="1:16">
      <c r="A41" s="226"/>
      <c r="B41" s="4"/>
      <c r="C41" s="6"/>
      <c r="D41" s="4"/>
      <c r="E41" s="4"/>
      <c r="F41" s="4"/>
      <c r="G41" s="227"/>
      <c r="H41" s="9"/>
      <c r="I41" s="8"/>
      <c r="J41" s="13"/>
      <c r="K41" s="13"/>
      <c r="L41" s="13"/>
      <c r="M41" s="17"/>
      <c r="N41" s="17"/>
      <c r="O41" s="37"/>
      <c r="P41" s="5"/>
    </row>
    <row r="42" spans="1:16" ht="14.25">
      <c r="A42" s="226"/>
      <c r="B42" s="4"/>
      <c r="C42" s="6"/>
      <c r="D42" s="1357" t="s">
        <v>35</v>
      </c>
      <c r="E42" s="1358"/>
      <c r="F42" s="1359"/>
      <c r="G42" s="239">
        <f>+G39+G30+G16</f>
        <v>2962913</v>
      </c>
      <c r="H42" s="9"/>
      <c r="I42" s="48"/>
      <c r="J42" s="20"/>
      <c r="K42" s="8"/>
      <c r="L42" s="8"/>
      <c r="M42" s="8"/>
      <c r="N42" s="8"/>
      <c r="O42" s="8"/>
      <c r="P42" s="5"/>
    </row>
    <row r="43" spans="1:16" ht="14.25">
      <c r="A43" s="240"/>
      <c r="B43" s="57"/>
      <c r="C43" s="58"/>
      <c r="D43" s="99"/>
      <c r="E43" s="99"/>
      <c r="F43" s="99"/>
      <c r="G43" s="251"/>
      <c r="H43" s="9"/>
      <c r="I43" s="48"/>
      <c r="J43" s="20"/>
      <c r="K43" s="8"/>
      <c r="L43" s="8"/>
      <c r="M43" s="8"/>
      <c r="N43" s="8"/>
      <c r="O43" s="8"/>
      <c r="P43" s="5"/>
    </row>
    <row r="44" spans="1:16" ht="14.25">
      <c r="A44" s="374"/>
      <c r="B44" s="375"/>
      <c r="C44" s="375"/>
      <c r="D44" s="99"/>
      <c r="E44" s="99"/>
      <c r="F44" s="99"/>
      <c r="G44" s="251"/>
      <c r="H44" s="9"/>
      <c r="I44" s="48"/>
      <c r="J44" s="20"/>
      <c r="K44" s="8"/>
      <c r="L44" s="8"/>
      <c r="M44" s="8"/>
      <c r="N44" s="8"/>
      <c r="O44" s="8"/>
      <c r="P44" s="5"/>
    </row>
    <row r="45" spans="1:16" ht="14.25">
      <c r="A45" s="373"/>
      <c r="B45" s="376"/>
      <c r="C45" s="376"/>
      <c r="D45" s="99"/>
      <c r="E45" s="99"/>
      <c r="F45" s="99"/>
      <c r="G45" s="251"/>
      <c r="H45" s="9"/>
      <c r="I45" s="48"/>
      <c r="J45" s="20"/>
      <c r="K45" s="8"/>
      <c r="L45" s="8"/>
      <c r="M45" s="8"/>
      <c r="N45" s="8"/>
      <c r="O45" s="8"/>
      <c r="P45" s="5"/>
    </row>
    <row r="46" spans="1:16" ht="14.25">
      <c r="A46" s="373"/>
      <c r="B46" s="376"/>
      <c r="C46" s="376"/>
      <c r="D46" s="44"/>
      <c r="E46" s="45"/>
      <c r="F46" s="45"/>
      <c r="G46" s="251"/>
      <c r="H46" s="9"/>
      <c r="I46" s="8"/>
      <c r="J46" s="13"/>
      <c r="K46" s="8"/>
      <c r="L46" s="8"/>
      <c r="M46" s="8"/>
      <c r="N46" s="8"/>
      <c r="O46" s="8"/>
      <c r="P46" s="5"/>
    </row>
    <row r="47" spans="1:16" ht="15" thickBot="1">
      <c r="A47" s="242"/>
      <c r="B47" s="243"/>
      <c r="C47" s="244"/>
      <c r="D47" s="245"/>
      <c r="E47" s="246"/>
      <c r="F47" s="246"/>
      <c r="G47" s="247"/>
      <c r="H47" s="9"/>
      <c r="I47" s="8"/>
      <c r="J47" s="13"/>
      <c r="K47" s="8"/>
      <c r="L47" s="8"/>
      <c r="M47" s="8"/>
      <c r="N47" s="8"/>
      <c r="O47" s="8"/>
      <c r="P47" s="5"/>
    </row>
    <row r="48" spans="1:16">
      <c r="I48" s="5"/>
      <c r="J48" s="5"/>
      <c r="K48" s="5"/>
      <c r="L48" s="5"/>
      <c r="M48" s="5"/>
      <c r="N48" s="5"/>
      <c r="O48" s="5"/>
      <c r="P48" s="5"/>
    </row>
    <row r="49" spans="9:16">
      <c r="I49" s="5"/>
      <c r="J49" s="5"/>
      <c r="K49" s="5"/>
      <c r="L49" s="5"/>
      <c r="M49" s="5"/>
      <c r="N49" s="5"/>
      <c r="O49" s="5"/>
      <c r="P49" s="5"/>
    </row>
  </sheetData>
  <mergeCells count="26">
    <mergeCell ref="A10:C10"/>
    <mergeCell ref="A1:G1"/>
    <mergeCell ref="A2:G2"/>
    <mergeCell ref="A3:G4"/>
    <mergeCell ref="B6:E6"/>
    <mergeCell ref="A8:G8"/>
    <mergeCell ref="A24:C24"/>
    <mergeCell ref="A11:C11"/>
    <mergeCell ref="A12:C12"/>
    <mergeCell ref="A13:C13"/>
    <mergeCell ref="A14:C14"/>
    <mergeCell ref="A15:C15"/>
    <mergeCell ref="A16:C16"/>
    <mergeCell ref="A18:G18"/>
    <mergeCell ref="A20:C20"/>
    <mergeCell ref="A21:C21"/>
    <mergeCell ref="A22:C22"/>
    <mergeCell ref="A23:C23"/>
    <mergeCell ref="A32:G32"/>
    <mergeCell ref="D42:F42"/>
    <mergeCell ref="A25:C25"/>
    <mergeCell ref="A26:C26"/>
    <mergeCell ref="A27:C27"/>
    <mergeCell ref="A28:C28"/>
    <mergeCell ref="A29:C29"/>
    <mergeCell ref="A30:C30"/>
  </mergeCells>
  <printOptions horizontalCentered="1" verticalCentered="1"/>
  <pageMargins left="0.74803149606299213" right="0.74803149606299213" top="0" bottom="0.98425196850393704" header="0" footer="0"/>
  <pageSetup scale="90" orientation="portrait" r:id="rId1"/>
  <headerFooter alignWithMargins="0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4"/>
  <dimension ref="A1:U49"/>
  <sheetViews>
    <sheetView view="pageBreakPreview" zoomScaleNormal="100" zoomScaleSheetLayoutView="100" workbookViewId="0">
      <selection activeCell="I7" sqref="I7"/>
    </sheetView>
  </sheetViews>
  <sheetFormatPr baseColWidth="10" defaultColWidth="10.7109375" defaultRowHeight="12.75"/>
  <cols>
    <col min="1" max="1" width="15.85546875" style="3" customWidth="1"/>
    <col min="2" max="2" width="14.85546875" style="3" customWidth="1"/>
    <col min="3" max="3" width="13.28515625" style="3" customWidth="1"/>
    <col min="4" max="4" width="11.42578125" style="3"/>
    <col min="5" max="5" width="13.42578125" style="3" customWidth="1"/>
    <col min="6" max="6" width="12.7109375" style="3" customWidth="1"/>
    <col min="7" max="7" width="14" style="3" customWidth="1"/>
    <col min="8" max="8" width="7.42578125" style="3" customWidth="1"/>
    <col min="9" max="256" width="11.42578125" style="3"/>
    <col min="257" max="257" width="15.85546875" style="3" customWidth="1"/>
    <col min="258" max="258" width="14.85546875" style="3" customWidth="1"/>
    <col min="259" max="259" width="13.28515625" style="3" customWidth="1"/>
    <col min="260" max="260" width="11.42578125" style="3"/>
    <col min="261" max="261" width="13.42578125" style="3" customWidth="1"/>
    <col min="262" max="262" width="12.7109375" style="3" customWidth="1"/>
    <col min="263" max="263" width="14" style="3" customWidth="1"/>
    <col min="264" max="264" width="7.42578125" style="3" customWidth="1"/>
    <col min="265" max="512" width="11.42578125" style="3"/>
    <col min="513" max="513" width="15.85546875" style="3" customWidth="1"/>
    <col min="514" max="514" width="14.85546875" style="3" customWidth="1"/>
    <col min="515" max="515" width="13.28515625" style="3" customWidth="1"/>
    <col min="516" max="516" width="11.42578125" style="3"/>
    <col min="517" max="517" width="13.42578125" style="3" customWidth="1"/>
    <col min="518" max="518" width="12.7109375" style="3" customWidth="1"/>
    <col min="519" max="519" width="14" style="3" customWidth="1"/>
    <col min="520" max="520" width="7.42578125" style="3" customWidth="1"/>
    <col min="521" max="768" width="11.42578125" style="3"/>
    <col min="769" max="769" width="15.85546875" style="3" customWidth="1"/>
    <col min="770" max="770" width="14.85546875" style="3" customWidth="1"/>
    <col min="771" max="771" width="13.28515625" style="3" customWidth="1"/>
    <col min="772" max="772" width="11.42578125" style="3"/>
    <col min="773" max="773" width="13.42578125" style="3" customWidth="1"/>
    <col min="774" max="774" width="12.7109375" style="3" customWidth="1"/>
    <col min="775" max="775" width="14" style="3" customWidth="1"/>
    <col min="776" max="776" width="7.42578125" style="3" customWidth="1"/>
    <col min="777" max="1024" width="11.42578125" style="3"/>
    <col min="1025" max="1025" width="15.85546875" style="3" customWidth="1"/>
    <col min="1026" max="1026" width="14.85546875" style="3" customWidth="1"/>
    <col min="1027" max="1027" width="13.28515625" style="3" customWidth="1"/>
    <col min="1028" max="1028" width="11.42578125" style="3"/>
    <col min="1029" max="1029" width="13.42578125" style="3" customWidth="1"/>
    <col min="1030" max="1030" width="12.7109375" style="3" customWidth="1"/>
    <col min="1031" max="1031" width="14" style="3" customWidth="1"/>
    <col min="1032" max="1032" width="7.42578125" style="3" customWidth="1"/>
    <col min="1033" max="1280" width="11.42578125" style="3"/>
    <col min="1281" max="1281" width="15.85546875" style="3" customWidth="1"/>
    <col min="1282" max="1282" width="14.85546875" style="3" customWidth="1"/>
    <col min="1283" max="1283" width="13.28515625" style="3" customWidth="1"/>
    <col min="1284" max="1284" width="11.42578125" style="3"/>
    <col min="1285" max="1285" width="13.42578125" style="3" customWidth="1"/>
    <col min="1286" max="1286" width="12.7109375" style="3" customWidth="1"/>
    <col min="1287" max="1287" width="14" style="3" customWidth="1"/>
    <col min="1288" max="1288" width="7.42578125" style="3" customWidth="1"/>
    <col min="1289" max="1536" width="11.42578125" style="3"/>
    <col min="1537" max="1537" width="15.85546875" style="3" customWidth="1"/>
    <col min="1538" max="1538" width="14.85546875" style="3" customWidth="1"/>
    <col min="1539" max="1539" width="13.28515625" style="3" customWidth="1"/>
    <col min="1540" max="1540" width="11.42578125" style="3"/>
    <col min="1541" max="1541" width="13.42578125" style="3" customWidth="1"/>
    <col min="1542" max="1542" width="12.7109375" style="3" customWidth="1"/>
    <col min="1543" max="1543" width="14" style="3" customWidth="1"/>
    <col min="1544" max="1544" width="7.42578125" style="3" customWidth="1"/>
    <col min="1545" max="1792" width="11.42578125" style="3"/>
    <col min="1793" max="1793" width="15.85546875" style="3" customWidth="1"/>
    <col min="1794" max="1794" width="14.85546875" style="3" customWidth="1"/>
    <col min="1795" max="1795" width="13.28515625" style="3" customWidth="1"/>
    <col min="1796" max="1796" width="11.42578125" style="3"/>
    <col min="1797" max="1797" width="13.42578125" style="3" customWidth="1"/>
    <col min="1798" max="1798" width="12.7109375" style="3" customWidth="1"/>
    <col min="1799" max="1799" width="14" style="3" customWidth="1"/>
    <col min="1800" max="1800" width="7.42578125" style="3" customWidth="1"/>
    <col min="1801" max="2048" width="11.42578125" style="3"/>
    <col min="2049" max="2049" width="15.85546875" style="3" customWidth="1"/>
    <col min="2050" max="2050" width="14.85546875" style="3" customWidth="1"/>
    <col min="2051" max="2051" width="13.28515625" style="3" customWidth="1"/>
    <col min="2052" max="2052" width="11.42578125" style="3"/>
    <col min="2053" max="2053" width="13.42578125" style="3" customWidth="1"/>
    <col min="2054" max="2054" width="12.7109375" style="3" customWidth="1"/>
    <col min="2055" max="2055" width="14" style="3" customWidth="1"/>
    <col min="2056" max="2056" width="7.42578125" style="3" customWidth="1"/>
    <col min="2057" max="2304" width="11.42578125" style="3"/>
    <col min="2305" max="2305" width="15.85546875" style="3" customWidth="1"/>
    <col min="2306" max="2306" width="14.85546875" style="3" customWidth="1"/>
    <col min="2307" max="2307" width="13.28515625" style="3" customWidth="1"/>
    <col min="2308" max="2308" width="11.42578125" style="3"/>
    <col min="2309" max="2309" width="13.42578125" style="3" customWidth="1"/>
    <col min="2310" max="2310" width="12.7109375" style="3" customWidth="1"/>
    <col min="2311" max="2311" width="14" style="3" customWidth="1"/>
    <col min="2312" max="2312" width="7.42578125" style="3" customWidth="1"/>
    <col min="2313" max="2560" width="11.42578125" style="3"/>
    <col min="2561" max="2561" width="15.85546875" style="3" customWidth="1"/>
    <col min="2562" max="2562" width="14.85546875" style="3" customWidth="1"/>
    <col min="2563" max="2563" width="13.28515625" style="3" customWidth="1"/>
    <col min="2564" max="2564" width="11.42578125" style="3"/>
    <col min="2565" max="2565" width="13.42578125" style="3" customWidth="1"/>
    <col min="2566" max="2566" width="12.7109375" style="3" customWidth="1"/>
    <col min="2567" max="2567" width="14" style="3" customWidth="1"/>
    <col min="2568" max="2568" width="7.42578125" style="3" customWidth="1"/>
    <col min="2569" max="2816" width="11.42578125" style="3"/>
    <col min="2817" max="2817" width="15.85546875" style="3" customWidth="1"/>
    <col min="2818" max="2818" width="14.85546875" style="3" customWidth="1"/>
    <col min="2819" max="2819" width="13.28515625" style="3" customWidth="1"/>
    <col min="2820" max="2820" width="11.42578125" style="3"/>
    <col min="2821" max="2821" width="13.42578125" style="3" customWidth="1"/>
    <col min="2822" max="2822" width="12.7109375" style="3" customWidth="1"/>
    <col min="2823" max="2823" width="14" style="3" customWidth="1"/>
    <col min="2824" max="2824" width="7.42578125" style="3" customWidth="1"/>
    <col min="2825" max="3072" width="11.42578125" style="3"/>
    <col min="3073" max="3073" width="15.85546875" style="3" customWidth="1"/>
    <col min="3074" max="3074" width="14.85546875" style="3" customWidth="1"/>
    <col min="3075" max="3075" width="13.28515625" style="3" customWidth="1"/>
    <col min="3076" max="3076" width="11.42578125" style="3"/>
    <col min="3077" max="3077" width="13.42578125" style="3" customWidth="1"/>
    <col min="3078" max="3078" width="12.7109375" style="3" customWidth="1"/>
    <col min="3079" max="3079" width="14" style="3" customWidth="1"/>
    <col min="3080" max="3080" width="7.42578125" style="3" customWidth="1"/>
    <col min="3081" max="3328" width="11.42578125" style="3"/>
    <col min="3329" max="3329" width="15.85546875" style="3" customWidth="1"/>
    <col min="3330" max="3330" width="14.85546875" style="3" customWidth="1"/>
    <col min="3331" max="3331" width="13.28515625" style="3" customWidth="1"/>
    <col min="3332" max="3332" width="11.42578125" style="3"/>
    <col min="3333" max="3333" width="13.42578125" style="3" customWidth="1"/>
    <col min="3334" max="3334" width="12.7109375" style="3" customWidth="1"/>
    <col min="3335" max="3335" width="14" style="3" customWidth="1"/>
    <col min="3336" max="3336" width="7.42578125" style="3" customWidth="1"/>
    <col min="3337" max="3584" width="11.42578125" style="3"/>
    <col min="3585" max="3585" width="15.85546875" style="3" customWidth="1"/>
    <col min="3586" max="3586" width="14.85546875" style="3" customWidth="1"/>
    <col min="3587" max="3587" width="13.28515625" style="3" customWidth="1"/>
    <col min="3588" max="3588" width="11.42578125" style="3"/>
    <col min="3589" max="3589" width="13.42578125" style="3" customWidth="1"/>
    <col min="3590" max="3590" width="12.7109375" style="3" customWidth="1"/>
    <col min="3591" max="3591" width="14" style="3" customWidth="1"/>
    <col min="3592" max="3592" width="7.42578125" style="3" customWidth="1"/>
    <col min="3593" max="3840" width="11.42578125" style="3"/>
    <col min="3841" max="3841" width="15.85546875" style="3" customWidth="1"/>
    <col min="3842" max="3842" width="14.85546875" style="3" customWidth="1"/>
    <col min="3843" max="3843" width="13.28515625" style="3" customWidth="1"/>
    <col min="3844" max="3844" width="11.42578125" style="3"/>
    <col min="3845" max="3845" width="13.42578125" style="3" customWidth="1"/>
    <col min="3846" max="3846" width="12.7109375" style="3" customWidth="1"/>
    <col min="3847" max="3847" width="14" style="3" customWidth="1"/>
    <col min="3848" max="3848" width="7.42578125" style="3" customWidth="1"/>
    <col min="3849" max="4096" width="11.42578125" style="3"/>
    <col min="4097" max="4097" width="15.85546875" style="3" customWidth="1"/>
    <col min="4098" max="4098" width="14.85546875" style="3" customWidth="1"/>
    <col min="4099" max="4099" width="13.28515625" style="3" customWidth="1"/>
    <col min="4100" max="4100" width="11.42578125" style="3"/>
    <col min="4101" max="4101" width="13.42578125" style="3" customWidth="1"/>
    <col min="4102" max="4102" width="12.7109375" style="3" customWidth="1"/>
    <col min="4103" max="4103" width="14" style="3" customWidth="1"/>
    <col min="4104" max="4104" width="7.42578125" style="3" customWidth="1"/>
    <col min="4105" max="4352" width="11.42578125" style="3"/>
    <col min="4353" max="4353" width="15.85546875" style="3" customWidth="1"/>
    <col min="4354" max="4354" width="14.85546875" style="3" customWidth="1"/>
    <col min="4355" max="4355" width="13.28515625" style="3" customWidth="1"/>
    <col min="4356" max="4356" width="11.42578125" style="3"/>
    <col min="4357" max="4357" width="13.42578125" style="3" customWidth="1"/>
    <col min="4358" max="4358" width="12.7109375" style="3" customWidth="1"/>
    <col min="4359" max="4359" width="14" style="3" customWidth="1"/>
    <col min="4360" max="4360" width="7.42578125" style="3" customWidth="1"/>
    <col min="4361" max="4608" width="11.42578125" style="3"/>
    <col min="4609" max="4609" width="15.85546875" style="3" customWidth="1"/>
    <col min="4610" max="4610" width="14.85546875" style="3" customWidth="1"/>
    <col min="4611" max="4611" width="13.28515625" style="3" customWidth="1"/>
    <col min="4612" max="4612" width="11.42578125" style="3"/>
    <col min="4613" max="4613" width="13.42578125" style="3" customWidth="1"/>
    <col min="4614" max="4614" width="12.7109375" style="3" customWidth="1"/>
    <col min="4615" max="4615" width="14" style="3" customWidth="1"/>
    <col min="4616" max="4616" width="7.42578125" style="3" customWidth="1"/>
    <col min="4617" max="4864" width="11.42578125" style="3"/>
    <col min="4865" max="4865" width="15.85546875" style="3" customWidth="1"/>
    <col min="4866" max="4866" width="14.85546875" style="3" customWidth="1"/>
    <col min="4867" max="4867" width="13.28515625" style="3" customWidth="1"/>
    <col min="4868" max="4868" width="11.42578125" style="3"/>
    <col min="4869" max="4869" width="13.42578125" style="3" customWidth="1"/>
    <col min="4870" max="4870" width="12.7109375" style="3" customWidth="1"/>
    <col min="4871" max="4871" width="14" style="3" customWidth="1"/>
    <col min="4872" max="4872" width="7.42578125" style="3" customWidth="1"/>
    <col min="4873" max="5120" width="11.42578125" style="3"/>
    <col min="5121" max="5121" width="15.85546875" style="3" customWidth="1"/>
    <col min="5122" max="5122" width="14.85546875" style="3" customWidth="1"/>
    <col min="5123" max="5123" width="13.28515625" style="3" customWidth="1"/>
    <col min="5124" max="5124" width="11.42578125" style="3"/>
    <col min="5125" max="5125" width="13.42578125" style="3" customWidth="1"/>
    <col min="5126" max="5126" width="12.7109375" style="3" customWidth="1"/>
    <col min="5127" max="5127" width="14" style="3" customWidth="1"/>
    <col min="5128" max="5128" width="7.42578125" style="3" customWidth="1"/>
    <col min="5129" max="5376" width="11.42578125" style="3"/>
    <col min="5377" max="5377" width="15.85546875" style="3" customWidth="1"/>
    <col min="5378" max="5378" width="14.85546875" style="3" customWidth="1"/>
    <col min="5379" max="5379" width="13.28515625" style="3" customWidth="1"/>
    <col min="5380" max="5380" width="11.42578125" style="3"/>
    <col min="5381" max="5381" width="13.42578125" style="3" customWidth="1"/>
    <col min="5382" max="5382" width="12.7109375" style="3" customWidth="1"/>
    <col min="5383" max="5383" width="14" style="3" customWidth="1"/>
    <col min="5384" max="5384" width="7.42578125" style="3" customWidth="1"/>
    <col min="5385" max="5632" width="11.42578125" style="3"/>
    <col min="5633" max="5633" width="15.85546875" style="3" customWidth="1"/>
    <col min="5634" max="5634" width="14.85546875" style="3" customWidth="1"/>
    <col min="5635" max="5635" width="13.28515625" style="3" customWidth="1"/>
    <col min="5636" max="5636" width="11.42578125" style="3"/>
    <col min="5637" max="5637" width="13.42578125" style="3" customWidth="1"/>
    <col min="5638" max="5638" width="12.7109375" style="3" customWidth="1"/>
    <col min="5639" max="5639" width="14" style="3" customWidth="1"/>
    <col min="5640" max="5640" width="7.42578125" style="3" customWidth="1"/>
    <col min="5641" max="5888" width="11.42578125" style="3"/>
    <col min="5889" max="5889" width="15.85546875" style="3" customWidth="1"/>
    <col min="5890" max="5890" width="14.85546875" style="3" customWidth="1"/>
    <col min="5891" max="5891" width="13.28515625" style="3" customWidth="1"/>
    <col min="5892" max="5892" width="11.42578125" style="3"/>
    <col min="5893" max="5893" width="13.42578125" style="3" customWidth="1"/>
    <col min="5894" max="5894" width="12.7109375" style="3" customWidth="1"/>
    <col min="5895" max="5895" width="14" style="3" customWidth="1"/>
    <col min="5896" max="5896" width="7.42578125" style="3" customWidth="1"/>
    <col min="5897" max="6144" width="11.42578125" style="3"/>
    <col min="6145" max="6145" width="15.85546875" style="3" customWidth="1"/>
    <col min="6146" max="6146" width="14.85546875" style="3" customWidth="1"/>
    <col min="6147" max="6147" width="13.28515625" style="3" customWidth="1"/>
    <col min="6148" max="6148" width="11.42578125" style="3"/>
    <col min="6149" max="6149" width="13.42578125" style="3" customWidth="1"/>
    <col min="6150" max="6150" width="12.7109375" style="3" customWidth="1"/>
    <col min="6151" max="6151" width="14" style="3" customWidth="1"/>
    <col min="6152" max="6152" width="7.42578125" style="3" customWidth="1"/>
    <col min="6153" max="6400" width="11.42578125" style="3"/>
    <col min="6401" max="6401" width="15.85546875" style="3" customWidth="1"/>
    <col min="6402" max="6402" width="14.85546875" style="3" customWidth="1"/>
    <col min="6403" max="6403" width="13.28515625" style="3" customWidth="1"/>
    <col min="6404" max="6404" width="11.42578125" style="3"/>
    <col min="6405" max="6405" width="13.42578125" style="3" customWidth="1"/>
    <col min="6406" max="6406" width="12.7109375" style="3" customWidth="1"/>
    <col min="6407" max="6407" width="14" style="3" customWidth="1"/>
    <col min="6408" max="6408" width="7.42578125" style="3" customWidth="1"/>
    <col min="6409" max="6656" width="11.42578125" style="3"/>
    <col min="6657" max="6657" width="15.85546875" style="3" customWidth="1"/>
    <col min="6658" max="6658" width="14.85546875" style="3" customWidth="1"/>
    <col min="6659" max="6659" width="13.28515625" style="3" customWidth="1"/>
    <col min="6660" max="6660" width="11.42578125" style="3"/>
    <col min="6661" max="6661" width="13.42578125" style="3" customWidth="1"/>
    <col min="6662" max="6662" width="12.7109375" style="3" customWidth="1"/>
    <col min="6663" max="6663" width="14" style="3" customWidth="1"/>
    <col min="6664" max="6664" width="7.42578125" style="3" customWidth="1"/>
    <col min="6665" max="6912" width="11.42578125" style="3"/>
    <col min="6913" max="6913" width="15.85546875" style="3" customWidth="1"/>
    <col min="6914" max="6914" width="14.85546875" style="3" customWidth="1"/>
    <col min="6915" max="6915" width="13.28515625" style="3" customWidth="1"/>
    <col min="6916" max="6916" width="11.42578125" style="3"/>
    <col min="6917" max="6917" width="13.42578125" style="3" customWidth="1"/>
    <col min="6918" max="6918" width="12.7109375" style="3" customWidth="1"/>
    <col min="6919" max="6919" width="14" style="3" customWidth="1"/>
    <col min="6920" max="6920" width="7.42578125" style="3" customWidth="1"/>
    <col min="6921" max="7168" width="11.42578125" style="3"/>
    <col min="7169" max="7169" width="15.85546875" style="3" customWidth="1"/>
    <col min="7170" max="7170" width="14.85546875" style="3" customWidth="1"/>
    <col min="7171" max="7171" width="13.28515625" style="3" customWidth="1"/>
    <col min="7172" max="7172" width="11.42578125" style="3"/>
    <col min="7173" max="7173" width="13.42578125" style="3" customWidth="1"/>
    <col min="7174" max="7174" width="12.7109375" style="3" customWidth="1"/>
    <col min="7175" max="7175" width="14" style="3" customWidth="1"/>
    <col min="7176" max="7176" width="7.42578125" style="3" customWidth="1"/>
    <col min="7177" max="7424" width="11.42578125" style="3"/>
    <col min="7425" max="7425" width="15.85546875" style="3" customWidth="1"/>
    <col min="7426" max="7426" width="14.85546875" style="3" customWidth="1"/>
    <col min="7427" max="7427" width="13.28515625" style="3" customWidth="1"/>
    <col min="7428" max="7428" width="11.42578125" style="3"/>
    <col min="7429" max="7429" width="13.42578125" style="3" customWidth="1"/>
    <col min="7430" max="7430" width="12.7109375" style="3" customWidth="1"/>
    <col min="7431" max="7431" width="14" style="3" customWidth="1"/>
    <col min="7432" max="7432" width="7.42578125" style="3" customWidth="1"/>
    <col min="7433" max="7680" width="11.42578125" style="3"/>
    <col min="7681" max="7681" width="15.85546875" style="3" customWidth="1"/>
    <col min="7682" max="7682" width="14.85546875" style="3" customWidth="1"/>
    <col min="7683" max="7683" width="13.28515625" style="3" customWidth="1"/>
    <col min="7684" max="7684" width="11.42578125" style="3"/>
    <col min="7685" max="7685" width="13.42578125" style="3" customWidth="1"/>
    <col min="7686" max="7686" width="12.7109375" style="3" customWidth="1"/>
    <col min="7687" max="7687" width="14" style="3" customWidth="1"/>
    <col min="7688" max="7688" width="7.42578125" style="3" customWidth="1"/>
    <col min="7689" max="7936" width="11.42578125" style="3"/>
    <col min="7937" max="7937" width="15.85546875" style="3" customWidth="1"/>
    <col min="7938" max="7938" width="14.85546875" style="3" customWidth="1"/>
    <col min="7939" max="7939" width="13.28515625" style="3" customWidth="1"/>
    <col min="7940" max="7940" width="11.42578125" style="3"/>
    <col min="7941" max="7941" width="13.42578125" style="3" customWidth="1"/>
    <col min="7942" max="7942" width="12.7109375" style="3" customWidth="1"/>
    <col min="7943" max="7943" width="14" style="3" customWidth="1"/>
    <col min="7944" max="7944" width="7.42578125" style="3" customWidth="1"/>
    <col min="7945" max="8192" width="11.42578125" style="3"/>
    <col min="8193" max="8193" width="15.85546875" style="3" customWidth="1"/>
    <col min="8194" max="8194" width="14.85546875" style="3" customWidth="1"/>
    <col min="8195" max="8195" width="13.28515625" style="3" customWidth="1"/>
    <col min="8196" max="8196" width="11.42578125" style="3"/>
    <col min="8197" max="8197" width="13.42578125" style="3" customWidth="1"/>
    <col min="8198" max="8198" width="12.7109375" style="3" customWidth="1"/>
    <col min="8199" max="8199" width="14" style="3" customWidth="1"/>
    <col min="8200" max="8200" width="7.42578125" style="3" customWidth="1"/>
    <col min="8201" max="8448" width="11.42578125" style="3"/>
    <col min="8449" max="8449" width="15.85546875" style="3" customWidth="1"/>
    <col min="8450" max="8450" width="14.85546875" style="3" customWidth="1"/>
    <col min="8451" max="8451" width="13.28515625" style="3" customWidth="1"/>
    <col min="8452" max="8452" width="11.42578125" style="3"/>
    <col min="8453" max="8453" width="13.42578125" style="3" customWidth="1"/>
    <col min="8454" max="8454" width="12.7109375" style="3" customWidth="1"/>
    <col min="8455" max="8455" width="14" style="3" customWidth="1"/>
    <col min="8456" max="8456" width="7.42578125" style="3" customWidth="1"/>
    <col min="8457" max="8704" width="11.42578125" style="3"/>
    <col min="8705" max="8705" width="15.85546875" style="3" customWidth="1"/>
    <col min="8706" max="8706" width="14.85546875" style="3" customWidth="1"/>
    <col min="8707" max="8707" width="13.28515625" style="3" customWidth="1"/>
    <col min="8708" max="8708" width="11.42578125" style="3"/>
    <col min="8709" max="8709" width="13.42578125" style="3" customWidth="1"/>
    <col min="8710" max="8710" width="12.7109375" style="3" customWidth="1"/>
    <col min="8711" max="8711" width="14" style="3" customWidth="1"/>
    <col min="8712" max="8712" width="7.42578125" style="3" customWidth="1"/>
    <col min="8713" max="8960" width="11.42578125" style="3"/>
    <col min="8961" max="8961" width="15.85546875" style="3" customWidth="1"/>
    <col min="8962" max="8962" width="14.85546875" style="3" customWidth="1"/>
    <col min="8963" max="8963" width="13.28515625" style="3" customWidth="1"/>
    <col min="8964" max="8964" width="11.42578125" style="3"/>
    <col min="8965" max="8965" width="13.42578125" style="3" customWidth="1"/>
    <col min="8966" max="8966" width="12.7109375" style="3" customWidth="1"/>
    <col min="8967" max="8967" width="14" style="3" customWidth="1"/>
    <col min="8968" max="8968" width="7.42578125" style="3" customWidth="1"/>
    <col min="8969" max="9216" width="11.42578125" style="3"/>
    <col min="9217" max="9217" width="15.85546875" style="3" customWidth="1"/>
    <col min="9218" max="9218" width="14.85546875" style="3" customWidth="1"/>
    <col min="9219" max="9219" width="13.28515625" style="3" customWidth="1"/>
    <col min="9220" max="9220" width="11.42578125" style="3"/>
    <col min="9221" max="9221" width="13.42578125" style="3" customWidth="1"/>
    <col min="9222" max="9222" width="12.7109375" style="3" customWidth="1"/>
    <col min="9223" max="9223" width="14" style="3" customWidth="1"/>
    <col min="9224" max="9224" width="7.42578125" style="3" customWidth="1"/>
    <col min="9225" max="9472" width="11.42578125" style="3"/>
    <col min="9473" max="9473" width="15.85546875" style="3" customWidth="1"/>
    <col min="9474" max="9474" width="14.85546875" style="3" customWidth="1"/>
    <col min="9475" max="9475" width="13.28515625" style="3" customWidth="1"/>
    <col min="9476" max="9476" width="11.42578125" style="3"/>
    <col min="9477" max="9477" width="13.42578125" style="3" customWidth="1"/>
    <col min="9478" max="9478" width="12.7109375" style="3" customWidth="1"/>
    <col min="9479" max="9479" width="14" style="3" customWidth="1"/>
    <col min="9480" max="9480" width="7.42578125" style="3" customWidth="1"/>
    <col min="9481" max="9728" width="11.42578125" style="3"/>
    <col min="9729" max="9729" width="15.85546875" style="3" customWidth="1"/>
    <col min="9730" max="9730" width="14.85546875" style="3" customWidth="1"/>
    <col min="9731" max="9731" width="13.28515625" style="3" customWidth="1"/>
    <col min="9732" max="9732" width="11.42578125" style="3"/>
    <col min="9733" max="9733" width="13.42578125" style="3" customWidth="1"/>
    <col min="9734" max="9734" width="12.7109375" style="3" customWidth="1"/>
    <col min="9735" max="9735" width="14" style="3" customWidth="1"/>
    <col min="9736" max="9736" width="7.42578125" style="3" customWidth="1"/>
    <col min="9737" max="9984" width="11.42578125" style="3"/>
    <col min="9985" max="9985" width="15.85546875" style="3" customWidth="1"/>
    <col min="9986" max="9986" width="14.85546875" style="3" customWidth="1"/>
    <col min="9987" max="9987" width="13.28515625" style="3" customWidth="1"/>
    <col min="9988" max="9988" width="11.42578125" style="3"/>
    <col min="9989" max="9989" width="13.42578125" style="3" customWidth="1"/>
    <col min="9990" max="9990" width="12.7109375" style="3" customWidth="1"/>
    <col min="9991" max="9991" width="14" style="3" customWidth="1"/>
    <col min="9992" max="9992" width="7.42578125" style="3" customWidth="1"/>
    <col min="9993" max="10240" width="11.42578125" style="3"/>
    <col min="10241" max="10241" width="15.85546875" style="3" customWidth="1"/>
    <col min="10242" max="10242" width="14.85546875" style="3" customWidth="1"/>
    <col min="10243" max="10243" width="13.28515625" style="3" customWidth="1"/>
    <col min="10244" max="10244" width="11.42578125" style="3"/>
    <col min="10245" max="10245" width="13.42578125" style="3" customWidth="1"/>
    <col min="10246" max="10246" width="12.7109375" style="3" customWidth="1"/>
    <col min="10247" max="10247" width="14" style="3" customWidth="1"/>
    <col min="10248" max="10248" width="7.42578125" style="3" customWidth="1"/>
    <col min="10249" max="10496" width="11.42578125" style="3"/>
    <col min="10497" max="10497" width="15.85546875" style="3" customWidth="1"/>
    <col min="10498" max="10498" width="14.85546875" style="3" customWidth="1"/>
    <col min="10499" max="10499" width="13.28515625" style="3" customWidth="1"/>
    <col min="10500" max="10500" width="11.42578125" style="3"/>
    <col min="10501" max="10501" width="13.42578125" style="3" customWidth="1"/>
    <col min="10502" max="10502" width="12.7109375" style="3" customWidth="1"/>
    <col min="10503" max="10503" width="14" style="3" customWidth="1"/>
    <col min="10504" max="10504" width="7.42578125" style="3" customWidth="1"/>
    <col min="10505" max="10752" width="11.42578125" style="3"/>
    <col min="10753" max="10753" width="15.85546875" style="3" customWidth="1"/>
    <col min="10754" max="10754" width="14.85546875" style="3" customWidth="1"/>
    <col min="10755" max="10755" width="13.28515625" style="3" customWidth="1"/>
    <col min="10756" max="10756" width="11.42578125" style="3"/>
    <col min="10757" max="10757" width="13.42578125" style="3" customWidth="1"/>
    <col min="10758" max="10758" width="12.7109375" style="3" customWidth="1"/>
    <col min="10759" max="10759" width="14" style="3" customWidth="1"/>
    <col min="10760" max="10760" width="7.42578125" style="3" customWidth="1"/>
    <col min="10761" max="11008" width="11.42578125" style="3"/>
    <col min="11009" max="11009" width="15.85546875" style="3" customWidth="1"/>
    <col min="11010" max="11010" width="14.85546875" style="3" customWidth="1"/>
    <col min="11011" max="11011" width="13.28515625" style="3" customWidth="1"/>
    <col min="11012" max="11012" width="11.42578125" style="3"/>
    <col min="11013" max="11013" width="13.42578125" style="3" customWidth="1"/>
    <col min="11014" max="11014" width="12.7109375" style="3" customWidth="1"/>
    <col min="11015" max="11015" width="14" style="3" customWidth="1"/>
    <col min="11016" max="11016" width="7.42578125" style="3" customWidth="1"/>
    <col min="11017" max="11264" width="11.42578125" style="3"/>
    <col min="11265" max="11265" width="15.85546875" style="3" customWidth="1"/>
    <col min="11266" max="11266" width="14.85546875" style="3" customWidth="1"/>
    <col min="11267" max="11267" width="13.28515625" style="3" customWidth="1"/>
    <col min="11268" max="11268" width="11.42578125" style="3"/>
    <col min="11269" max="11269" width="13.42578125" style="3" customWidth="1"/>
    <col min="11270" max="11270" width="12.7109375" style="3" customWidth="1"/>
    <col min="11271" max="11271" width="14" style="3" customWidth="1"/>
    <col min="11272" max="11272" width="7.42578125" style="3" customWidth="1"/>
    <col min="11273" max="11520" width="11.42578125" style="3"/>
    <col min="11521" max="11521" width="15.85546875" style="3" customWidth="1"/>
    <col min="11522" max="11522" width="14.85546875" style="3" customWidth="1"/>
    <col min="11523" max="11523" width="13.28515625" style="3" customWidth="1"/>
    <col min="11524" max="11524" width="11.42578125" style="3"/>
    <col min="11525" max="11525" width="13.42578125" style="3" customWidth="1"/>
    <col min="11526" max="11526" width="12.7109375" style="3" customWidth="1"/>
    <col min="11527" max="11527" width="14" style="3" customWidth="1"/>
    <col min="11528" max="11528" width="7.42578125" style="3" customWidth="1"/>
    <col min="11529" max="11776" width="11.42578125" style="3"/>
    <col min="11777" max="11777" width="15.85546875" style="3" customWidth="1"/>
    <col min="11778" max="11778" width="14.85546875" style="3" customWidth="1"/>
    <col min="11779" max="11779" width="13.28515625" style="3" customWidth="1"/>
    <col min="11780" max="11780" width="11.42578125" style="3"/>
    <col min="11781" max="11781" width="13.42578125" style="3" customWidth="1"/>
    <col min="11782" max="11782" width="12.7109375" style="3" customWidth="1"/>
    <col min="11783" max="11783" width="14" style="3" customWidth="1"/>
    <col min="11784" max="11784" width="7.42578125" style="3" customWidth="1"/>
    <col min="11785" max="12032" width="11.42578125" style="3"/>
    <col min="12033" max="12033" width="15.85546875" style="3" customWidth="1"/>
    <col min="12034" max="12034" width="14.85546875" style="3" customWidth="1"/>
    <col min="12035" max="12035" width="13.28515625" style="3" customWidth="1"/>
    <col min="12036" max="12036" width="11.42578125" style="3"/>
    <col min="12037" max="12037" width="13.42578125" style="3" customWidth="1"/>
    <col min="12038" max="12038" width="12.7109375" style="3" customWidth="1"/>
    <col min="12039" max="12039" width="14" style="3" customWidth="1"/>
    <col min="12040" max="12040" width="7.42578125" style="3" customWidth="1"/>
    <col min="12041" max="12288" width="11.42578125" style="3"/>
    <col min="12289" max="12289" width="15.85546875" style="3" customWidth="1"/>
    <col min="12290" max="12290" width="14.85546875" style="3" customWidth="1"/>
    <col min="12291" max="12291" width="13.28515625" style="3" customWidth="1"/>
    <col min="12292" max="12292" width="11.42578125" style="3"/>
    <col min="12293" max="12293" width="13.42578125" style="3" customWidth="1"/>
    <col min="12294" max="12294" width="12.7109375" style="3" customWidth="1"/>
    <col min="12295" max="12295" width="14" style="3" customWidth="1"/>
    <col min="12296" max="12296" width="7.42578125" style="3" customWidth="1"/>
    <col min="12297" max="12544" width="11.42578125" style="3"/>
    <col min="12545" max="12545" width="15.85546875" style="3" customWidth="1"/>
    <col min="12546" max="12546" width="14.85546875" style="3" customWidth="1"/>
    <col min="12547" max="12547" width="13.28515625" style="3" customWidth="1"/>
    <col min="12548" max="12548" width="11.42578125" style="3"/>
    <col min="12549" max="12549" width="13.42578125" style="3" customWidth="1"/>
    <col min="12550" max="12550" width="12.7109375" style="3" customWidth="1"/>
    <col min="12551" max="12551" width="14" style="3" customWidth="1"/>
    <col min="12552" max="12552" width="7.42578125" style="3" customWidth="1"/>
    <col min="12553" max="12800" width="11.42578125" style="3"/>
    <col min="12801" max="12801" width="15.85546875" style="3" customWidth="1"/>
    <col min="12802" max="12802" width="14.85546875" style="3" customWidth="1"/>
    <col min="12803" max="12803" width="13.28515625" style="3" customWidth="1"/>
    <col min="12804" max="12804" width="11.42578125" style="3"/>
    <col min="12805" max="12805" width="13.42578125" style="3" customWidth="1"/>
    <col min="12806" max="12806" width="12.7109375" style="3" customWidth="1"/>
    <col min="12807" max="12807" width="14" style="3" customWidth="1"/>
    <col min="12808" max="12808" width="7.42578125" style="3" customWidth="1"/>
    <col min="12809" max="13056" width="11.42578125" style="3"/>
    <col min="13057" max="13057" width="15.85546875" style="3" customWidth="1"/>
    <col min="13058" max="13058" width="14.85546875" style="3" customWidth="1"/>
    <col min="13059" max="13059" width="13.28515625" style="3" customWidth="1"/>
    <col min="13060" max="13060" width="11.42578125" style="3"/>
    <col min="13061" max="13061" width="13.42578125" style="3" customWidth="1"/>
    <col min="13062" max="13062" width="12.7109375" style="3" customWidth="1"/>
    <col min="13063" max="13063" width="14" style="3" customWidth="1"/>
    <col min="13064" max="13064" width="7.42578125" style="3" customWidth="1"/>
    <col min="13065" max="13312" width="11.42578125" style="3"/>
    <col min="13313" max="13313" width="15.85546875" style="3" customWidth="1"/>
    <col min="13314" max="13314" width="14.85546875" style="3" customWidth="1"/>
    <col min="13315" max="13315" width="13.28515625" style="3" customWidth="1"/>
    <col min="13316" max="13316" width="11.42578125" style="3"/>
    <col min="13317" max="13317" width="13.42578125" style="3" customWidth="1"/>
    <col min="13318" max="13318" width="12.7109375" style="3" customWidth="1"/>
    <col min="13319" max="13319" width="14" style="3" customWidth="1"/>
    <col min="13320" max="13320" width="7.42578125" style="3" customWidth="1"/>
    <col min="13321" max="13568" width="11.42578125" style="3"/>
    <col min="13569" max="13569" width="15.85546875" style="3" customWidth="1"/>
    <col min="13570" max="13570" width="14.85546875" style="3" customWidth="1"/>
    <col min="13571" max="13571" width="13.28515625" style="3" customWidth="1"/>
    <col min="13572" max="13572" width="11.42578125" style="3"/>
    <col min="13573" max="13573" width="13.42578125" style="3" customWidth="1"/>
    <col min="13574" max="13574" width="12.7109375" style="3" customWidth="1"/>
    <col min="13575" max="13575" width="14" style="3" customWidth="1"/>
    <col min="13576" max="13576" width="7.42578125" style="3" customWidth="1"/>
    <col min="13577" max="13824" width="11.42578125" style="3"/>
    <col min="13825" max="13825" width="15.85546875" style="3" customWidth="1"/>
    <col min="13826" max="13826" width="14.85546875" style="3" customWidth="1"/>
    <col min="13827" max="13827" width="13.28515625" style="3" customWidth="1"/>
    <col min="13828" max="13828" width="11.42578125" style="3"/>
    <col min="13829" max="13829" width="13.42578125" style="3" customWidth="1"/>
    <col min="13830" max="13830" width="12.7109375" style="3" customWidth="1"/>
    <col min="13831" max="13831" width="14" style="3" customWidth="1"/>
    <col min="13832" max="13832" width="7.42578125" style="3" customWidth="1"/>
    <col min="13833" max="14080" width="11.42578125" style="3"/>
    <col min="14081" max="14081" width="15.85546875" style="3" customWidth="1"/>
    <col min="14082" max="14082" width="14.85546875" style="3" customWidth="1"/>
    <col min="14083" max="14083" width="13.28515625" style="3" customWidth="1"/>
    <col min="14084" max="14084" width="11.42578125" style="3"/>
    <col min="14085" max="14085" width="13.42578125" style="3" customWidth="1"/>
    <col min="14086" max="14086" width="12.7109375" style="3" customWidth="1"/>
    <col min="14087" max="14087" width="14" style="3" customWidth="1"/>
    <col min="14088" max="14088" width="7.42578125" style="3" customWidth="1"/>
    <col min="14089" max="14336" width="11.42578125" style="3"/>
    <col min="14337" max="14337" width="15.85546875" style="3" customWidth="1"/>
    <col min="14338" max="14338" width="14.85546875" style="3" customWidth="1"/>
    <col min="14339" max="14339" width="13.28515625" style="3" customWidth="1"/>
    <col min="14340" max="14340" width="11.42578125" style="3"/>
    <col min="14341" max="14341" width="13.42578125" style="3" customWidth="1"/>
    <col min="14342" max="14342" width="12.7109375" style="3" customWidth="1"/>
    <col min="14343" max="14343" width="14" style="3" customWidth="1"/>
    <col min="14344" max="14344" width="7.42578125" style="3" customWidth="1"/>
    <col min="14345" max="14592" width="11.42578125" style="3"/>
    <col min="14593" max="14593" width="15.85546875" style="3" customWidth="1"/>
    <col min="14594" max="14594" width="14.85546875" style="3" customWidth="1"/>
    <col min="14595" max="14595" width="13.28515625" style="3" customWidth="1"/>
    <col min="14596" max="14596" width="11.42578125" style="3"/>
    <col min="14597" max="14597" width="13.42578125" style="3" customWidth="1"/>
    <col min="14598" max="14598" width="12.7109375" style="3" customWidth="1"/>
    <col min="14599" max="14599" width="14" style="3" customWidth="1"/>
    <col min="14600" max="14600" width="7.42578125" style="3" customWidth="1"/>
    <col min="14601" max="14848" width="11.42578125" style="3"/>
    <col min="14849" max="14849" width="15.85546875" style="3" customWidth="1"/>
    <col min="14850" max="14850" width="14.85546875" style="3" customWidth="1"/>
    <col min="14851" max="14851" width="13.28515625" style="3" customWidth="1"/>
    <col min="14852" max="14852" width="11.42578125" style="3"/>
    <col min="14853" max="14853" width="13.42578125" style="3" customWidth="1"/>
    <col min="14854" max="14854" width="12.7109375" style="3" customWidth="1"/>
    <col min="14855" max="14855" width="14" style="3" customWidth="1"/>
    <col min="14856" max="14856" width="7.42578125" style="3" customWidth="1"/>
    <col min="14857" max="15104" width="11.42578125" style="3"/>
    <col min="15105" max="15105" width="15.85546875" style="3" customWidth="1"/>
    <col min="15106" max="15106" width="14.85546875" style="3" customWidth="1"/>
    <col min="15107" max="15107" width="13.28515625" style="3" customWidth="1"/>
    <col min="15108" max="15108" width="11.42578125" style="3"/>
    <col min="15109" max="15109" width="13.42578125" style="3" customWidth="1"/>
    <col min="15110" max="15110" width="12.7109375" style="3" customWidth="1"/>
    <col min="15111" max="15111" width="14" style="3" customWidth="1"/>
    <col min="15112" max="15112" width="7.42578125" style="3" customWidth="1"/>
    <col min="15113" max="15360" width="11.42578125" style="3"/>
    <col min="15361" max="15361" width="15.85546875" style="3" customWidth="1"/>
    <col min="15362" max="15362" width="14.85546875" style="3" customWidth="1"/>
    <col min="15363" max="15363" width="13.28515625" style="3" customWidth="1"/>
    <col min="15364" max="15364" width="11.42578125" style="3"/>
    <col min="15365" max="15365" width="13.42578125" style="3" customWidth="1"/>
    <col min="15366" max="15366" width="12.7109375" style="3" customWidth="1"/>
    <col min="15367" max="15367" width="14" style="3" customWidth="1"/>
    <col min="15368" max="15368" width="7.42578125" style="3" customWidth="1"/>
    <col min="15369" max="15616" width="11.42578125" style="3"/>
    <col min="15617" max="15617" width="15.85546875" style="3" customWidth="1"/>
    <col min="15618" max="15618" width="14.85546875" style="3" customWidth="1"/>
    <col min="15619" max="15619" width="13.28515625" style="3" customWidth="1"/>
    <col min="15620" max="15620" width="11.42578125" style="3"/>
    <col min="15621" max="15621" width="13.42578125" style="3" customWidth="1"/>
    <col min="15622" max="15622" width="12.7109375" style="3" customWidth="1"/>
    <col min="15623" max="15623" width="14" style="3" customWidth="1"/>
    <col min="15624" max="15624" width="7.42578125" style="3" customWidth="1"/>
    <col min="15625" max="15872" width="11.42578125" style="3"/>
    <col min="15873" max="15873" width="15.85546875" style="3" customWidth="1"/>
    <col min="15874" max="15874" width="14.85546875" style="3" customWidth="1"/>
    <col min="15875" max="15875" width="13.28515625" style="3" customWidth="1"/>
    <col min="15876" max="15876" width="11.42578125" style="3"/>
    <col min="15877" max="15877" width="13.42578125" style="3" customWidth="1"/>
    <col min="15878" max="15878" width="12.7109375" style="3" customWidth="1"/>
    <col min="15879" max="15879" width="14" style="3" customWidth="1"/>
    <col min="15880" max="15880" width="7.42578125" style="3" customWidth="1"/>
    <col min="15881" max="16128" width="11.42578125" style="3"/>
    <col min="16129" max="16129" width="15.85546875" style="3" customWidth="1"/>
    <col min="16130" max="16130" width="14.85546875" style="3" customWidth="1"/>
    <col min="16131" max="16131" width="13.28515625" style="3" customWidth="1"/>
    <col min="16132" max="16132" width="11.42578125" style="3"/>
    <col min="16133" max="16133" width="13.42578125" style="3" customWidth="1"/>
    <col min="16134" max="16134" width="12.7109375" style="3" customWidth="1"/>
    <col min="16135" max="16135" width="14" style="3" customWidth="1"/>
    <col min="16136" max="16136" width="7.42578125" style="3" customWidth="1"/>
    <col min="16137" max="16384" width="11.42578125" style="3"/>
  </cols>
  <sheetData>
    <row r="1" spans="1:21" ht="20.25">
      <c r="A1" s="1346" t="str">
        <f>PPTO!D3</f>
        <v>PRESUPUESTO
MUNICIPIO EL BAGRE (ANTIOQUIA).</v>
      </c>
      <c r="B1" s="1347"/>
      <c r="C1" s="1347"/>
      <c r="D1" s="1347"/>
      <c r="E1" s="1347"/>
      <c r="F1" s="1347"/>
      <c r="G1" s="1348"/>
      <c r="H1" s="1"/>
      <c r="I1" s="2"/>
    </row>
    <row r="2" spans="1:21" ht="18" customHeight="1">
      <c r="A2" s="1362" t="s">
        <v>16</v>
      </c>
      <c r="B2" s="1363"/>
      <c r="C2" s="1363"/>
      <c r="D2" s="1363"/>
      <c r="E2" s="1363"/>
      <c r="F2" s="1363"/>
      <c r="G2" s="1364"/>
      <c r="H2" s="1"/>
      <c r="I2" s="2"/>
    </row>
    <row r="3" spans="1:21" ht="27" customHeight="1">
      <c r="A3" s="1367" t="str">
        <f>+PPTO!$D$5</f>
        <v>PROYECTO DE MEJORAMIENTO VIAL, ESPACIO PUBLICO Y OBRAS COMPLEMENTARIAS DE LA AVENIDA LA JUVENTUD Y TRAMOS ADYACENTES Y PRIORITARIOS DEL SECTOR URBANO EN EL MUNICIPIO EL BAGRE ANTIOQUIA.</v>
      </c>
      <c r="B3" s="1368"/>
      <c r="C3" s="1368"/>
      <c r="D3" s="1368"/>
      <c r="E3" s="1368"/>
      <c r="F3" s="1368"/>
      <c r="G3" s="1369"/>
      <c r="H3" s="1"/>
      <c r="I3" s="2"/>
    </row>
    <row r="4" spans="1:21" ht="15" customHeight="1">
      <c r="A4" s="1370"/>
      <c r="B4" s="1368"/>
      <c r="C4" s="1368"/>
      <c r="D4" s="1368"/>
      <c r="E4" s="1368"/>
      <c r="F4" s="1368"/>
      <c r="G4" s="1369"/>
      <c r="H4" s="1"/>
      <c r="I4" s="2"/>
    </row>
    <row r="5" spans="1:21" ht="6.75" customHeight="1">
      <c r="A5" s="222"/>
      <c r="B5" s="6"/>
      <c r="C5" s="24"/>
      <c r="D5" s="25"/>
      <c r="E5" s="6"/>
      <c r="F5" s="6"/>
      <c r="G5" s="223"/>
      <c r="H5" s="9"/>
    </row>
    <row r="6" spans="1:21">
      <c r="A6" s="886">
        <v>6.44</v>
      </c>
      <c r="B6" s="1349" t="str">
        <f>VLOOKUP(A6,PPTO!D9:I136,2,FALSE)</f>
        <v>Pozos de Inspeccion D=1.20</v>
      </c>
      <c r="C6" s="1350"/>
      <c r="D6" s="1350"/>
      <c r="E6" s="1351"/>
      <c r="F6" s="192" t="s">
        <v>118</v>
      </c>
      <c r="G6" s="248" t="str">
        <f>VLOOKUP(A6,PPTO!D9:I136,3,FALSE)</f>
        <v>m</v>
      </c>
      <c r="H6" s="9"/>
    </row>
    <row r="7" spans="1:21" ht="3.75" customHeight="1">
      <c r="A7" s="226"/>
      <c r="B7" s="4"/>
      <c r="C7" s="6"/>
      <c r="D7" s="4"/>
      <c r="E7" s="4"/>
      <c r="F7" s="4"/>
      <c r="G7" s="227"/>
      <c r="H7" s="9"/>
    </row>
    <row r="8" spans="1:21" ht="22.5" customHeight="1">
      <c r="A8" s="1354" t="s">
        <v>69</v>
      </c>
      <c r="B8" s="1355"/>
      <c r="C8" s="1355"/>
      <c r="D8" s="1355"/>
      <c r="E8" s="1355"/>
      <c r="F8" s="1355"/>
      <c r="G8" s="1356"/>
      <c r="H8" s="9"/>
    </row>
    <row r="9" spans="1:21" ht="4.5" customHeight="1">
      <c r="A9" s="226"/>
      <c r="B9" s="4"/>
      <c r="C9" s="6"/>
      <c r="D9" s="4"/>
      <c r="E9" s="4"/>
      <c r="F9" s="4"/>
      <c r="G9" s="227"/>
      <c r="H9" s="9"/>
      <c r="I9" s="5"/>
      <c r="J9" s="5"/>
      <c r="K9" s="5"/>
      <c r="L9" s="26"/>
      <c r="M9" s="5"/>
      <c r="N9" s="5"/>
      <c r="O9" s="5"/>
      <c r="P9" s="5"/>
    </row>
    <row r="10" spans="1:21">
      <c r="A10" s="1373" t="s">
        <v>17</v>
      </c>
      <c r="B10" s="1374"/>
      <c r="C10" s="1374"/>
      <c r="D10" s="346" t="s">
        <v>18</v>
      </c>
      <c r="E10" s="346" t="s">
        <v>19</v>
      </c>
      <c r="F10" s="346" t="s">
        <v>20</v>
      </c>
      <c r="G10" s="228" t="s">
        <v>21</v>
      </c>
      <c r="H10" s="27"/>
      <c r="I10" s="28"/>
      <c r="J10" s="29"/>
      <c r="K10" s="30"/>
      <c r="L10" s="30"/>
      <c r="M10" s="30"/>
      <c r="N10" s="30"/>
      <c r="O10" s="30"/>
      <c r="P10" s="5"/>
    </row>
    <row r="11" spans="1:21">
      <c r="A11" s="1352" t="s">
        <v>47</v>
      </c>
      <c r="B11" s="1353"/>
      <c r="C11" s="1353"/>
      <c r="D11" s="346"/>
      <c r="E11" s="83"/>
      <c r="F11" s="97"/>
      <c r="G11" s="229">
        <f>+G39*10%</f>
        <v>5090</v>
      </c>
      <c r="H11" s="9"/>
      <c r="I11" s="30"/>
      <c r="J11" s="31"/>
      <c r="K11" s="30"/>
      <c r="L11" s="30"/>
      <c r="M11" s="30"/>
      <c r="N11" s="30"/>
      <c r="O11" s="30"/>
      <c r="P11" s="5"/>
    </row>
    <row r="12" spans="1:21">
      <c r="A12" s="1371"/>
      <c r="B12" s="1372"/>
      <c r="C12" s="1372"/>
      <c r="D12" s="83"/>
      <c r="E12" s="83"/>
      <c r="F12" s="93"/>
      <c r="G12" s="229"/>
      <c r="H12" s="9"/>
      <c r="I12" s="16"/>
      <c r="J12" s="13"/>
      <c r="K12" s="8"/>
      <c r="L12" s="8"/>
      <c r="M12" s="8"/>
      <c r="N12" s="8"/>
      <c r="O12" s="8"/>
      <c r="P12" s="5"/>
    </row>
    <row r="13" spans="1:21">
      <c r="A13" s="1371"/>
      <c r="B13" s="1372"/>
      <c r="C13" s="1372"/>
      <c r="D13" s="83"/>
      <c r="E13" s="83"/>
      <c r="F13" s="93"/>
      <c r="G13" s="229"/>
      <c r="H13" s="9"/>
      <c r="I13" s="13"/>
      <c r="J13" s="13"/>
      <c r="K13" s="13"/>
      <c r="L13" s="13"/>
      <c r="M13" s="13"/>
      <c r="N13" s="13"/>
      <c r="O13" s="13"/>
      <c r="P13" s="5"/>
    </row>
    <row r="14" spans="1:21">
      <c r="A14" s="1371"/>
      <c r="B14" s="1372"/>
      <c r="C14" s="1372"/>
      <c r="D14" s="83"/>
      <c r="E14" s="83"/>
      <c r="F14" s="93"/>
      <c r="G14" s="229"/>
      <c r="H14" s="9"/>
      <c r="I14" s="8"/>
      <c r="J14" s="14"/>
      <c r="K14" s="32"/>
      <c r="L14" s="14"/>
      <c r="M14" s="15"/>
      <c r="N14" s="15"/>
      <c r="O14" s="19"/>
      <c r="P14" s="5"/>
    </row>
    <row r="15" spans="1:21">
      <c r="A15" s="1371"/>
      <c r="B15" s="1372"/>
      <c r="C15" s="1372"/>
      <c r="D15" s="83"/>
      <c r="E15" s="83"/>
      <c r="F15" s="98"/>
      <c r="G15" s="229"/>
      <c r="H15" s="9"/>
      <c r="I15" s="8"/>
      <c r="J15" s="33"/>
      <c r="K15" s="32"/>
      <c r="L15" s="14"/>
      <c r="M15" s="15"/>
      <c r="N15" s="15"/>
      <c r="O15" s="19"/>
      <c r="P15" s="5"/>
      <c r="Q15" s="5"/>
      <c r="R15" s="5"/>
      <c r="S15" s="5"/>
      <c r="T15" s="5"/>
      <c r="U15" s="5"/>
    </row>
    <row r="16" spans="1:21">
      <c r="A16" s="1371"/>
      <c r="B16" s="1372"/>
      <c r="C16" s="1372"/>
      <c r="D16" s="85" t="s">
        <v>37</v>
      </c>
      <c r="E16" s="50"/>
      <c r="F16" s="49"/>
      <c r="G16" s="230">
        <f>SUM(G11:G15)</f>
        <v>5090</v>
      </c>
      <c r="H16" s="9"/>
      <c r="I16" s="34"/>
      <c r="J16" s="34"/>
      <c r="K16" s="35"/>
      <c r="L16" s="36"/>
      <c r="M16" s="7"/>
      <c r="N16" s="7"/>
      <c r="O16" s="19"/>
      <c r="P16" s="5"/>
      <c r="Q16" s="5"/>
      <c r="R16" s="5"/>
      <c r="S16" s="5"/>
      <c r="T16" s="5"/>
      <c r="U16" s="5"/>
    </row>
    <row r="17" spans="1:21" ht="4.5" customHeight="1">
      <c r="A17" s="226"/>
      <c r="B17" s="4"/>
      <c r="C17" s="6"/>
      <c r="D17" s="4"/>
      <c r="E17" s="4"/>
      <c r="F17" s="4"/>
      <c r="G17" s="227"/>
      <c r="H17" s="9"/>
      <c r="I17" s="34"/>
      <c r="J17" s="34"/>
      <c r="K17" s="35"/>
      <c r="L17" s="36"/>
      <c r="M17" s="7"/>
      <c r="N17" s="7"/>
      <c r="O17" s="19"/>
      <c r="P17" s="5"/>
      <c r="Q17" s="5"/>
      <c r="R17" s="5"/>
      <c r="S17" s="5"/>
      <c r="T17" s="5"/>
      <c r="U17" s="5"/>
    </row>
    <row r="18" spans="1:21" ht="22.5" customHeight="1">
      <c r="A18" s="1354" t="s">
        <v>70</v>
      </c>
      <c r="B18" s="1355"/>
      <c r="C18" s="1355"/>
      <c r="D18" s="1355"/>
      <c r="E18" s="1355"/>
      <c r="F18" s="1355"/>
      <c r="G18" s="1356"/>
      <c r="H18" s="9"/>
    </row>
    <row r="19" spans="1:21" ht="4.5" customHeight="1">
      <c r="A19" s="226"/>
      <c r="B19" s="4"/>
      <c r="C19" s="6"/>
      <c r="D19" s="4"/>
      <c r="E19" s="4"/>
      <c r="F19" s="38"/>
      <c r="G19" s="227"/>
      <c r="H19" s="9"/>
      <c r="I19" s="34"/>
      <c r="J19" s="34"/>
      <c r="K19" s="35"/>
      <c r="L19" s="39"/>
      <c r="M19" s="7"/>
      <c r="N19" s="7"/>
      <c r="O19" s="8"/>
      <c r="P19" s="5"/>
      <c r="Q19" s="5"/>
      <c r="R19" s="5"/>
      <c r="S19" s="5"/>
      <c r="T19" s="5"/>
      <c r="U19" s="5"/>
    </row>
    <row r="20" spans="1:21">
      <c r="A20" s="1373" t="s">
        <v>17</v>
      </c>
      <c r="B20" s="1374"/>
      <c r="C20" s="1374"/>
      <c r="D20" s="346" t="s">
        <v>3</v>
      </c>
      <c r="E20" s="346" t="s">
        <v>4</v>
      </c>
      <c r="F20" s="346" t="s">
        <v>25</v>
      </c>
      <c r="G20" s="228" t="s">
        <v>21</v>
      </c>
      <c r="H20" s="27"/>
      <c r="I20" s="34"/>
      <c r="J20" s="34"/>
      <c r="K20" s="35"/>
      <c r="L20" s="39"/>
      <c r="M20" s="7"/>
      <c r="N20" s="7"/>
      <c r="O20" s="8"/>
      <c r="P20" s="5"/>
      <c r="Q20" s="5"/>
      <c r="R20" s="5"/>
      <c r="S20" s="5"/>
      <c r="T20" s="5"/>
      <c r="U20" s="5"/>
    </row>
    <row r="21" spans="1:21">
      <c r="A21" s="1441" t="s">
        <v>258</v>
      </c>
      <c r="B21" s="1442"/>
      <c r="C21" s="1443"/>
      <c r="D21" s="118" t="s">
        <v>2</v>
      </c>
      <c r="E21" s="119">
        <f>2*PI()*0.6</f>
        <v>3.77</v>
      </c>
      <c r="F21" s="87"/>
      <c r="G21" s="231"/>
      <c r="H21" s="9"/>
      <c r="I21" s="34"/>
      <c r="J21" s="34"/>
      <c r="K21" s="35"/>
      <c r="L21" s="36"/>
      <c r="M21" s="7"/>
      <c r="N21" s="7"/>
      <c r="O21" s="19"/>
      <c r="P21" s="5"/>
      <c r="Q21" s="5"/>
      <c r="R21" s="5"/>
      <c r="S21" s="5"/>
      <c r="T21" s="5"/>
      <c r="U21" s="5"/>
    </row>
    <row r="22" spans="1:21">
      <c r="A22" s="1444" t="s">
        <v>259</v>
      </c>
      <c r="B22" s="1403"/>
      <c r="C22" s="1404"/>
      <c r="D22" s="116" t="s">
        <v>119</v>
      </c>
      <c r="E22" s="117">
        <f>1/(0.08*0.14)*E21</f>
        <v>336.61</v>
      </c>
      <c r="F22" s="91">
        <v>1000</v>
      </c>
      <c r="G22" s="67">
        <f>+F22*E22</f>
        <v>336610</v>
      </c>
      <c r="H22" s="9"/>
      <c r="I22" s="10"/>
      <c r="J22" s="10"/>
      <c r="K22" s="12"/>
      <c r="L22" s="39"/>
      <c r="M22" s="7"/>
      <c r="N22" s="7"/>
      <c r="O22" s="15"/>
      <c r="P22" s="5"/>
      <c r="Q22" s="5"/>
      <c r="R22" s="5"/>
      <c r="S22" s="5"/>
      <c r="T22" s="5"/>
      <c r="U22" s="5"/>
    </row>
    <row r="23" spans="1:21">
      <c r="A23" s="1386" t="s">
        <v>260</v>
      </c>
      <c r="B23" s="1353"/>
      <c r="C23" s="1353"/>
      <c r="D23" s="79" t="s">
        <v>44</v>
      </c>
      <c r="E23" s="82">
        <f>E22*(0.08*0.02+0.14*0.02)*0.26</f>
        <v>0.39</v>
      </c>
      <c r="F23" s="83">
        <f>'MORTERO DE PEGA'!G43</f>
        <v>334386</v>
      </c>
      <c r="G23" s="67">
        <f>+F23*E23</f>
        <v>130411</v>
      </c>
      <c r="H23" s="9"/>
      <c r="I23" s="10"/>
      <c r="J23" s="10"/>
      <c r="K23" s="12"/>
      <c r="L23" s="39"/>
      <c r="M23" s="7"/>
      <c r="N23" s="7"/>
      <c r="O23" s="15"/>
      <c r="P23" s="5"/>
      <c r="Q23" s="5"/>
      <c r="R23" s="5"/>
      <c r="S23" s="5"/>
      <c r="T23" s="5"/>
      <c r="U23" s="5"/>
    </row>
    <row r="24" spans="1:21" ht="27" customHeight="1">
      <c r="A24" s="1377" t="s">
        <v>261</v>
      </c>
      <c r="B24" s="1378"/>
      <c r="C24" s="1378"/>
      <c r="D24" s="81" t="s">
        <v>122</v>
      </c>
      <c r="E24" s="88">
        <f>1/0.4</f>
        <v>2.5</v>
      </c>
      <c r="F24" s="78">
        <f>10780</f>
        <v>10780</v>
      </c>
      <c r="G24" s="67">
        <f>+F24*E24</f>
        <v>26950</v>
      </c>
      <c r="H24" s="9"/>
      <c r="I24" s="10"/>
      <c r="J24" s="40"/>
      <c r="K24" s="12"/>
      <c r="L24" s="13"/>
      <c r="M24" s="14"/>
      <c r="N24" s="14"/>
      <c r="O24" s="15"/>
      <c r="P24" s="5"/>
      <c r="Q24" s="5"/>
      <c r="R24" s="5"/>
      <c r="S24" s="5"/>
      <c r="T24" s="5"/>
      <c r="U24" s="5"/>
    </row>
    <row r="25" spans="1:21">
      <c r="A25" s="1352" t="s">
        <v>262</v>
      </c>
      <c r="B25" s="1353"/>
      <c r="C25" s="1353"/>
      <c r="D25" s="81" t="s">
        <v>122</v>
      </c>
      <c r="E25" s="82">
        <v>1</v>
      </c>
      <c r="F25" s="78">
        <f>61425/6*IPC</f>
        <v>10563</v>
      </c>
      <c r="G25" s="67">
        <f>+F25*E25</f>
        <v>10563</v>
      </c>
      <c r="H25" s="9"/>
      <c r="I25" s="10"/>
      <c r="J25" s="11"/>
      <c r="K25" s="12"/>
      <c r="L25" s="13"/>
      <c r="M25" s="14"/>
      <c r="N25" s="14"/>
      <c r="O25" s="15"/>
      <c r="P25" s="5"/>
      <c r="Q25" s="5"/>
      <c r="R25" s="5"/>
      <c r="S25" s="5"/>
      <c r="T25" s="5"/>
      <c r="U25" s="5"/>
    </row>
    <row r="26" spans="1:21">
      <c r="A26" s="1352" t="s">
        <v>263</v>
      </c>
      <c r="B26" s="1353"/>
      <c r="C26" s="1353"/>
      <c r="D26" s="79" t="s">
        <v>72</v>
      </c>
      <c r="E26" s="82">
        <f>E21*0.02</f>
        <v>0.08</v>
      </c>
      <c r="F26" s="78">
        <f>F23</f>
        <v>334386</v>
      </c>
      <c r="G26" s="67">
        <f>+F26*E26</f>
        <v>26751</v>
      </c>
      <c r="H26" s="9"/>
      <c r="I26" s="10"/>
      <c r="J26" s="11"/>
      <c r="K26" s="12"/>
      <c r="L26" s="13"/>
      <c r="M26" s="14"/>
      <c r="N26" s="14"/>
      <c r="O26" s="15"/>
      <c r="P26" s="5"/>
      <c r="Q26" s="5"/>
      <c r="R26" s="5"/>
      <c r="S26" s="5"/>
      <c r="T26" s="5"/>
      <c r="U26" s="5"/>
    </row>
    <row r="27" spans="1:21">
      <c r="A27" s="1352"/>
      <c r="B27" s="1353"/>
      <c r="C27" s="1353"/>
      <c r="D27" s="79"/>
      <c r="E27" s="82"/>
      <c r="F27" s="78"/>
      <c r="G27" s="231"/>
      <c r="H27" s="9"/>
      <c r="I27" s="10"/>
      <c r="J27" s="11"/>
      <c r="K27" s="12"/>
      <c r="L27" s="13"/>
      <c r="M27" s="14"/>
      <c r="N27" s="14"/>
      <c r="O27" s="15"/>
      <c r="P27" s="5"/>
      <c r="Q27" s="5"/>
      <c r="R27" s="5"/>
      <c r="S27" s="5"/>
      <c r="T27" s="5"/>
      <c r="U27" s="5"/>
    </row>
    <row r="28" spans="1:21">
      <c r="A28" s="1352"/>
      <c r="B28" s="1353"/>
      <c r="C28" s="1353"/>
      <c r="D28" s="79"/>
      <c r="E28" s="82"/>
      <c r="F28" s="83"/>
      <c r="G28" s="231"/>
      <c r="H28" s="9"/>
      <c r="I28" s="41"/>
      <c r="J28" s="41"/>
      <c r="K28" s="12"/>
      <c r="L28" s="13"/>
      <c r="M28" s="14"/>
      <c r="N28" s="14"/>
      <c r="O28" s="15"/>
      <c r="P28" s="5"/>
      <c r="Q28" s="5"/>
      <c r="R28" s="5"/>
      <c r="S28" s="5"/>
      <c r="T28" s="5"/>
      <c r="U28" s="5"/>
    </row>
    <row r="29" spans="1:21">
      <c r="A29" s="1352"/>
      <c r="B29" s="1353"/>
      <c r="C29" s="1353"/>
      <c r="D29" s="84"/>
      <c r="E29" s="84"/>
      <c r="F29" s="83"/>
      <c r="G29" s="231"/>
      <c r="H29" s="9"/>
      <c r="I29" s="42"/>
      <c r="J29" s="42"/>
      <c r="K29" s="42"/>
      <c r="L29" s="13"/>
      <c r="M29" s="14"/>
      <c r="N29" s="14"/>
      <c r="O29" s="15"/>
      <c r="P29" s="5"/>
      <c r="Q29" s="5"/>
      <c r="R29" s="5"/>
      <c r="S29" s="5"/>
      <c r="T29" s="5"/>
      <c r="U29" s="5"/>
    </row>
    <row r="30" spans="1:21">
      <c r="A30" s="1352"/>
      <c r="B30" s="1353"/>
      <c r="C30" s="1353"/>
      <c r="D30" s="85" t="s">
        <v>28</v>
      </c>
      <c r="E30" s="50"/>
      <c r="F30" s="49"/>
      <c r="G30" s="230">
        <f>SUM(G21:G29)</f>
        <v>531285</v>
      </c>
      <c r="H30" s="9"/>
      <c r="I30" s="8"/>
      <c r="J30" s="13"/>
      <c r="K30" s="8"/>
      <c r="L30" s="13"/>
      <c r="M30" s="14"/>
      <c r="N30" s="14"/>
      <c r="O30" s="15"/>
      <c r="P30" s="5"/>
    </row>
    <row r="31" spans="1:21" ht="3.75" customHeight="1">
      <c r="A31" s="226"/>
      <c r="B31" s="4"/>
      <c r="C31" s="6"/>
      <c r="D31" s="4"/>
      <c r="E31" s="4"/>
      <c r="F31" s="4"/>
      <c r="G31" s="227"/>
      <c r="H31" s="9"/>
      <c r="I31" s="8"/>
      <c r="J31" s="13"/>
      <c r="K31" s="18"/>
      <c r="L31" s="13"/>
      <c r="M31" s="33"/>
      <c r="N31" s="33"/>
      <c r="O31" s="15"/>
      <c r="P31" s="5"/>
    </row>
    <row r="32" spans="1:21" ht="22.5" customHeight="1">
      <c r="A32" s="1354" t="s">
        <v>71</v>
      </c>
      <c r="B32" s="1355"/>
      <c r="C32" s="1355"/>
      <c r="D32" s="1355"/>
      <c r="E32" s="1355"/>
      <c r="F32" s="1355"/>
      <c r="G32" s="1356"/>
      <c r="H32" s="9"/>
    </row>
    <row r="33" spans="1:16" ht="3.75" customHeight="1">
      <c r="A33" s="226"/>
      <c r="B33" s="4"/>
      <c r="C33" s="6"/>
      <c r="D33" s="4"/>
      <c r="E33" s="4"/>
      <c r="F33" s="4"/>
      <c r="G33" s="227"/>
      <c r="H33" s="9"/>
      <c r="I33" s="8"/>
      <c r="J33" s="13"/>
      <c r="K33" s="8"/>
      <c r="L33" s="8"/>
      <c r="M33" s="8"/>
      <c r="N33" s="8"/>
      <c r="O33" s="15"/>
      <c r="P33" s="5"/>
    </row>
    <row r="34" spans="1:16">
      <c r="A34" s="232" t="s">
        <v>5</v>
      </c>
      <c r="B34" s="60" t="s">
        <v>29</v>
      </c>
      <c r="C34" s="60" t="s">
        <v>30</v>
      </c>
      <c r="D34" s="60" t="s">
        <v>31</v>
      </c>
      <c r="E34" s="60" t="s">
        <v>32</v>
      </c>
      <c r="F34" s="60" t="s">
        <v>20</v>
      </c>
      <c r="G34" s="228" t="s">
        <v>33</v>
      </c>
      <c r="H34" s="27"/>
      <c r="I34" s="8"/>
      <c r="J34" s="13"/>
      <c r="K34" s="8"/>
      <c r="L34" s="8"/>
      <c r="M34" s="8"/>
      <c r="N34" s="8"/>
      <c r="O34" s="15"/>
      <c r="P34" s="5"/>
    </row>
    <row r="35" spans="1:16">
      <c r="A35" s="233" t="s">
        <v>41</v>
      </c>
      <c r="B35" s="63">
        <f>BOF</f>
        <v>51749</v>
      </c>
      <c r="C35" s="68">
        <f>ffpp</f>
        <v>0.64539999999999997</v>
      </c>
      <c r="D35" s="72">
        <v>1</v>
      </c>
      <c r="E35" s="66">
        <f>OF</f>
        <v>88696</v>
      </c>
      <c r="F35" s="65">
        <v>6</v>
      </c>
      <c r="G35" s="231">
        <f>ROUND(+D35*E35/F35,0)</f>
        <v>14783</v>
      </c>
      <c r="H35" s="9"/>
      <c r="I35" s="16"/>
      <c r="J35" s="13"/>
      <c r="K35" s="8"/>
      <c r="L35" s="8"/>
      <c r="M35" s="8"/>
      <c r="N35" s="8"/>
      <c r="O35" s="15"/>
      <c r="P35" s="5"/>
    </row>
    <row r="36" spans="1:16">
      <c r="A36" s="233" t="s">
        <v>38</v>
      </c>
      <c r="B36" s="63">
        <f>BOB</f>
        <v>41749</v>
      </c>
      <c r="C36" s="68">
        <f>ffpp</f>
        <v>0.64539999999999997</v>
      </c>
      <c r="D36" s="72">
        <v>3</v>
      </c>
      <c r="E36" s="66">
        <f>OB</f>
        <v>72242</v>
      </c>
      <c r="F36" s="65">
        <f>F35</f>
        <v>6</v>
      </c>
      <c r="G36" s="231">
        <f>ROUND(+D36*E36/F36,0)</f>
        <v>36121</v>
      </c>
      <c r="H36" s="9"/>
      <c r="I36" s="8"/>
      <c r="J36" s="8"/>
      <c r="K36" s="13"/>
      <c r="L36" s="13"/>
      <c r="M36" s="13"/>
      <c r="N36" s="13"/>
      <c r="O36" s="13"/>
      <c r="P36" s="5"/>
    </row>
    <row r="37" spans="1:16">
      <c r="A37" s="234"/>
      <c r="B37" s="50"/>
      <c r="C37" s="961"/>
      <c r="D37" s="50"/>
      <c r="E37" s="66"/>
      <c r="F37" s="65"/>
      <c r="G37" s="231"/>
      <c r="H37" s="9"/>
      <c r="I37" s="8"/>
      <c r="J37" s="13"/>
      <c r="K37" s="13"/>
      <c r="L37" s="13"/>
      <c r="M37" s="33"/>
      <c r="N37" s="33"/>
      <c r="O37" s="43"/>
      <c r="P37" s="5"/>
    </row>
    <row r="38" spans="1:16">
      <c r="A38" s="233"/>
      <c r="B38" s="65"/>
      <c r="C38" s="68"/>
      <c r="D38" s="65"/>
      <c r="E38" s="69"/>
      <c r="F38" s="69"/>
      <c r="G38" s="236"/>
      <c r="H38" s="9"/>
      <c r="I38" s="8"/>
      <c r="J38" s="13"/>
      <c r="K38" s="13"/>
      <c r="L38" s="13"/>
      <c r="M38" s="33"/>
      <c r="N38" s="33"/>
      <c r="O38" s="43"/>
      <c r="P38" s="5"/>
    </row>
    <row r="39" spans="1:16">
      <c r="A39" s="249"/>
      <c r="B39" s="71"/>
      <c r="C39" s="71"/>
      <c r="D39" s="71" t="s">
        <v>34</v>
      </c>
      <c r="E39" s="71"/>
      <c r="F39" s="71"/>
      <c r="G39" s="250">
        <f>SUM(G35:G38)</f>
        <v>50904</v>
      </c>
      <c r="H39" s="9"/>
      <c r="I39" s="8"/>
      <c r="J39" s="13"/>
      <c r="K39" s="13"/>
      <c r="L39" s="13"/>
      <c r="M39" s="14"/>
      <c r="N39" s="14"/>
      <c r="O39" s="15"/>
      <c r="P39" s="5"/>
    </row>
    <row r="40" spans="1:16">
      <c r="A40" s="226"/>
      <c r="B40" s="4"/>
      <c r="C40" s="6"/>
      <c r="D40" s="4"/>
      <c r="E40" s="4"/>
      <c r="F40" s="4"/>
      <c r="G40" s="227"/>
      <c r="H40" s="9"/>
      <c r="I40" s="8"/>
      <c r="J40" s="13"/>
      <c r="K40" s="13"/>
      <c r="L40" s="13"/>
      <c r="M40" s="14"/>
      <c r="N40" s="14"/>
      <c r="O40" s="19"/>
      <c r="P40" s="5"/>
    </row>
    <row r="41" spans="1:16">
      <c r="A41" s="226"/>
      <c r="B41" s="4"/>
      <c r="C41" s="6"/>
      <c r="D41" s="4"/>
      <c r="E41" s="4"/>
      <c r="F41" s="4"/>
      <c r="G41" s="227"/>
      <c r="H41" s="9"/>
      <c r="I41" s="8"/>
      <c r="J41" s="13"/>
      <c r="K41" s="13"/>
      <c r="L41" s="13"/>
      <c r="M41" s="17"/>
      <c r="N41" s="17"/>
      <c r="O41" s="37"/>
      <c r="P41" s="5"/>
    </row>
    <row r="42" spans="1:16" ht="14.25">
      <c r="A42" s="226"/>
      <c r="B42" s="4"/>
      <c r="C42" s="6"/>
      <c r="D42" s="1357" t="s">
        <v>35</v>
      </c>
      <c r="E42" s="1358"/>
      <c r="F42" s="1359"/>
      <c r="G42" s="239">
        <f>+G39+G30+G16</f>
        <v>587279</v>
      </c>
      <c r="H42" s="9"/>
      <c r="I42" s="48"/>
      <c r="J42" s="20"/>
      <c r="K42" s="8"/>
      <c r="L42" s="8"/>
      <c r="M42" s="8"/>
      <c r="N42" s="8"/>
      <c r="O42" s="8"/>
      <c r="P42" s="5"/>
    </row>
    <row r="43" spans="1:16" ht="14.25">
      <c r="A43" s="240"/>
      <c r="B43" s="57"/>
      <c r="C43" s="58"/>
      <c r="D43" s="99"/>
      <c r="E43" s="99"/>
      <c r="F43" s="99"/>
      <c r="G43" s="251"/>
      <c r="H43" s="9"/>
      <c r="I43" s="48"/>
      <c r="J43" s="20"/>
      <c r="K43" s="8"/>
      <c r="L43" s="8"/>
      <c r="M43" s="8"/>
      <c r="N43" s="8"/>
      <c r="O43" s="8"/>
      <c r="P43" s="5"/>
    </row>
    <row r="44" spans="1:16" ht="14.25">
      <c r="A44" s="374"/>
      <c r="B44" s="375"/>
      <c r="C44" s="375"/>
      <c r="D44" s="99"/>
      <c r="E44" s="99"/>
      <c r="F44" s="99"/>
      <c r="G44" s="251"/>
      <c r="H44" s="9"/>
      <c r="I44" s="48"/>
      <c r="J44" s="20"/>
      <c r="K44" s="8"/>
      <c r="L44" s="8"/>
      <c r="M44" s="8"/>
      <c r="N44" s="8"/>
      <c r="O44" s="8"/>
      <c r="P44" s="5"/>
    </row>
    <row r="45" spans="1:16" ht="14.25">
      <c r="A45" s="373"/>
      <c r="B45" s="376"/>
      <c r="C45" s="376"/>
      <c r="D45" s="99"/>
      <c r="E45" s="99"/>
      <c r="F45" s="99"/>
      <c r="G45" s="251"/>
      <c r="H45" s="9"/>
      <c r="I45" s="48"/>
      <c r="J45" s="20"/>
      <c r="K45" s="8"/>
      <c r="L45" s="8"/>
      <c r="M45" s="8"/>
      <c r="N45" s="8"/>
      <c r="O45" s="8"/>
      <c r="P45" s="5"/>
    </row>
    <row r="46" spans="1:16" ht="14.25">
      <c r="A46" s="373"/>
      <c r="B46" s="376"/>
      <c r="C46" s="376"/>
      <c r="D46" s="44"/>
      <c r="E46" s="45"/>
      <c r="F46" s="45"/>
      <c r="G46" s="251"/>
      <c r="H46" s="9"/>
      <c r="I46" s="8"/>
      <c r="J46" s="13"/>
      <c r="K46" s="8"/>
      <c r="L46" s="8"/>
      <c r="M46" s="8"/>
      <c r="N46" s="8"/>
      <c r="O46" s="8"/>
      <c r="P46" s="5"/>
    </row>
    <row r="47" spans="1:16" ht="15" thickBot="1">
      <c r="A47" s="242"/>
      <c r="B47" s="243"/>
      <c r="C47" s="244"/>
      <c r="D47" s="245"/>
      <c r="E47" s="246"/>
      <c r="F47" s="246"/>
      <c r="G47" s="247"/>
      <c r="H47" s="9"/>
      <c r="I47" s="8"/>
      <c r="J47" s="13"/>
      <c r="K47" s="8"/>
      <c r="L47" s="8"/>
      <c r="M47" s="8"/>
      <c r="N47" s="8"/>
      <c r="O47" s="8"/>
      <c r="P47" s="5"/>
    </row>
    <row r="48" spans="1:16">
      <c r="I48" s="5"/>
      <c r="J48" s="5"/>
      <c r="K48" s="5"/>
      <c r="L48" s="5"/>
      <c r="M48" s="5"/>
      <c r="N48" s="5"/>
      <c r="O48" s="5"/>
      <c r="P48" s="5"/>
    </row>
    <row r="49" spans="9:16">
      <c r="I49" s="5"/>
      <c r="J49" s="5"/>
      <c r="K49" s="5"/>
      <c r="L49" s="5"/>
      <c r="M49" s="5"/>
      <c r="N49" s="5"/>
      <c r="O49" s="5"/>
      <c r="P49" s="5"/>
    </row>
  </sheetData>
  <mergeCells count="26">
    <mergeCell ref="A32:G32"/>
    <mergeCell ref="D42:F42"/>
    <mergeCell ref="A25:C25"/>
    <mergeCell ref="A26:C26"/>
    <mergeCell ref="A27:C27"/>
    <mergeCell ref="A28:C28"/>
    <mergeCell ref="A29:C29"/>
    <mergeCell ref="A30:C30"/>
    <mergeCell ref="A24:C24"/>
    <mergeCell ref="A11:C11"/>
    <mergeCell ref="A12:C12"/>
    <mergeCell ref="A13:C13"/>
    <mergeCell ref="A14:C14"/>
    <mergeCell ref="A15:C15"/>
    <mergeCell ref="A16:C16"/>
    <mergeCell ref="A18:G18"/>
    <mergeCell ref="A20:C20"/>
    <mergeCell ref="A21:C21"/>
    <mergeCell ref="A22:C22"/>
    <mergeCell ref="A23:C23"/>
    <mergeCell ref="A10:C10"/>
    <mergeCell ref="A1:G1"/>
    <mergeCell ref="A2:G2"/>
    <mergeCell ref="A3:G4"/>
    <mergeCell ref="B6:E6"/>
    <mergeCell ref="A8:G8"/>
  </mergeCells>
  <printOptions horizontalCentered="1" verticalCentered="1"/>
  <pageMargins left="0.74803149606299213" right="0.74803149606299213" top="0" bottom="0.98425196850393704" header="0" footer="0"/>
  <pageSetup scale="90" orientation="portrait" r:id="rId1"/>
  <headerFooter alignWithMargins="0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5"/>
  <dimension ref="A1:U49"/>
  <sheetViews>
    <sheetView view="pageBreakPreview" zoomScaleNormal="100" zoomScaleSheetLayoutView="100" workbookViewId="0">
      <selection activeCell="I7" sqref="I7"/>
    </sheetView>
  </sheetViews>
  <sheetFormatPr baseColWidth="10" defaultColWidth="10.7109375" defaultRowHeight="12.75"/>
  <cols>
    <col min="1" max="1" width="15.85546875" style="3" customWidth="1"/>
    <col min="2" max="2" width="14.85546875" style="3" customWidth="1"/>
    <col min="3" max="3" width="13.28515625" style="3" customWidth="1"/>
    <col min="4" max="4" width="11.42578125" style="3"/>
    <col min="5" max="5" width="13.42578125" style="3" customWidth="1"/>
    <col min="6" max="6" width="12.7109375" style="3" customWidth="1"/>
    <col min="7" max="7" width="14" style="3" customWidth="1"/>
    <col min="8" max="8" width="7.42578125" style="3" customWidth="1"/>
    <col min="9" max="256" width="11.42578125" style="3"/>
    <col min="257" max="257" width="15.85546875" style="3" customWidth="1"/>
    <col min="258" max="258" width="14.85546875" style="3" customWidth="1"/>
    <col min="259" max="259" width="13.28515625" style="3" customWidth="1"/>
    <col min="260" max="260" width="11.42578125" style="3"/>
    <col min="261" max="261" width="13.42578125" style="3" customWidth="1"/>
    <col min="262" max="262" width="12.7109375" style="3" customWidth="1"/>
    <col min="263" max="263" width="14" style="3" customWidth="1"/>
    <col min="264" max="264" width="7.42578125" style="3" customWidth="1"/>
    <col min="265" max="512" width="11.42578125" style="3"/>
    <col min="513" max="513" width="15.85546875" style="3" customWidth="1"/>
    <col min="514" max="514" width="14.85546875" style="3" customWidth="1"/>
    <col min="515" max="515" width="13.28515625" style="3" customWidth="1"/>
    <col min="516" max="516" width="11.42578125" style="3"/>
    <col min="517" max="517" width="13.42578125" style="3" customWidth="1"/>
    <col min="518" max="518" width="12.7109375" style="3" customWidth="1"/>
    <col min="519" max="519" width="14" style="3" customWidth="1"/>
    <col min="520" max="520" width="7.42578125" style="3" customWidth="1"/>
    <col min="521" max="768" width="11.42578125" style="3"/>
    <col min="769" max="769" width="15.85546875" style="3" customWidth="1"/>
    <col min="770" max="770" width="14.85546875" style="3" customWidth="1"/>
    <col min="771" max="771" width="13.28515625" style="3" customWidth="1"/>
    <col min="772" max="772" width="11.42578125" style="3"/>
    <col min="773" max="773" width="13.42578125" style="3" customWidth="1"/>
    <col min="774" max="774" width="12.7109375" style="3" customWidth="1"/>
    <col min="775" max="775" width="14" style="3" customWidth="1"/>
    <col min="776" max="776" width="7.42578125" style="3" customWidth="1"/>
    <col min="777" max="1024" width="11.42578125" style="3"/>
    <col min="1025" max="1025" width="15.85546875" style="3" customWidth="1"/>
    <col min="1026" max="1026" width="14.85546875" style="3" customWidth="1"/>
    <col min="1027" max="1027" width="13.28515625" style="3" customWidth="1"/>
    <col min="1028" max="1028" width="11.42578125" style="3"/>
    <col min="1029" max="1029" width="13.42578125" style="3" customWidth="1"/>
    <col min="1030" max="1030" width="12.7109375" style="3" customWidth="1"/>
    <col min="1031" max="1031" width="14" style="3" customWidth="1"/>
    <col min="1032" max="1032" width="7.42578125" style="3" customWidth="1"/>
    <col min="1033" max="1280" width="11.42578125" style="3"/>
    <col min="1281" max="1281" width="15.85546875" style="3" customWidth="1"/>
    <col min="1282" max="1282" width="14.85546875" style="3" customWidth="1"/>
    <col min="1283" max="1283" width="13.28515625" style="3" customWidth="1"/>
    <col min="1284" max="1284" width="11.42578125" style="3"/>
    <col min="1285" max="1285" width="13.42578125" style="3" customWidth="1"/>
    <col min="1286" max="1286" width="12.7109375" style="3" customWidth="1"/>
    <col min="1287" max="1287" width="14" style="3" customWidth="1"/>
    <col min="1288" max="1288" width="7.42578125" style="3" customWidth="1"/>
    <col min="1289" max="1536" width="11.42578125" style="3"/>
    <col min="1537" max="1537" width="15.85546875" style="3" customWidth="1"/>
    <col min="1538" max="1538" width="14.85546875" style="3" customWidth="1"/>
    <col min="1539" max="1539" width="13.28515625" style="3" customWidth="1"/>
    <col min="1540" max="1540" width="11.42578125" style="3"/>
    <col min="1541" max="1541" width="13.42578125" style="3" customWidth="1"/>
    <col min="1542" max="1542" width="12.7109375" style="3" customWidth="1"/>
    <col min="1543" max="1543" width="14" style="3" customWidth="1"/>
    <col min="1544" max="1544" width="7.42578125" style="3" customWidth="1"/>
    <col min="1545" max="1792" width="11.42578125" style="3"/>
    <col min="1793" max="1793" width="15.85546875" style="3" customWidth="1"/>
    <col min="1794" max="1794" width="14.85546875" style="3" customWidth="1"/>
    <col min="1795" max="1795" width="13.28515625" style="3" customWidth="1"/>
    <col min="1796" max="1796" width="11.42578125" style="3"/>
    <col min="1797" max="1797" width="13.42578125" style="3" customWidth="1"/>
    <col min="1798" max="1798" width="12.7109375" style="3" customWidth="1"/>
    <col min="1799" max="1799" width="14" style="3" customWidth="1"/>
    <col min="1800" max="1800" width="7.42578125" style="3" customWidth="1"/>
    <col min="1801" max="2048" width="11.42578125" style="3"/>
    <col min="2049" max="2049" width="15.85546875" style="3" customWidth="1"/>
    <col min="2050" max="2050" width="14.85546875" style="3" customWidth="1"/>
    <col min="2051" max="2051" width="13.28515625" style="3" customWidth="1"/>
    <col min="2052" max="2052" width="11.42578125" style="3"/>
    <col min="2053" max="2053" width="13.42578125" style="3" customWidth="1"/>
    <col min="2054" max="2054" width="12.7109375" style="3" customWidth="1"/>
    <col min="2055" max="2055" width="14" style="3" customWidth="1"/>
    <col min="2056" max="2056" width="7.42578125" style="3" customWidth="1"/>
    <col min="2057" max="2304" width="11.42578125" style="3"/>
    <col min="2305" max="2305" width="15.85546875" style="3" customWidth="1"/>
    <col min="2306" max="2306" width="14.85546875" style="3" customWidth="1"/>
    <col min="2307" max="2307" width="13.28515625" style="3" customWidth="1"/>
    <col min="2308" max="2308" width="11.42578125" style="3"/>
    <col min="2309" max="2309" width="13.42578125" style="3" customWidth="1"/>
    <col min="2310" max="2310" width="12.7109375" style="3" customWidth="1"/>
    <col min="2311" max="2311" width="14" style="3" customWidth="1"/>
    <col min="2312" max="2312" width="7.42578125" style="3" customWidth="1"/>
    <col min="2313" max="2560" width="11.42578125" style="3"/>
    <col min="2561" max="2561" width="15.85546875" style="3" customWidth="1"/>
    <col min="2562" max="2562" width="14.85546875" style="3" customWidth="1"/>
    <col min="2563" max="2563" width="13.28515625" style="3" customWidth="1"/>
    <col min="2564" max="2564" width="11.42578125" style="3"/>
    <col min="2565" max="2565" width="13.42578125" style="3" customWidth="1"/>
    <col min="2566" max="2566" width="12.7109375" style="3" customWidth="1"/>
    <col min="2567" max="2567" width="14" style="3" customWidth="1"/>
    <col min="2568" max="2568" width="7.42578125" style="3" customWidth="1"/>
    <col min="2569" max="2816" width="11.42578125" style="3"/>
    <col min="2817" max="2817" width="15.85546875" style="3" customWidth="1"/>
    <col min="2818" max="2818" width="14.85546875" style="3" customWidth="1"/>
    <col min="2819" max="2819" width="13.28515625" style="3" customWidth="1"/>
    <col min="2820" max="2820" width="11.42578125" style="3"/>
    <col min="2821" max="2821" width="13.42578125" style="3" customWidth="1"/>
    <col min="2822" max="2822" width="12.7109375" style="3" customWidth="1"/>
    <col min="2823" max="2823" width="14" style="3" customWidth="1"/>
    <col min="2824" max="2824" width="7.42578125" style="3" customWidth="1"/>
    <col min="2825" max="3072" width="11.42578125" style="3"/>
    <col min="3073" max="3073" width="15.85546875" style="3" customWidth="1"/>
    <col min="3074" max="3074" width="14.85546875" style="3" customWidth="1"/>
    <col min="3075" max="3075" width="13.28515625" style="3" customWidth="1"/>
    <col min="3076" max="3076" width="11.42578125" style="3"/>
    <col min="3077" max="3077" width="13.42578125" style="3" customWidth="1"/>
    <col min="3078" max="3078" width="12.7109375" style="3" customWidth="1"/>
    <col min="3079" max="3079" width="14" style="3" customWidth="1"/>
    <col min="3080" max="3080" width="7.42578125" style="3" customWidth="1"/>
    <col min="3081" max="3328" width="11.42578125" style="3"/>
    <col min="3329" max="3329" width="15.85546875" style="3" customWidth="1"/>
    <col min="3330" max="3330" width="14.85546875" style="3" customWidth="1"/>
    <col min="3331" max="3331" width="13.28515625" style="3" customWidth="1"/>
    <col min="3332" max="3332" width="11.42578125" style="3"/>
    <col min="3333" max="3333" width="13.42578125" style="3" customWidth="1"/>
    <col min="3334" max="3334" width="12.7109375" style="3" customWidth="1"/>
    <col min="3335" max="3335" width="14" style="3" customWidth="1"/>
    <col min="3336" max="3336" width="7.42578125" style="3" customWidth="1"/>
    <col min="3337" max="3584" width="11.42578125" style="3"/>
    <col min="3585" max="3585" width="15.85546875" style="3" customWidth="1"/>
    <col min="3586" max="3586" width="14.85546875" style="3" customWidth="1"/>
    <col min="3587" max="3587" width="13.28515625" style="3" customWidth="1"/>
    <col min="3588" max="3588" width="11.42578125" style="3"/>
    <col min="3589" max="3589" width="13.42578125" style="3" customWidth="1"/>
    <col min="3590" max="3590" width="12.7109375" style="3" customWidth="1"/>
    <col min="3591" max="3591" width="14" style="3" customWidth="1"/>
    <col min="3592" max="3592" width="7.42578125" style="3" customWidth="1"/>
    <col min="3593" max="3840" width="11.42578125" style="3"/>
    <col min="3841" max="3841" width="15.85546875" style="3" customWidth="1"/>
    <col min="3842" max="3842" width="14.85546875" style="3" customWidth="1"/>
    <col min="3843" max="3843" width="13.28515625" style="3" customWidth="1"/>
    <col min="3844" max="3844" width="11.42578125" style="3"/>
    <col min="3845" max="3845" width="13.42578125" style="3" customWidth="1"/>
    <col min="3846" max="3846" width="12.7109375" style="3" customWidth="1"/>
    <col min="3847" max="3847" width="14" style="3" customWidth="1"/>
    <col min="3848" max="3848" width="7.42578125" style="3" customWidth="1"/>
    <col min="3849" max="4096" width="11.42578125" style="3"/>
    <col min="4097" max="4097" width="15.85546875" style="3" customWidth="1"/>
    <col min="4098" max="4098" width="14.85546875" style="3" customWidth="1"/>
    <col min="4099" max="4099" width="13.28515625" style="3" customWidth="1"/>
    <col min="4100" max="4100" width="11.42578125" style="3"/>
    <col min="4101" max="4101" width="13.42578125" style="3" customWidth="1"/>
    <col min="4102" max="4102" width="12.7109375" style="3" customWidth="1"/>
    <col min="4103" max="4103" width="14" style="3" customWidth="1"/>
    <col min="4104" max="4104" width="7.42578125" style="3" customWidth="1"/>
    <col min="4105" max="4352" width="11.42578125" style="3"/>
    <col min="4353" max="4353" width="15.85546875" style="3" customWidth="1"/>
    <col min="4354" max="4354" width="14.85546875" style="3" customWidth="1"/>
    <col min="4355" max="4355" width="13.28515625" style="3" customWidth="1"/>
    <col min="4356" max="4356" width="11.42578125" style="3"/>
    <col min="4357" max="4357" width="13.42578125" style="3" customWidth="1"/>
    <col min="4358" max="4358" width="12.7109375" style="3" customWidth="1"/>
    <col min="4359" max="4359" width="14" style="3" customWidth="1"/>
    <col min="4360" max="4360" width="7.42578125" style="3" customWidth="1"/>
    <col min="4361" max="4608" width="11.42578125" style="3"/>
    <col min="4609" max="4609" width="15.85546875" style="3" customWidth="1"/>
    <col min="4610" max="4610" width="14.85546875" style="3" customWidth="1"/>
    <col min="4611" max="4611" width="13.28515625" style="3" customWidth="1"/>
    <col min="4612" max="4612" width="11.42578125" style="3"/>
    <col min="4613" max="4613" width="13.42578125" style="3" customWidth="1"/>
    <col min="4614" max="4614" width="12.7109375" style="3" customWidth="1"/>
    <col min="4615" max="4615" width="14" style="3" customWidth="1"/>
    <col min="4616" max="4616" width="7.42578125" style="3" customWidth="1"/>
    <col min="4617" max="4864" width="11.42578125" style="3"/>
    <col min="4865" max="4865" width="15.85546875" style="3" customWidth="1"/>
    <col min="4866" max="4866" width="14.85546875" style="3" customWidth="1"/>
    <col min="4867" max="4867" width="13.28515625" style="3" customWidth="1"/>
    <col min="4868" max="4868" width="11.42578125" style="3"/>
    <col min="4869" max="4869" width="13.42578125" style="3" customWidth="1"/>
    <col min="4870" max="4870" width="12.7109375" style="3" customWidth="1"/>
    <col min="4871" max="4871" width="14" style="3" customWidth="1"/>
    <col min="4872" max="4872" width="7.42578125" style="3" customWidth="1"/>
    <col min="4873" max="5120" width="11.42578125" style="3"/>
    <col min="5121" max="5121" width="15.85546875" style="3" customWidth="1"/>
    <col min="5122" max="5122" width="14.85546875" style="3" customWidth="1"/>
    <col min="5123" max="5123" width="13.28515625" style="3" customWidth="1"/>
    <col min="5124" max="5124" width="11.42578125" style="3"/>
    <col min="5125" max="5125" width="13.42578125" style="3" customWidth="1"/>
    <col min="5126" max="5126" width="12.7109375" style="3" customWidth="1"/>
    <col min="5127" max="5127" width="14" style="3" customWidth="1"/>
    <col min="5128" max="5128" width="7.42578125" style="3" customWidth="1"/>
    <col min="5129" max="5376" width="11.42578125" style="3"/>
    <col min="5377" max="5377" width="15.85546875" style="3" customWidth="1"/>
    <col min="5378" max="5378" width="14.85546875" style="3" customWidth="1"/>
    <col min="5379" max="5379" width="13.28515625" style="3" customWidth="1"/>
    <col min="5380" max="5380" width="11.42578125" style="3"/>
    <col min="5381" max="5381" width="13.42578125" style="3" customWidth="1"/>
    <col min="5382" max="5382" width="12.7109375" style="3" customWidth="1"/>
    <col min="5383" max="5383" width="14" style="3" customWidth="1"/>
    <col min="5384" max="5384" width="7.42578125" style="3" customWidth="1"/>
    <col min="5385" max="5632" width="11.42578125" style="3"/>
    <col min="5633" max="5633" width="15.85546875" style="3" customWidth="1"/>
    <col min="5634" max="5634" width="14.85546875" style="3" customWidth="1"/>
    <col min="5635" max="5635" width="13.28515625" style="3" customWidth="1"/>
    <col min="5636" max="5636" width="11.42578125" style="3"/>
    <col min="5637" max="5637" width="13.42578125" style="3" customWidth="1"/>
    <col min="5638" max="5638" width="12.7109375" style="3" customWidth="1"/>
    <col min="5639" max="5639" width="14" style="3" customWidth="1"/>
    <col min="5640" max="5640" width="7.42578125" style="3" customWidth="1"/>
    <col min="5641" max="5888" width="11.42578125" style="3"/>
    <col min="5889" max="5889" width="15.85546875" style="3" customWidth="1"/>
    <col min="5890" max="5890" width="14.85546875" style="3" customWidth="1"/>
    <col min="5891" max="5891" width="13.28515625" style="3" customWidth="1"/>
    <col min="5892" max="5892" width="11.42578125" style="3"/>
    <col min="5893" max="5893" width="13.42578125" style="3" customWidth="1"/>
    <col min="5894" max="5894" width="12.7109375" style="3" customWidth="1"/>
    <col min="5895" max="5895" width="14" style="3" customWidth="1"/>
    <col min="5896" max="5896" width="7.42578125" style="3" customWidth="1"/>
    <col min="5897" max="6144" width="11.42578125" style="3"/>
    <col min="6145" max="6145" width="15.85546875" style="3" customWidth="1"/>
    <col min="6146" max="6146" width="14.85546875" style="3" customWidth="1"/>
    <col min="6147" max="6147" width="13.28515625" style="3" customWidth="1"/>
    <col min="6148" max="6148" width="11.42578125" style="3"/>
    <col min="6149" max="6149" width="13.42578125" style="3" customWidth="1"/>
    <col min="6150" max="6150" width="12.7109375" style="3" customWidth="1"/>
    <col min="6151" max="6151" width="14" style="3" customWidth="1"/>
    <col min="6152" max="6152" width="7.42578125" style="3" customWidth="1"/>
    <col min="6153" max="6400" width="11.42578125" style="3"/>
    <col min="6401" max="6401" width="15.85546875" style="3" customWidth="1"/>
    <col min="6402" max="6402" width="14.85546875" style="3" customWidth="1"/>
    <col min="6403" max="6403" width="13.28515625" style="3" customWidth="1"/>
    <col min="6404" max="6404" width="11.42578125" style="3"/>
    <col min="6405" max="6405" width="13.42578125" style="3" customWidth="1"/>
    <col min="6406" max="6406" width="12.7109375" style="3" customWidth="1"/>
    <col min="6407" max="6407" width="14" style="3" customWidth="1"/>
    <col min="6408" max="6408" width="7.42578125" style="3" customWidth="1"/>
    <col min="6409" max="6656" width="11.42578125" style="3"/>
    <col min="6657" max="6657" width="15.85546875" style="3" customWidth="1"/>
    <col min="6658" max="6658" width="14.85546875" style="3" customWidth="1"/>
    <col min="6659" max="6659" width="13.28515625" style="3" customWidth="1"/>
    <col min="6660" max="6660" width="11.42578125" style="3"/>
    <col min="6661" max="6661" width="13.42578125" style="3" customWidth="1"/>
    <col min="6662" max="6662" width="12.7109375" style="3" customWidth="1"/>
    <col min="6663" max="6663" width="14" style="3" customWidth="1"/>
    <col min="6664" max="6664" width="7.42578125" style="3" customWidth="1"/>
    <col min="6665" max="6912" width="11.42578125" style="3"/>
    <col min="6913" max="6913" width="15.85546875" style="3" customWidth="1"/>
    <col min="6914" max="6914" width="14.85546875" style="3" customWidth="1"/>
    <col min="6915" max="6915" width="13.28515625" style="3" customWidth="1"/>
    <col min="6916" max="6916" width="11.42578125" style="3"/>
    <col min="6917" max="6917" width="13.42578125" style="3" customWidth="1"/>
    <col min="6918" max="6918" width="12.7109375" style="3" customWidth="1"/>
    <col min="6919" max="6919" width="14" style="3" customWidth="1"/>
    <col min="6920" max="6920" width="7.42578125" style="3" customWidth="1"/>
    <col min="6921" max="7168" width="11.42578125" style="3"/>
    <col min="7169" max="7169" width="15.85546875" style="3" customWidth="1"/>
    <col min="7170" max="7170" width="14.85546875" style="3" customWidth="1"/>
    <col min="7171" max="7171" width="13.28515625" style="3" customWidth="1"/>
    <col min="7172" max="7172" width="11.42578125" style="3"/>
    <col min="7173" max="7173" width="13.42578125" style="3" customWidth="1"/>
    <col min="7174" max="7174" width="12.7109375" style="3" customWidth="1"/>
    <col min="7175" max="7175" width="14" style="3" customWidth="1"/>
    <col min="7176" max="7176" width="7.42578125" style="3" customWidth="1"/>
    <col min="7177" max="7424" width="11.42578125" style="3"/>
    <col min="7425" max="7425" width="15.85546875" style="3" customWidth="1"/>
    <col min="7426" max="7426" width="14.85546875" style="3" customWidth="1"/>
    <col min="7427" max="7427" width="13.28515625" style="3" customWidth="1"/>
    <col min="7428" max="7428" width="11.42578125" style="3"/>
    <col min="7429" max="7429" width="13.42578125" style="3" customWidth="1"/>
    <col min="7430" max="7430" width="12.7109375" style="3" customWidth="1"/>
    <col min="7431" max="7431" width="14" style="3" customWidth="1"/>
    <col min="7432" max="7432" width="7.42578125" style="3" customWidth="1"/>
    <col min="7433" max="7680" width="11.42578125" style="3"/>
    <col min="7681" max="7681" width="15.85546875" style="3" customWidth="1"/>
    <col min="7682" max="7682" width="14.85546875" style="3" customWidth="1"/>
    <col min="7683" max="7683" width="13.28515625" style="3" customWidth="1"/>
    <col min="7684" max="7684" width="11.42578125" style="3"/>
    <col min="7685" max="7685" width="13.42578125" style="3" customWidth="1"/>
    <col min="7686" max="7686" width="12.7109375" style="3" customWidth="1"/>
    <col min="7687" max="7687" width="14" style="3" customWidth="1"/>
    <col min="7688" max="7688" width="7.42578125" style="3" customWidth="1"/>
    <col min="7689" max="7936" width="11.42578125" style="3"/>
    <col min="7937" max="7937" width="15.85546875" style="3" customWidth="1"/>
    <col min="7938" max="7938" width="14.85546875" style="3" customWidth="1"/>
    <col min="7939" max="7939" width="13.28515625" style="3" customWidth="1"/>
    <col min="7940" max="7940" width="11.42578125" style="3"/>
    <col min="7941" max="7941" width="13.42578125" style="3" customWidth="1"/>
    <col min="7942" max="7942" width="12.7109375" style="3" customWidth="1"/>
    <col min="7943" max="7943" width="14" style="3" customWidth="1"/>
    <col min="7944" max="7944" width="7.42578125" style="3" customWidth="1"/>
    <col min="7945" max="8192" width="11.42578125" style="3"/>
    <col min="8193" max="8193" width="15.85546875" style="3" customWidth="1"/>
    <col min="8194" max="8194" width="14.85546875" style="3" customWidth="1"/>
    <col min="8195" max="8195" width="13.28515625" style="3" customWidth="1"/>
    <col min="8196" max="8196" width="11.42578125" style="3"/>
    <col min="8197" max="8197" width="13.42578125" style="3" customWidth="1"/>
    <col min="8198" max="8198" width="12.7109375" style="3" customWidth="1"/>
    <col min="8199" max="8199" width="14" style="3" customWidth="1"/>
    <col min="8200" max="8200" width="7.42578125" style="3" customWidth="1"/>
    <col min="8201" max="8448" width="11.42578125" style="3"/>
    <col min="8449" max="8449" width="15.85546875" style="3" customWidth="1"/>
    <col min="8450" max="8450" width="14.85546875" style="3" customWidth="1"/>
    <col min="8451" max="8451" width="13.28515625" style="3" customWidth="1"/>
    <col min="8452" max="8452" width="11.42578125" style="3"/>
    <col min="8453" max="8453" width="13.42578125" style="3" customWidth="1"/>
    <col min="8454" max="8454" width="12.7109375" style="3" customWidth="1"/>
    <col min="8455" max="8455" width="14" style="3" customWidth="1"/>
    <col min="8456" max="8456" width="7.42578125" style="3" customWidth="1"/>
    <col min="8457" max="8704" width="11.42578125" style="3"/>
    <col min="8705" max="8705" width="15.85546875" style="3" customWidth="1"/>
    <col min="8706" max="8706" width="14.85546875" style="3" customWidth="1"/>
    <col min="8707" max="8707" width="13.28515625" style="3" customWidth="1"/>
    <col min="8708" max="8708" width="11.42578125" style="3"/>
    <col min="8709" max="8709" width="13.42578125" style="3" customWidth="1"/>
    <col min="8710" max="8710" width="12.7109375" style="3" customWidth="1"/>
    <col min="8711" max="8711" width="14" style="3" customWidth="1"/>
    <col min="8712" max="8712" width="7.42578125" style="3" customWidth="1"/>
    <col min="8713" max="8960" width="11.42578125" style="3"/>
    <col min="8961" max="8961" width="15.85546875" style="3" customWidth="1"/>
    <col min="8962" max="8962" width="14.85546875" style="3" customWidth="1"/>
    <col min="8963" max="8963" width="13.28515625" style="3" customWidth="1"/>
    <col min="8964" max="8964" width="11.42578125" style="3"/>
    <col min="8965" max="8965" width="13.42578125" style="3" customWidth="1"/>
    <col min="8966" max="8966" width="12.7109375" style="3" customWidth="1"/>
    <col min="8967" max="8967" width="14" style="3" customWidth="1"/>
    <col min="8968" max="8968" width="7.42578125" style="3" customWidth="1"/>
    <col min="8969" max="9216" width="11.42578125" style="3"/>
    <col min="9217" max="9217" width="15.85546875" style="3" customWidth="1"/>
    <col min="9218" max="9218" width="14.85546875" style="3" customWidth="1"/>
    <col min="9219" max="9219" width="13.28515625" style="3" customWidth="1"/>
    <col min="9220" max="9220" width="11.42578125" style="3"/>
    <col min="9221" max="9221" width="13.42578125" style="3" customWidth="1"/>
    <col min="9222" max="9222" width="12.7109375" style="3" customWidth="1"/>
    <col min="9223" max="9223" width="14" style="3" customWidth="1"/>
    <col min="9224" max="9224" width="7.42578125" style="3" customWidth="1"/>
    <col min="9225" max="9472" width="11.42578125" style="3"/>
    <col min="9473" max="9473" width="15.85546875" style="3" customWidth="1"/>
    <col min="9474" max="9474" width="14.85546875" style="3" customWidth="1"/>
    <col min="9475" max="9475" width="13.28515625" style="3" customWidth="1"/>
    <col min="9476" max="9476" width="11.42578125" style="3"/>
    <col min="9477" max="9477" width="13.42578125" style="3" customWidth="1"/>
    <col min="9478" max="9478" width="12.7109375" style="3" customWidth="1"/>
    <col min="9479" max="9479" width="14" style="3" customWidth="1"/>
    <col min="9480" max="9480" width="7.42578125" style="3" customWidth="1"/>
    <col min="9481" max="9728" width="11.42578125" style="3"/>
    <col min="9729" max="9729" width="15.85546875" style="3" customWidth="1"/>
    <col min="9730" max="9730" width="14.85546875" style="3" customWidth="1"/>
    <col min="9731" max="9731" width="13.28515625" style="3" customWidth="1"/>
    <col min="9732" max="9732" width="11.42578125" style="3"/>
    <col min="9733" max="9733" width="13.42578125" style="3" customWidth="1"/>
    <col min="9734" max="9734" width="12.7109375" style="3" customWidth="1"/>
    <col min="9735" max="9735" width="14" style="3" customWidth="1"/>
    <col min="9736" max="9736" width="7.42578125" style="3" customWidth="1"/>
    <col min="9737" max="9984" width="11.42578125" style="3"/>
    <col min="9985" max="9985" width="15.85546875" style="3" customWidth="1"/>
    <col min="9986" max="9986" width="14.85546875" style="3" customWidth="1"/>
    <col min="9987" max="9987" width="13.28515625" style="3" customWidth="1"/>
    <col min="9988" max="9988" width="11.42578125" style="3"/>
    <col min="9989" max="9989" width="13.42578125" style="3" customWidth="1"/>
    <col min="9990" max="9990" width="12.7109375" style="3" customWidth="1"/>
    <col min="9991" max="9991" width="14" style="3" customWidth="1"/>
    <col min="9992" max="9992" width="7.42578125" style="3" customWidth="1"/>
    <col min="9993" max="10240" width="11.42578125" style="3"/>
    <col min="10241" max="10241" width="15.85546875" style="3" customWidth="1"/>
    <col min="10242" max="10242" width="14.85546875" style="3" customWidth="1"/>
    <col min="10243" max="10243" width="13.28515625" style="3" customWidth="1"/>
    <col min="10244" max="10244" width="11.42578125" style="3"/>
    <col min="10245" max="10245" width="13.42578125" style="3" customWidth="1"/>
    <col min="10246" max="10246" width="12.7109375" style="3" customWidth="1"/>
    <col min="10247" max="10247" width="14" style="3" customWidth="1"/>
    <col min="10248" max="10248" width="7.42578125" style="3" customWidth="1"/>
    <col min="10249" max="10496" width="11.42578125" style="3"/>
    <col min="10497" max="10497" width="15.85546875" style="3" customWidth="1"/>
    <col min="10498" max="10498" width="14.85546875" style="3" customWidth="1"/>
    <col min="10499" max="10499" width="13.28515625" style="3" customWidth="1"/>
    <col min="10500" max="10500" width="11.42578125" style="3"/>
    <col min="10501" max="10501" width="13.42578125" style="3" customWidth="1"/>
    <col min="10502" max="10502" width="12.7109375" style="3" customWidth="1"/>
    <col min="10503" max="10503" width="14" style="3" customWidth="1"/>
    <col min="10504" max="10504" width="7.42578125" style="3" customWidth="1"/>
    <col min="10505" max="10752" width="11.42578125" style="3"/>
    <col min="10753" max="10753" width="15.85546875" style="3" customWidth="1"/>
    <col min="10754" max="10754" width="14.85546875" style="3" customWidth="1"/>
    <col min="10755" max="10755" width="13.28515625" style="3" customWidth="1"/>
    <col min="10756" max="10756" width="11.42578125" style="3"/>
    <col min="10757" max="10757" width="13.42578125" style="3" customWidth="1"/>
    <col min="10758" max="10758" width="12.7109375" style="3" customWidth="1"/>
    <col min="10759" max="10759" width="14" style="3" customWidth="1"/>
    <col min="10760" max="10760" width="7.42578125" style="3" customWidth="1"/>
    <col min="10761" max="11008" width="11.42578125" style="3"/>
    <col min="11009" max="11009" width="15.85546875" style="3" customWidth="1"/>
    <col min="11010" max="11010" width="14.85546875" style="3" customWidth="1"/>
    <col min="11011" max="11011" width="13.28515625" style="3" customWidth="1"/>
    <col min="11012" max="11012" width="11.42578125" style="3"/>
    <col min="11013" max="11013" width="13.42578125" style="3" customWidth="1"/>
    <col min="11014" max="11014" width="12.7109375" style="3" customWidth="1"/>
    <col min="11015" max="11015" width="14" style="3" customWidth="1"/>
    <col min="11016" max="11016" width="7.42578125" style="3" customWidth="1"/>
    <col min="11017" max="11264" width="11.42578125" style="3"/>
    <col min="11265" max="11265" width="15.85546875" style="3" customWidth="1"/>
    <col min="11266" max="11266" width="14.85546875" style="3" customWidth="1"/>
    <col min="11267" max="11267" width="13.28515625" style="3" customWidth="1"/>
    <col min="11268" max="11268" width="11.42578125" style="3"/>
    <col min="11269" max="11269" width="13.42578125" style="3" customWidth="1"/>
    <col min="11270" max="11270" width="12.7109375" style="3" customWidth="1"/>
    <col min="11271" max="11271" width="14" style="3" customWidth="1"/>
    <col min="11272" max="11272" width="7.42578125" style="3" customWidth="1"/>
    <col min="11273" max="11520" width="11.42578125" style="3"/>
    <col min="11521" max="11521" width="15.85546875" style="3" customWidth="1"/>
    <col min="11522" max="11522" width="14.85546875" style="3" customWidth="1"/>
    <col min="11523" max="11523" width="13.28515625" style="3" customWidth="1"/>
    <col min="11524" max="11524" width="11.42578125" style="3"/>
    <col min="11525" max="11525" width="13.42578125" style="3" customWidth="1"/>
    <col min="11526" max="11526" width="12.7109375" style="3" customWidth="1"/>
    <col min="11527" max="11527" width="14" style="3" customWidth="1"/>
    <col min="11528" max="11528" width="7.42578125" style="3" customWidth="1"/>
    <col min="11529" max="11776" width="11.42578125" style="3"/>
    <col min="11777" max="11777" width="15.85546875" style="3" customWidth="1"/>
    <col min="11778" max="11778" width="14.85546875" style="3" customWidth="1"/>
    <col min="11779" max="11779" width="13.28515625" style="3" customWidth="1"/>
    <col min="11780" max="11780" width="11.42578125" style="3"/>
    <col min="11781" max="11781" width="13.42578125" style="3" customWidth="1"/>
    <col min="11782" max="11782" width="12.7109375" style="3" customWidth="1"/>
    <col min="11783" max="11783" width="14" style="3" customWidth="1"/>
    <col min="11784" max="11784" width="7.42578125" style="3" customWidth="1"/>
    <col min="11785" max="12032" width="11.42578125" style="3"/>
    <col min="12033" max="12033" width="15.85546875" style="3" customWidth="1"/>
    <col min="12034" max="12034" width="14.85546875" style="3" customWidth="1"/>
    <col min="12035" max="12035" width="13.28515625" style="3" customWidth="1"/>
    <col min="12036" max="12036" width="11.42578125" style="3"/>
    <col min="12037" max="12037" width="13.42578125" style="3" customWidth="1"/>
    <col min="12038" max="12038" width="12.7109375" style="3" customWidth="1"/>
    <col min="12039" max="12039" width="14" style="3" customWidth="1"/>
    <col min="12040" max="12040" width="7.42578125" style="3" customWidth="1"/>
    <col min="12041" max="12288" width="11.42578125" style="3"/>
    <col min="12289" max="12289" width="15.85546875" style="3" customWidth="1"/>
    <col min="12290" max="12290" width="14.85546875" style="3" customWidth="1"/>
    <col min="12291" max="12291" width="13.28515625" style="3" customWidth="1"/>
    <col min="12292" max="12292" width="11.42578125" style="3"/>
    <col min="12293" max="12293" width="13.42578125" style="3" customWidth="1"/>
    <col min="12294" max="12294" width="12.7109375" style="3" customWidth="1"/>
    <col min="12295" max="12295" width="14" style="3" customWidth="1"/>
    <col min="12296" max="12296" width="7.42578125" style="3" customWidth="1"/>
    <col min="12297" max="12544" width="11.42578125" style="3"/>
    <col min="12545" max="12545" width="15.85546875" style="3" customWidth="1"/>
    <col min="12546" max="12546" width="14.85546875" style="3" customWidth="1"/>
    <col min="12547" max="12547" width="13.28515625" style="3" customWidth="1"/>
    <col min="12548" max="12548" width="11.42578125" style="3"/>
    <col min="12549" max="12549" width="13.42578125" style="3" customWidth="1"/>
    <col min="12550" max="12550" width="12.7109375" style="3" customWidth="1"/>
    <col min="12551" max="12551" width="14" style="3" customWidth="1"/>
    <col min="12552" max="12552" width="7.42578125" style="3" customWidth="1"/>
    <col min="12553" max="12800" width="11.42578125" style="3"/>
    <col min="12801" max="12801" width="15.85546875" style="3" customWidth="1"/>
    <col min="12802" max="12802" width="14.85546875" style="3" customWidth="1"/>
    <col min="12803" max="12803" width="13.28515625" style="3" customWidth="1"/>
    <col min="12804" max="12804" width="11.42578125" style="3"/>
    <col min="12805" max="12805" width="13.42578125" style="3" customWidth="1"/>
    <col min="12806" max="12806" width="12.7109375" style="3" customWidth="1"/>
    <col min="12807" max="12807" width="14" style="3" customWidth="1"/>
    <col min="12808" max="12808" width="7.42578125" style="3" customWidth="1"/>
    <col min="12809" max="13056" width="11.42578125" style="3"/>
    <col min="13057" max="13057" width="15.85546875" style="3" customWidth="1"/>
    <col min="13058" max="13058" width="14.85546875" style="3" customWidth="1"/>
    <col min="13059" max="13059" width="13.28515625" style="3" customWidth="1"/>
    <col min="13060" max="13060" width="11.42578125" style="3"/>
    <col min="13061" max="13061" width="13.42578125" style="3" customWidth="1"/>
    <col min="13062" max="13062" width="12.7109375" style="3" customWidth="1"/>
    <col min="13063" max="13063" width="14" style="3" customWidth="1"/>
    <col min="13064" max="13064" width="7.42578125" style="3" customWidth="1"/>
    <col min="13065" max="13312" width="11.42578125" style="3"/>
    <col min="13313" max="13313" width="15.85546875" style="3" customWidth="1"/>
    <col min="13314" max="13314" width="14.85546875" style="3" customWidth="1"/>
    <col min="13315" max="13315" width="13.28515625" style="3" customWidth="1"/>
    <col min="13316" max="13316" width="11.42578125" style="3"/>
    <col min="13317" max="13317" width="13.42578125" style="3" customWidth="1"/>
    <col min="13318" max="13318" width="12.7109375" style="3" customWidth="1"/>
    <col min="13319" max="13319" width="14" style="3" customWidth="1"/>
    <col min="13320" max="13320" width="7.42578125" style="3" customWidth="1"/>
    <col min="13321" max="13568" width="11.42578125" style="3"/>
    <col min="13569" max="13569" width="15.85546875" style="3" customWidth="1"/>
    <col min="13570" max="13570" width="14.85546875" style="3" customWidth="1"/>
    <col min="13571" max="13571" width="13.28515625" style="3" customWidth="1"/>
    <col min="13572" max="13572" width="11.42578125" style="3"/>
    <col min="13573" max="13573" width="13.42578125" style="3" customWidth="1"/>
    <col min="13574" max="13574" width="12.7109375" style="3" customWidth="1"/>
    <col min="13575" max="13575" width="14" style="3" customWidth="1"/>
    <col min="13576" max="13576" width="7.42578125" style="3" customWidth="1"/>
    <col min="13577" max="13824" width="11.42578125" style="3"/>
    <col min="13825" max="13825" width="15.85546875" style="3" customWidth="1"/>
    <col min="13826" max="13826" width="14.85546875" style="3" customWidth="1"/>
    <col min="13827" max="13827" width="13.28515625" style="3" customWidth="1"/>
    <col min="13828" max="13828" width="11.42578125" style="3"/>
    <col min="13829" max="13829" width="13.42578125" style="3" customWidth="1"/>
    <col min="13830" max="13830" width="12.7109375" style="3" customWidth="1"/>
    <col min="13831" max="13831" width="14" style="3" customWidth="1"/>
    <col min="13832" max="13832" width="7.42578125" style="3" customWidth="1"/>
    <col min="13833" max="14080" width="11.42578125" style="3"/>
    <col min="14081" max="14081" width="15.85546875" style="3" customWidth="1"/>
    <col min="14082" max="14082" width="14.85546875" style="3" customWidth="1"/>
    <col min="14083" max="14083" width="13.28515625" style="3" customWidth="1"/>
    <col min="14084" max="14084" width="11.42578125" style="3"/>
    <col min="14085" max="14085" width="13.42578125" style="3" customWidth="1"/>
    <col min="14086" max="14086" width="12.7109375" style="3" customWidth="1"/>
    <col min="14087" max="14087" width="14" style="3" customWidth="1"/>
    <col min="14088" max="14088" width="7.42578125" style="3" customWidth="1"/>
    <col min="14089" max="14336" width="11.42578125" style="3"/>
    <col min="14337" max="14337" width="15.85546875" style="3" customWidth="1"/>
    <col min="14338" max="14338" width="14.85546875" style="3" customWidth="1"/>
    <col min="14339" max="14339" width="13.28515625" style="3" customWidth="1"/>
    <col min="14340" max="14340" width="11.42578125" style="3"/>
    <col min="14341" max="14341" width="13.42578125" style="3" customWidth="1"/>
    <col min="14342" max="14342" width="12.7109375" style="3" customWidth="1"/>
    <col min="14343" max="14343" width="14" style="3" customWidth="1"/>
    <col min="14344" max="14344" width="7.42578125" style="3" customWidth="1"/>
    <col min="14345" max="14592" width="11.42578125" style="3"/>
    <col min="14593" max="14593" width="15.85546875" style="3" customWidth="1"/>
    <col min="14594" max="14594" width="14.85546875" style="3" customWidth="1"/>
    <col min="14595" max="14595" width="13.28515625" style="3" customWidth="1"/>
    <col min="14596" max="14596" width="11.42578125" style="3"/>
    <col min="14597" max="14597" width="13.42578125" style="3" customWidth="1"/>
    <col min="14598" max="14598" width="12.7109375" style="3" customWidth="1"/>
    <col min="14599" max="14599" width="14" style="3" customWidth="1"/>
    <col min="14600" max="14600" width="7.42578125" style="3" customWidth="1"/>
    <col min="14601" max="14848" width="11.42578125" style="3"/>
    <col min="14849" max="14849" width="15.85546875" style="3" customWidth="1"/>
    <col min="14850" max="14850" width="14.85546875" style="3" customWidth="1"/>
    <col min="14851" max="14851" width="13.28515625" style="3" customWidth="1"/>
    <col min="14852" max="14852" width="11.42578125" style="3"/>
    <col min="14853" max="14853" width="13.42578125" style="3" customWidth="1"/>
    <col min="14854" max="14854" width="12.7109375" style="3" customWidth="1"/>
    <col min="14855" max="14855" width="14" style="3" customWidth="1"/>
    <col min="14856" max="14856" width="7.42578125" style="3" customWidth="1"/>
    <col min="14857" max="15104" width="11.42578125" style="3"/>
    <col min="15105" max="15105" width="15.85546875" style="3" customWidth="1"/>
    <col min="15106" max="15106" width="14.85546875" style="3" customWidth="1"/>
    <col min="15107" max="15107" width="13.28515625" style="3" customWidth="1"/>
    <col min="15108" max="15108" width="11.42578125" style="3"/>
    <col min="15109" max="15109" width="13.42578125" style="3" customWidth="1"/>
    <col min="15110" max="15110" width="12.7109375" style="3" customWidth="1"/>
    <col min="15111" max="15111" width="14" style="3" customWidth="1"/>
    <col min="15112" max="15112" width="7.42578125" style="3" customWidth="1"/>
    <col min="15113" max="15360" width="11.42578125" style="3"/>
    <col min="15361" max="15361" width="15.85546875" style="3" customWidth="1"/>
    <col min="15362" max="15362" width="14.85546875" style="3" customWidth="1"/>
    <col min="15363" max="15363" width="13.28515625" style="3" customWidth="1"/>
    <col min="15364" max="15364" width="11.42578125" style="3"/>
    <col min="15365" max="15365" width="13.42578125" style="3" customWidth="1"/>
    <col min="15366" max="15366" width="12.7109375" style="3" customWidth="1"/>
    <col min="15367" max="15367" width="14" style="3" customWidth="1"/>
    <col min="15368" max="15368" width="7.42578125" style="3" customWidth="1"/>
    <col min="15369" max="15616" width="11.42578125" style="3"/>
    <col min="15617" max="15617" width="15.85546875" style="3" customWidth="1"/>
    <col min="15618" max="15618" width="14.85546875" style="3" customWidth="1"/>
    <col min="15619" max="15619" width="13.28515625" style="3" customWidth="1"/>
    <col min="15620" max="15620" width="11.42578125" style="3"/>
    <col min="15621" max="15621" width="13.42578125" style="3" customWidth="1"/>
    <col min="15622" max="15622" width="12.7109375" style="3" customWidth="1"/>
    <col min="15623" max="15623" width="14" style="3" customWidth="1"/>
    <col min="15624" max="15624" width="7.42578125" style="3" customWidth="1"/>
    <col min="15625" max="15872" width="11.42578125" style="3"/>
    <col min="15873" max="15873" width="15.85546875" style="3" customWidth="1"/>
    <col min="15874" max="15874" width="14.85546875" style="3" customWidth="1"/>
    <col min="15875" max="15875" width="13.28515625" style="3" customWidth="1"/>
    <col min="15876" max="15876" width="11.42578125" style="3"/>
    <col min="15877" max="15877" width="13.42578125" style="3" customWidth="1"/>
    <col min="15878" max="15878" width="12.7109375" style="3" customWidth="1"/>
    <col min="15879" max="15879" width="14" style="3" customWidth="1"/>
    <col min="15880" max="15880" width="7.42578125" style="3" customWidth="1"/>
    <col min="15881" max="16128" width="11.42578125" style="3"/>
    <col min="16129" max="16129" width="15.85546875" style="3" customWidth="1"/>
    <col min="16130" max="16130" width="14.85546875" style="3" customWidth="1"/>
    <col min="16131" max="16131" width="13.28515625" style="3" customWidth="1"/>
    <col min="16132" max="16132" width="11.42578125" style="3"/>
    <col min="16133" max="16133" width="13.42578125" style="3" customWidth="1"/>
    <col min="16134" max="16134" width="12.7109375" style="3" customWidth="1"/>
    <col min="16135" max="16135" width="14" style="3" customWidth="1"/>
    <col min="16136" max="16136" width="7.42578125" style="3" customWidth="1"/>
    <col min="16137" max="16384" width="11.42578125" style="3"/>
  </cols>
  <sheetData>
    <row r="1" spans="1:21" ht="20.25">
      <c r="A1" s="1346" t="str">
        <f>PPTO!D3</f>
        <v>PRESUPUESTO
MUNICIPIO EL BAGRE (ANTIOQUIA).</v>
      </c>
      <c r="B1" s="1347"/>
      <c r="C1" s="1347"/>
      <c r="D1" s="1347"/>
      <c r="E1" s="1347"/>
      <c r="F1" s="1347"/>
      <c r="G1" s="1348"/>
      <c r="H1" s="1"/>
      <c r="I1" s="2"/>
    </row>
    <row r="2" spans="1:21" ht="18" customHeight="1">
      <c r="A2" s="1362" t="s">
        <v>16</v>
      </c>
      <c r="B2" s="1363"/>
      <c r="C2" s="1363"/>
      <c r="D2" s="1363"/>
      <c r="E2" s="1363"/>
      <c r="F2" s="1363"/>
      <c r="G2" s="1364"/>
      <c r="H2" s="1"/>
      <c r="I2" s="2"/>
    </row>
    <row r="3" spans="1:21" ht="27" customHeight="1">
      <c r="A3" s="1367" t="str">
        <f>+PPTO!$D$5</f>
        <v>PROYECTO DE MEJORAMIENTO VIAL, ESPACIO PUBLICO Y OBRAS COMPLEMENTARIAS DE LA AVENIDA LA JUVENTUD Y TRAMOS ADYACENTES Y PRIORITARIOS DEL SECTOR URBANO EN EL MUNICIPIO EL BAGRE ANTIOQUIA.</v>
      </c>
      <c r="B3" s="1368"/>
      <c r="C3" s="1368"/>
      <c r="D3" s="1368"/>
      <c r="E3" s="1368"/>
      <c r="F3" s="1368"/>
      <c r="G3" s="1369"/>
      <c r="H3" s="1"/>
      <c r="I3" s="2"/>
    </row>
    <row r="4" spans="1:21">
      <c r="A4" s="1370"/>
      <c r="B4" s="1368"/>
      <c r="C4" s="1368"/>
      <c r="D4" s="1368"/>
      <c r="E4" s="1368"/>
      <c r="F4" s="1368"/>
      <c r="G4" s="1369"/>
      <c r="H4" s="1"/>
      <c r="I4" s="2"/>
    </row>
    <row r="5" spans="1:21" ht="6.75" customHeight="1">
      <c r="A5" s="222"/>
      <c r="B5" s="6"/>
      <c r="C5" s="24"/>
      <c r="D5" s="25"/>
      <c r="E5" s="6"/>
      <c r="F5" s="6"/>
      <c r="G5" s="223"/>
      <c r="H5" s="9"/>
    </row>
    <row r="6" spans="1:21">
      <c r="A6" s="368">
        <v>6.45</v>
      </c>
      <c r="B6" s="1349" t="str">
        <f>VLOOKUP(A6,PPTO!D9:I136,2,FALSE)</f>
        <v>Pozos de Inspeccion D=1.50</v>
      </c>
      <c r="C6" s="1350"/>
      <c r="D6" s="1350"/>
      <c r="E6" s="1351"/>
      <c r="F6" s="192" t="s">
        <v>118</v>
      </c>
      <c r="G6" s="248" t="str">
        <f>VLOOKUP(A6,PPTO!D9:I136,3,FALSE)</f>
        <v>m</v>
      </c>
      <c r="H6" s="9"/>
    </row>
    <row r="7" spans="1:21" ht="3.75" customHeight="1">
      <c r="A7" s="226"/>
      <c r="B7" s="4"/>
      <c r="C7" s="6"/>
      <c r="D7" s="4"/>
      <c r="E7" s="4"/>
      <c r="F7" s="4"/>
      <c r="G7" s="227"/>
      <c r="H7" s="9"/>
    </row>
    <row r="8" spans="1:21" ht="22.5" customHeight="1">
      <c r="A8" s="1354" t="s">
        <v>69</v>
      </c>
      <c r="B8" s="1355"/>
      <c r="C8" s="1355"/>
      <c r="D8" s="1355"/>
      <c r="E8" s="1355"/>
      <c r="F8" s="1355"/>
      <c r="G8" s="1356"/>
      <c r="H8" s="9"/>
    </row>
    <row r="9" spans="1:21" ht="4.5" customHeight="1">
      <c r="A9" s="226"/>
      <c r="B9" s="4"/>
      <c r="C9" s="6"/>
      <c r="D9" s="4"/>
      <c r="E9" s="4"/>
      <c r="F9" s="4"/>
      <c r="G9" s="227"/>
      <c r="H9" s="9"/>
      <c r="I9" s="5"/>
      <c r="J9" s="5"/>
      <c r="K9" s="5"/>
      <c r="L9" s="26"/>
      <c r="M9" s="5"/>
      <c r="N9" s="5"/>
      <c r="O9" s="5"/>
      <c r="P9" s="5"/>
    </row>
    <row r="10" spans="1:21">
      <c r="A10" s="1373" t="s">
        <v>17</v>
      </c>
      <c r="B10" s="1374"/>
      <c r="C10" s="1374"/>
      <c r="D10" s="346" t="s">
        <v>18</v>
      </c>
      <c r="E10" s="346" t="s">
        <v>19</v>
      </c>
      <c r="F10" s="346" t="s">
        <v>20</v>
      </c>
      <c r="G10" s="228" t="s">
        <v>21</v>
      </c>
      <c r="H10" s="27"/>
      <c r="I10" s="28"/>
      <c r="J10" s="29"/>
      <c r="K10" s="30"/>
      <c r="L10" s="30"/>
      <c r="M10" s="30"/>
      <c r="N10" s="30"/>
      <c r="O10" s="30"/>
      <c r="P10" s="5"/>
    </row>
    <row r="11" spans="1:21">
      <c r="A11" s="1352" t="s">
        <v>47</v>
      </c>
      <c r="B11" s="1353"/>
      <c r="C11" s="1353"/>
      <c r="D11" s="346"/>
      <c r="E11" s="83"/>
      <c r="F11" s="97"/>
      <c r="G11" s="229">
        <f>+G39*10%</f>
        <v>5090</v>
      </c>
      <c r="H11" s="9"/>
      <c r="I11" s="30"/>
      <c r="J11" s="31"/>
      <c r="K11" s="30"/>
      <c r="L11" s="30"/>
      <c r="M11" s="30"/>
      <c r="N11" s="30"/>
      <c r="O11" s="30"/>
      <c r="P11" s="5"/>
    </row>
    <row r="12" spans="1:21">
      <c r="A12" s="1371"/>
      <c r="B12" s="1372"/>
      <c r="C12" s="1372"/>
      <c r="D12" s="83"/>
      <c r="E12" s="83"/>
      <c r="F12" s="93"/>
      <c r="G12" s="229"/>
      <c r="H12" s="9"/>
      <c r="I12" s="16"/>
      <c r="J12" s="13"/>
      <c r="K12" s="8"/>
      <c r="L12" s="8"/>
      <c r="M12" s="8"/>
      <c r="N12" s="8"/>
      <c r="O12" s="8"/>
      <c r="P12" s="5"/>
    </row>
    <row r="13" spans="1:21">
      <c r="A13" s="1371"/>
      <c r="B13" s="1372"/>
      <c r="C13" s="1372"/>
      <c r="D13" s="83"/>
      <c r="E13" s="83"/>
      <c r="F13" s="93"/>
      <c r="G13" s="229"/>
      <c r="H13" s="9"/>
      <c r="I13" s="13"/>
      <c r="J13" s="13"/>
      <c r="K13" s="13"/>
      <c r="L13" s="13"/>
      <c r="M13" s="13"/>
      <c r="N13" s="13"/>
      <c r="O13" s="13"/>
      <c r="P13" s="5"/>
    </row>
    <row r="14" spans="1:21">
      <c r="A14" s="1371"/>
      <c r="B14" s="1372"/>
      <c r="C14" s="1372"/>
      <c r="D14" s="83"/>
      <c r="E14" s="83"/>
      <c r="F14" s="93"/>
      <c r="G14" s="229"/>
      <c r="H14" s="9"/>
      <c r="I14" s="8"/>
      <c r="J14" s="14"/>
      <c r="K14" s="32"/>
      <c r="L14" s="14"/>
      <c r="M14" s="15"/>
      <c r="N14" s="15"/>
      <c r="O14" s="19"/>
      <c r="P14" s="5"/>
    </row>
    <row r="15" spans="1:21">
      <c r="A15" s="1371"/>
      <c r="B15" s="1372"/>
      <c r="C15" s="1372"/>
      <c r="D15" s="83"/>
      <c r="E15" s="83"/>
      <c r="F15" s="98"/>
      <c r="G15" s="229"/>
      <c r="H15" s="9"/>
      <c r="I15" s="8"/>
      <c r="J15" s="33"/>
      <c r="K15" s="32"/>
      <c r="L15" s="14"/>
      <c r="M15" s="15"/>
      <c r="N15" s="15"/>
      <c r="O15" s="19"/>
      <c r="P15" s="5"/>
      <c r="Q15" s="5"/>
      <c r="R15" s="5"/>
      <c r="S15" s="5"/>
      <c r="T15" s="5"/>
      <c r="U15" s="5"/>
    </row>
    <row r="16" spans="1:21">
      <c r="A16" s="1371"/>
      <c r="B16" s="1372"/>
      <c r="C16" s="1372"/>
      <c r="D16" s="85" t="s">
        <v>37</v>
      </c>
      <c r="E16" s="50"/>
      <c r="F16" s="49"/>
      <c r="G16" s="230">
        <f>SUM(G11:G15)</f>
        <v>5090</v>
      </c>
      <c r="H16" s="9"/>
      <c r="I16" s="34"/>
      <c r="J16" s="34"/>
      <c r="K16" s="35"/>
      <c r="L16" s="36"/>
      <c r="M16" s="7"/>
      <c r="N16" s="7"/>
      <c r="O16" s="19"/>
      <c r="P16" s="5"/>
      <c r="Q16" s="5"/>
      <c r="R16" s="5"/>
      <c r="S16" s="5"/>
      <c r="T16" s="5"/>
      <c r="U16" s="5"/>
    </row>
    <row r="17" spans="1:21" ht="4.5" customHeight="1">
      <c r="A17" s="226"/>
      <c r="B17" s="4"/>
      <c r="C17" s="6"/>
      <c r="D17" s="4"/>
      <c r="E17" s="4"/>
      <c r="F17" s="4"/>
      <c r="G17" s="227"/>
      <c r="H17" s="9"/>
      <c r="I17" s="34"/>
      <c r="J17" s="34"/>
      <c r="K17" s="35"/>
      <c r="L17" s="36"/>
      <c r="M17" s="7"/>
      <c r="N17" s="7"/>
      <c r="O17" s="19"/>
      <c r="P17" s="5"/>
      <c r="Q17" s="5"/>
      <c r="R17" s="5"/>
      <c r="S17" s="5"/>
      <c r="T17" s="5"/>
      <c r="U17" s="5"/>
    </row>
    <row r="18" spans="1:21" ht="22.5" customHeight="1">
      <c r="A18" s="1354" t="s">
        <v>70</v>
      </c>
      <c r="B18" s="1355"/>
      <c r="C18" s="1355"/>
      <c r="D18" s="1355"/>
      <c r="E18" s="1355"/>
      <c r="F18" s="1355"/>
      <c r="G18" s="1356"/>
      <c r="H18" s="9"/>
    </row>
    <row r="19" spans="1:21" ht="4.5" customHeight="1">
      <c r="A19" s="226"/>
      <c r="B19" s="4"/>
      <c r="C19" s="6"/>
      <c r="D19" s="4"/>
      <c r="E19" s="4"/>
      <c r="F19" s="38"/>
      <c r="G19" s="227"/>
      <c r="H19" s="9"/>
      <c r="I19" s="34"/>
      <c r="J19" s="34"/>
      <c r="K19" s="35"/>
      <c r="L19" s="39"/>
      <c r="M19" s="7"/>
      <c r="N19" s="7"/>
      <c r="O19" s="8"/>
      <c r="P19" s="5"/>
      <c r="Q19" s="5"/>
      <c r="R19" s="5"/>
      <c r="S19" s="5"/>
      <c r="T19" s="5"/>
      <c r="U19" s="5"/>
    </row>
    <row r="20" spans="1:21">
      <c r="A20" s="1373" t="s">
        <v>17</v>
      </c>
      <c r="B20" s="1374"/>
      <c r="C20" s="1374"/>
      <c r="D20" s="346" t="s">
        <v>3</v>
      </c>
      <c r="E20" s="346" t="s">
        <v>4</v>
      </c>
      <c r="F20" s="346" t="s">
        <v>25</v>
      </c>
      <c r="G20" s="228" t="s">
        <v>21</v>
      </c>
      <c r="H20" s="27"/>
      <c r="I20" s="34"/>
      <c r="J20" s="34"/>
      <c r="K20" s="35"/>
      <c r="L20" s="39"/>
      <c r="M20" s="7"/>
      <c r="N20" s="7"/>
      <c r="O20" s="8"/>
      <c r="P20" s="5"/>
      <c r="Q20" s="5"/>
      <c r="R20" s="5"/>
      <c r="S20" s="5"/>
      <c r="T20" s="5"/>
      <c r="U20" s="5"/>
    </row>
    <row r="21" spans="1:21">
      <c r="A21" s="1441" t="s">
        <v>258</v>
      </c>
      <c r="B21" s="1442"/>
      <c r="C21" s="1443"/>
      <c r="D21" s="118" t="s">
        <v>2</v>
      </c>
      <c r="E21" s="119">
        <f>2*PI()*0.75</f>
        <v>4.71</v>
      </c>
      <c r="F21" s="87"/>
      <c r="G21" s="231"/>
      <c r="H21" s="9"/>
      <c r="I21" s="34"/>
      <c r="J21" s="34"/>
      <c r="K21" s="35"/>
      <c r="L21" s="36"/>
      <c r="M21" s="7"/>
      <c r="N21" s="7"/>
      <c r="O21" s="19"/>
      <c r="P21" s="5"/>
      <c r="Q21" s="5"/>
      <c r="R21" s="5"/>
      <c r="S21" s="5"/>
      <c r="T21" s="5"/>
      <c r="U21" s="5"/>
    </row>
    <row r="22" spans="1:21">
      <c r="A22" s="1444" t="s">
        <v>259</v>
      </c>
      <c r="B22" s="1403"/>
      <c r="C22" s="1404"/>
      <c r="D22" s="116" t="s">
        <v>119</v>
      </c>
      <c r="E22" s="117">
        <f>1/(0.08*0.14)*E21</f>
        <v>420.54</v>
      </c>
      <c r="F22" s="91">
        <v>1200</v>
      </c>
      <c r="G22" s="67">
        <f>+F22*E22</f>
        <v>504648</v>
      </c>
      <c r="H22" s="9"/>
      <c r="I22" s="10"/>
      <c r="J22" s="10"/>
      <c r="K22" s="12"/>
      <c r="L22" s="39"/>
      <c r="M22" s="7"/>
      <c r="N22" s="7"/>
      <c r="O22" s="15"/>
      <c r="P22" s="5"/>
      <c r="Q22" s="5"/>
      <c r="R22" s="5"/>
      <c r="S22" s="5"/>
      <c r="T22" s="5"/>
      <c r="U22" s="5"/>
    </row>
    <row r="23" spans="1:21">
      <c r="A23" s="1386" t="s">
        <v>260</v>
      </c>
      <c r="B23" s="1353"/>
      <c r="C23" s="1353"/>
      <c r="D23" s="79" t="s">
        <v>44</v>
      </c>
      <c r="E23" s="82">
        <f>E22*(0.08*0.02+0.14*0.02)*0.26</f>
        <v>0.48</v>
      </c>
      <c r="F23" s="83">
        <f>'MORTERO DE PEGA'!G43</f>
        <v>334386</v>
      </c>
      <c r="G23" s="67">
        <f>+F23*E23</f>
        <v>160505</v>
      </c>
      <c r="H23" s="9"/>
      <c r="I23" s="10"/>
      <c r="J23" s="10"/>
      <c r="K23" s="12"/>
      <c r="L23" s="39"/>
      <c r="M23" s="7"/>
      <c r="N23" s="7"/>
      <c r="O23" s="15"/>
      <c r="P23" s="5"/>
      <c r="Q23" s="5"/>
      <c r="R23" s="5"/>
      <c r="S23" s="5"/>
      <c r="T23" s="5"/>
      <c r="U23" s="5"/>
    </row>
    <row r="24" spans="1:21" ht="24" customHeight="1">
      <c r="A24" s="1377" t="s">
        <v>261</v>
      </c>
      <c r="B24" s="1378"/>
      <c r="C24" s="1378"/>
      <c r="D24" s="81" t="s">
        <v>122</v>
      </c>
      <c r="E24" s="88">
        <f>1/0.4</f>
        <v>2.5</v>
      </c>
      <c r="F24" s="78">
        <f>10780</f>
        <v>10780</v>
      </c>
      <c r="G24" s="67">
        <f>+F24*E24</f>
        <v>26950</v>
      </c>
      <c r="H24" s="9"/>
      <c r="I24" s="10"/>
      <c r="J24" s="40"/>
      <c r="K24" s="12"/>
      <c r="L24" s="13"/>
      <c r="M24" s="14"/>
      <c r="N24" s="14"/>
      <c r="O24" s="15"/>
      <c r="P24" s="5"/>
      <c r="Q24" s="5"/>
      <c r="R24" s="5"/>
      <c r="S24" s="5"/>
      <c r="T24" s="5"/>
      <c r="U24" s="5"/>
    </row>
    <row r="25" spans="1:21">
      <c r="A25" s="1352" t="s">
        <v>262</v>
      </c>
      <c r="B25" s="1353"/>
      <c r="C25" s="1353"/>
      <c r="D25" s="81" t="s">
        <v>122</v>
      </c>
      <c r="E25" s="82">
        <v>1</v>
      </c>
      <c r="F25" s="78">
        <f>61425/6*IPC</f>
        <v>10563</v>
      </c>
      <c r="G25" s="67">
        <f>+F25*E25</f>
        <v>10563</v>
      </c>
      <c r="H25" s="9"/>
      <c r="I25" s="10"/>
      <c r="J25" s="11"/>
      <c r="K25" s="12"/>
      <c r="L25" s="13"/>
      <c r="M25" s="14"/>
      <c r="N25" s="14"/>
      <c r="O25" s="15"/>
      <c r="P25" s="5"/>
      <c r="Q25" s="5"/>
      <c r="R25" s="5"/>
      <c r="S25" s="5"/>
      <c r="T25" s="5"/>
      <c r="U25" s="5"/>
    </row>
    <row r="26" spans="1:21">
      <c r="A26" s="1352" t="s">
        <v>263</v>
      </c>
      <c r="B26" s="1353"/>
      <c r="C26" s="1353"/>
      <c r="D26" s="79" t="s">
        <v>72</v>
      </c>
      <c r="E26" s="82">
        <f>E21*0.02</f>
        <v>0.09</v>
      </c>
      <c r="F26" s="78">
        <f>F23</f>
        <v>334386</v>
      </c>
      <c r="G26" s="67">
        <f>+F26*E26</f>
        <v>30095</v>
      </c>
      <c r="H26" s="9"/>
      <c r="I26" s="10"/>
      <c r="J26" s="11"/>
      <c r="K26" s="12"/>
      <c r="L26" s="13"/>
      <c r="M26" s="14"/>
      <c r="N26" s="14"/>
      <c r="O26" s="15"/>
      <c r="P26" s="5"/>
      <c r="Q26" s="5"/>
      <c r="R26" s="5"/>
      <c r="S26" s="5"/>
      <c r="T26" s="5"/>
      <c r="U26" s="5"/>
    </row>
    <row r="27" spans="1:21">
      <c r="A27" s="1352"/>
      <c r="B27" s="1353"/>
      <c r="C27" s="1353"/>
      <c r="D27" s="79"/>
      <c r="E27" s="82"/>
      <c r="F27" s="78"/>
      <c r="G27" s="231"/>
      <c r="H27" s="9"/>
      <c r="I27" s="10"/>
      <c r="J27" s="11"/>
      <c r="K27" s="12"/>
      <c r="L27" s="13"/>
      <c r="M27" s="14"/>
      <c r="N27" s="14"/>
      <c r="O27" s="15"/>
      <c r="P27" s="5"/>
      <c r="Q27" s="5"/>
      <c r="R27" s="5"/>
      <c r="S27" s="5"/>
      <c r="T27" s="5"/>
      <c r="U27" s="5"/>
    </row>
    <row r="28" spans="1:21">
      <c r="A28" s="1352"/>
      <c r="B28" s="1353"/>
      <c r="C28" s="1353"/>
      <c r="D28" s="79"/>
      <c r="E28" s="82"/>
      <c r="F28" s="83"/>
      <c r="G28" s="231"/>
      <c r="H28" s="9"/>
      <c r="I28" s="41"/>
      <c r="J28" s="41"/>
      <c r="K28" s="12"/>
      <c r="L28" s="13"/>
      <c r="M28" s="14"/>
      <c r="N28" s="14"/>
      <c r="O28" s="15"/>
      <c r="P28" s="5"/>
      <c r="Q28" s="5"/>
      <c r="R28" s="5"/>
      <c r="S28" s="5"/>
      <c r="T28" s="5"/>
      <c r="U28" s="5"/>
    </row>
    <row r="29" spans="1:21">
      <c r="A29" s="1352"/>
      <c r="B29" s="1353"/>
      <c r="C29" s="1353"/>
      <c r="D29" s="84"/>
      <c r="E29" s="84"/>
      <c r="F29" s="83"/>
      <c r="G29" s="231"/>
      <c r="H29" s="9"/>
      <c r="I29" s="42"/>
      <c r="J29" s="42"/>
      <c r="K29" s="42"/>
      <c r="L29" s="13"/>
      <c r="M29" s="14"/>
      <c r="N29" s="14"/>
      <c r="O29" s="15"/>
      <c r="P29" s="5"/>
      <c r="Q29" s="5"/>
      <c r="R29" s="5"/>
      <c r="S29" s="5"/>
      <c r="T29" s="5"/>
      <c r="U29" s="5"/>
    </row>
    <row r="30" spans="1:21">
      <c r="A30" s="1352"/>
      <c r="B30" s="1353"/>
      <c r="C30" s="1353"/>
      <c r="D30" s="85" t="s">
        <v>28</v>
      </c>
      <c r="E30" s="50"/>
      <c r="F30" s="49"/>
      <c r="G30" s="230">
        <f>SUM(G21:G29)</f>
        <v>732761</v>
      </c>
      <c r="H30" s="9"/>
      <c r="I30" s="8"/>
      <c r="J30" s="13"/>
      <c r="K30" s="8"/>
      <c r="L30" s="13"/>
      <c r="M30" s="14"/>
      <c r="N30" s="14"/>
      <c r="O30" s="15"/>
      <c r="P30" s="5"/>
    </row>
    <row r="31" spans="1:21" ht="3.75" customHeight="1">
      <c r="A31" s="226"/>
      <c r="B31" s="4"/>
      <c r="C31" s="6"/>
      <c r="D31" s="4"/>
      <c r="E31" s="4"/>
      <c r="F31" s="4"/>
      <c r="G31" s="227"/>
      <c r="H31" s="9"/>
      <c r="I31" s="8"/>
      <c r="J31" s="13"/>
      <c r="K31" s="18"/>
      <c r="L31" s="13"/>
      <c r="M31" s="33"/>
      <c r="N31" s="33"/>
      <c r="O31" s="15"/>
      <c r="P31" s="5"/>
    </row>
    <row r="32" spans="1:21" ht="22.5" customHeight="1">
      <c r="A32" s="1354" t="s">
        <v>71</v>
      </c>
      <c r="B32" s="1355"/>
      <c r="C32" s="1355"/>
      <c r="D32" s="1355"/>
      <c r="E32" s="1355"/>
      <c r="F32" s="1355"/>
      <c r="G32" s="1356"/>
      <c r="H32" s="9"/>
    </row>
    <row r="33" spans="1:16" ht="3.75" customHeight="1">
      <c r="A33" s="226"/>
      <c r="B33" s="4"/>
      <c r="C33" s="6"/>
      <c r="D33" s="4"/>
      <c r="E33" s="4"/>
      <c r="F33" s="4"/>
      <c r="G33" s="227"/>
      <c r="H33" s="9"/>
      <c r="I33" s="8"/>
      <c r="J33" s="13"/>
      <c r="K33" s="8"/>
      <c r="L33" s="8"/>
      <c r="M33" s="8"/>
      <c r="N33" s="8"/>
      <c r="O33" s="15"/>
      <c r="P33" s="5"/>
    </row>
    <row r="34" spans="1:16">
      <c r="A34" s="232" t="s">
        <v>5</v>
      </c>
      <c r="B34" s="60" t="s">
        <v>29</v>
      </c>
      <c r="C34" s="60" t="s">
        <v>30</v>
      </c>
      <c r="D34" s="60" t="s">
        <v>31</v>
      </c>
      <c r="E34" s="60" t="s">
        <v>32</v>
      </c>
      <c r="F34" s="60" t="s">
        <v>20</v>
      </c>
      <c r="G34" s="228" t="s">
        <v>33</v>
      </c>
      <c r="H34" s="27"/>
      <c r="I34" s="8"/>
      <c r="J34" s="13"/>
      <c r="K34" s="8"/>
      <c r="L34" s="8"/>
      <c r="M34" s="8"/>
      <c r="N34" s="8"/>
      <c r="O34" s="15"/>
      <c r="P34" s="5"/>
    </row>
    <row r="35" spans="1:16">
      <c r="A35" s="233" t="s">
        <v>41</v>
      </c>
      <c r="B35" s="63">
        <f>BOF</f>
        <v>51749</v>
      </c>
      <c r="C35" s="68">
        <f>ffpp</f>
        <v>0.64539999999999997</v>
      </c>
      <c r="D35" s="72">
        <v>1</v>
      </c>
      <c r="E35" s="66">
        <f>OF</f>
        <v>88696</v>
      </c>
      <c r="F35" s="65">
        <v>6</v>
      </c>
      <c r="G35" s="231">
        <f>ROUND(+D35*E35/F35,0)</f>
        <v>14783</v>
      </c>
      <c r="H35" s="9"/>
      <c r="I35" s="16"/>
      <c r="J35" s="13"/>
      <c r="K35" s="8"/>
      <c r="L35" s="8"/>
      <c r="M35" s="8"/>
      <c r="N35" s="8"/>
      <c r="O35" s="15"/>
      <c r="P35" s="5"/>
    </row>
    <row r="36" spans="1:16">
      <c r="A36" s="233" t="s">
        <v>38</v>
      </c>
      <c r="B36" s="63">
        <f>BOB</f>
        <v>41749</v>
      </c>
      <c r="C36" s="68">
        <f>ffpp</f>
        <v>0.64539999999999997</v>
      </c>
      <c r="D36" s="72">
        <v>3</v>
      </c>
      <c r="E36" s="66">
        <f>OB</f>
        <v>72242</v>
      </c>
      <c r="F36" s="65">
        <f>F35</f>
        <v>6</v>
      </c>
      <c r="G36" s="231">
        <f>ROUND(+D36*E36/F36,0)</f>
        <v>36121</v>
      </c>
      <c r="H36" s="9"/>
      <c r="I36" s="8"/>
      <c r="J36" s="8"/>
      <c r="K36" s="13"/>
      <c r="L36" s="13"/>
      <c r="M36" s="13"/>
      <c r="N36" s="13"/>
      <c r="O36" s="13"/>
      <c r="P36" s="5"/>
    </row>
    <row r="37" spans="1:16">
      <c r="A37" s="234"/>
      <c r="B37" s="50"/>
      <c r="C37" s="961"/>
      <c r="D37" s="50"/>
      <c r="E37" s="66"/>
      <c r="F37" s="65"/>
      <c r="G37" s="231"/>
      <c r="H37" s="9"/>
      <c r="I37" s="8"/>
      <c r="J37" s="13"/>
      <c r="K37" s="13"/>
      <c r="L37" s="13"/>
      <c r="M37" s="33"/>
      <c r="N37" s="33"/>
      <c r="O37" s="43"/>
      <c r="P37" s="5"/>
    </row>
    <row r="38" spans="1:16">
      <c r="A38" s="233"/>
      <c r="B38" s="65"/>
      <c r="C38" s="68"/>
      <c r="D38" s="65"/>
      <c r="E38" s="69"/>
      <c r="F38" s="69"/>
      <c r="G38" s="236"/>
      <c r="H38" s="9"/>
      <c r="I38" s="8"/>
      <c r="J38" s="13"/>
      <c r="K38" s="13"/>
      <c r="L38" s="13"/>
      <c r="M38" s="33"/>
      <c r="N38" s="33"/>
      <c r="O38" s="43"/>
      <c r="P38" s="5"/>
    </row>
    <row r="39" spans="1:16">
      <c r="A39" s="249"/>
      <c r="B39" s="71"/>
      <c r="C39" s="71"/>
      <c r="D39" s="71" t="s">
        <v>34</v>
      </c>
      <c r="E39" s="71"/>
      <c r="F39" s="71"/>
      <c r="G39" s="250">
        <f>SUM(G35:G38)</f>
        <v>50904</v>
      </c>
      <c r="H39" s="9"/>
      <c r="I39" s="8"/>
      <c r="J39" s="13"/>
      <c r="K39" s="13"/>
      <c r="L39" s="13"/>
      <c r="M39" s="14"/>
      <c r="N39" s="14"/>
      <c r="O39" s="15"/>
      <c r="P39" s="5"/>
    </row>
    <row r="40" spans="1:16">
      <c r="A40" s="226"/>
      <c r="B40" s="4"/>
      <c r="C40" s="6"/>
      <c r="D40" s="4"/>
      <c r="E40" s="4"/>
      <c r="F40" s="4"/>
      <c r="G40" s="227"/>
      <c r="H40" s="9"/>
      <c r="I40" s="8"/>
      <c r="J40" s="13"/>
      <c r="K40" s="13"/>
      <c r="L40" s="13"/>
      <c r="M40" s="14"/>
      <c r="N40" s="14"/>
      <c r="O40" s="19"/>
      <c r="P40" s="5"/>
    </row>
    <row r="41" spans="1:16">
      <c r="A41" s="226"/>
      <c r="B41" s="4"/>
      <c r="C41" s="6"/>
      <c r="D41" s="4"/>
      <c r="E41" s="4"/>
      <c r="F41" s="4"/>
      <c r="G41" s="227"/>
      <c r="H41" s="9"/>
      <c r="I41" s="8"/>
      <c r="J41" s="13"/>
      <c r="K41" s="13"/>
      <c r="L41" s="13"/>
      <c r="M41" s="17"/>
      <c r="N41" s="17"/>
      <c r="O41" s="37"/>
      <c r="P41" s="5"/>
    </row>
    <row r="42" spans="1:16" ht="14.25">
      <c r="A42" s="226"/>
      <c r="B42" s="4"/>
      <c r="C42" s="6"/>
      <c r="D42" s="1357" t="s">
        <v>35</v>
      </c>
      <c r="E42" s="1358"/>
      <c r="F42" s="1359"/>
      <c r="G42" s="239">
        <f>+G39+G30+G16</f>
        <v>788755</v>
      </c>
      <c r="H42" s="9"/>
      <c r="I42" s="48"/>
      <c r="J42" s="20"/>
      <c r="K42" s="8"/>
      <c r="L42" s="8"/>
      <c r="M42" s="8"/>
      <c r="N42" s="8"/>
      <c r="O42" s="8"/>
      <c r="P42" s="5"/>
    </row>
    <row r="43" spans="1:16" ht="14.25">
      <c r="A43" s="240"/>
      <c r="B43" s="57"/>
      <c r="C43" s="58"/>
      <c r="D43" s="99"/>
      <c r="E43" s="99"/>
      <c r="F43" s="99"/>
      <c r="G43" s="251"/>
      <c r="H43" s="9"/>
      <c r="I43" s="48"/>
      <c r="J43" s="20"/>
      <c r="K43" s="8"/>
      <c r="L43" s="8"/>
      <c r="M43" s="8"/>
      <c r="N43" s="8"/>
      <c r="O43" s="8"/>
      <c r="P43" s="5"/>
    </row>
    <row r="44" spans="1:16" ht="14.25">
      <c r="A44" s="374"/>
      <c r="B44" s="375"/>
      <c r="C44" s="375"/>
      <c r="D44" s="99"/>
      <c r="E44" s="99"/>
      <c r="F44" s="99"/>
      <c r="G44" s="251"/>
      <c r="H44" s="9"/>
      <c r="I44" s="48"/>
      <c r="J44" s="20"/>
      <c r="K44" s="8"/>
      <c r="L44" s="8"/>
      <c r="M44" s="8"/>
      <c r="N44" s="8"/>
      <c r="O44" s="8"/>
      <c r="P44" s="5"/>
    </row>
    <row r="45" spans="1:16" ht="14.25">
      <c r="A45" s="373"/>
      <c r="B45" s="376"/>
      <c r="C45" s="376"/>
      <c r="D45" s="99"/>
      <c r="E45" s="99"/>
      <c r="F45" s="99"/>
      <c r="G45" s="251"/>
      <c r="H45" s="9"/>
      <c r="I45" s="48"/>
      <c r="J45" s="20"/>
      <c r="K45" s="8"/>
      <c r="L45" s="8"/>
      <c r="M45" s="8"/>
      <c r="N45" s="8"/>
      <c r="O45" s="8"/>
      <c r="P45" s="5"/>
    </row>
    <row r="46" spans="1:16" ht="14.25">
      <c r="A46" s="373"/>
      <c r="B46" s="376"/>
      <c r="C46" s="376"/>
      <c r="D46" s="44"/>
      <c r="E46" s="45"/>
      <c r="F46" s="45"/>
      <c r="G46" s="251"/>
      <c r="H46" s="9"/>
      <c r="I46" s="8"/>
      <c r="J46" s="13"/>
      <c r="K46" s="8"/>
      <c r="L46" s="8"/>
      <c r="M46" s="8"/>
      <c r="N46" s="8"/>
      <c r="O46" s="8"/>
      <c r="P46" s="5"/>
    </row>
    <row r="47" spans="1:16" ht="15" thickBot="1">
      <c r="A47" s="242"/>
      <c r="B47" s="243"/>
      <c r="C47" s="244"/>
      <c r="D47" s="245"/>
      <c r="E47" s="246"/>
      <c r="F47" s="246"/>
      <c r="G47" s="247"/>
      <c r="H47" s="9"/>
      <c r="I47" s="8"/>
      <c r="J47" s="13"/>
      <c r="K47" s="8"/>
      <c r="L47" s="8"/>
      <c r="M47" s="8"/>
      <c r="N47" s="8"/>
      <c r="O47" s="8"/>
      <c r="P47" s="5"/>
    </row>
    <row r="48" spans="1:16">
      <c r="I48" s="5"/>
      <c r="J48" s="5"/>
      <c r="K48" s="5"/>
      <c r="L48" s="5"/>
      <c r="M48" s="5"/>
      <c r="N48" s="5"/>
      <c r="O48" s="5"/>
      <c r="P48" s="5"/>
    </row>
    <row r="49" spans="9:16">
      <c r="I49" s="5"/>
      <c r="J49" s="5"/>
      <c r="K49" s="5"/>
      <c r="L49" s="5"/>
      <c r="M49" s="5"/>
      <c r="N49" s="5"/>
      <c r="O49" s="5"/>
      <c r="P49" s="5"/>
    </row>
  </sheetData>
  <mergeCells count="26">
    <mergeCell ref="A32:G32"/>
    <mergeCell ref="D42:F42"/>
    <mergeCell ref="A25:C25"/>
    <mergeCell ref="A26:C26"/>
    <mergeCell ref="A27:C27"/>
    <mergeCell ref="A28:C28"/>
    <mergeCell ref="A29:C29"/>
    <mergeCell ref="A30:C30"/>
    <mergeCell ref="A24:C24"/>
    <mergeCell ref="A11:C11"/>
    <mergeCell ref="A12:C12"/>
    <mergeCell ref="A13:C13"/>
    <mergeCell ref="A14:C14"/>
    <mergeCell ref="A15:C15"/>
    <mergeCell ref="A16:C16"/>
    <mergeCell ref="A18:G18"/>
    <mergeCell ref="A20:C20"/>
    <mergeCell ref="A21:C21"/>
    <mergeCell ref="A22:C22"/>
    <mergeCell ref="A23:C23"/>
    <mergeCell ref="A10:C10"/>
    <mergeCell ref="A1:G1"/>
    <mergeCell ref="A2:G2"/>
    <mergeCell ref="A3:G4"/>
    <mergeCell ref="B6:E6"/>
    <mergeCell ref="A8:G8"/>
  </mergeCells>
  <printOptions horizontalCentered="1" verticalCentered="1"/>
  <pageMargins left="0.74803149606299213" right="0.74803149606299213" top="0" bottom="0.98425196850393704" header="0" footer="0"/>
  <pageSetup scale="90" orientation="portrait" r:id="rId1"/>
  <headerFooter alignWithMargins="0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6"/>
  <dimension ref="A1:U49"/>
  <sheetViews>
    <sheetView view="pageBreakPreview" zoomScaleNormal="100" zoomScaleSheetLayoutView="100" workbookViewId="0">
      <selection activeCell="I7" sqref="I7"/>
    </sheetView>
  </sheetViews>
  <sheetFormatPr baseColWidth="10" defaultColWidth="10.7109375" defaultRowHeight="12.75"/>
  <cols>
    <col min="1" max="1" width="15.85546875" style="3" customWidth="1"/>
    <col min="2" max="2" width="14.85546875" style="3" customWidth="1"/>
    <col min="3" max="3" width="13.28515625" style="3" customWidth="1"/>
    <col min="4" max="4" width="11.42578125" style="3"/>
    <col min="5" max="5" width="13.42578125" style="3" customWidth="1"/>
    <col min="6" max="6" width="12.7109375" style="3" customWidth="1"/>
    <col min="7" max="7" width="14" style="3" customWidth="1"/>
    <col min="8" max="8" width="7.42578125" style="3" customWidth="1"/>
    <col min="9" max="256" width="11.42578125" style="3"/>
    <col min="257" max="257" width="15.85546875" style="3" customWidth="1"/>
    <col min="258" max="258" width="14.85546875" style="3" customWidth="1"/>
    <col min="259" max="259" width="13.28515625" style="3" customWidth="1"/>
    <col min="260" max="260" width="11.42578125" style="3"/>
    <col min="261" max="261" width="13.42578125" style="3" customWidth="1"/>
    <col min="262" max="262" width="12.7109375" style="3" customWidth="1"/>
    <col min="263" max="263" width="14" style="3" customWidth="1"/>
    <col min="264" max="264" width="7.42578125" style="3" customWidth="1"/>
    <col min="265" max="512" width="11.42578125" style="3"/>
    <col min="513" max="513" width="15.85546875" style="3" customWidth="1"/>
    <col min="514" max="514" width="14.85546875" style="3" customWidth="1"/>
    <col min="515" max="515" width="13.28515625" style="3" customWidth="1"/>
    <col min="516" max="516" width="11.42578125" style="3"/>
    <col min="517" max="517" width="13.42578125" style="3" customWidth="1"/>
    <col min="518" max="518" width="12.7109375" style="3" customWidth="1"/>
    <col min="519" max="519" width="14" style="3" customWidth="1"/>
    <col min="520" max="520" width="7.42578125" style="3" customWidth="1"/>
    <col min="521" max="768" width="11.42578125" style="3"/>
    <col min="769" max="769" width="15.85546875" style="3" customWidth="1"/>
    <col min="770" max="770" width="14.85546875" style="3" customWidth="1"/>
    <col min="771" max="771" width="13.28515625" style="3" customWidth="1"/>
    <col min="772" max="772" width="11.42578125" style="3"/>
    <col min="773" max="773" width="13.42578125" style="3" customWidth="1"/>
    <col min="774" max="774" width="12.7109375" style="3" customWidth="1"/>
    <col min="775" max="775" width="14" style="3" customWidth="1"/>
    <col min="776" max="776" width="7.42578125" style="3" customWidth="1"/>
    <col min="777" max="1024" width="11.42578125" style="3"/>
    <col min="1025" max="1025" width="15.85546875" style="3" customWidth="1"/>
    <col min="1026" max="1026" width="14.85546875" style="3" customWidth="1"/>
    <col min="1027" max="1027" width="13.28515625" style="3" customWidth="1"/>
    <col min="1028" max="1028" width="11.42578125" style="3"/>
    <col min="1029" max="1029" width="13.42578125" style="3" customWidth="1"/>
    <col min="1030" max="1030" width="12.7109375" style="3" customWidth="1"/>
    <col min="1031" max="1031" width="14" style="3" customWidth="1"/>
    <col min="1032" max="1032" width="7.42578125" style="3" customWidth="1"/>
    <col min="1033" max="1280" width="11.42578125" style="3"/>
    <col min="1281" max="1281" width="15.85546875" style="3" customWidth="1"/>
    <col min="1282" max="1282" width="14.85546875" style="3" customWidth="1"/>
    <col min="1283" max="1283" width="13.28515625" style="3" customWidth="1"/>
    <col min="1284" max="1284" width="11.42578125" style="3"/>
    <col min="1285" max="1285" width="13.42578125" style="3" customWidth="1"/>
    <col min="1286" max="1286" width="12.7109375" style="3" customWidth="1"/>
    <col min="1287" max="1287" width="14" style="3" customWidth="1"/>
    <col min="1288" max="1288" width="7.42578125" style="3" customWidth="1"/>
    <col min="1289" max="1536" width="11.42578125" style="3"/>
    <col min="1537" max="1537" width="15.85546875" style="3" customWidth="1"/>
    <col min="1538" max="1538" width="14.85546875" style="3" customWidth="1"/>
    <col min="1539" max="1539" width="13.28515625" style="3" customWidth="1"/>
    <col min="1540" max="1540" width="11.42578125" style="3"/>
    <col min="1541" max="1541" width="13.42578125" style="3" customWidth="1"/>
    <col min="1542" max="1542" width="12.7109375" style="3" customWidth="1"/>
    <col min="1543" max="1543" width="14" style="3" customWidth="1"/>
    <col min="1544" max="1544" width="7.42578125" style="3" customWidth="1"/>
    <col min="1545" max="1792" width="11.42578125" style="3"/>
    <col min="1793" max="1793" width="15.85546875" style="3" customWidth="1"/>
    <col min="1794" max="1794" width="14.85546875" style="3" customWidth="1"/>
    <col min="1795" max="1795" width="13.28515625" style="3" customWidth="1"/>
    <col min="1796" max="1796" width="11.42578125" style="3"/>
    <col min="1797" max="1797" width="13.42578125" style="3" customWidth="1"/>
    <col min="1798" max="1798" width="12.7109375" style="3" customWidth="1"/>
    <col min="1799" max="1799" width="14" style="3" customWidth="1"/>
    <col min="1800" max="1800" width="7.42578125" style="3" customWidth="1"/>
    <col min="1801" max="2048" width="11.42578125" style="3"/>
    <col min="2049" max="2049" width="15.85546875" style="3" customWidth="1"/>
    <col min="2050" max="2050" width="14.85546875" style="3" customWidth="1"/>
    <col min="2051" max="2051" width="13.28515625" style="3" customWidth="1"/>
    <col min="2052" max="2052" width="11.42578125" style="3"/>
    <col min="2053" max="2053" width="13.42578125" style="3" customWidth="1"/>
    <col min="2054" max="2054" width="12.7109375" style="3" customWidth="1"/>
    <col min="2055" max="2055" width="14" style="3" customWidth="1"/>
    <col min="2056" max="2056" width="7.42578125" style="3" customWidth="1"/>
    <col min="2057" max="2304" width="11.42578125" style="3"/>
    <col min="2305" max="2305" width="15.85546875" style="3" customWidth="1"/>
    <col min="2306" max="2306" width="14.85546875" style="3" customWidth="1"/>
    <col min="2307" max="2307" width="13.28515625" style="3" customWidth="1"/>
    <col min="2308" max="2308" width="11.42578125" style="3"/>
    <col min="2309" max="2309" width="13.42578125" style="3" customWidth="1"/>
    <col min="2310" max="2310" width="12.7109375" style="3" customWidth="1"/>
    <col min="2311" max="2311" width="14" style="3" customWidth="1"/>
    <col min="2312" max="2312" width="7.42578125" style="3" customWidth="1"/>
    <col min="2313" max="2560" width="11.42578125" style="3"/>
    <col min="2561" max="2561" width="15.85546875" style="3" customWidth="1"/>
    <col min="2562" max="2562" width="14.85546875" style="3" customWidth="1"/>
    <col min="2563" max="2563" width="13.28515625" style="3" customWidth="1"/>
    <col min="2564" max="2564" width="11.42578125" style="3"/>
    <col min="2565" max="2565" width="13.42578125" style="3" customWidth="1"/>
    <col min="2566" max="2566" width="12.7109375" style="3" customWidth="1"/>
    <col min="2567" max="2567" width="14" style="3" customWidth="1"/>
    <col min="2568" max="2568" width="7.42578125" style="3" customWidth="1"/>
    <col min="2569" max="2816" width="11.42578125" style="3"/>
    <col min="2817" max="2817" width="15.85546875" style="3" customWidth="1"/>
    <col min="2818" max="2818" width="14.85546875" style="3" customWidth="1"/>
    <col min="2819" max="2819" width="13.28515625" style="3" customWidth="1"/>
    <col min="2820" max="2820" width="11.42578125" style="3"/>
    <col min="2821" max="2821" width="13.42578125" style="3" customWidth="1"/>
    <col min="2822" max="2822" width="12.7109375" style="3" customWidth="1"/>
    <col min="2823" max="2823" width="14" style="3" customWidth="1"/>
    <col min="2824" max="2824" width="7.42578125" style="3" customWidth="1"/>
    <col min="2825" max="3072" width="11.42578125" style="3"/>
    <col min="3073" max="3073" width="15.85546875" style="3" customWidth="1"/>
    <col min="3074" max="3074" width="14.85546875" style="3" customWidth="1"/>
    <col min="3075" max="3075" width="13.28515625" style="3" customWidth="1"/>
    <col min="3076" max="3076" width="11.42578125" style="3"/>
    <col min="3077" max="3077" width="13.42578125" style="3" customWidth="1"/>
    <col min="3078" max="3078" width="12.7109375" style="3" customWidth="1"/>
    <col min="3079" max="3079" width="14" style="3" customWidth="1"/>
    <col min="3080" max="3080" width="7.42578125" style="3" customWidth="1"/>
    <col min="3081" max="3328" width="11.42578125" style="3"/>
    <col min="3329" max="3329" width="15.85546875" style="3" customWidth="1"/>
    <col min="3330" max="3330" width="14.85546875" style="3" customWidth="1"/>
    <col min="3331" max="3331" width="13.28515625" style="3" customWidth="1"/>
    <col min="3332" max="3332" width="11.42578125" style="3"/>
    <col min="3333" max="3333" width="13.42578125" style="3" customWidth="1"/>
    <col min="3334" max="3334" width="12.7109375" style="3" customWidth="1"/>
    <col min="3335" max="3335" width="14" style="3" customWidth="1"/>
    <col min="3336" max="3336" width="7.42578125" style="3" customWidth="1"/>
    <col min="3337" max="3584" width="11.42578125" style="3"/>
    <col min="3585" max="3585" width="15.85546875" style="3" customWidth="1"/>
    <col min="3586" max="3586" width="14.85546875" style="3" customWidth="1"/>
    <col min="3587" max="3587" width="13.28515625" style="3" customWidth="1"/>
    <col min="3588" max="3588" width="11.42578125" style="3"/>
    <col min="3589" max="3589" width="13.42578125" style="3" customWidth="1"/>
    <col min="3590" max="3590" width="12.7109375" style="3" customWidth="1"/>
    <col min="3591" max="3591" width="14" style="3" customWidth="1"/>
    <col min="3592" max="3592" width="7.42578125" style="3" customWidth="1"/>
    <col min="3593" max="3840" width="11.42578125" style="3"/>
    <col min="3841" max="3841" width="15.85546875" style="3" customWidth="1"/>
    <col min="3842" max="3842" width="14.85546875" style="3" customWidth="1"/>
    <col min="3843" max="3843" width="13.28515625" style="3" customWidth="1"/>
    <col min="3844" max="3844" width="11.42578125" style="3"/>
    <col min="3845" max="3845" width="13.42578125" style="3" customWidth="1"/>
    <col min="3846" max="3846" width="12.7109375" style="3" customWidth="1"/>
    <col min="3847" max="3847" width="14" style="3" customWidth="1"/>
    <col min="3848" max="3848" width="7.42578125" style="3" customWidth="1"/>
    <col min="3849" max="4096" width="11.42578125" style="3"/>
    <col min="4097" max="4097" width="15.85546875" style="3" customWidth="1"/>
    <col min="4098" max="4098" width="14.85546875" style="3" customWidth="1"/>
    <col min="4099" max="4099" width="13.28515625" style="3" customWidth="1"/>
    <col min="4100" max="4100" width="11.42578125" style="3"/>
    <col min="4101" max="4101" width="13.42578125" style="3" customWidth="1"/>
    <col min="4102" max="4102" width="12.7109375" style="3" customWidth="1"/>
    <col min="4103" max="4103" width="14" style="3" customWidth="1"/>
    <col min="4104" max="4104" width="7.42578125" style="3" customWidth="1"/>
    <col min="4105" max="4352" width="11.42578125" style="3"/>
    <col min="4353" max="4353" width="15.85546875" style="3" customWidth="1"/>
    <col min="4354" max="4354" width="14.85546875" style="3" customWidth="1"/>
    <col min="4355" max="4355" width="13.28515625" style="3" customWidth="1"/>
    <col min="4356" max="4356" width="11.42578125" style="3"/>
    <col min="4357" max="4357" width="13.42578125" style="3" customWidth="1"/>
    <col min="4358" max="4358" width="12.7109375" style="3" customWidth="1"/>
    <col min="4359" max="4359" width="14" style="3" customWidth="1"/>
    <col min="4360" max="4360" width="7.42578125" style="3" customWidth="1"/>
    <col min="4361" max="4608" width="11.42578125" style="3"/>
    <col min="4609" max="4609" width="15.85546875" style="3" customWidth="1"/>
    <col min="4610" max="4610" width="14.85546875" style="3" customWidth="1"/>
    <col min="4611" max="4611" width="13.28515625" style="3" customWidth="1"/>
    <col min="4612" max="4612" width="11.42578125" style="3"/>
    <col min="4613" max="4613" width="13.42578125" style="3" customWidth="1"/>
    <col min="4614" max="4614" width="12.7109375" style="3" customWidth="1"/>
    <col min="4615" max="4615" width="14" style="3" customWidth="1"/>
    <col min="4616" max="4616" width="7.42578125" style="3" customWidth="1"/>
    <col min="4617" max="4864" width="11.42578125" style="3"/>
    <col min="4865" max="4865" width="15.85546875" style="3" customWidth="1"/>
    <col min="4866" max="4866" width="14.85546875" style="3" customWidth="1"/>
    <col min="4867" max="4867" width="13.28515625" style="3" customWidth="1"/>
    <col min="4868" max="4868" width="11.42578125" style="3"/>
    <col min="4869" max="4869" width="13.42578125" style="3" customWidth="1"/>
    <col min="4870" max="4870" width="12.7109375" style="3" customWidth="1"/>
    <col min="4871" max="4871" width="14" style="3" customWidth="1"/>
    <col min="4872" max="4872" width="7.42578125" style="3" customWidth="1"/>
    <col min="4873" max="5120" width="11.42578125" style="3"/>
    <col min="5121" max="5121" width="15.85546875" style="3" customWidth="1"/>
    <col min="5122" max="5122" width="14.85546875" style="3" customWidth="1"/>
    <col min="5123" max="5123" width="13.28515625" style="3" customWidth="1"/>
    <col min="5124" max="5124" width="11.42578125" style="3"/>
    <col min="5125" max="5125" width="13.42578125" style="3" customWidth="1"/>
    <col min="5126" max="5126" width="12.7109375" style="3" customWidth="1"/>
    <col min="5127" max="5127" width="14" style="3" customWidth="1"/>
    <col min="5128" max="5128" width="7.42578125" style="3" customWidth="1"/>
    <col min="5129" max="5376" width="11.42578125" style="3"/>
    <col min="5377" max="5377" width="15.85546875" style="3" customWidth="1"/>
    <col min="5378" max="5378" width="14.85546875" style="3" customWidth="1"/>
    <col min="5379" max="5379" width="13.28515625" style="3" customWidth="1"/>
    <col min="5380" max="5380" width="11.42578125" style="3"/>
    <col min="5381" max="5381" width="13.42578125" style="3" customWidth="1"/>
    <col min="5382" max="5382" width="12.7109375" style="3" customWidth="1"/>
    <col min="5383" max="5383" width="14" style="3" customWidth="1"/>
    <col min="5384" max="5384" width="7.42578125" style="3" customWidth="1"/>
    <col min="5385" max="5632" width="11.42578125" style="3"/>
    <col min="5633" max="5633" width="15.85546875" style="3" customWidth="1"/>
    <col min="5634" max="5634" width="14.85546875" style="3" customWidth="1"/>
    <col min="5635" max="5635" width="13.28515625" style="3" customWidth="1"/>
    <col min="5636" max="5636" width="11.42578125" style="3"/>
    <col min="5637" max="5637" width="13.42578125" style="3" customWidth="1"/>
    <col min="5638" max="5638" width="12.7109375" style="3" customWidth="1"/>
    <col min="5639" max="5639" width="14" style="3" customWidth="1"/>
    <col min="5640" max="5640" width="7.42578125" style="3" customWidth="1"/>
    <col min="5641" max="5888" width="11.42578125" style="3"/>
    <col min="5889" max="5889" width="15.85546875" style="3" customWidth="1"/>
    <col min="5890" max="5890" width="14.85546875" style="3" customWidth="1"/>
    <col min="5891" max="5891" width="13.28515625" style="3" customWidth="1"/>
    <col min="5892" max="5892" width="11.42578125" style="3"/>
    <col min="5893" max="5893" width="13.42578125" style="3" customWidth="1"/>
    <col min="5894" max="5894" width="12.7109375" style="3" customWidth="1"/>
    <col min="5895" max="5895" width="14" style="3" customWidth="1"/>
    <col min="5896" max="5896" width="7.42578125" style="3" customWidth="1"/>
    <col min="5897" max="6144" width="11.42578125" style="3"/>
    <col min="6145" max="6145" width="15.85546875" style="3" customWidth="1"/>
    <col min="6146" max="6146" width="14.85546875" style="3" customWidth="1"/>
    <col min="6147" max="6147" width="13.28515625" style="3" customWidth="1"/>
    <col min="6148" max="6148" width="11.42578125" style="3"/>
    <col min="6149" max="6149" width="13.42578125" style="3" customWidth="1"/>
    <col min="6150" max="6150" width="12.7109375" style="3" customWidth="1"/>
    <col min="6151" max="6151" width="14" style="3" customWidth="1"/>
    <col min="6152" max="6152" width="7.42578125" style="3" customWidth="1"/>
    <col min="6153" max="6400" width="11.42578125" style="3"/>
    <col min="6401" max="6401" width="15.85546875" style="3" customWidth="1"/>
    <col min="6402" max="6402" width="14.85546875" style="3" customWidth="1"/>
    <col min="6403" max="6403" width="13.28515625" style="3" customWidth="1"/>
    <col min="6404" max="6404" width="11.42578125" style="3"/>
    <col min="6405" max="6405" width="13.42578125" style="3" customWidth="1"/>
    <col min="6406" max="6406" width="12.7109375" style="3" customWidth="1"/>
    <col min="6407" max="6407" width="14" style="3" customWidth="1"/>
    <col min="6408" max="6408" width="7.42578125" style="3" customWidth="1"/>
    <col min="6409" max="6656" width="11.42578125" style="3"/>
    <col min="6657" max="6657" width="15.85546875" style="3" customWidth="1"/>
    <col min="6658" max="6658" width="14.85546875" style="3" customWidth="1"/>
    <col min="6659" max="6659" width="13.28515625" style="3" customWidth="1"/>
    <col min="6660" max="6660" width="11.42578125" style="3"/>
    <col min="6661" max="6661" width="13.42578125" style="3" customWidth="1"/>
    <col min="6662" max="6662" width="12.7109375" style="3" customWidth="1"/>
    <col min="6663" max="6663" width="14" style="3" customWidth="1"/>
    <col min="6664" max="6664" width="7.42578125" style="3" customWidth="1"/>
    <col min="6665" max="6912" width="11.42578125" style="3"/>
    <col min="6913" max="6913" width="15.85546875" style="3" customWidth="1"/>
    <col min="6914" max="6914" width="14.85546875" style="3" customWidth="1"/>
    <col min="6915" max="6915" width="13.28515625" style="3" customWidth="1"/>
    <col min="6916" max="6916" width="11.42578125" style="3"/>
    <col min="6917" max="6917" width="13.42578125" style="3" customWidth="1"/>
    <col min="6918" max="6918" width="12.7109375" style="3" customWidth="1"/>
    <col min="6919" max="6919" width="14" style="3" customWidth="1"/>
    <col min="6920" max="6920" width="7.42578125" style="3" customWidth="1"/>
    <col min="6921" max="7168" width="11.42578125" style="3"/>
    <col min="7169" max="7169" width="15.85546875" style="3" customWidth="1"/>
    <col min="7170" max="7170" width="14.85546875" style="3" customWidth="1"/>
    <col min="7171" max="7171" width="13.28515625" style="3" customWidth="1"/>
    <col min="7172" max="7172" width="11.42578125" style="3"/>
    <col min="7173" max="7173" width="13.42578125" style="3" customWidth="1"/>
    <col min="7174" max="7174" width="12.7109375" style="3" customWidth="1"/>
    <col min="7175" max="7175" width="14" style="3" customWidth="1"/>
    <col min="7176" max="7176" width="7.42578125" style="3" customWidth="1"/>
    <col min="7177" max="7424" width="11.42578125" style="3"/>
    <col min="7425" max="7425" width="15.85546875" style="3" customWidth="1"/>
    <col min="7426" max="7426" width="14.85546875" style="3" customWidth="1"/>
    <col min="7427" max="7427" width="13.28515625" style="3" customWidth="1"/>
    <col min="7428" max="7428" width="11.42578125" style="3"/>
    <col min="7429" max="7429" width="13.42578125" style="3" customWidth="1"/>
    <col min="7430" max="7430" width="12.7109375" style="3" customWidth="1"/>
    <col min="7431" max="7431" width="14" style="3" customWidth="1"/>
    <col min="7432" max="7432" width="7.42578125" style="3" customWidth="1"/>
    <col min="7433" max="7680" width="11.42578125" style="3"/>
    <col min="7681" max="7681" width="15.85546875" style="3" customWidth="1"/>
    <col min="7682" max="7682" width="14.85546875" style="3" customWidth="1"/>
    <col min="7683" max="7683" width="13.28515625" style="3" customWidth="1"/>
    <col min="7684" max="7684" width="11.42578125" style="3"/>
    <col min="7685" max="7685" width="13.42578125" style="3" customWidth="1"/>
    <col min="7686" max="7686" width="12.7109375" style="3" customWidth="1"/>
    <col min="7687" max="7687" width="14" style="3" customWidth="1"/>
    <col min="7688" max="7688" width="7.42578125" style="3" customWidth="1"/>
    <col min="7689" max="7936" width="11.42578125" style="3"/>
    <col min="7937" max="7937" width="15.85546875" style="3" customWidth="1"/>
    <col min="7938" max="7938" width="14.85546875" style="3" customWidth="1"/>
    <col min="7939" max="7939" width="13.28515625" style="3" customWidth="1"/>
    <col min="7940" max="7940" width="11.42578125" style="3"/>
    <col min="7941" max="7941" width="13.42578125" style="3" customWidth="1"/>
    <col min="7942" max="7942" width="12.7109375" style="3" customWidth="1"/>
    <col min="7943" max="7943" width="14" style="3" customWidth="1"/>
    <col min="7944" max="7944" width="7.42578125" style="3" customWidth="1"/>
    <col min="7945" max="8192" width="11.42578125" style="3"/>
    <col min="8193" max="8193" width="15.85546875" style="3" customWidth="1"/>
    <col min="8194" max="8194" width="14.85546875" style="3" customWidth="1"/>
    <col min="8195" max="8195" width="13.28515625" style="3" customWidth="1"/>
    <col min="8196" max="8196" width="11.42578125" style="3"/>
    <col min="8197" max="8197" width="13.42578125" style="3" customWidth="1"/>
    <col min="8198" max="8198" width="12.7109375" style="3" customWidth="1"/>
    <col min="8199" max="8199" width="14" style="3" customWidth="1"/>
    <col min="8200" max="8200" width="7.42578125" style="3" customWidth="1"/>
    <col min="8201" max="8448" width="11.42578125" style="3"/>
    <col min="8449" max="8449" width="15.85546875" style="3" customWidth="1"/>
    <col min="8450" max="8450" width="14.85546875" style="3" customWidth="1"/>
    <col min="8451" max="8451" width="13.28515625" style="3" customWidth="1"/>
    <col min="8452" max="8452" width="11.42578125" style="3"/>
    <col min="8453" max="8453" width="13.42578125" style="3" customWidth="1"/>
    <col min="8454" max="8454" width="12.7109375" style="3" customWidth="1"/>
    <col min="8455" max="8455" width="14" style="3" customWidth="1"/>
    <col min="8456" max="8456" width="7.42578125" style="3" customWidth="1"/>
    <col min="8457" max="8704" width="11.42578125" style="3"/>
    <col min="8705" max="8705" width="15.85546875" style="3" customWidth="1"/>
    <col min="8706" max="8706" width="14.85546875" style="3" customWidth="1"/>
    <col min="8707" max="8707" width="13.28515625" style="3" customWidth="1"/>
    <col min="8708" max="8708" width="11.42578125" style="3"/>
    <col min="8709" max="8709" width="13.42578125" style="3" customWidth="1"/>
    <col min="8710" max="8710" width="12.7109375" style="3" customWidth="1"/>
    <col min="8711" max="8711" width="14" style="3" customWidth="1"/>
    <col min="8712" max="8712" width="7.42578125" style="3" customWidth="1"/>
    <col min="8713" max="8960" width="11.42578125" style="3"/>
    <col min="8961" max="8961" width="15.85546875" style="3" customWidth="1"/>
    <col min="8962" max="8962" width="14.85546875" style="3" customWidth="1"/>
    <col min="8963" max="8963" width="13.28515625" style="3" customWidth="1"/>
    <col min="8964" max="8964" width="11.42578125" style="3"/>
    <col min="8965" max="8965" width="13.42578125" style="3" customWidth="1"/>
    <col min="8966" max="8966" width="12.7109375" style="3" customWidth="1"/>
    <col min="8967" max="8967" width="14" style="3" customWidth="1"/>
    <col min="8968" max="8968" width="7.42578125" style="3" customWidth="1"/>
    <col min="8969" max="9216" width="11.42578125" style="3"/>
    <col min="9217" max="9217" width="15.85546875" style="3" customWidth="1"/>
    <col min="9218" max="9218" width="14.85546875" style="3" customWidth="1"/>
    <col min="9219" max="9219" width="13.28515625" style="3" customWidth="1"/>
    <col min="9220" max="9220" width="11.42578125" style="3"/>
    <col min="9221" max="9221" width="13.42578125" style="3" customWidth="1"/>
    <col min="9222" max="9222" width="12.7109375" style="3" customWidth="1"/>
    <col min="9223" max="9223" width="14" style="3" customWidth="1"/>
    <col min="9224" max="9224" width="7.42578125" style="3" customWidth="1"/>
    <col min="9225" max="9472" width="11.42578125" style="3"/>
    <col min="9473" max="9473" width="15.85546875" style="3" customWidth="1"/>
    <col min="9474" max="9474" width="14.85546875" style="3" customWidth="1"/>
    <col min="9475" max="9475" width="13.28515625" style="3" customWidth="1"/>
    <col min="9476" max="9476" width="11.42578125" style="3"/>
    <col min="9477" max="9477" width="13.42578125" style="3" customWidth="1"/>
    <col min="9478" max="9478" width="12.7109375" style="3" customWidth="1"/>
    <col min="9479" max="9479" width="14" style="3" customWidth="1"/>
    <col min="9480" max="9480" width="7.42578125" style="3" customWidth="1"/>
    <col min="9481" max="9728" width="11.42578125" style="3"/>
    <col min="9729" max="9729" width="15.85546875" style="3" customWidth="1"/>
    <col min="9730" max="9730" width="14.85546875" style="3" customWidth="1"/>
    <col min="9731" max="9731" width="13.28515625" style="3" customWidth="1"/>
    <col min="9732" max="9732" width="11.42578125" style="3"/>
    <col min="9733" max="9733" width="13.42578125" style="3" customWidth="1"/>
    <col min="9734" max="9734" width="12.7109375" style="3" customWidth="1"/>
    <col min="9735" max="9735" width="14" style="3" customWidth="1"/>
    <col min="9736" max="9736" width="7.42578125" style="3" customWidth="1"/>
    <col min="9737" max="9984" width="11.42578125" style="3"/>
    <col min="9985" max="9985" width="15.85546875" style="3" customWidth="1"/>
    <col min="9986" max="9986" width="14.85546875" style="3" customWidth="1"/>
    <col min="9987" max="9987" width="13.28515625" style="3" customWidth="1"/>
    <col min="9988" max="9988" width="11.42578125" style="3"/>
    <col min="9989" max="9989" width="13.42578125" style="3" customWidth="1"/>
    <col min="9990" max="9990" width="12.7109375" style="3" customWidth="1"/>
    <col min="9991" max="9991" width="14" style="3" customWidth="1"/>
    <col min="9992" max="9992" width="7.42578125" style="3" customWidth="1"/>
    <col min="9993" max="10240" width="11.42578125" style="3"/>
    <col min="10241" max="10241" width="15.85546875" style="3" customWidth="1"/>
    <col min="10242" max="10242" width="14.85546875" style="3" customWidth="1"/>
    <col min="10243" max="10243" width="13.28515625" style="3" customWidth="1"/>
    <col min="10244" max="10244" width="11.42578125" style="3"/>
    <col min="10245" max="10245" width="13.42578125" style="3" customWidth="1"/>
    <col min="10246" max="10246" width="12.7109375" style="3" customWidth="1"/>
    <col min="10247" max="10247" width="14" style="3" customWidth="1"/>
    <col min="10248" max="10248" width="7.42578125" style="3" customWidth="1"/>
    <col min="10249" max="10496" width="11.42578125" style="3"/>
    <col min="10497" max="10497" width="15.85546875" style="3" customWidth="1"/>
    <col min="10498" max="10498" width="14.85546875" style="3" customWidth="1"/>
    <col min="10499" max="10499" width="13.28515625" style="3" customWidth="1"/>
    <col min="10500" max="10500" width="11.42578125" style="3"/>
    <col min="10501" max="10501" width="13.42578125" style="3" customWidth="1"/>
    <col min="10502" max="10502" width="12.7109375" style="3" customWidth="1"/>
    <col min="10503" max="10503" width="14" style="3" customWidth="1"/>
    <col min="10504" max="10504" width="7.42578125" style="3" customWidth="1"/>
    <col min="10505" max="10752" width="11.42578125" style="3"/>
    <col min="10753" max="10753" width="15.85546875" style="3" customWidth="1"/>
    <col min="10754" max="10754" width="14.85546875" style="3" customWidth="1"/>
    <col min="10755" max="10755" width="13.28515625" style="3" customWidth="1"/>
    <col min="10756" max="10756" width="11.42578125" style="3"/>
    <col min="10757" max="10757" width="13.42578125" style="3" customWidth="1"/>
    <col min="10758" max="10758" width="12.7109375" style="3" customWidth="1"/>
    <col min="10759" max="10759" width="14" style="3" customWidth="1"/>
    <col min="10760" max="10760" width="7.42578125" style="3" customWidth="1"/>
    <col min="10761" max="11008" width="11.42578125" style="3"/>
    <col min="11009" max="11009" width="15.85546875" style="3" customWidth="1"/>
    <col min="11010" max="11010" width="14.85546875" style="3" customWidth="1"/>
    <col min="11011" max="11011" width="13.28515625" style="3" customWidth="1"/>
    <col min="11012" max="11012" width="11.42578125" style="3"/>
    <col min="11013" max="11013" width="13.42578125" style="3" customWidth="1"/>
    <col min="11014" max="11014" width="12.7109375" style="3" customWidth="1"/>
    <col min="11015" max="11015" width="14" style="3" customWidth="1"/>
    <col min="11016" max="11016" width="7.42578125" style="3" customWidth="1"/>
    <col min="11017" max="11264" width="11.42578125" style="3"/>
    <col min="11265" max="11265" width="15.85546875" style="3" customWidth="1"/>
    <col min="11266" max="11266" width="14.85546875" style="3" customWidth="1"/>
    <col min="11267" max="11267" width="13.28515625" style="3" customWidth="1"/>
    <col min="11268" max="11268" width="11.42578125" style="3"/>
    <col min="11269" max="11269" width="13.42578125" style="3" customWidth="1"/>
    <col min="11270" max="11270" width="12.7109375" style="3" customWidth="1"/>
    <col min="11271" max="11271" width="14" style="3" customWidth="1"/>
    <col min="11272" max="11272" width="7.42578125" style="3" customWidth="1"/>
    <col min="11273" max="11520" width="11.42578125" style="3"/>
    <col min="11521" max="11521" width="15.85546875" style="3" customWidth="1"/>
    <col min="11522" max="11522" width="14.85546875" style="3" customWidth="1"/>
    <col min="11523" max="11523" width="13.28515625" style="3" customWidth="1"/>
    <col min="11524" max="11524" width="11.42578125" style="3"/>
    <col min="11525" max="11525" width="13.42578125" style="3" customWidth="1"/>
    <col min="11526" max="11526" width="12.7109375" style="3" customWidth="1"/>
    <col min="11527" max="11527" width="14" style="3" customWidth="1"/>
    <col min="11528" max="11528" width="7.42578125" style="3" customWidth="1"/>
    <col min="11529" max="11776" width="11.42578125" style="3"/>
    <col min="11777" max="11777" width="15.85546875" style="3" customWidth="1"/>
    <col min="11778" max="11778" width="14.85546875" style="3" customWidth="1"/>
    <col min="11779" max="11779" width="13.28515625" style="3" customWidth="1"/>
    <col min="11780" max="11780" width="11.42578125" style="3"/>
    <col min="11781" max="11781" width="13.42578125" style="3" customWidth="1"/>
    <col min="11782" max="11782" width="12.7109375" style="3" customWidth="1"/>
    <col min="11783" max="11783" width="14" style="3" customWidth="1"/>
    <col min="11784" max="11784" width="7.42578125" style="3" customWidth="1"/>
    <col min="11785" max="12032" width="11.42578125" style="3"/>
    <col min="12033" max="12033" width="15.85546875" style="3" customWidth="1"/>
    <col min="12034" max="12034" width="14.85546875" style="3" customWidth="1"/>
    <col min="12035" max="12035" width="13.28515625" style="3" customWidth="1"/>
    <col min="12036" max="12036" width="11.42578125" style="3"/>
    <col min="12037" max="12037" width="13.42578125" style="3" customWidth="1"/>
    <col min="12038" max="12038" width="12.7109375" style="3" customWidth="1"/>
    <col min="12039" max="12039" width="14" style="3" customWidth="1"/>
    <col min="12040" max="12040" width="7.42578125" style="3" customWidth="1"/>
    <col min="12041" max="12288" width="11.42578125" style="3"/>
    <col min="12289" max="12289" width="15.85546875" style="3" customWidth="1"/>
    <col min="12290" max="12290" width="14.85546875" style="3" customWidth="1"/>
    <col min="12291" max="12291" width="13.28515625" style="3" customWidth="1"/>
    <col min="12292" max="12292" width="11.42578125" style="3"/>
    <col min="12293" max="12293" width="13.42578125" style="3" customWidth="1"/>
    <col min="12294" max="12294" width="12.7109375" style="3" customWidth="1"/>
    <col min="12295" max="12295" width="14" style="3" customWidth="1"/>
    <col min="12296" max="12296" width="7.42578125" style="3" customWidth="1"/>
    <col min="12297" max="12544" width="11.42578125" style="3"/>
    <col min="12545" max="12545" width="15.85546875" style="3" customWidth="1"/>
    <col min="12546" max="12546" width="14.85546875" style="3" customWidth="1"/>
    <col min="12547" max="12547" width="13.28515625" style="3" customWidth="1"/>
    <col min="12548" max="12548" width="11.42578125" style="3"/>
    <col min="12549" max="12549" width="13.42578125" style="3" customWidth="1"/>
    <col min="12550" max="12550" width="12.7109375" style="3" customWidth="1"/>
    <col min="12551" max="12551" width="14" style="3" customWidth="1"/>
    <col min="12552" max="12552" width="7.42578125" style="3" customWidth="1"/>
    <col min="12553" max="12800" width="11.42578125" style="3"/>
    <col min="12801" max="12801" width="15.85546875" style="3" customWidth="1"/>
    <col min="12802" max="12802" width="14.85546875" style="3" customWidth="1"/>
    <col min="12803" max="12803" width="13.28515625" style="3" customWidth="1"/>
    <col min="12804" max="12804" width="11.42578125" style="3"/>
    <col min="12805" max="12805" width="13.42578125" style="3" customWidth="1"/>
    <col min="12806" max="12806" width="12.7109375" style="3" customWidth="1"/>
    <col min="12807" max="12807" width="14" style="3" customWidth="1"/>
    <col min="12808" max="12808" width="7.42578125" style="3" customWidth="1"/>
    <col min="12809" max="13056" width="11.42578125" style="3"/>
    <col min="13057" max="13057" width="15.85546875" style="3" customWidth="1"/>
    <col min="13058" max="13058" width="14.85546875" style="3" customWidth="1"/>
    <col min="13059" max="13059" width="13.28515625" style="3" customWidth="1"/>
    <col min="13060" max="13060" width="11.42578125" style="3"/>
    <col min="13061" max="13061" width="13.42578125" style="3" customWidth="1"/>
    <col min="13062" max="13062" width="12.7109375" style="3" customWidth="1"/>
    <col min="13063" max="13063" width="14" style="3" customWidth="1"/>
    <col min="13064" max="13064" width="7.42578125" style="3" customWidth="1"/>
    <col min="13065" max="13312" width="11.42578125" style="3"/>
    <col min="13313" max="13313" width="15.85546875" style="3" customWidth="1"/>
    <col min="13314" max="13314" width="14.85546875" style="3" customWidth="1"/>
    <col min="13315" max="13315" width="13.28515625" style="3" customWidth="1"/>
    <col min="13316" max="13316" width="11.42578125" style="3"/>
    <col min="13317" max="13317" width="13.42578125" style="3" customWidth="1"/>
    <col min="13318" max="13318" width="12.7109375" style="3" customWidth="1"/>
    <col min="13319" max="13319" width="14" style="3" customWidth="1"/>
    <col min="13320" max="13320" width="7.42578125" style="3" customWidth="1"/>
    <col min="13321" max="13568" width="11.42578125" style="3"/>
    <col min="13569" max="13569" width="15.85546875" style="3" customWidth="1"/>
    <col min="13570" max="13570" width="14.85546875" style="3" customWidth="1"/>
    <col min="13571" max="13571" width="13.28515625" style="3" customWidth="1"/>
    <col min="13572" max="13572" width="11.42578125" style="3"/>
    <col min="13573" max="13573" width="13.42578125" style="3" customWidth="1"/>
    <col min="13574" max="13574" width="12.7109375" style="3" customWidth="1"/>
    <col min="13575" max="13575" width="14" style="3" customWidth="1"/>
    <col min="13576" max="13576" width="7.42578125" style="3" customWidth="1"/>
    <col min="13577" max="13824" width="11.42578125" style="3"/>
    <col min="13825" max="13825" width="15.85546875" style="3" customWidth="1"/>
    <col min="13826" max="13826" width="14.85546875" style="3" customWidth="1"/>
    <col min="13827" max="13827" width="13.28515625" style="3" customWidth="1"/>
    <col min="13828" max="13828" width="11.42578125" style="3"/>
    <col min="13829" max="13829" width="13.42578125" style="3" customWidth="1"/>
    <col min="13830" max="13830" width="12.7109375" style="3" customWidth="1"/>
    <col min="13831" max="13831" width="14" style="3" customWidth="1"/>
    <col min="13832" max="13832" width="7.42578125" style="3" customWidth="1"/>
    <col min="13833" max="14080" width="11.42578125" style="3"/>
    <col min="14081" max="14081" width="15.85546875" style="3" customWidth="1"/>
    <col min="14082" max="14082" width="14.85546875" style="3" customWidth="1"/>
    <col min="14083" max="14083" width="13.28515625" style="3" customWidth="1"/>
    <col min="14084" max="14084" width="11.42578125" style="3"/>
    <col min="14085" max="14085" width="13.42578125" style="3" customWidth="1"/>
    <col min="14086" max="14086" width="12.7109375" style="3" customWidth="1"/>
    <col min="14087" max="14087" width="14" style="3" customWidth="1"/>
    <col min="14088" max="14088" width="7.42578125" style="3" customWidth="1"/>
    <col min="14089" max="14336" width="11.42578125" style="3"/>
    <col min="14337" max="14337" width="15.85546875" style="3" customWidth="1"/>
    <col min="14338" max="14338" width="14.85546875" style="3" customWidth="1"/>
    <col min="14339" max="14339" width="13.28515625" style="3" customWidth="1"/>
    <col min="14340" max="14340" width="11.42578125" style="3"/>
    <col min="14341" max="14341" width="13.42578125" style="3" customWidth="1"/>
    <col min="14342" max="14342" width="12.7109375" style="3" customWidth="1"/>
    <col min="14343" max="14343" width="14" style="3" customWidth="1"/>
    <col min="14344" max="14344" width="7.42578125" style="3" customWidth="1"/>
    <col min="14345" max="14592" width="11.42578125" style="3"/>
    <col min="14593" max="14593" width="15.85546875" style="3" customWidth="1"/>
    <col min="14594" max="14594" width="14.85546875" style="3" customWidth="1"/>
    <col min="14595" max="14595" width="13.28515625" style="3" customWidth="1"/>
    <col min="14596" max="14596" width="11.42578125" style="3"/>
    <col min="14597" max="14597" width="13.42578125" style="3" customWidth="1"/>
    <col min="14598" max="14598" width="12.7109375" style="3" customWidth="1"/>
    <col min="14599" max="14599" width="14" style="3" customWidth="1"/>
    <col min="14600" max="14600" width="7.42578125" style="3" customWidth="1"/>
    <col min="14601" max="14848" width="11.42578125" style="3"/>
    <col min="14849" max="14849" width="15.85546875" style="3" customWidth="1"/>
    <col min="14850" max="14850" width="14.85546875" style="3" customWidth="1"/>
    <col min="14851" max="14851" width="13.28515625" style="3" customWidth="1"/>
    <col min="14852" max="14852" width="11.42578125" style="3"/>
    <col min="14853" max="14853" width="13.42578125" style="3" customWidth="1"/>
    <col min="14854" max="14854" width="12.7109375" style="3" customWidth="1"/>
    <col min="14855" max="14855" width="14" style="3" customWidth="1"/>
    <col min="14856" max="14856" width="7.42578125" style="3" customWidth="1"/>
    <col min="14857" max="15104" width="11.42578125" style="3"/>
    <col min="15105" max="15105" width="15.85546875" style="3" customWidth="1"/>
    <col min="15106" max="15106" width="14.85546875" style="3" customWidth="1"/>
    <col min="15107" max="15107" width="13.28515625" style="3" customWidth="1"/>
    <col min="15108" max="15108" width="11.42578125" style="3"/>
    <col min="15109" max="15109" width="13.42578125" style="3" customWidth="1"/>
    <col min="15110" max="15110" width="12.7109375" style="3" customWidth="1"/>
    <col min="15111" max="15111" width="14" style="3" customWidth="1"/>
    <col min="15112" max="15112" width="7.42578125" style="3" customWidth="1"/>
    <col min="15113" max="15360" width="11.42578125" style="3"/>
    <col min="15361" max="15361" width="15.85546875" style="3" customWidth="1"/>
    <col min="15362" max="15362" width="14.85546875" style="3" customWidth="1"/>
    <col min="15363" max="15363" width="13.28515625" style="3" customWidth="1"/>
    <col min="15364" max="15364" width="11.42578125" style="3"/>
    <col min="15365" max="15365" width="13.42578125" style="3" customWidth="1"/>
    <col min="15366" max="15366" width="12.7109375" style="3" customWidth="1"/>
    <col min="15367" max="15367" width="14" style="3" customWidth="1"/>
    <col min="15368" max="15368" width="7.42578125" style="3" customWidth="1"/>
    <col min="15369" max="15616" width="11.42578125" style="3"/>
    <col min="15617" max="15617" width="15.85546875" style="3" customWidth="1"/>
    <col min="15618" max="15618" width="14.85546875" style="3" customWidth="1"/>
    <col min="15619" max="15619" width="13.28515625" style="3" customWidth="1"/>
    <col min="15620" max="15620" width="11.42578125" style="3"/>
    <col min="15621" max="15621" width="13.42578125" style="3" customWidth="1"/>
    <col min="15622" max="15622" width="12.7109375" style="3" customWidth="1"/>
    <col min="15623" max="15623" width="14" style="3" customWidth="1"/>
    <col min="15624" max="15624" width="7.42578125" style="3" customWidth="1"/>
    <col min="15625" max="15872" width="11.42578125" style="3"/>
    <col min="15873" max="15873" width="15.85546875" style="3" customWidth="1"/>
    <col min="15874" max="15874" width="14.85546875" style="3" customWidth="1"/>
    <col min="15875" max="15875" width="13.28515625" style="3" customWidth="1"/>
    <col min="15876" max="15876" width="11.42578125" style="3"/>
    <col min="15877" max="15877" width="13.42578125" style="3" customWidth="1"/>
    <col min="15878" max="15878" width="12.7109375" style="3" customWidth="1"/>
    <col min="15879" max="15879" width="14" style="3" customWidth="1"/>
    <col min="15880" max="15880" width="7.42578125" style="3" customWidth="1"/>
    <col min="15881" max="16128" width="11.42578125" style="3"/>
    <col min="16129" max="16129" width="15.85546875" style="3" customWidth="1"/>
    <col min="16130" max="16130" width="14.85546875" style="3" customWidth="1"/>
    <col min="16131" max="16131" width="13.28515625" style="3" customWidth="1"/>
    <col min="16132" max="16132" width="11.42578125" style="3"/>
    <col min="16133" max="16133" width="13.42578125" style="3" customWidth="1"/>
    <col min="16134" max="16134" width="12.7109375" style="3" customWidth="1"/>
    <col min="16135" max="16135" width="14" style="3" customWidth="1"/>
    <col min="16136" max="16136" width="7.42578125" style="3" customWidth="1"/>
    <col min="16137" max="16384" width="11.42578125" style="3"/>
  </cols>
  <sheetData>
    <row r="1" spans="1:21" ht="20.25">
      <c r="A1" s="1346" t="str">
        <f>PPTO!D3</f>
        <v>PRESUPUESTO
MUNICIPIO EL BAGRE (ANTIOQUIA).</v>
      </c>
      <c r="B1" s="1347"/>
      <c r="C1" s="1347"/>
      <c r="D1" s="1347"/>
      <c r="E1" s="1347"/>
      <c r="F1" s="1347"/>
      <c r="G1" s="1348"/>
      <c r="H1" s="1"/>
      <c r="I1" s="2"/>
    </row>
    <row r="2" spans="1:21" ht="18" customHeight="1">
      <c r="A2" s="1362" t="s">
        <v>16</v>
      </c>
      <c r="B2" s="1363"/>
      <c r="C2" s="1363"/>
      <c r="D2" s="1363"/>
      <c r="E2" s="1363"/>
      <c r="F2" s="1363"/>
      <c r="G2" s="1364"/>
      <c r="H2" s="1"/>
      <c r="I2" s="2"/>
    </row>
    <row r="3" spans="1:21" ht="27" customHeight="1">
      <c r="A3" s="1367" t="str">
        <f>+PPTO!$D$5</f>
        <v>PROYECTO DE MEJORAMIENTO VIAL, ESPACIO PUBLICO Y OBRAS COMPLEMENTARIAS DE LA AVENIDA LA JUVENTUD Y TRAMOS ADYACENTES Y PRIORITARIOS DEL SECTOR URBANO EN EL MUNICIPIO EL BAGRE ANTIOQUIA.</v>
      </c>
      <c r="B3" s="1368"/>
      <c r="C3" s="1368"/>
      <c r="D3" s="1368"/>
      <c r="E3" s="1368"/>
      <c r="F3" s="1368"/>
      <c r="G3" s="1369"/>
      <c r="H3" s="1"/>
      <c r="I3" s="2"/>
    </row>
    <row r="4" spans="1:21">
      <c r="A4" s="1370"/>
      <c r="B4" s="1368"/>
      <c r="C4" s="1368"/>
      <c r="D4" s="1368"/>
      <c r="E4" s="1368"/>
      <c r="F4" s="1368"/>
      <c r="G4" s="1369"/>
      <c r="H4" s="1"/>
      <c r="I4" s="2"/>
    </row>
    <row r="5" spans="1:21" ht="6.75" customHeight="1">
      <c r="A5" s="222"/>
      <c r="B5" s="6"/>
      <c r="C5" s="24"/>
      <c r="D5" s="25"/>
      <c r="E5" s="6"/>
      <c r="F5" s="6"/>
      <c r="G5" s="223"/>
      <c r="H5" s="9"/>
    </row>
    <row r="6" spans="1:21" ht="31.5" customHeight="1">
      <c r="A6" s="368">
        <v>6.46</v>
      </c>
      <c r="B6" s="1349" t="str">
        <f>VLOOKUP(A6,PPTO!D9:I136,2,FALSE)</f>
        <v>Placas de fondo de concreto de 4000 PSI, para pozos de inspeccion D=1.20, e=0.20</v>
      </c>
      <c r="C6" s="1350"/>
      <c r="D6" s="1350"/>
      <c r="E6" s="1351"/>
      <c r="F6" s="192" t="s">
        <v>118</v>
      </c>
      <c r="G6" s="248" t="str">
        <f>VLOOKUP(A6,PPTO!D9:I136,3,FALSE)</f>
        <v>und</v>
      </c>
      <c r="H6" s="9"/>
    </row>
    <row r="7" spans="1:21" ht="3.75" customHeight="1">
      <c r="A7" s="226"/>
      <c r="B7" s="4"/>
      <c r="C7" s="6"/>
      <c r="D7" s="4"/>
      <c r="E7" s="4"/>
      <c r="F7" s="4"/>
      <c r="G7" s="227"/>
      <c r="H7" s="9"/>
    </row>
    <row r="8" spans="1:21" ht="22.5" customHeight="1">
      <c r="A8" s="1354" t="s">
        <v>69</v>
      </c>
      <c r="B8" s="1355"/>
      <c r="C8" s="1355"/>
      <c r="D8" s="1355"/>
      <c r="E8" s="1355"/>
      <c r="F8" s="1355"/>
      <c r="G8" s="1356"/>
      <c r="H8" s="9"/>
    </row>
    <row r="9" spans="1:21" ht="4.5" customHeight="1">
      <c r="A9" s="226"/>
      <c r="B9" s="4"/>
      <c r="C9" s="6"/>
      <c r="D9" s="4"/>
      <c r="E9" s="4"/>
      <c r="F9" s="4"/>
      <c r="G9" s="227"/>
      <c r="H9" s="9"/>
      <c r="I9" s="5"/>
      <c r="J9" s="5"/>
      <c r="K9" s="5"/>
      <c r="L9" s="26"/>
      <c r="M9" s="5"/>
      <c r="N9" s="5"/>
      <c r="O9" s="5"/>
      <c r="P9" s="5"/>
    </row>
    <row r="10" spans="1:21">
      <c r="A10" s="1373" t="s">
        <v>17</v>
      </c>
      <c r="B10" s="1374"/>
      <c r="C10" s="1374"/>
      <c r="D10" s="346" t="s">
        <v>18</v>
      </c>
      <c r="E10" s="346" t="s">
        <v>19</v>
      </c>
      <c r="F10" s="346" t="s">
        <v>20</v>
      </c>
      <c r="G10" s="228" t="s">
        <v>21</v>
      </c>
      <c r="H10" s="27"/>
      <c r="I10" s="28"/>
      <c r="J10" s="29"/>
      <c r="K10" s="30"/>
      <c r="L10" s="30"/>
      <c r="M10" s="30"/>
      <c r="N10" s="30"/>
      <c r="O10" s="30"/>
      <c r="P10" s="5"/>
    </row>
    <row r="11" spans="1:21">
      <c r="A11" s="1352" t="s">
        <v>47</v>
      </c>
      <c r="B11" s="1353"/>
      <c r="C11" s="1353"/>
      <c r="D11" s="346"/>
      <c r="E11" s="83"/>
      <c r="F11" s="97"/>
      <c r="G11" s="229">
        <f>+G39*10%</f>
        <v>30542</v>
      </c>
      <c r="H11" s="9"/>
      <c r="I11" s="30"/>
      <c r="J11" s="31"/>
      <c r="K11" s="30"/>
      <c r="L11" s="30"/>
      <c r="M11" s="30"/>
      <c r="N11" s="30"/>
      <c r="O11" s="30"/>
      <c r="P11" s="5"/>
    </row>
    <row r="12" spans="1:21">
      <c r="A12" s="1371"/>
      <c r="B12" s="1372"/>
      <c r="C12" s="1372"/>
      <c r="D12" s="83"/>
      <c r="E12" s="83"/>
      <c r="F12" s="93"/>
      <c r="G12" s="229"/>
      <c r="H12" s="9"/>
      <c r="I12" s="16"/>
      <c r="J12" s="13"/>
      <c r="K12" s="8"/>
      <c r="L12" s="8"/>
      <c r="M12" s="8"/>
      <c r="N12" s="8"/>
      <c r="O12" s="8"/>
      <c r="P12" s="5"/>
    </row>
    <row r="13" spans="1:21">
      <c r="A13" s="1371"/>
      <c r="B13" s="1372"/>
      <c r="C13" s="1372"/>
      <c r="D13" s="83"/>
      <c r="E13" s="83"/>
      <c r="F13" s="93"/>
      <c r="G13" s="229"/>
      <c r="H13" s="9"/>
      <c r="I13" s="13"/>
      <c r="J13" s="13"/>
      <c r="K13" s="13"/>
      <c r="L13" s="13"/>
      <c r="M13" s="13"/>
      <c r="N13" s="13"/>
      <c r="O13" s="13"/>
      <c r="P13" s="5"/>
    </row>
    <row r="14" spans="1:21">
      <c r="A14" s="1371"/>
      <c r="B14" s="1372"/>
      <c r="C14" s="1372"/>
      <c r="D14" s="83"/>
      <c r="E14" s="83"/>
      <c r="F14" s="93"/>
      <c r="G14" s="229"/>
      <c r="H14" s="9"/>
      <c r="I14" s="8"/>
      <c r="J14" s="14"/>
      <c r="K14" s="32"/>
      <c r="L14" s="14"/>
      <c r="M14" s="15"/>
      <c r="N14" s="15"/>
      <c r="O14" s="19"/>
      <c r="P14" s="5"/>
    </row>
    <row r="15" spans="1:21">
      <c r="A15" s="1371"/>
      <c r="B15" s="1372"/>
      <c r="C15" s="1372"/>
      <c r="D15" s="83"/>
      <c r="E15" s="83"/>
      <c r="F15" s="98"/>
      <c r="G15" s="229"/>
      <c r="H15" s="9"/>
      <c r="I15" s="8"/>
      <c r="J15" s="33"/>
      <c r="K15" s="32"/>
      <c r="L15" s="14"/>
      <c r="M15" s="15"/>
      <c r="N15" s="15"/>
      <c r="O15" s="19"/>
      <c r="P15" s="5"/>
      <c r="Q15" s="5"/>
      <c r="R15" s="5"/>
      <c r="S15" s="5"/>
      <c r="T15" s="5"/>
      <c r="U15" s="5"/>
    </row>
    <row r="16" spans="1:21">
      <c r="A16" s="1371"/>
      <c r="B16" s="1372"/>
      <c r="C16" s="1372"/>
      <c r="D16" s="85" t="s">
        <v>37</v>
      </c>
      <c r="E16" s="50"/>
      <c r="F16" s="49"/>
      <c r="G16" s="230">
        <f>SUM(G11:G15)</f>
        <v>30542</v>
      </c>
      <c r="H16" s="9"/>
      <c r="I16" s="34"/>
      <c r="J16" s="34"/>
      <c r="K16" s="35"/>
      <c r="L16" s="36"/>
      <c r="M16" s="7"/>
      <c r="N16" s="7"/>
      <c r="O16" s="19"/>
      <c r="P16" s="5"/>
      <c r="Q16" s="5"/>
      <c r="R16" s="5"/>
      <c r="S16" s="5"/>
      <c r="T16" s="5"/>
      <c r="U16" s="5"/>
    </row>
    <row r="17" spans="1:21" ht="4.5" customHeight="1">
      <c r="A17" s="226"/>
      <c r="B17" s="4"/>
      <c r="C17" s="6"/>
      <c r="D17" s="4"/>
      <c r="E17" s="4"/>
      <c r="F17" s="4"/>
      <c r="G17" s="227"/>
      <c r="H17" s="9"/>
      <c r="I17" s="34"/>
      <c r="J17" s="34"/>
      <c r="K17" s="35"/>
      <c r="L17" s="36"/>
      <c r="M17" s="7"/>
      <c r="N17" s="7"/>
      <c r="O17" s="19"/>
      <c r="P17" s="5"/>
      <c r="Q17" s="5"/>
      <c r="R17" s="5"/>
      <c r="S17" s="5"/>
      <c r="T17" s="5"/>
      <c r="U17" s="5"/>
    </row>
    <row r="18" spans="1:21" ht="22.5" customHeight="1">
      <c r="A18" s="1354" t="s">
        <v>70</v>
      </c>
      <c r="B18" s="1355"/>
      <c r="C18" s="1355"/>
      <c r="D18" s="1355"/>
      <c r="E18" s="1355"/>
      <c r="F18" s="1355"/>
      <c r="G18" s="1356"/>
      <c r="H18" s="9"/>
    </row>
    <row r="19" spans="1:21" ht="4.5" customHeight="1">
      <c r="A19" s="226"/>
      <c r="B19" s="4"/>
      <c r="C19" s="6"/>
      <c r="D19" s="4"/>
      <c r="E19" s="4"/>
      <c r="F19" s="38"/>
      <c r="G19" s="227"/>
      <c r="H19" s="9"/>
      <c r="I19" s="34"/>
      <c r="J19" s="34"/>
      <c r="K19" s="35"/>
      <c r="L19" s="39"/>
      <c r="M19" s="7"/>
      <c r="N19" s="7"/>
      <c r="O19" s="8"/>
      <c r="P19" s="5"/>
      <c r="Q19" s="5"/>
      <c r="R19" s="5"/>
      <c r="S19" s="5"/>
      <c r="T19" s="5"/>
      <c r="U19" s="5"/>
    </row>
    <row r="20" spans="1:21">
      <c r="A20" s="1373" t="s">
        <v>17</v>
      </c>
      <c r="B20" s="1374"/>
      <c r="C20" s="1374"/>
      <c r="D20" s="346" t="s">
        <v>3</v>
      </c>
      <c r="E20" s="346" t="s">
        <v>4</v>
      </c>
      <c r="F20" s="346" t="s">
        <v>25</v>
      </c>
      <c r="G20" s="228" t="s">
        <v>21</v>
      </c>
      <c r="H20" s="27"/>
      <c r="I20" s="34"/>
      <c r="J20" s="34"/>
      <c r="K20" s="35"/>
      <c r="L20" s="39"/>
      <c r="M20" s="7"/>
      <c r="N20" s="7"/>
      <c r="O20" s="8"/>
      <c r="P20" s="5"/>
      <c r="Q20" s="5"/>
      <c r="R20" s="5"/>
      <c r="S20" s="5"/>
      <c r="T20" s="5"/>
      <c r="U20" s="5"/>
    </row>
    <row r="21" spans="1:21">
      <c r="A21" s="1441" t="s">
        <v>266</v>
      </c>
      <c r="B21" s="1442"/>
      <c r="C21" s="1443"/>
      <c r="D21" s="118" t="s">
        <v>44</v>
      </c>
      <c r="E21" s="119">
        <f>PI()*(0.6+0.26)^2*0.2</f>
        <v>0.46</v>
      </c>
      <c r="F21" s="87">
        <f>'CONC 4000 PSI '!G43</f>
        <v>461971</v>
      </c>
      <c r="G21" s="67">
        <f>+F21*E21</f>
        <v>212507</v>
      </c>
      <c r="H21" s="9"/>
      <c r="I21" s="34"/>
      <c r="J21" s="34"/>
      <c r="K21" s="35"/>
      <c r="L21" s="36"/>
      <c r="M21" s="7"/>
      <c r="N21" s="7"/>
      <c r="O21" s="19"/>
      <c r="P21" s="5"/>
      <c r="Q21" s="5"/>
      <c r="R21" s="5"/>
      <c r="S21" s="5"/>
      <c r="T21" s="5"/>
      <c r="U21" s="5"/>
    </row>
    <row r="22" spans="1:21">
      <c r="A22" s="1444" t="s">
        <v>712</v>
      </c>
      <c r="B22" s="1403"/>
      <c r="C22" s="1404"/>
      <c r="D22" s="116"/>
      <c r="E22" s="117"/>
      <c r="F22" s="91"/>
      <c r="G22" s="67"/>
      <c r="H22" s="9"/>
      <c r="I22" s="10"/>
      <c r="J22" s="10"/>
      <c r="K22" s="12"/>
      <c r="L22" s="39"/>
      <c r="M22" s="7"/>
      <c r="N22" s="7"/>
      <c r="O22" s="15"/>
      <c r="P22" s="5"/>
      <c r="Q22" s="5"/>
      <c r="R22" s="5"/>
      <c r="S22" s="5"/>
      <c r="T22" s="5"/>
      <c r="U22" s="5"/>
    </row>
    <row r="23" spans="1:21">
      <c r="A23" s="1386"/>
      <c r="B23" s="1353"/>
      <c r="C23" s="1353"/>
      <c r="D23" s="79"/>
      <c r="E23" s="82"/>
      <c r="F23" s="83"/>
      <c r="G23" s="67"/>
      <c r="H23" s="9"/>
      <c r="I23" s="10"/>
      <c r="J23" s="10"/>
      <c r="K23" s="12"/>
      <c r="L23" s="39"/>
      <c r="M23" s="7"/>
      <c r="N23" s="7"/>
      <c r="O23" s="15"/>
      <c r="P23" s="5"/>
      <c r="Q23" s="5"/>
      <c r="R23" s="5"/>
      <c r="S23" s="5"/>
      <c r="T23" s="5"/>
      <c r="U23" s="5"/>
    </row>
    <row r="24" spans="1:21">
      <c r="A24" s="1377"/>
      <c r="B24" s="1378"/>
      <c r="C24" s="1378"/>
      <c r="D24" s="81"/>
      <c r="E24" s="88"/>
      <c r="F24" s="78"/>
      <c r="G24" s="67"/>
      <c r="H24" s="9"/>
      <c r="I24" s="10"/>
      <c r="J24" s="40"/>
      <c r="K24" s="12"/>
      <c r="L24" s="13"/>
      <c r="M24" s="14"/>
      <c r="N24" s="14"/>
      <c r="O24" s="15"/>
      <c r="P24" s="5"/>
      <c r="Q24" s="5"/>
      <c r="R24" s="5"/>
      <c r="S24" s="5"/>
      <c r="T24" s="5"/>
      <c r="U24" s="5"/>
    </row>
    <row r="25" spans="1:21">
      <c r="A25" s="1352"/>
      <c r="B25" s="1353"/>
      <c r="C25" s="1353"/>
      <c r="D25" s="81"/>
      <c r="E25" s="82"/>
      <c r="F25" s="78"/>
      <c r="G25" s="67"/>
      <c r="H25" s="9"/>
      <c r="I25" s="10"/>
      <c r="J25" s="11"/>
      <c r="K25" s="12"/>
      <c r="L25" s="13"/>
      <c r="M25" s="14"/>
      <c r="N25" s="14"/>
      <c r="O25" s="15"/>
      <c r="P25" s="5"/>
      <c r="Q25" s="5"/>
      <c r="R25" s="5"/>
      <c r="S25" s="5"/>
      <c r="T25" s="5"/>
      <c r="U25" s="5"/>
    </row>
    <row r="26" spans="1:21">
      <c r="A26" s="1352"/>
      <c r="B26" s="1353"/>
      <c r="C26" s="1353"/>
      <c r="D26" s="79"/>
      <c r="E26" s="82"/>
      <c r="F26" s="78"/>
      <c r="G26" s="67"/>
      <c r="H26" s="9"/>
      <c r="I26" s="10"/>
      <c r="J26" s="11"/>
      <c r="K26" s="12"/>
      <c r="L26" s="13"/>
      <c r="M26" s="14"/>
      <c r="N26" s="14"/>
      <c r="O26" s="15"/>
      <c r="P26" s="5"/>
      <c r="Q26" s="5"/>
      <c r="R26" s="5"/>
      <c r="S26" s="5"/>
      <c r="T26" s="5"/>
      <c r="U26" s="5"/>
    </row>
    <row r="27" spans="1:21">
      <c r="A27" s="1352"/>
      <c r="B27" s="1353"/>
      <c r="C27" s="1353"/>
      <c r="D27" s="79"/>
      <c r="E27" s="82"/>
      <c r="F27" s="78"/>
      <c r="G27" s="231"/>
      <c r="H27" s="9"/>
      <c r="I27" s="10"/>
      <c r="J27" s="11"/>
      <c r="K27" s="12"/>
      <c r="L27" s="13"/>
      <c r="M27" s="14"/>
      <c r="N27" s="14"/>
      <c r="O27" s="15"/>
      <c r="P27" s="5"/>
      <c r="Q27" s="5"/>
      <c r="R27" s="5"/>
      <c r="S27" s="5"/>
      <c r="T27" s="5"/>
      <c r="U27" s="5"/>
    </row>
    <row r="28" spans="1:21">
      <c r="A28" s="1352"/>
      <c r="B28" s="1353"/>
      <c r="C28" s="1353"/>
      <c r="D28" s="79"/>
      <c r="E28" s="82"/>
      <c r="F28" s="83"/>
      <c r="G28" s="231"/>
      <c r="H28" s="9"/>
      <c r="I28" s="41"/>
      <c r="J28" s="41"/>
      <c r="K28" s="12"/>
      <c r="L28" s="13"/>
      <c r="M28" s="14"/>
      <c r="N28" s="14"/>
      <c r="O28" s="15"/>
      <c r="P28" s="5"/>
      <c r="Q28" s="5"/>
      <c r="R28" s="5"/>
      <c r="S28" s="5"/>
      <c r="T28" s="5"/>
      <c r="U28" s="5"/>
    </row>
    <row r="29" spans="1:21">
      <c r="A29" s="1352"/>
      <c r="B29" s="1353"/>
      <c r="C29" s="1353"/>
      <c r="D29" s="84"/>
      <c r="E29" s="84"/>
      <c r="F29" s="83"/>
      <c r="G29" s="231"/>
      <c r="H29" s="9"/>
      <c r="I29" s="42"/>
      <c r="J29" s="42"/>
      <c r="K29" s="42"/>
      <c r="L29" s="13"/>
      <c r="M29" s="14"/>
      <c r="N29" s="14"/>
      <c r="O29" s="15"/>
      <c r="P29" s="5"/>
      <c r="Q29" s="5"/>
      <c r="R29" s="5"/>
      <c r="S29" s="5"/>
      <c r="T29" s="5"/>
      <c r="U29" s="5"/>
    </row>
    <row r="30" spans="1:21">
      <c r="A30" s="1352"/>
      <c r="B30" s="1353"/>
      <c r="C30" s="1353"/>
      <c r="D30" s="85" t="s">
        <v>28</v>
      </c>
      <c r="E30" s="50"/>
      <c r="F30" s="49"/>
      <c r="G30" s="230">
        <f>SUM(G21:G29)</f>
        <v>212507</v>
      </c>
      <c r="H30" s="9"/>
      <c r="I30" s="8"/>
      <c r="J30" s="13"/>
      <c r="K30" s="8"/>
      <c r="L30" s="13"/>
      <c r="M30" s="14"/>
      <c r="N30" s="14"/>
      <c r="O30" s="15"/>
      <c r="P30" s="5"/>
    </row>
    <row r="31" spans="1:21" ht="3.75" customHeight="1">
      <c r="A31" s="226"/>
      <c r="B31" s="4"/>
      <c r="C31" s="6"/>
      <c r="D31" s="4"/>
      <c r="E31" s="4"/>
      <c r="F31" s="4"/>
      <c r="G31" s="227"/>
      <c r="H31" s="9"/>
      <c r="I31" s="8"/>
      <c r="J31" s="13"/>
      <c r="K31" s="18"/>
      <c r="L31" s="13"/>
      <c r="M31" s="33"/>
      <c r="N31" s="33"/>
      <c r="O31" s="15"/>
      <c r="P31" s="5"/>
    </row>
    <row r="32" spans="1:21" ht="22.5" customHeight="1">
      <c r="A32" s="1354" t="s">
        <v>71</v>
      </c>
      <c r="B32" s="1355"/>
      <c r="C32" s="1355"/>
      <c r="D32" s="1355"/>
      <c r="E32" s="1355"/>
      <c r="F32" s="1355"/>
      <c r="G32" s="1356"/>
      <c r="H32" s="9"/>
    </row>
    <row r="33" spans="1:16" ht="3.75" customHeight="1">
      <c r="A33" s="226"/>
      <c r="B33" s="4"/>
      <c r="C33" s="6"/>
      <c r="D33" s="4"/>
      <c r="E33" s="4"/>
      <c r="F33" s="4"/>
      <c r="G33" s="227"/>
      <c r="H33" s="9"/>
      <c r="I33" s="8"/>
      <c r="J33" s="13"/>
      <c r="K33" s="8"/>
      <c r="L33" s="8"/>
      <c r="M33" s="8"/>
      <c r="N33" s="8"/>
      <c r="O33" s="15"/>
      <c r="P33" s="5"/>
    </row>
    <row r="34" spans="1:16">
      <c r="A34" s="232" t="s">
        <v>5</v>
      </c>
      <c r="B34" s="60" t="s">
        <v>29</v>
      </c>
      <c r="C34" s="60" t="s">
        <v>30</v>
      </c>
      <c r="D34" s="60" t="s">
        <v>31</v>
      </c>
      <c r="E34" s="60" t="s">
        <v>32</v>
      </c>
      <c r="F34" s="60" t="s">
        <v>20</v>
      </c>
      <c r="G34" s="228" t="s">
        <v>33</v>
      </c>
      <c r="H34" s="27"/>
      <c r="I34" s="8"/>
      <c r="J34" s="13"/>
      <c r="K34" s="8"/>
      <c r="L34" s="8"/>
      <c r="M34" s="8"/>
      <c r="N34" s="8"/>
      <c r="O34" s="15"/>
      <c r="P34" s="5"/>
    </row>
    <row r="35" spans="1:16">
      <c r="A35" s="233" t="s">
        <v>41</v>
      </c>
      <c r="B35" s="63">
        <f>BOF</f>
        <v>51749</v>
      </c>
      <c r="C35" s="68">
        <f>ffpp</f>
        <v>0.64539999999999997</v>
      </c>
      <c r="D35" s="72">
        <v>1</v>
      </c>
      <c r="E35" s="66">
        <f>OF</f>
        <v>88696</v>
      </c>
      <c r="F35" s="65">
        <v>1</v>
      </c>
      <c r="G35" s="231">
        <f>ROUND(+D35*E35/F35,0)</f>
        <v>88696</v>
      </c>
      <c r="H35" s="9"/>
      <c r="I35" s="16"/>
      <c r="J35" s="13"/>
      <c r="K35" s="8"/>
      <c r="L35" s="8"/>
      <c r="M35" s="8"/>
      <c r="N35" s="8"/>
      <c r="O35" s="15"/>
      <c r="P35" s="5"/>
    </row>
    <row r="36" spans="1:16">
      <c r="A36" s="233" t="s">
        <v>38</v>
      </c>
      <c r="B36" s="63">
        <f>BOB</f>
        <v>41749</v>
      </c>
      <c r="C36" s="68">
        <f>ffpp</f>
        <v>0.64539999999999997</v>
      </c>
      <c r="D36" s="72">
        <v>3</v>
      </c>
      <c r="E36" s="66">
        <f>OB</f>
        <v>72242</v>
      </c>
      <c r="F36" s="65">
        <f>F35</f>
        <v>1</v>
      </c>
      <c r="G36" s="231">
        <f>ROUND(+D36*E36/F36,0)</f>
        <v>216726</v>
      </c>
      <c r="H36" s="9"/>
      <c r="I36" s="8"/>
      <c r="J36" s="8"/>
      <c r="K36" s="13"/>
      <c r="L36" s="13"/>
      <c r="M36" s="13"/>
      <c r="N36" s="13"/>
      <c r="O36" s="13"/>
      <c r="P36" s="5"/>
    </row>
    <row r="37" spans="1:16">
      <c r="A37" s="234"/>
      <c r="B37" s="50"/>
      <c r="C37" s="961"/>
      <c r="D37" s="50"/>
      <c r="E37" s="66"/>
      <c r="F37" s="65"/>
      <c r="G37" s="231"/>
      <c r="H37" s="9"/>
      <c r="I37" s="8"/>
      <c r="J37" s="13"/>
      <c r="K37" s="13"/>
      <c r="L37" s="13"/>
      <c r="M37" s="33"/>
      <c r="N37" s="33"/>
      <c r="O37" s="43"/>
      <c r="P37" s="5"/>
    </row>
    <row r="38" spans="1:16">
      <c r="A38" s="233"/>
      <c r="B38" s="65"/>
      <c r="C38" s="68"/>
      <c r="D38" s="65"/>
      <c r="E38" s="69"/>
      <c r="F38" s="69"/>
      <c r="G38" s="236"/>
      <c r="H38" s="9"/>
      <c r="I38" s="8"/>
      <c r="J38" s="13"/>
      <c r="K38" s="13"/>
      <c r="L38" s="13"/>
      <c r="M38" s="33"/>
      <c r="N38" s="33"/>
      <c r="O38" s="43"/>
      <c r="P38" s="5"/>
    </row>
    <row r="39" spans="1:16">
      <c r="A39" s="249"/>
      <c r="B39" s="71"/>
      <c r="C39" s="71"/>
      <c r="D39" s="71" t="s">
        <v>34</v>
      </c>
      <c r="E39" s="71"/>
      <c r="F39" s="71"/>
      <c r="G39" s="250">
        <f>SUM(G35:G38)</f>
        <v>305422</v>
      </c>
      <c r="H39" s="9"/>
      <c r="I39" s="8"/>
      <c r="J39" s="13"/>
      <c r="K39" s="13"/>
      <c r="L39" s="13"/>
      <c r="M39" s="14"/>
      <c r="N39" s="14"/>
      <c r="O39" s="15"/>
      <c r="P39" s="5"/>
    </row>
    <row r="40" spans="1:16">
      <c r="A40" s="226"/>
      <c r="B40" s="4"/>
      <c r="C40" s="6"/>
      <c r="D40" s="4"/>
      <c r="E40" s="4"/>
      <c r="F40" s="4"/>
      <c r="G40" s="227"/>
      <c r="H40" s="9"/>
      <c r="I40" s="8"/>
      <c r="J40" s="13"/>
      <c r="K40" s="13"/>
      <c r="L40" s="13"/>
      <c r="M40" s="14"/>
      <c r="N40" s="14"/>
      <c r="O40" s="19"/>
      <c r="P40" s="5"/>
    </row>
    <row r="41" spans="1:16">
      <c r="A41" s="226"/>
      <c r="B41" s="4"/>
      <c r="C41" s="6"/>
      <c r="D41" s="4"/>
      <c r="E41" s="4"/>
      <c r="F41" s="4"/>
      <c r="G41" s="227"/>
      <c r="H41" s="9"/>
      <c r="I41" s="8"/>
      <c r="J41" s="13"/>
      <c r="K41" s="13"/>
      <c r="L41" s="13"/>
      <c r="M41" s="17"/>
      <c r="N41" s="17"/>
      <c r="O41" s="37"/>
      <c r="P41" s="5"/>
    </row>
    <row r="42" spans="1:16" ht="14.25">
      <c r="A42" s="226"/>
      <c r="B42" s="4"/>
      <c r="C42" s="6"/>
      <c r="D42" s="1357" t="s">
        <v>35</v>
      </c>
      <c r="E42" s="1358"/>
      <c r="F42" s="1359"/>
      <c r="G42" s="239">
        <f>+G39+G30+G16</f>
        <v>548471</v>
      </c>
      <c r="H42" s="9"/>
      <c r="I42" s="48"/>
      <c r="J42" s="20"/>
      <c r="K42" s="8"/>
      <c r="L42" s="8"/>
      <c r="M42" s="8"/>
      <c r="N42" s="8"/>
      <c r="O42" s="8"/>
      <c r="P42" s="5"/>
    </row>
    <row r="43" spans="1:16" ht="14.25">
      <c r="A43" s="240"/>
      <c r="B43" s="57"/>
      <c r="C43" s="58"/>
      <c r="D43" s="99"/>
      <c r="E43" s="99"/>
      <c r="F43" s="99"/>
      <c r="G43" s="251"/>
      <c r="H43" s="9"/>
      <c r="I43" s="48"/>
      <c r="J43" s="20"/>
      <c r="K43" s="8"/>
      <c r="L43" s="8"/>
      <c r="M43" s="8"/>
      <c r="N43" s="8"/>
      <c r="O43" s="8"/>
      <c r="P43" s="5"/>
    </row>
    <row r="44" spans="1:16" ht="14.25">
      <c r="A44" s="374"/>
      <c r="B44" s="375"/>
      <c r="C44" s="375"/>
      <c r="D44" s="99"/>
      <c r="E44" s="99"/>
      <c r="F44" s="99"/>
      <c r="G44" s="251"/>
      <c r="H44" s="9"/>
      <c r="I44" s="48"/>
      <c r="J44" s="20"/>
      <c r="K44" s="8"/>
      <c r="L44" s="8"/>
      <c r="M44" s="8"/>
      <c r="N44" s="8"/>
      <c r="O44" s="8"/>
      <c r="P44" s="5"/>
    </row>
    <row r="45" spans="1:16" ht="14.25">
      <c r="A45" s="373"/>
      <c r="B45" s="376"/>
      <c r="C45" s="376"/>
      <c r="D45" s="99"/>
      <c r="E45" s="99"/>
      <c r="F45" s="99"/>
      <c r="G45" s="251"/>
      <c r="H45" s="9"/>
      <c r="I45" s="48"/>
      <c r="J45" s="20"/>
      <c r="K45" s="8"/>
      <c r="L45" s="8"/>
      <c r="M45" s="8"/>
      <c r="N45" s="8"/>
      <c r="O45" s="8"/>
      <c r="P45" s="5"/>
    </row>
    <row r="46" spans="1:16" ht="14.25">
      <c r="A46" s="373"/>
      <c r="B46" s="376"/>
      <c r="C46" s="376"/>
      <c r="D46" s="44"/>
      <c r="E46" s="45"/>
      <c r="F46" s="45"/>
      <c r="G46" s="251"/>
      <c r="H46" s="9"/>
      <c r="I46" s="8"/>
      <c r="J46" s="13"/>
      <c r="K46" s="8"/>
      <c r="L46" s="8"/>
      <c r="M46" s="8"/>
      <c r="N46" s="8"/>
      <c r="O46" s="8"/>
      <c r="P46" s="5"/>
    </row>
    <row r="47" spans="1:16" ht="15" thickBot="1">
      <c r="A47" s="242"/>
      <c r="B47" s="243"/>
      <c r="C47" s="244"/>
      <c r="D47" s="245"/>
      <c r="E47" s="246"/>
      <c r="F47" s="246"/>
      <c r="G47" s="247"/>
      <c r="H47" s="9"/>
      <c r="I47" s="8"/>
      <c r="J47" s="13"/>
      <c r="K47" s="8"/>
      <c r="L47" s="8"/>
      <c r="M47" s="8"/>
      <c r="N47" s="8"/>
      <c r="O47" s="8"/>
      <c r="P47" s="5"/>
    </row>
    <row r="48" spans="1:16">
      <c r="I48" s="5"/>
      <c r="J48" s="5"/>
      <c r="K48" s="5"/>
      <c r="L48" s="5"/>
      <c r="M48" s="5"/>
      <c r="N48" s="5"/>
      <c r="O48" s="5"/>
      <c r="P48" s="5"/>
    </row>
    <row r="49" spans="9:16">
      <c r="I49" s="5"/>
      <c r="J49" s="5"/>
      <c r="K49" s="5"/>
      <c r="L49" s="5"/>
      <c r="M49" s="5"/>
      <c r="N49" s="5"/>
      <c r="O49" s="5"/>
      <c r="P49" s="5"/>
    </row>
  </sheetData>
  <mergeCells count="26">
    <mergeCell ref="A32:G32"/>
    <mergeCell ref="D42:F42"/>
    <mergeCell ref="A25:C25"/>
    <mergeCell ref="A26:C26"/>
    <mergeCell ref="A27:C27"/>
    <mergeCell ref="A28:C28"/>
    <mergeCell ref="A29:C29"/>
    <mergeCell ref="A30:C30"/>
    <mergeCell ref="A24:C24"/>
    <mergeCell ref="A11:C11"/>
    <mergeCell ref="A12:C12"/>
    <mergeCell ref="A13:C13"/>
    <mergeCell ref="A14:C14"/>
    <mergeCell ref="A15:C15"/>
    <mergeCell ref="A16:C16"/>
    <mergeCell ref="A18:G18"/>
    <mergeCell ref="A20:C20"/>
    <mergeCell ref="A21:C21"/>
    <mergeCell ref="A22:C22"/>
    <mergeCell ref="A23:C23"/>
    <mergeCell ref="A10:C10"/>
    <mergeCell ref="A1:G1"/>
    <mergeCell ref="A2:G2"/>
    <mergeCell ref="A3:G4"/>
    <mergeCell ref="B6:E6"/>
    <mergeCell ref="A8:G8"/>
  </mergeCells>
  <printOptions horizontalCentered="1" verticalCentered="1"/>
  <pageMargins left="0.74803149606299213" right="0.74803149606299213" top="0" bottom="0.98425196850393704" header="0" footer="0"/>
  <pageSetup scale="90" orientation="portrait" r:id="rId1"/>
  <headerFooter alignWithMargins="0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7"/>
  <dimension ref="A1:U49"/>
  <sheetViews>
    <sheetView view="pageBreakPreview" zoomScaleNormal="100" zoomScaleSheetLayoutView="100" workbookViewId="0">
      <selection activeCell="I7" sqref="I7"/>
    </sheetView>
  </sheetViews>
  <sheetFormatPr baseColWidth="10" defaultColWidth="10.7109375" defaultRowHeight="12.75"/>
  <cols>
    <col min="1" max="1" width="15.85546875" style="3" customWidth="1"/>
    <col min="2" max="2" width="14.85546875" style="3" customWidth="1"/>
    <col min="3" max="3" width="13.28515625" style="3" customWidth="1"/>
    <col min="4" max="4" width="11.42578125" style="3"/>
    <col min="5" max="5" width="13.42578125" style="3" customWidth="1"/>
    <col min="6" max="6" width="12.7109375" style="3" customWidth="1"/>
    <col min="7" max="7" width="14" style="3" customWidth="1"/>
    <col min="8" max="8" width="7.42578125" style="3" customWidth="1"/>
    <col min="9" max="256" width="11.42578125" style="3"/>
    <col min="257" max="257" width="15.85546875" style="3" customWidth="1"/>
    <col min="258" max="258" width="14.85546875" style="3" customWidth="1"/>
    <col min="259" max="259" width="13.28515625" style="3" customWidth="1"/>
    <col min="260" max="260" width="11.42578125" style="3"/>
    <col min="261" max="261" width="13.42578125" style="3" customWidth="1"/>
    <col min="262" max="262" width="12.7109375" style="3" customWidth="1"/>
    <col min="263" max="263" width="14" style="3" customWidth="1"/>
    <col min="264" max="264" width="7.42578125" style="3" customWidth="1"/>
    <col min="265" max="512" width="11.42578125" style="3"/>
    <col min="513" max="513" width="15.85546875" style="3" customWidth="1"/>
    <col min="514" max="514" width="14.85546875" style="3" customWidth="1"/>
    <col min="515" max="515" width="13.28515625" style="3" customWidth="1"/>
    <col min="516" max="516" width="11.42578125" style="3"/>
    <col min="517" max="517" width="13.42578125" style="3" customWidth="1"/>
    <col min="518" max="518" width="12.7109375" style="3" customWidth="1"/>
    <col min="519" max="519" width="14" style="3" customWidth="1"/>
    <col min="520" max="520" width="7.42578125" style="3" customWidth="1"/>
    <col min="521" max="768" width="11.42578125" style="3"/>
    <col min="769" max="769" width="15.85546875" style="3" customWidth="1"/>
    <col min="770" max="770" width="14.85546875" style="3" customWidth="1"/>
    <col min="771" max="771" width="13.28515625" style="3" customWidth="1"/>
    <col min="772" max="772" width="11.42578125" style="3"/>
    <col min="773" max="773" width="13.42578125" style="3" customWidth="1"/>
    <col min="774" max="774" width="12.7109375" style="3" customWidth="1"/>
    <col min="775" max="775" width="14" style="3" customWidth="1"/>
    <col min="776" max="776" width="7.42578125" style="3" customWidth="1"/>
    <col min="777" max="1024" width="11.42578125" style="3"/>
    <col min="1025" max="1025" width="15.85546875" style="3" customWidth="1"/>
    <col min="1026" max="1026" width="14.85546875" style="3" customWidth="1"/>
    <col min="1027" max="1027" width="13.28515625" style="3" customWidth="1"/>
    <col min="1028" max="1028" width="11.42578125" style="3"/>
    <col min="1029" max="1029" width="13.42578125" style="3" customWidth="1"/>
    <col min="1030" max="1030" width="12.7109375" style="3" customWidth="1"/>
    <col min="1031" max="1031" width="14" style="3" customWidth="1"/>
    <col min="1032" max="1032" width="7.42578125" style="3" customWidth="1"/>
    <col min="1033" max="1280" width="11.42578125" style="3"/>
    <col min="1281" max="1281" width="15.85546875" style="3" customWidth="1"/>
    <col min="1282" max="1282" width="14.85546875" style="3" customWidth="1"/>
    <col min="1283" max="1283" width="13.28515625" style="3" customWidth="1"/>
    <col min="1284" max="1284" width="11.42578125" style="3"/>
    <col min="1285" max="1285" width="13.42578125" style="3" customWidth="1"/>
    <col min="1286" max="1286" width="12.7109375" style="3" customWidth="1"/>
    <col min="1287" max="1287" width="14" style="3" customWidth="1"/>
    <col min="1288" max="1288" width="7.42578125" style="3" customWidth="1"/>
    <col min="1289" max="1536" width="11.42578125" style="3"/>
    <col min="1537" max="1537" width="15.85546875" style="3" customWidth="1"/>
    <col min="1538" max="1538" width="14.85546875" style="3" customWidth="1"/>
    <col min="1539" max="1539" width="13.28515625" style="3" customWidth="1"/>
    <col min="1540" max="1540" width="11.42578125" style="3"/>
    <col min="1541" max="1541" width="13.42578125" style="3" customWidth="1"/>
    <col min="1542" max="1542" width="12.7109375" style="3" customWidth="1"/>
    <col min="1543" max="1543" width="14" style="3" customWidth="1"/>
    <col min="1544" max="1544" width="7.42578125" style="3" customWidth="1"/>
    <col min="1545" max="1792" width="11.42578125" style="3"/>
    <col min="1793" max="1793" width="15.85546875" style="3" customWidth="1"/>
    <col min="1794" max="1794" width="14.85546875" style="3" customWidth="1"/>
    <col min="1795" max="1795" width="13.28515625" style="3" customWidth="1"/>
    <col min="1796" max="1796" width="11.42578125" style="3"/>
    <col min="1797" max="1797" width="13.42578125" style="3" customWidth="1"/>
    <col min="1798" max="1798" width="12.7109375" style="3" customWidth="1"/>
    <col min="1799" max="1799" width="14" style="3" customWidth="1"/>
    <col min="1800" max="1800" width="7.42578125" style="3" customWidth="1"/>
    <col min="1801" max="2048" width="11.42578125" style="3"/>
    <col min="2049" max="2049" width="15.85546875" style="3" customWidth="1"/>
    <col min="2050" max="2050" width="14.85546875" style="3" customWidth="1"/>
    <col min="2051" max="2051" width="13.28515625" style="3" customWidth="1"/>
    <col min="2052" max="2052" width="11.42578125" style="3"/>
    <col min="2053" max="2053" width="13.42578125" style="3" customWidth="1"/>
    <col min="2054" max="2054" width="12.7109375" style="3" customWidth="1"/>
    <col min="2055" max="2055" width="14" style="3" customWidth="1"/>
    <col min="2056" max="2056" width="7.42578125" style="3" customWidth="1"/>
    <col min="2057" max="2304" width="11.42578125" style="3"/>
    <col min="2305" max="2305" width="15.85546875" style="3" customWidth="1"/>
    <col min="2306" max="2306" width="14.85546875" style="3" customWidth="1"/>
    <col min="2307" max="2307" width="13.28515625" style="3" customWidth="1"/>
    <col min="2308" max="2308" width="11.42578125" style="3"/>
    <col min="2309" max="2309" width="13.42578125" style="3" customWidth="1"/>
    <col min="2310" max="2310" width="12.7109375" style="3" customWidth="1"/>
    <col min="2311" max="2311" width="14" style="3" customWidth="1"/>
    <col min="2312" max="2312" width="7.42578125" style="3" customWidth="1"/>
    <col min="2313" max="2560" width="11.42578125" style="3"/>
    <col min="2561" max="2561" width="15.85546875" style="3" customWidth="1"/>
    <col min="2562" max="2562" width="14.85546875" style="3" customWidth="1"/>
    <col min="2563" max="2563" width="13.28515625" style="3" customWidth="1"/>
    <col min="2564" max="2564" width="11.42578125" style="3"/>
    <col min="2565" max="2565" width="13.42578125" style="3" customWidth="1"/>
    <col min="2566" max="2566" width="12.7109375" style="3" customWidth="1"/>
    <col min="2567" max="2567" width="14" style="3" customWidth="1"/>
    <col min="2568" max="2568" width="7.42578125" style="3" customWidth="1"/>
    <col min="2569" max="2816" width="11.42578125" style="3"/>
    <col min="2817" max="2817" width="15.85546875" style="3" customWidth="1"/>
    <col min="2818" max="2818" width="14.85546875" style="3" customWidth="1"/>
    <col min="2819" max="2819" width="13.28515625" style="3" customWidth="1"/>
    <col min="2820" max="2820" width="11.42578125" style="3"/>
    <col min="2821" max="2821" width="13.42578125" style="3" customWidth="1"/>
    <col min="2822" max="2822" width="12.7109375" style="3" customWidth="1"/>
    <col min="2823" max="2823" width="14" style="3" customWidth="1"/>
    <col min="2824" max="2824" width="7.42578125" style="3" customWidth="1"/>
    <col min="2825" max="3072" width="11.42578125" style="3"/>
    <col min="3073" max="3073" width="15.85546875" style="3" customWidth="1"/>
    <col min="3074" max="3074" width="14.85546875" style="3" customWidth="1"/>
    <col min="3075" max="3075" width="13.28515625" style="3" customWidth="1"/>
    <col min="3076" max="3076" width="11.42578125" style="3"/>
    <col min="3077" max="3077" width="13.42578125" style="3" customWidth="1"/>
    <col min="3078" max="3078" width="12.7109375" style="3" customWidth="1"/>
    <col min="3079" max="3079" width="14" style="3" customWidth="1"/>
    <col min="3080" max="3080" width="7.42578125" style="3" customWidth="1"/>
    <col min="3081" max="3328" width="11.42578125" style="3"/>
    <col min="3329" max="3329" width="15.85546875" style="3" customWidth="1"/>
    <col min="3330" max="3330" width="14.85546875" style="3" customWidth="1"/>
    <col min="3331" max="3331" width="13.28515625" style="3" customWidth="1"/>
    <col min="3332" max="3332" width="11.42578125" style="3"/>
    <col min="3333" max="3333" width="13.42578125" style="3" customWidth="1"/>
    <col min="3334" max="3334" width="12.7109375" style="3" customWidth="1"/>
    <col min="3335" max="3335" width="14" style="3" customWidth="1"/>
    <col min="3336" max="3336" width="7.42578125" style="3" customWidth="1"/>
    <col min="3337" max="3584" width="11.42578125" style="3"/>
    <col min="3585" max="3585" width="15.85546875" style="3" customWidth="1"/>
    <col min="3586" max="3586" width="14.85546875" style="3" customWidth="1"/>
    <col min="3587" max="3587" width="13.28515625" style="3" customWidth="1"/>
    <col min="3588" max="3588" width="11.42578125" style="3"/>
    <col min="3589" max="3589" width="13.42578125" style="3" customWidth="1"/>
    <col min="3590" max="3590" width="12.7109375" style="3" customWidth="1"/>
    <col min="3591" max="3591" width="14" style="3" customWidth="1"/>
    <col min="3592" max="3592" width="7.42578125" style="3" customWidth="1"/>
    <col min="3593" max="3840" width="11.42578125" style="3"/>
    <col min="3841" max="3841" width="15.85546875" style="3" customWidth="1"/>
    <col min="3842" max="3842" width="14.85546875" style="3" customWidth="1"/>
    <col min="3843" max="3843" width="13.28515625" style="3" customWidth="1"/>
    <col min="3844" max="3844" width="11.42578125" style="3"/>
    <col min="3845" max="3845" width="13.42578125" style="3" customWidth="1"/>
    <col min="3846" max="3846" width="12.7109375" style="3" customWidth="1"/>
    <col min="3847" max="3847" width="14" style="3" customWidth="1"/>
    <col min="3848" max="3848" width="7.42578125" style="3" customWidth="1"/>
    <col min="3849" max="4096" width="11.42578125" style="3"/>
    <col min="4097" max="4097" width="15.85546875" style="3" customWidth="1"/>
    <col min="4098" max="4098" width="14.85546875" style="3" customWidth="1"/>
    <col min="4099" max="4099" width="13.28515625" style="3" customWidth="1"/>
    <col min="4100" max="4100" width="11.42578125" style="3"/>
    <col min="4101" max="4101" width="13.42578125" style="3" customWidth="1"/>
    <col min="4102" max="4102" width="12.7109375" style="3" customWidth="1"/>
    <col min="4103" max="4103" width="14" style="3" customWidth="1"/>
    <col min="4104" max="4104" width="7.42578125" style="3" customWidth="1"/>
    <col min="4105" max="4352" width="11.42578125" style="3"/>
    <col min="4353" max="4353" width="15.85546875" style="3" customWidth="1"/>
    <col min="4354" max="4354" width="14.85546875" style="3" customWidth="1"/>
    <col min="4355" max="4355" width="13.28515625" style="3" customWidth="1"/>
    <col min="4356" max="4356" width="11.42578125" style="3"/>
    <col min="4357" max="4357" width="13.42578125" style="3" customWidth="1"/>
    <col min="4358" max="4358" width="12.7109375" style="3" customWidth="1"/>
    <col min="4359" max="4359" width="14" style="3" customWidth="1"/>
    <col min="4360" max="4360" width="7.42578125" style="3" customWidth="1"/>
    <col min="4361" max="4608" width="11.42578125" style="3"/>
    <col min="4609" max="4609" width="15.85546875" style="3" customWidth="1"/>
    <col min="4610" max="4610" width="14.85546875" style="3" customWidth="1"/>
    <col min="4611" max="4611" width="13.28515625" style="3" customWidth="1"/>
    <col min="4612" max="4612" width="11.42578125" style="3"/>
    <col min="4613" max="4613" width="13.42578125" style="3" customWidth="1"/>
    <col min="4614" max="4614" width="12.7109375" style="3" customWidth="1"/>
    <col min="4615" max="4615" width="14" style="3" customWidth="1"/>
    <col min="4616" max="4616" width="7.42578125" style="3" customWidth="1"/>
    <col min="4617" max="4864" width="11.42578125" style="3"/>
    <col min="4865" max="4865" width="15.85546875" style="3" customWidth="1"/>
    <col min="4866" max="4866" width="14.85546875" style="3" customWidth="1"/>
    <col min="4867" max="4867" width="13.28515625" style="3" customWidth="1"/>
    <col min="4868" max="4868" width="11.42578125" style="3"/>
    <col min="4869" max="4869" width="13.42578125" style="3" customWidth="1"/>
    <col min="4870" max="4870" width="12.7109375" style="3" customWidth="1"/>
    <col min="4871" max="4871" width="14" style="3" customWidth="1"/>
    <col min="4872" max="4872" width="7.42578125" style="3" customWidth="1"/>
    <col min="4873" max="5120" width="11.42578125" style="3"/>
    <col min="5121" max="5121" width="15.85546875" style="3" customWidth="1"/>
    <col min="5122" max="5122" width="14.85546875" style="3" customWidth="1"/>
    <col min="5123" max="5123" width="13.28515625" style="3" customWidth="1"/>
    <col min="5124" max="5124" width="11.42578125" style="3"/>
    <col min="5125" max="5125" width="13.42578125" style="3" customWidth="1"/>
    <col min="5126" max="5126" width="12.7109375" style="3" customWidth="1"/>
    <col min="5127" max="5127" width="14" style="3" customWidth="1"/>
    <col min="5128" max="5128" width="7.42578125" style="3" customWidth="1"/>
    <col min="5129" max="5376" width="11.42578125" style="3"/>
    <col min="5377" max="5377" width="15.85546875" style="3" customWidth="1"/>
    <col min="5378" max="5378" width="14.85546875" style="3" customWidth="1"/>
    <col min="5379" max="5379" width="13.28515625" style="3" customWidth="1"/>
    <col min="5380" max="5380" width="11.42578125" style="3"/>
    <col min="5381" max="5381" width="13.42578125" style="3" customWidth="1"/>
    <col min="5382" max="5382" width="12.7109375" style="3" customWidth="1"/>
    <col min="5383" max="5383" width="14" style="3" customWidth="1"/>
    <col min="5384" max="5384" width="7.42578125" style="3" customWidth="1"/>
    <col min="5385" max="5632" width="11.42578125" style="3"/>
    <col min="5633" max="5633" width="15.85546875" style="3" customWidth="1"/>
    <col min="5634" max="5634" width="14.85546875" style="3" customWidth="1"/>
    <col min="5635" max="5635" width="13.28515625" style="3" customWidth="1"/>
    <col min="5636" max="5636" width="11.42578125" style="3"/>
    <col min="5637" max="5637" width="13.42578125" style="3" customWidth="1"/>
    <col min="5638" max="5638" width="12.7109375" style="3" customWidth="1"/>
    <col min="5639" max="5639" width="14" style="3" customWidth="1"/>
    <col min="5640" max="5640" width="7.42578125" style="3" customWidth="1"/>
    <col min="5641" max="5888" width="11.42578125" style="3"/>
    <col min="5889" max="5889" width="15.85546875" style="3" customWidth="1"/>
    <col min="5890" max="5890" width="14.85546875" style="3" customWidth="1"/>
    <col min="5891" max="5891" width="13.28515625" style="3" customWidth="1"/>
    <col min="5892" max="5892" width="11.42578125" style="3"/>
    <col min="5893" max="5893" width="13.42578125" style="3" customWidth="1"/>
    <col min="5894" max="5894" width="12.7109375" style="3" customWidth="1"/>
    <col min="5895" max="5895" width="14" style="3" customWidth="1"/>
    <col min="5896" max="5896" width="7.42578125" style="3" customWidth="1"/>
    <col min="5897" max="6144" width="11.42578125" style="3"/>
    <col min="6145" max="6145" width="15.85546875" style="3" customWidth="1"/>
    <col min="6146" max="6146" width="14.85546875" style="3" customWidth="1"/>
    <col min="6147" max="6147" width="13.28515625" style="3" customWidth="1"/>
    <col min="6148" max="6148" width="11.42578125" style="3"/>
    <col min="6149" max="6149" width="13.42578125" style="3" customWidth="1"/>
    <col min="6150" max="6150" width="12.7109375" style="3" customWidth="1"/>
    <col min="6151" max="6151" width="14" style="3" customWidth="1"/>
    <col min="6152" max="6152" width="7.42578125" style="3" customWidth="1"/>
    <col min="6153" max="6400" width="11.42578125" style="3"/>
    <col min="6401" max="6401" width="15.85546875" style="3" customWidth="1"/>
    <col min="6402" max="6402" width="14.85546875" style="3" customWidth="1"/>
    <col min="6403" max="6403" width="13.28515625" style="3" customWidth="1"/>
    <col min="6404" max="6404" width="11.42578125" style="3"/>
    <col min="6405" max="6405" width="13.42578125" style="3" customWidth="1"/>
    <col min="6406" max="6406" width="12.7109375" style="3" customWidth="1"/>
    <col min="6407" max="6407" width="14" style="3" customWidth="1"/>
    <col min="6408" max="6408" width="7.42578125" style="3" customWidth="1"/>
    <col min="6409" max="6656" width="11.42578125" style="3"/>
    <col min="6657" max="6657" width="15.85546875" style="3" customWidth="1"/>
    <col min="6658" max="6658" width="14.85546875" style="3" customWidth="1"/>
    <col min="6659" max="6659" width="13.28515625" style="3" customWidth="1"/>
    <col min="6660" max="6660" width="11.42578125" style="3"/>
    <col min="6661" max="6661" width="13.42578125" style="3" customWidth="1"/>
    <col min="6662" max="6662" width="12.7109375" style="3" customWidth="1"/>
    <col min="6663" max="6663" width="14" style="3" customWidth="1"/>
    <col min="6664" max="6664" width="7.42578125" style="3" customWidth="1"/>
    <col min="6665" max="6912" width="11.42578125" style="3"/>
    <col min="6913" max="6913" width="15.85546875" style="3" customWidth="1"/>
    <col min="6914" max="6914" width="14.85546875" style="3" customWidth="1"/>
    <col min="6915" max="6915" width="13.28515625" style="3" customWidth="1"/>
    <col min="6916" max="6916" width="11.42578125" style="3"/>
    <col min="6917" max="6917" width="13.42578125" style="3" customWidth="1"/>
    <col min="6918" max="6918" width="12.7109375" style="3" customWidth="1"/>
    <col min="6919" max="6919" width="14" style="3" customWidth="1"/>
    <col min="6920" max="6920" width="7.42578125" style="3" customWidth="1"/>
    <col min="6921" max="7168" width="11.42578125" style="3"/>
    <col min="7169" max="7169" width="15.85546875" style="3" customWidth="1"/>
    <col min="7170" max="7170" width="14.85546875" style="3" customWidth="1"/>
    <col min="7171" max="7171" width="13.28515625" style="3" customWidth="1"/>
    <col min="7172" max="7172" width="11.42578125" style="3"/>
    <col min="7173" max="7173" width="13.42578125" style="3" customWidth="1"/>
    <col min="7174" max="7174" width="12.7109375" style="3" customWidth="1"/>
    <col min="7175" max="7175" width="14" style="3" customWidth="1"/>
    <col min="7176" max="7176" width="7.42578125" style="3" customWidth="1"/>
    <col min="7177" max="7424" width="11.42578125" style="3"/>
    <col min="7425" max="7425" width="15.85546875" style="3" customWidth="1"/>
    <col min="7426" max="7426" width="14.85546875" style="3" customWidth="1"/>
    <col min="7427" max="7427" width="13.28515625" style="3" customWidth="1"/>
    <col min="7428" max="7428" width="11.42578125" style="3"/>
    <col min="7429" max="7429" width="13.42578125" style="3" customWidth="1"/>
    <col min="7430" max="7430" width="12.7109375" style="3" customWidth="1"/>
    <col min="7431" max="7431" width="14" style="3" customWidth="1"/>
    <col min="7432" max="7432" width="7.42578125" style="3" customWidth="1"/>
    <col min="7433" max="7680" width="11.42578125" style="3"/>
    <col min="7681" max="7681" width="15.85546875" style="3" customWidth="1"/>
    <col min="7682" max="7682" width="14.85546875" style="3" customWidth="1"/>
    <col min="7683" max="7683" width="13.28515625" style="3" customWidth="1"/>
    <col min="7684" max="7684" width="11.42578125" style="3"/>
    <col min="7685" max="7685" width="13.42578125" style="3" customWidth="1"/>
    <col min="7686" max="7686" width="12.7109375" style="3" customWidth="1"/>
    <col min="7687" max="7687" width="14" style="3" customWidth="1"/>
    <col min="7688" max="7688" width="7.42578125" style="3" customWidth="1"/>
    <col min="7689" max="7936" width="11.42578125" style="3"/>
    <col min="7937" max="7937" width="15.85546875" style="3" customWidth="1"/>
    <col min="7938" max="7938" width="14.85546875" style="3" customWidth="1"/>
    <col min="7939" max="7939" width="13.28515625" style="3" customWidth="1"/>
    <col min="7940" max="7940" width="11.42578125" style="3"/>
    <col min="7941" max="7941" width="13.42578125" style="3" customWidth="1"/>
    <col min="7942" max="7942" width="12.7109375" style="3" customWidth="1"/>
    <col min="7943" max="7943" width="14" style="3" customWidth="1"/>
    <col min="7944" max="7944" width="7.42578125" style="3" customWidth="1"/>
    <col min="7945" max="8192" width="11.42578125" style="3"/>
    <col min="8193" max="8193" width="15.85546875" style="3" customWidth="1"/>
    <col min="8194" max="8194" width="14.85546875" style="3" customWidth="1"/>
    <col min="8195" max="8195" width="13.28515625" style="3" customWidth="1"/>
    <col min="8196" max="8196" width="11.42578125" style="3"/>
    <col min="8197" max="8197" width="13.42578125" style="3" customWidth="1"/>
    <col min="8198" max="8198" width="12.7109375" style="3" customWidth="1"/>
    <col min="8199" max="8199" width="14" style="3" customWidth="1"/>
    <col min="8200" max="8200" width="7.42578125" style="3" customWidth="1"/>
    <col min="8201" max="8448" width="11.42578125" style="3"/>
    <col min="8449" max="8449" width="15.85546875" style="3" customWidth="1"/>
    <col min="8450" max="8450" width="14.85546875" style="3" customWidth="1"/>
    <col min="8451" max="8451" width="13.28515625" style="3" customWidth="1"/>
    <col min="8452" max="8452" width="11.42578125" style="3"/>
    <col min="8453" max="8453" width="13.42578125" style="3" customWidth="1"/>
    <col min="8454" max="8454" width="12.7109375" style="3" customWidth="1"/>
    <col min="8455" max="8455" width="14" style="3" customWidth="1"/>
    <col min="8456" max="8456" width="7.42578125" style="3" customWidth="1"/>
    <col min="8457" max="8704" width="11.42578125" style="3"/>
    <col min="8705" max="8705" width="15.85546875" style="3" customWidth="1"/>
    <col min="8706" max="8706" width="14.85546875" style="3" customWidth="1"/>
    <col min="8707" max="8707" width="13.28515625" style="3" customWidth="1"/>
    <col min="8708" max="8708" width="11.42578125" style="3"/>
    <col min="8709" max="8709" width="13.42578125" style="3" customWidth="1"/>
    <col min="8710" max="8710" width="12.7109375" style="3" customWidth="1"/>
    <col min="8711" max="8711" width="14" style="3" customWidth="1"/>
    <col min="8712" max="8712" width="7.42578125" style="3" customWidth="1"/>
    <col min="8713" max="8960" width="11.42578125" style="3"/>
    <col min="8961" max="8961" width="15.85546875" style="3" customWidth="1"/>
    <col min="8962" max="8962" width="14.85546875" style="3" customWidth="1"/>
    <col min="8963" max="8963" width="13.28515625" style="3" customWidth="1"/>
    <col min="8964" max="8964" width="11.42578125" style="3"/>
    <col min="8965" max="8965" width="13.42578125" style="3" customWidth="1"/>
    <col min="8966" max="8966" width="12.7109375" style="3" customWidth="1"/>
    <col min="8967" max="8967" width="14" style="3" customWidth="1"/>
    <col min="8968" max="8968" width="7.42578125" style="3" customWidth="1"/>
    <col min="8969" max="9216" width="11.42578125" style="3"/>
    <col min="9217" max="9217" width="15.85546875" style="3" customWidth="1"/>
    <col min="9218" max="9218" width="14.85546875" style="3" customWidth="1"/>
    <col min="9219" max="9219" width="13.28515625" style="3" customWidth="1"/>
    <col min="9220" max="9220" width="11.42578125" style="3"/>
    <col min="9221" max="9221" width="13.42578125" style="3" customWidth="1"/>
    <col min="9222" max="9222" width="12.7109375" style="3" customWidth="1"/>
    <col min="9223" max="9223" width="14" style="3" customWidth="1"/>
    <col min="9224" max="9224" width="7.42578125" style="3" customWidth="1"/>
    <col min="9225" max="9472" width="11.42578125" style="3"/>
    <col min="9473" max="9473" width="15.85546875" style="3" customWidth="1"/>
    <col min="9474" max="9474" width="14.85546875" style="3" customWidth="1"/>
    <col min="9475" max="9475" width="13.28515625" style="3" customWidth="1"/>
    <col min="9476" max="9476" width="11.42578125" style="3"/>
    <col min="9477" max="9477" width="13.42578125" style="3" customWidth="1"/>
    <col min="9478" max="9478" width="12.7109375" style="3" customWidth="1"/>
    <col min="9479" max="9479" width="14" style="3" customWidth="1"/>
    <col min="9480" max="9480" width="7.42578125" style="3" customWidth="1"/>
    <col min="9481" max="9728" width="11.42578125" style="3"/>
    <col min="9729" max="9729" width="15.85546875" style="3" customWidth="1"/>
    <col min="9730" max="9730" width="14.85546875" style="3" customWidth="1"/>
    <col min="9731" max="9731" width="13.28515625" style="3" customWidth="1"/>
    <col min="9732" max="9732" width="11.42578125" style="3"/>
    <col min="9733" max="9733" width="13.42578125" style="3" customWidth="1"/>
    <col min="9734" max="9734" width="12.7109375" style="3" customWidth="1"/>
    <col min="9735" max="9735" width="14" style="3" customWidth="1"/>
    <col min="9736" max="9736" width="7.42578125" style="3" customWidth="1"/>
    <col min="9737" max="9984" width="11.42578125" style="3"/>
    <col min="9985" max="9985" width="15.85546875" style="3" customWidth="1"/>
    <col min="9986" max="9986" width="14.85546875" style="3" customWidth="1"/>
    <col min="9987" max="9987" width="13.28515625" style="3" customWidth="1"/>
    <col min="9988" max="9988" width="11.42578125" style="3"/>
    <col min="9989" max="9989" width="13.42578125" style="3" customWidth="1"/>
    <col min="9990" max="9990" width="12.7109375" style="3" customWidth="1"/>
    <col min="9991" max="9991" width="14" style="3" customWidth="1"/>
    <col min="9992" max="9992" width="7.42578125" style="3" customWidth="1"/>
    <col min="9993" max="10240" width="11.42578125" style="3"/>
    <col min="10241" max="10241" width="15.85546875" style="3" customWidth="1"/>
    <col min="10242" max="10242" width="14.85546875" style="3" customWidth="1"/>
    <col min="10243" max="10243" width="13.28515625" style="3" customWidth="1"/>
    <col min="10244" max="10244" width="11.42578125" style="3"/>
    <col min="10245" max="10245" width="13.42578125" style="3" customWidth="1"/>
    <col min="10246" max="10246" width="12.7109375" style="3" customWidth="1"/>
    <col min="10247" max="10247" width="14" style="3" customWidth="1"/>
    <col min="10248" max="10248" width="7.42578125" style="3" customWidth="1"/>
    <col min="10249" max="10496" width="11.42578125" style="3"/>
    <col min="10497" max="10497" width="15.85546875" style="3" customWidth="1"/>
    <col min="10498" max="10498" width="14.85546875" style="3" customWidth="1"/>
    <col min="10499" max="10499" width="13.28515625" style="3" customWidth="1"/>
    <col min="10500" max="10500" width="11.42578125" style="3"/>
    <col min="10501" max="10501" width="13.42578125" style="3" customWidth="1"/>
    <col min="10502" max="10502" width="12.7109375" style="3" customWidth="1"/>
    <col min="10503" max="10503" width="14" style="3" customWidth="1"/>
    <col min="10504" max="10504" width="7.42578125" style="3" customWidth="1"/>
    <col min="10505" max="10752" width="11.42578125" style="3"/>
    <col min="10753" max="10753" width="15.85546875" style="3" customWidth="1"/>
    <col min="10754" max="10754" width="14.85546875" style="3" customWidth="1"/>
    <col min="10755" max="10755" width="13.28515625" style="3" customWidth="1"/>
    <col min="10756" max="10756" width="11.42578125" style="3"/>
    <col min="10757" max="10757" width="13.42578125" style="3" customWidth="1"/>
    <col min="10758" max="10758" width="12.7109375" style="3" customWidth="1"/>
    <col min="10759" max="10759" width="14" style="3" customWidth="1"/>
    <col min="10760" max="10760" width="7.42578125" style="3" customWidth="1"/>
    <col min="10761" max="11008" width="11.42578125" style="3"/>
    <col min="11009" max="11009" width="15.85546875" style="3" customWidth="1"/>
    <col min="11010" max="11010" width="14.85546875" style="3" customWidth="1"/>
    <col min="11011" max="11011" width="13.28515625" style="3" customWidth="1"/>
    <col min="11012" max="11012" width="11.42578125" style="3"/>
    <col min="11013" max="11013" width="13.42578125" style="3" customWidth="1"/>
    <col min="11014" max="11014" width="12.7109375" style="3" customWidth="1"/>
    <col min="11015" max="11015" width="14" style="3" customWidth="1"/>
    <col min="11016" max="11016" width="7.42578125" style="3" customWidth="1"/>
    <col min="11017" max="11264" width="11.42578125" style="3"/>
    <col min="11265" max="11265" width="15.85546875" style="3" customWidth="1"/>
    <col min="11266" max="11266" width="14.85546875" style="3" customWidth="1"/>
    <col min="11267" max="11267" width="13.28515625" style="3" customWidth="1"/>
    <col min="11268" max="11268" width="11.42578125" style="3"/>
    <col min="11269" max="11269" width="13.42578125" style="3" customWidth="1"/>
    <col min="11270" max="11270" width="12.7109375" style="3" customWidth="1"/>
    <col min="11271" max="11271" width="14" style="3" customWidth="1"/>
    <col min="11272" max="11272" width="7.42578125" style="3" customWidth="1"/>
    <col min="11273" max="11520" width="11.42578125" style="3"/>
    <col min="11521" max="11521" width="15.85546875" style="3" customWidth="1"/>
    <col min="11522" max="11522" width="14.85546875" style="3" customWidth="1"/>
    <col min="11523" max="11523" width="13.28515625" style="3" customWidth="1"/>
    <col min="11524" max="11524" width="11.42578125" style="3"/>
    <col min="11525" max="11525" width="13.42578125" style="3" customWidth="1"/>
    <col min="11526" max="11526" width="12.7109375" style="3" customWidth="1"/>
    <col min="11527" max="11527" width="14" style="3" customWidth="1"/>
    <col min="11528" max="11528" width="7.42578125" style="3" customWidth="1"/>
    <col min="11529" max="11776" width="11.42578125" style="3"/>
    <col min="11777" max="11777" width="15.85546875" style="3" customWidth="1"/>
    <col min="11778" max="11778" width="14.85546875" style="3" customWidth="1"/>
    <col min="11779" max="11779" width="13.28515625" style="3" customWidth="1"/>
    <col min="11780" max="11780" width="11.42578125" style="3"/>
    <col min="11781" max="11781" width="13.42578125" style="3" customWidth="1"/>
    <col min="11782" max="11782" width="12.7109375" style="3" customWidth="1"/>
    <col min="11783" max="11783" width="14" style="3" customWidth="1"/>
    <col min="11784" max="11784" width="7.42578125" style="3" customWidth="1"/>
    <col min="11785" max="12032" width="11.42578125" style="3"/>
    <col min="12033" max="12033" width="15.85546875" style="3" customWidth="1"/>
    <col min="12034" max="12034" width="14.85546875" style="3" customWidth="1"/>
    <col min="12035" max="12035" width="13.28515625" style="3" customWidth="1"/>
    <col min="12036" max="12036" width="11.42578125" style="3"/>
    <col min="12037" max="12037" width="13.42578125" style="3" customWidth="1"/>
    <col min="12038" max="12038" width="12.7109375" style="3" customWidth="1"/>
    <col min="12039" max="12039" width="14" style="3" customWidth="1"/>
    <col min="12040" max="12040" width="7.42578125" style="3" customWidth="1"/>
    <col min="12041" max="12288" width="11.42578125" style="3"/>
    <col min="12289" max="12289" width="15.85546875" style="3" customWidth="1"/>
    <col min="12290" max="12290" width="14.85546875" style="3" customWidth="1"/>
    <col min="12291" max="12291" width="13.28515625" style="3" customWidth="1"/>
    <col min="12292" max="12292" width="11.42578125" style="3"/>
    <col min="12293" max="12293" width="13.42578125" style="3" customWidth="1"/>
    <col min="12294" max="12294" width="12.7109375" style="3" customWidth="1"/>
    <col min="12295" max="12295" width="14" style="3" customWidth="1"/>
    <col min="12296" max="12296" width="7.42578125" style="3" customWidth="1"/>
    <col min="12297" max="12544" width="11.42578125" style="3"/>
    <col min="12545" max="12545" width="15.85546875" style="3" customWidth="1"/>
    <col min="12546" max="12546" width="14.85546875" style="3" customWidth="1"/>
    <col min="12547" max="12547" width="13.28515625" style="3" customWidth="1"/>
    <col min="12548" max="12548" width="11.42578125" style="3"/>
    <col min="12549" max="12549" width="13.42578125" style="3" customWidth="1"/>
    <col min="12550" max="12550" width="12.7109375" style="3" customWidth="1"/>
    <col min="12551" max="12551" width="14" style="3" customWidth="1"/>
    <col min="12552" max="12552" width="7.42578125" style="3" customWidth="1"/>
    <col min="12553" max="12800" width="11.42578125" style="3"/>
    <col min="12801" max="12801" width="15.85546875" style="3" customWidth="1"/>
    <col min="12802" max="12802" width="14.85546875" style="3" customWidth="1"/>
    <col min="12803" max="12803" width="13.28515625" style="3" customWidth="1"/>
    <col min="12804" max="12804" width="11.42578125" style="3"/>
    <col min="12805" max="12805" width="13.42578125" style="3" customWidth="1"/>
    <col min="12806" max="12806" width="12.7109375" style="3" customWidth="1"/>
    <col min="12807" max="12807" width="14" style="3" customWidth="1"/>
    <col min="12808" max="12808" width="7.42578125" style="3" customWidth="1"/>
    <col min="12809" max="13056" width="11.42578125" style="3"/>
    <col min="13057" max="13057" width="15.85546875" style="3" customWidth="1"/>
    <col min="13058" max="13058" width="14.85546875" style="3" customWidth="1"/>
    <col min="13059" max="13059" width="13.28515625" style="3" customWidth="1"/>
    <col min="13060" max="13060" width="11.42578125" style="3"/>
    <col min="13061" max="13061" width="13.42578125" style="3" customWidth="1"/>
    <col min="13062" max="13062" width="12.7109375" style="3" customWidth="1"/>
    <col min="13063" max="13063" width="14" style="3" customWidth="1"/>
    <col min="13064" max="13064" width="7.42578125" style="3" customWidth="1"/>
    <col min="13065" max="13312" width="11.42578125" style="3"/>
    <col min="13313" max="13313" width="15.85546875" style="3" customWidth="1"/>
    <col min="13314" max="13314" width="14.85546875" style="3" customWidth="1"/>
    <col min="13315" max="13315" width="13.28515625" style="3" customWidth="1"/>
    <col min="13316" max="13316" width="11.42578125" style="3"/>
    <col min="13317" max="13317" width="13.42578125" style="3" customWidth="1"/>
    <col min="13318" max="13318" width="12.7109375" style="3" customWidth="1"/>
    <col min="13319" max="13319" width="14" style="3" customWidth="1"/>
    <col min="13320" max="13320" width="7.42578125" style="3" customWidth="1"/>
    <col min="13321" max="13568" width="11.42578125" style="3"/>
    <col min="13569" max="13569" width="15.85546875" style="3" customWidth="1"/>
    <col min="13570" max="13570" width="14.85546875" style="3" customWidth="1"/>
    <col min="13571" max="13571" width="13.28515625" style="3" customWidth="1"/>
    <col min="13572" max="13572" width="11.42578125" style="3"/>
    <col min="13573" max="13573" width="13.42578125" style="3" customWidth="1"/>
    <col min="13574" max="13574" width="12.7109375" style="3" customWidth="1"/>
    <col min="13575" max="13575" width="14" style="3" customWidth="1"/>
    <col min="13576" max="13576" width="7.42578125" style="3" customWidth="1"/>
    <col min="13577" max="13824" width="11.42578125" style="3"/>
    <col min="13825" max="13825" width="15.85546875" style="3" customWidth="1"/>
    <col min="13826" max="13826" width="14.85546875" style="3" customWidth="1"/>
    <col min="13827" max="13827" width="13.28515625" style="3" customWidth="1"/>
    <col min="13828" max="13828" width="11.42578125" style="3"/>
    <col min="13829" max="13829" width="13.42578125" style="3" customWidth="1"/>
    <col min="13830" max="13830" width="12.7109375" style="3" customWidth="1"/>
    <col min="13831" max="13831" width="14" style="3" customWidth="1"/>
    <col min="13832" max="13832" width="7.42578125" style="3" customWidth="1"/>
    <col min="13833" max="14080" width="11.42578125" style="3"/>
    <col min="14081" max="14081" width="15.85546875" style="3" customWidth="1"/>
    <col min="14082" max="14082" width="14.85546875" style="3" customWidth="1"/>
    <col min="14083" max="14083" width="13.28515625" style="3" customWidth="1"/>
    <col min="14084" max="14084" width="11.42578125" style="3"/>
    <col min="14085" max="14085" width="13.42578125" style="3" customWidth="1"/>
    <col min="14086" max="14086" width="12.7109375" style="3" customWidth="1"/>
    <col min="14087" max="14087" width="14" style="3" customWidth="1"/>
    <col min="14088" max="14088" width="7.42578125" style="3" customWidth="1"/>
    <col min="14089" max="14336" width="11.42578125" style="3"/>
    <col min="14337" max="14337" width="15.85546875" style="3" customWidth="1"/>
    <col min="14338" max="14338" width="14.85546875" style="3" customWidth="1"/>
    <col min="14339" max="14339" width="13.28515625" style="3" customWidth="1"/>
    <col min="14340" max="14340" width="11.42578125" style="3"/>
    <col min="14341" max="14341" width="13.42578125" style="3" customWidth="1"/>
    <col min="14342" max="14342" width="12.7109375" style="3" customWidth="1"/>
    <col min="14343" max="14343" width="14" style="3" customWidth="1"/>
    <col min="14344" max="14344" width="7.42578125" style="3" customWidth="1"/>
    <col min="14345" max="14592" width="11.42578125" style="3"/>
    <col min="14593" max="14593" width="15.85546875" style="3" customWidth="1"/>
    <col min="14594" max="14594" width="14.85546875" style="3" customWidth="1"/>
    <col min="14595" max="14595" width="13.28515625" style="3" customWidth="1"/>
    <col min="14596" max="14596" width="11.42578125" style="3"/>
    <col min="14597" max="14597" width="13.42578125" style="3" customWidth="1"/>
    <col min="14598" max="14598" width="12.7109375" style="3" customWidth="1"/>
    <col min="14599" max="14599" width="14" style="3" customWidth="1"/>
    <col min="14600" max="14600" width="7.42578125" style="3" customWidth="1"/>
    <col min="14601" max="14848" width="11.42578125" style="3"/>
    <col min="14849" max="14849" width="15.85546875" style="3" customWidth="1"/>
    <col min="14850" max="14850" width="14.85546875" style="3" customWidth="1"/>
    <col min="14851" max="14851" width="13.28515625" style="3" customWidth="1"/>
    <col min="14852" max="14852" width="11.42578125" style="3"/>
    <col min="14853" max="14853" width="13.42578125" style="3" customWidth="1"/>
    <col min="14854" max="14854" width="12.7109375" style="3" customWidth="1"/>
    <col min="14855" max="14855" width="14" style="3" customWidth="1"/>
    <col min="14856" max="14856" width="7.42578125" style="3" customWidth="1"/>
    <col min="14857" max="15104" width="11.42578125" style="3"/>
    <col min="15105" max="15105" width="15.85546875" style="3" customWidth="1"/>
    <col min="15106" max="15106" width="14.85546875" style="3" customWidth="1"/>
    <col min="15107" max="15107" width="13.28515625" style="3" customWidth="1"/>
    <col min="15108" max="15108" width="11.42578125" style="3"/>
    <col min="15109" max="15109" width="13.42578125" style="3" customWidth="1"/>
    <col min="15110" max="15110" width="12.7109375" style="3" customWidth="1"/>
    <col min="15111" max="15111" width="14" style="3" customWidth="1"/>
    <col min="15112" max="15112" width="7.42578125" style="3" customWidth="1"/>
    <col min="15113" max="15360" width="11.42578125" style="3"/>
    <col min="15361" max="15361" width="15.85546875" style="3" customWidth="1"/>
    <col min="15362" max="15362" width="14.85546875" style="3" customWidth="1"/>
    <col min="15363" max="15363" width="13.28515625" style="3" customWidth="1"/>
    <col min="15364" max="15364" width="11.42578125" style="3"/>
    <col min="15365" max="15365" width="13.42578125" style="3" customWidth="1"/>
    <col min="15366" max="15366" width="12.7109375" style="3" customWidth="1"/>
    <col min="15367" max="15367" width="14" style="3" customWidth="1"/>
    <col min="15368" max="15368" width="7.42578125" style="3" customWidth="1"/>
    <col min="15369" max="15616" width="11.42578125" style="3"/>
    <col min="15617" max="15617" width="15.85546875" style="3" customWidth="1"/>
    <col min="15618" max="15618" width="14.85546875" style="3" customWidth="1"/>
    <col min="15619" max="15619" width="13.28515625" style="3" customWidth="1"/>
    <col min="15620" max="15620" width="11.42578125" style="3"/>
    <col min="15621" max="15621" width="13.42578125" style="3" customWidth="1"/>
    <col min="15622" max="15622" width="12.7109375" style="3" customWidth="1"/>
    <col min="15623" max="15623" width="14" style="3" customWidth="1"/>
    <col min="15624" max="15624" width="7.42578125" style="3" customWidth="1"/>
    <col min="15625" max="15872" width="11.42578125" style="3"/>
    <col min="15873" max="15873" width="15.85546875" style="3" customWidth="1"/>
    <col min="15874" max="15874" width="14.85546875" style="3" customWidth="1"/>
    <col min="15875" max="15875" width="13.28515625" style="3" customWidth="1"/>
    <col min="15876" max="15876" width="11.42578125" style="3"/>
    <col min="15877" max="15877" width="13.42578125" style="3" customWidth="1"/>
    <col min="15878" max="15878" width="12.7109375" style="3" customWidth="1"/>
    <col min="15879" max="15879" width="14" style="3" customWidth="1"/>
    <col min="15880" max="15880" width="7.42578125" style="3" customWidth="1"/>
    <col min="15881" max="16128" width="11.42578125" style="3"/>
    <col min="16129" max="16129" width="15.85546875" style="3" customWidth="1"/>
    <col min="16130" max="16130" width="14.85546875" style="3" customWidth="1"/>
    <col min="16131" max="16131" width="13.28515625" style="3" customWidth="1"/>
    <col min="16132" max="16132" width="11.42578125" style="3"/>
    <col min="16133" max="16133" width="13.42578125" style="3" customWidth="1"/>
    <col min="16134" max="16134" width="12.7109375" style="3" customWidth="1"/>
    <col min="16135" max="16135" width="14" style="3" customWidth="1"/>
    <col min="16136" max="16136" width="7.42578125" style="3" customWidth="1"/>
    <col min="16137" max="16384" width="11.42578125" style="3"/>
  </cols>
  <sheetData>
    <row r="1" spans="1:21" ht="20.25">
      <c r="A1" s="1346" t="str">
        <f>PPTO!D3</f>
        <v>PRESUPUESTO
MUNICIPIO EL BAGRE (ANTIOQUIA).</v>
      </c>
      <c r="B1" s="1347"/>
      <c r="C1" s="1347"/>
      <c r="D1" s="1347"/>
      <c r="E1" s="1347"/>
      <c r="F1" s="1347"/>
      <c r="G1" s="1348"/>
      <c r="H1" s="1"/>
      <c r="I1" s="2"/>
    </row>
    <row r="2" spans="1:21" ht="18" customHeight="1">
      <c r="A2" s="1362" t="s">
        <v>16</v>
      </c>
      <c r="B2" s="1363"/>
      <c r="C2" s="1363"/>
      <c r="D2" s="1363"/>
      <c r="E2" s="1363"/>
      <c r="F2" s="1363"/>
      <c r="G2" s="1364"/>
      <c r="H2" s="1"/>
      <c r="I2" s="2"/>
    </row>
    <row r="3" spans="1:21" ht="27" customHeight="1">
      <c r="A3" s="1367" t="str">
        <f>+PPTO!$D$5</f>
        <v>PROYECTO DE MEJORAMIENTO VIAL, ESPACIO PUBLICO Y OBRAS COMPLEMENTARIAS DE LA AVENIDA LA JUVENTUD Y TRAMOS ADYACENTES Y PRIORITARIOS DEL SECTOR URBANO EN EL MUNICIPIO EL BAGRE ANTIOQUIA.</v>
      </c>
      <c r="B3" s="1368"/>
      <c r="C3" s="1368"/>
      <c r="D3" s="1368"/>
      <c r="E3" s="1368"/>
      <c r="F3" s="1368"/>
      <c r="G3" s="1369"/>
      <c r="H3" s="1"/>
      <c r="I3" s="2"/>
    </row>
    <row r="4" spans="1:21">
      <c r="A4" s="1370"/>
      <c r="B4" s="1368"/>
      <c r="C4" s="1368"/>
      <c r="D4" s="1368"/>
      <c r="E4" s="1368"/>
      <c r="F4" s="1368"/>
      <c r="G4" s="1369"/>
      <c r="H4" s="1"/>
      <c r="I4" s="2"/>
    </row>
    <row r="5" spans="1:21" ht="6.75" customHeight="1">
      <c r="A5" s="222"/>
      <c r="B5" s="6"/>
      <c r="C5" s="24"/>
      <c r="D5" s="25"/>
      <c r="E5" s="6"/>
      <c r="F5" s="6"/>
      <c r="G5" s="223"/>
      <c r="H5" s="9"/>
    </row>
    <row r="6" spans="1:21" ht="28.5" customHeight="1">
      <c r="A6" s="368">
        <v>6.47</v>
      </c>
      <c r="B6" s="1349" t="str">
        <f>VLOOKUP(A6,PPTO!D9:I136,2,FALSE)</f>
        <v>Placas de fondo de concreto de 4000 PSI, para pozos de inspeccion D=1.50, e=0.20</v>
      </c>
      <c r="C6" s="1350"/>
      <c r="D6" s="1350"/>
      <c r="E6" s="1351"/>
      <c r="F6" s="192" t="s">
        <v>118</v>
      </c>
      <c r="G6" s="248" t="str">
        <f>VLOOKUP(A6,PPTO!D9:I136,3,FALSE)</f>
        <v>und</v>
      </c>
      <c r="H6" s="9"/>
    </row>
    <row r="7" spans="1:21" ht="3.75" customHeight="1">
      <c r="A7" s="226"/>
      <c r="B7" s="4"/>
      <c r="C7" s="6"/>
      <c r="D7" s="4"/>
      <c r="E7" s="4"/>
      <c r="F7" s="4"/>
      <c r="G7" s="227"/>
      <c r="H7" s="9"/>
    </row>
    <row r="8" spans="1:21" ht="22.5" customHeight="1">
      <c r="A8" s="1354" t="s">
        <v>69</v>
      </c>
      <c r="B8" s="1355"/>
      <c r="C8" s="1355"/>
      <c r="D8" s="1355"/>
      <c r="E8" s="1355"/>
      <c r="F8" s="1355"/>
      <c r="G8" s="1356"/>
      <c r="H8" s="9"/>
    </row>
    <row r="9" spans="1:21" ht="4.5" customHeight="1">
      <c r="A9" s="226"/>
      <c r="B9" s="4"/>
      <c r="C9" s="6"/>
      <c r="D9" s="4"/>
      <c r="E9" s="4"/>
      <c r="F9" s="4"/>
      <c r="G9" s="227"/>
      <c r="H9" s="9"/>
      <c r="I9" s="5"/>
      <c r="J9" s="5"/>
      <c r="K9" s="5"/>
      <c r="L9" s="26"/>
      <c r="M9" s="5"/>
      <c r="N9" s="5"/>
      <c r="O9" s="5"/>
      <c r="P9" s="5"/>
    </row>
    <row r="10" spans="1:21">
      <c r="A10" s="1373" t="s">
        <v>17</v>
      </c>
      <c r="B10" s="1374"/>
      <c r="C10" s="1374"/>
      <c r="D10" s="346" t="s">
        <v>18</v>
      </c>
      <c r="E10" s="346" t="s">
        <v>19</v>
      </c>
      <c r="F10" s="346" t="s">
        <v>20</v>
      </c>
      <c r="G10" s="228" t="s">
        <v>21</v>
      </c>
      <c r="H10" s="27"/>
      <c r="I10" s="28"/>
      <c r="J10" s="29"/>
      <c r="K10" s="30"/>
      <c r="L10" s="30"/>
      <c r="M10" s="30"/>
      <c r="N10" s="30"/>
      <c r="O10" s="30"/>
      <c r="P10" s="5"/>
    </row>
    <row r="11" spans="1:21">
      <c r="A11" s="1352" t="s">
        <v>47</v>
      </c>
      <c r="B11" s="1353"/>
      <c r="C11" s="1353"/>
      <c r="D11" s="346"/>
      <c r="E11" s="83"/>
      <c r="F11" s="97"/>
      <c r="G11" s="229">
        <f>+G39*10%</f>
        <v>30542</v>
      </c>
      <c r="H11" s="9"/>
      <c r="I11" s="30"/>
      <c r="J11" s="31"/>
      <c r="K11" s="30"/>
      <c r="L11" s="30"/>
      <c r="M11" s="30"/>
      <c r="N11" s="30"/>
      <c r="O11" s="30"/>
      <c r="P11" s="5"/>
    </row>
    <row r="12" spans="1:21">
      <c r="A12" s="1371"/>
      <c r="B12" s="1372"/>
      <c r="C12" s="1372"/>
      <c r="D12" s="83"/>
      <c r="E12" s="83"/>
      <c r="F12" s="93"/>
      <c r="G12" s="229"/>
      <c r="H12" s="9"/>
      <c r="I12" s="16"/>
      <c r="J12" s="13"/>
      <c r="K12" s="8"/>
      <c r="L12" s="8"/>
      <c r="M12" s="8"/>
      <c r="N12" s="8"/>
      <c r="O12" s="8"/>
      <c r="P12" s="5"/>
    </row>
    <row r="13" spans="1:21">
      <c r="A13" s="1371"/>
      <c r="B13" s="1372"/>
      <c r="C13" s="1372"/>
      <c r="D13" s="83"/>
      <c r="E13" s="83"/>
      <c r="F13" s="93"/>
      <c r="G13" s="229"/>
      <c r="H13" s="9"/>
      <c r="I13" s="13"/>
      <c r="J13" s="13"/>
      <c r="K13" s="13"/>
      <c r="L13" s="13"/>
      <c r="M13" s="13"/>
      <c r="N13" s="13"/>
      <c r="O13" s="13"/>
      <c r="P13" s="5"/>
    </row>
    <row r="14" spans="1:21">
      <c r="A14" s="1371"/>
      <c r="B14" s="1372"/>
      <c r="C14" s="1372"/>
      <c r="D14" s="83"/>
      <c r="E14" s="83"/>
      <c r="F14" s="93"/>
      <c r="G14" s="229"/>
      <c r="H14" s="9"/>
      <c r="I14" s="8"/>
      <c r="J14" s="14"/>
      <c r="K14" s="32"/>
      <c r="L14" s="14"/>
      <c r="M14" s="15"/>
      <c r="N14" s="15"/>
      <c r="O14" s="19"/>
      <c r="P14" s="5"/>
    </row>
    <row r="15" spans="1:21">
      <c r="A15" s="1371"/>
      <c r="B15" s="1372"/>
      <c r="C15" s="1372"/>
      <c r="D15" s="83"/>
      <c r="E15" s="83"/>
      <c r="F15" s="98"/>
      <c r="G15" s="229"/>
      <c r="H15" s="9"/>
      <c r="I15" s="8"/>
      <c r="J15" s="33"/>
      <c r="K15" s="32"/>
      <c r="L15" s="14"/>
      <c r="M15" s="15"/>
      <c r="N15" s="15"/>
      <c r="O15" s="19"/>
      <c r="P15" s="5"/>
      <c r="Q15" s="5"/>
      <c r="R15" s="5"/>
      <c r="S15" s="5"/>
      <c r="T15" s="5"/>
      <c r="U15" s="5"/>
    </row>
    <row r="16" spans="1:21">
      <c r="A16" s="1371"/>
      <c r="B16" s="1372"/>
      <c r="C16" s="1372"/>
      <c r="D16" s="85" t="s">
        <v>37</v>
      </c>
      <c r="E16" s="50"/>
      <c r="F16" s="49"/>
      <c r="G16" s="230">
        <f>SUM(G11:G15)</f>
        <v>30542</v>
      </c>
      <c r="H16" s="9"/>
      <c r="I16" s="34"/>
      <c r="J16" s="34"/>
      <c r="K16" s="35"/>
      <c r="L16" s="36"/>
      <c r="M16" s="7"/>
      <c r="N16" s="7"/>
      <c r="O16" s="19"/>
      <c r="P16" s="5"/>
      <c r="Q16" s="5"/>
      <c r="R16" s="5"/>
      <c r="S16" s="5"/>
      <c r="T16" s="5"/>
      <c r="U16" s="5"/>
    </row>
    <row r="17" spans="1:21" ht="4.5" customHeight="1">
      <c r="A17" s="226"/>
      <c r="B17" s="4"/>
      <c r="C17" s="6"/>
      <c r="D17" s="4"/>
      <c r="E17" s="4"/>
      <c r="F17" s="4"/>
      <c r="G17" s="227"/>
      <c r="H17" s="9"/>
      <c r="I17" s="34"/>
      <c r="J17" s="34"/>
      <c r="K17" s="35"/>
      <c r="L17" s="36"/>
      <c r="M17" s="7"/>
      <c r="N17" s="7"/>
      <c r="O17" s="19"/>
      <c r="P17" s="5"/>
      <c r="Q17" s="5"/>
      <c r="R17" s="5"/>
      <c r="S17" s="5"/>
      <c r="T17" s="5"/>
      <c r="U17" s="5"/>
    </row>
    <row r="18" spans="1:21" ht="22.5" customHeight="1">
      <c r="A18" s="1354" t="s">
        <v>70</v>
      </c>
      <c r="B18" s="1355"/>
      <c r="C18" s="1355"/>
      <c r="D18" s="1355"/>
      <c r="E18" s="1355"/>
      <c r="F18" s="1355"/>
      <c r="G18" s="1356"/>
      <c r="H18" s="9"/>
    </row>
    <row r="19" spans="1:21" ht="4.5" customHeight="1">
      <c r="A19" s="226"/>
      <c r="B19" s="4"/>
      <c r="C19" s="6"/>
      <c r="D19" s="4"/>
      <c r="E19" s="4"/>
      <c r="F19" s="38"/>
      <c r="G19" s="227"/>
      <c r="H19" s="9"/>
      <c r="I19" s="34"/>
      <c r="J19" s="34"/>
      <c r="K19" s="35"/>
      <c r="L19" s="39"/>
      <c r="M19" s="7"/>
      <c r="N19" s="7"/>
      <c r="O19" s="8"/>
      <c r="P19" s="5"/>
      <c r="Q19" s="5"/>
      <c r="R19" s="5"/>
      <c r="S19" s="5"/>
      <c r="T19" s="5"/>
      <c r="U19" s="5"/>
    </row>
    <row r="20" spans="1:21">
      <c r="A20" s="1373" t="s">
        <v>17</v>
      </c>
      <c r="B20" s="1374"/>
      <c r="C20" s="1374"/>
      <c r="D20" s="346" t="s">
        <v>3</v>
      </c>
      <c r="E20" s="346" t="s">
        <v>4</v>
      </c>
      <c r="F20" s="346" t="s">
        <v>25</v>
      </c>
      <c r="G20" s="228" t="s">
        <v>21</v>
      </c>
      <c r="H20" s="27"/>
      <c r="I20" s="34"/>
      <c r="J20" s="34"/>
      <c r="K20" s="35"/>
      <c r="L20" s="39"/>
      <c r="M20" s="7"/>
      <c r="N20" s="7"/>
      <c r="O20" s="8"/>
      <c r="P20" s="5"/>
      <c r="Q20" s="5"/>
      <c r="R20" s="5"/>
      <c r="S20" s="5"/>
      <c r="T20" s="5"/>
      <c r="U20" s="5"/>
    </row>
    <row r="21" spans="1:21">
      <c r="A21" s="1441" t="s">
        <v>266</v>
      </c>
      <c r="B21" s="1442"/>
      <c r="C21" s="1443"/>
      <c r="D21" s="118" t="s">
        <v>44</v>
      </c>
      <c r="E21" s="119">
        <f>PI()*(0.75+0.26)^2*0.2</f>
        <v>0.64</v>
      </c>
      <c r="F21" s="87">
        <f>'CONC 4000 PSI '!G43</f>
        <v>461971</v>
      </c>
      <c r="G21" s="67">
        <f>+F21*E21</f>
        <v>295661</v>
      </c>
      <c r="H21" s="9"/>
      <c r="I21" s="34"/>
      <c r="J21" s="34"/>
      <c r="K21" s="35"/>
      <c r="L21" s="36"/>
      <c r="M21" s="7"/>
      <c r="N21" s="7"/>
      <c r="O21" s="19"/>
      <c r="P21" s="5"/>
      <c r="Q21" s="5"/>
      <c r="R21" s="5"/>
      <c r="S21" s="5"/>
      <c r="T21" s="5"/>
      <c r="U21" s="5"/>
    </row>
    <row r="22" spans="1:21">
      <c r="A22" s="1444" t="s">
        <v>712</v>
      </c>
      <c r="B22" s="1403"/>
      <c r="C22" s="1404"/>
      <c r="D22" s="116"/>
      <c r="E22" s="117"/>
      <c r="F22" s="91"/>
      <c r="G22" s="67"/>
      <c r="H22" s="9"/>
      <c r="I22" s="10"/>
      <c r="J22" s="10"/>
      <c r="K22" s="12"/>
      <c r="L22" s="39"/>
      <c r="M22" s="7"/>
      <c r="N22" s="7"/>
      <c r="O22" s="15"/>
      <c r="P22" s="5"/>
      <c r="Q22" s="5"/>
      <c r="R22" s="5"/>
      <c r="S22" s="5"/>
      <c r="T22" s="5"/>
      <c r="U22" s="5"/>
    </row>
    <row r="23" spans="1:21">
      <c r="A23" s="1386"/>
      <c r="B23" s="1353"/>
      <c r="C23" s="1353"/>
      <c r="D23" s="79"/>
      <c r="E23" s="82"/>
      <c r="F23" s="83"/>
      <c r="G23" s="67"/>
      <c r="H23" s="9"/>
      <c r="I23" s="10"/>
      <c r="J23" s="10"/>
      <c r="K23" s="12"/>
      <c r="L23" s="39"/>
      <c r="M23" s="7"/>
      <c r="N23" s="7"/>
      <c r="O23" s="15"/>
      <c r="P23" s="5"/>
      <c r="Q23" s="5"/>
      <c r="R23" s="5"/>
      <c r="S23" s="5"/>
      <c r="T23" s="5"/>
      <c r="U23" s="5"/>
    </row>
    <row r="24" spans="1:21">
      <c r="A24" s="1377"/>
      <c r="B24" s="1378"/>
      <c r="C24" s="1378"/>
      <c r="D24" s="81"/>
      <c r="E24" s="88"/>
      <c r="F24" s="78"/>
      <c r="G24" s="67"/>
      <c r="H24" s="9"/>
      <c r="I24" s="10"/>
      <c r="J24" s="40"/>
      <c r="K24" s="12"/>
      <c r="L24" s="13"/>
      <c r="M24" s="14"/>
      <c r="N24" s="14"/>
      <c r="O24" s="15"/>
      <c r="P24" s="5"/>
      <c r="Q24" s="5"/>
      <c r="R24" s="5"/>
      <c r="S24" s="5"/>
      <c r="T24" s="5"/>
      <c r="U24" s="5"/>
    </row>
    <row r="25" spans="1:21">
      <c r="A25" s="1352"/>
      <c r="B25" s="1353"/>
      <c r="C25" s="1353"/>
      <c r="D25" s="81"/>
      <c r="E25" s="82"/>
      <c r="F25" s="78"/>
      <c r="G25" s="67"/>
      <c r="H25" s="9"/>
      <c r="I25" s="10"/>
      <c r="J25" s="11"/>
      <c r="K25" s="12"/>
      <c r="L25" s="13"/>
      <c r="M25" s="14"/>
      <c r="N25" s="14"/>
      <c r="O25" s="15"/>
      <c r="P25" s="5"/>
      <c r="Q25" s="5"/>
      <c r="R25" s="5"/>
      <c r="S25" s="5"/>
      <c r="T25" s="5"/>
      <c r="U25" s="5"/>
    </row>
    <row r="26" spans="1:21">
      <c r="A26" s="1352"/>
      <c r="B26" s="1353"/>
      <c r="C26" s="1353"/>
      <c r="D26" s="79"/>
      <c r="E26" s="82"/>
      <c r="F26" s="78"/>
      <c r="G26" s="67"/>
      <c r="H26" s="9"/>
      <c r="I26" s="10"/>
      <c r="J26" s="11"/>
      <c r="K26" s="12"/>
      <c r="L26" s="13"/>
      <c r="M26" s="14"/>
      <c r="N26" s="14"/>
      <c r="O26" s="15"/>
      <c r="P26" s="5"/>
      <c r="Q26" s="5"/>
      <c r="R26" s="5"/>
      <c r="S26" s="5"/>
      <c r="T26" s="5"/>
      <c r="U26" s="5"/>
    </row>
    <row r="27" spans="1:21">
      <c r="A27" s="1352"/>
      <c r="B27" s="1353"/>
      <c r="C27" s="1353"/>
      <c r="D27" s="79"/>
      <c r="E27" s="82"/>
      <c r="F27" s="78"/>
      <c r="G27" s="231"/>
      <c r="H27" s="9"/>
      <c r="I27" s="10"/>
      <c r="J27" s="11"/>
      <c r="K27" s="12"/>
      <c r="L27" s="13"/>
      <c r="M27" s="14"/>
      <c r="N27" s="14"/>
      <c r="O27" s="15"/>
      <c r="P27" s="5"/>
      <c r="Q27" s="5"/>
      <c r="R27" s="5"/>
      <c r="S27" s="5"/>
      <c r="T27" s="5"/>
      <c r="U27" s="5"/>
    </row>
    <row r="28" spans="1:21">
      <c r="A28" s="1352"/>
      <c r="B28" s="1353"/>
      <c r="C28" s="1353"/>
      <c r="D28" s="79"/>
      <c r="E28" s="82"/>
      <c r="F28" s="83"/>
      <c r="G28" s="231"/>
      <c r="H28" s="9"/>
      <c r="I28" s="41"/>
      <c r="J28" s="41"/>
      <c r="K28" s="12"/>
      <c r="L28" s="13"/>
      <c r="M28" s="14"/>
      <c r="N28" s="14"/>
      <c r="O28" s="15"/>
      <c r="P28" s="5"/>
      <c r="Q28" s="5"/>
      <c r="R28" s="5"/>
      <c r="S28" s="5"/>
      <c r="T28" s="5"/>
      <c r="U28" s="5"/>
    </row>
    <row r="29" spans="1:21">
      <c r="A29" s="1352"/>
      <c r="B29" s="1353"/>
      <c r="C29" s="1353"/>
      <c r="D29" s="84"/>
      <c r="E29" s="84"/>
      <c r="F29" s="83"/>
      <c r="G29" s="231"/>
      <c r="H29" s="9"/>
      <c r="I29" s="42"/>
      <c r="J29" s="42"/>
      <c r="K29" s="42"/>
      <c r="L29" s="13"/>
      <c r="M29" s="14"/>
      <c r="N29" s="14"/>
      <c r="O29" s="15"/>
      <c r="P29" s="5"/>
      <c r="Q29" s="5"/>
      <c r="R29" s="5"/>
      <c r="S29" s="5"/>
      <c r="T29" s="5"/>
      <c r="U29" s="5"/>
    </row>
    <row r="30" spans="1:21">
      <c r="A30" s="1352"/>
      <c r="B30" s="1353"/>
      <c r="C30" s="1353"/>
      <c r="D30" s="85" t="s">
        <v>28</v>
      </c>
      <c r="E30" s="50"/>
      <c r="F30" s="49"/>
      <c r="G30" s="230">
        <f>SUM(G21:G29)</f>
        <v>295661</v>
      </c>
      <c r="H30" s="9"/>
      <c r="I30" s="8"/>
      <c r="J30" s="13"/>
      <c r="K30" s="8"/>
      <c r="L30" s="13"/>
      <c r="M30" s="14"/>
      <c r="N30" s="14"/>
      <c r="O30" s="15"/>
      <c r="P30" s="5"/>
    </row>
    <row r="31" spans="1:21" ht="3.75" customHeight="1">
      <c r="A31" s="226"/>
      <c r="B31" s="4"/>
      <c r="C31" s="6"/>
      <c r="D31" s="4"/>
      <c r="E31" s="4"/>
      <c r="F31" s="4"/>
      <c r="G31" s="227"/>
      <c r="H31" s="9"/>
      <c r="I31" s="8"/>
      <c r="J31" s="13"/>
      <c r="K31" s="18"/>
      <c r="L31" s="13"/>
      <c r="M31" s="33"/>
      <c r="N31" s="33"/>
      <c r="O31" s="15"/>
      <c r="P31" s="5"/>
    </row>
    <row r="32" spans="1:21" ht="22.5" customHeight="1">
      <c r="A32" s="1354" t="s">
        <v>71</v>
      </c>
      <c r="B32" s="1355"/>
      <c r="C32" s="1355"/>
      <c r="D32" s="1355"/>
      <c r="E32" s="1355"/>
      <c r="F32" s="1355"/>
      <c r="G32" s="1356"/>
      <c r="H32" s="9"/>
    </row>
    <row r="33" spans="1:16" ht="3.75" customHeight="1">
      <c r="A33" s="226"/>
      <c r="B33" s="4"/>
      <c r="C33" s="6"/>
      <c r="D33" s="4"/>
      <c r="E33" s="4"/>
      <c r="F33" s="4"/>
      <c r="G33" s="227"/>
      <c r="H33" s="9"/>
      <c r="I33" s="8"/>
      <c r="J33" s="13"/>
      <c r="K33" s="8"/>
      <c r="L33" s="8"/>
      <c r="M33" s="8"/>
      <c r="N33" s="8"/>
      <c r="O33" s="15"/>
      <c r="P33" s="5"/>
    </row>
    <row r="34" spans="1:16">
      <c r="A34" s="232" t="s">
        <v>5</v>
      </c>
      <c r="B34" s="60" t="s">
        <v>29</v>
      </c>
      <c r="C34" s="60" t="s">
        <v>30</v>
      </c>
      <c r="D34" s="60" t="s">
        <v>31</v>
      </c>
      <c r="E34" s="60" t="s">
        <v>32</v>
      </c>
      <c r="F34" s="60" t="s">
        <v>20</v>
      </c>
      <c r="G34" s="228" t="s">
        <v>33</v>
      </c>
      <c r="H34" s="27"/>
      <c r="I34" s="8"/>
      <c r="J34" s="13"/>
      <c r="K34" s="8"/>
      <c r="L34" s="8"/>
      <c r="M34" s="8"/>
      <c r="N34" s="8"/>
      <c r="O34" s="15"/>
      <c r="P34" s="5"/>
    </row>
    <row r="35" spans="1:16">
      <c r="A35" s="233" t="s">
        <v>41</v>
      </c>
      <c r="B35" s="63">
        <f>BOF</f>
        <v>51749</v>
      </c>
      <c r="C35" s="68">
        <f>ffpp</f>
        <v>0.64539999999999997</v>
      </c>
      <c r="D35" s="72">
        <v>1</v>
      </c>
      <c r="E35" s="66">
        <f>OF</f>
        <v>88696</v>
      </c>
      <c r="F35" s="65">
        <v>1</v>
      </c>
      <c r="G35" s="231">
        <f>ROUND(+D35*E35/F35,0)</f>
        <v>88696</v>
      </c>
      <c r="H35" s="9"/>
      <c r="I35" s="16"/>
      <c r="J35" s="13"/>
      <c r="K35" s="8"/>
      <c r="L35" s="8"/>
      <c r="M35" s="8"/>
      <c r="N35" s="8"/>
      <c r="O35" s="15"/>
      <c r="P35" s="5"/>
    </row>
    <row r="36" spans="1:16">
      <c r="A36" s="233" t="s">
        <v>38</v>
      </c>
      <c r="B36" s="63">
        <f>BOB</f>
        <v>41749</v>
      </c>
      <c r="C36" s="68">
        <f>ffpp</f>
        <v>0.64539999999999997</v>
      </c>
      <c r="D36" s="72">
        <v>3</v>
      </c>
      <c r="E36" s="66">
        <f>OB</f>
        <v>72242</v>
      </c>
      <c r="F36" s="65">
        <f>F35</f>
        <v>1</v>
      </c>
      <c r="G36" s="231">
        <f>ROUND(+D36*E36/F36,0)</f>
        <v>216726</v>
      </c>
      <c r="H36" s="9"/>
      <c r="I36" s="8"/>
      <c r="J36" s="8"/>
      <c r="K36" s="13"/>
      <c r="L36" s="13"/>
      <c r="M36" s="13"/>
      <c r="N36" s="13"/>
      <c r="O36" s="13"/>
      <c r="P36" s="5"/>
    </row>
    <row r="37" spans="1:16">
      <c r="A37" s="234"/>
      <c r="B37" s="50"/>
      <c r="C37" s="961"/>
      <c r="D37" s="50"/>
      <c r="E37" s="66"/>
      <c r="F37" s="65"/>
      <c r="G37" s="231"/>
      <c r="H37" s="9"/>
      <c r="I37" s="8"/>
      <c r="J37" s="13"/>
      <c r="K37" s="13"/>
      <c r="L37" s="13"/>
      <c r="M37" s="33"/>
      <c r="N37" s="33"/>
      <c r="O37" s="43"/>
      <c r="P37" s="5"/>
    </row>
    <row r="38" spans="1:16">
      <c r="A38" s="233"/>
      <c r="B38" s="65"/>
      <c r="C38" s="68"/>
      <c r="D38" s="65"/>
      <c r="E38" s="69"/>
      <c r="F38" s="69"/>
      <c r="G38" s="236"/>
      <c r="H38" s="9"/>
      <c r="I38" s="8"/>
      <c r="J38" s="13"/>
      <c r="K38" s="13"/>
      <c r="L38" s="13"/>
      <c r="M38" s="33"/>
      <c r="N38" s="33"/>
      <c r="O38" s="43"/>
      <c r="P38" s="5"/>
    </row>
    <row r="39" spans="1:16">
      <c r="A39" s="249"/>
      <c r="B39" s="71"/>
      <c r="C39" s="71"/>
      <c r="D39" s="71" t="s">
        <v>34</v>
      </c>
      <c r="E39" s="71"/>
      <c r="F39" s="71"/>
      <c r="G39" s="250">
        <f>SUM(G35:G38)</f>
        <v>305422</v>
      </c>
      <c r="H39" s="9"/>
      <c r="I39" s="8"/>
      <c r="J39" s="13"/>
      <c r="K39" s="13"/>
      <c r="L39" s="13"/>
      <c r="M39" s="14"/>
      <c r="N39" s="14"/>
      <c r="O39" s="15"/>
      <c r="P39" s="5"/>
    </row>
    <row r="40" spans="1:16">
      <c r="A40" s="226"/>
      <c r="B40" s="4"/>
      <c r="C40" s="6"/>
      <c r="D40" s="4"/>
      <c r="E40" s="4"/>
      <c r="F40" s="4"/>
      <c r="G40" s="227"/>
      <c r="H40" s="9"/>
      <c r="I40" s="8"/>
      <c r="J40" s="13"/>
      <c r="K40" s="13"/>
      <c r="L40" s="13"/>
      <c r="M40" s="14"/>
      <c r="N40" s="14"/>
      <c r="O40" s="19"/>
      <c r="P40" s="5"/>
    </row>
    <row r="41" spans="1:16">
      <c r="A41" s="226"/>
      <c r="B41" s="4"/>
      <c r="C41" s="6"/>
      <c r="D41" s="4"/>
      <c r="E41" s="4"/>
      <c r="F41" s="4"/>
      <c r="G41" s="227"/>
      <c r="H41" s="9"/>
      <c r="I41" s="8"/>
      <c r="J41" s="13"/>
      <c r="K41" s="13"/>
      <c r="L41" s="13"/>
      <c r="M41" s="17"/>
      <c r="N41" s="17"/>
      <c r="O41" s="37"/>
      <c r="P41" s="5"/>
    </row>
    <row r="42" spans="1:16" ht="14.25">
      <c r="A42" s="226"/>
      <c r="B42" s="4"/>
      <c r="C42" s="6"/>
      <c r="D42" s="1357" t="s">
        <v>35</v>
      </c>
      <c r="E42" s="1358"/>
      <c r="F42" s="1359"/>
      <c r="G42" s="239">
        <f>+G39+G30+G16</f>
        <v>631625</v>
      </c>
      <c r="H42" s="9"/>
      <c r="I42" s="48"/>
      <c r="J42" s="20"/>
      <c r="K42" s="8"/>
      <c r="L42" s="8"/>
      <c r="M42" s="8"/>
      <c r="N42" s="8"/>
      <c r="O42" s="8"/>
      <c r="P42" s="5"/>
    </row>
    <row r="43" spans="1:16" ht="14.25">
      <c r="A43" s="240"/>
      <c r="B43" s="57"/>
      <c r="C43" s="58"/>
      <c r="D43" s="99"/>
      <c r="E43" s="99"/>
      <c r="F43" s="99"/>
      <c r="G43" s="251"/>
      <c r="H43" s="9"/>
      <c r="I43" s="48"/>
      <c r="J43" s="20"/>
      <c r="K43" s="8"/>
      <c r="L43" s="8"/>
      <c r="M43" s="8"/>
      <c r="N43" s="8"/>
      <c r="O43" s="8"/>
      <c r="P43" s="5"/>
    </row>
    <row r="44" spans="1:16" ht="14.25">
      <c r="A44" s="374"/>
      <c r="B44" s="375"/>
      <c r="C44" s="375"/>
      <c r="D44" s="99"/>
      <c r="E44" s="99"/>
      <c r="F44" s="99"/>
      <c r="G44" s="251"/>
      <c r="H44" s="9"/>
      <c r="I44" s="48"/>
      <c r="J44" s="20"/>
      <c r="K44" s="8"/>
      <c r="L44" s="8"/>
      <c r="M44" s="8"/>
      <c r="N44" s="8"/>
      <c r="O44" s="8"/>
      <c r="P44" s="5"/>
    </row>
    <row r="45" spans="1:16" ht="14.25">
      <c r="A45" s="373"/>
      <c r="B45" s="376"/>
      <c r="C45" s="376"/>
      <c r="D45" s="99"/>
      <c r="E45" s="99"/>
      <c r="F45" s="99"/>
      <c r="G45" s="251"/>
      <c r="H45" s="9"/>
      <c r="I45" s="48"/>
      <c r="J45" s="20"/>
      <c r="K45" s="8"/>
      <c r="L45" s="8"/>
      <c r="M45" s="8"/>
      <c r="N45" s="8"/>
      <c r="O45" s="8"/>
      <c r="P45" s="5"/>
    </row>
    <row r="46" spans="1:16" ht="14.25">
      <c r="A46" s="373"/>
      <c r="B46" s="376"/>
      <c r="C46" s="376"/>
      <c r="D46" s="44"/>
      <c r="E46" s="45"/>
      <c r="F46" s="45"/>
      <c r="G46" s="251"/>
      <c r="H46" s="9"/>
      <c r="I46" s="8"/>
      <c r="J46" s="13"/>
      <c r="K46" s="8"/>
      <c r="L46" s="8"/>
      <c r="M46" s="8"/>
      <c r="N46" s="8"/>
      <c r="O46" s="8"/>
      <c r="P46" s="5"/>
    </row>
    <row r="47" spans="1:16" ht="15" thickBot="1">
      <c r="A47" s="242"/>
      <c r="B47" s="243"/>
      <c r="C47" s="244"/>
      <c r="D47" s="245"/>
      <c r="E47" s="246"/>
      <c r="F47" s="246"/>
      <c r="G47" s="247"/>
      <c r="H47" s="9"/>
      <c r="I47" s="8"/>
      <c r="J47" s="13"/>
      <c r="K47" s="8"/>
      <c r="L47" s="8"/>
      <c r="M47" s="8"/>
      <c r="N47" s="8"/>
      <c r="O47" s="8"/>
      <c r="P47" s="5"/>
    </row>
    <row r="48" spans="1:16">
      <c r="I48" s="5"/>
      <c r="J48" s="5"/>
      <c r="K48" s="5"/>
      <c r="L48" s="5"/>
      <c r="M48" s="5"/>
      <c r="N48" s="5"/>
      <c r="O48" s="5"/>
      <c r="P48" s="5"/>
    </row>
    <row r="49" spans="9:16">
      <c r="I49" s="5"/>
      <c r="J49" s="5"/>
      <c r="K49" s="5"/>
      <c r="L49" s="5"/>
      <c r="M49" s="5"/>
      <c r="N49" s="5"/>
      <c r="O49" s="5"/>
      <c r="P49" s="5"/>
    </row>
  </sheetData>
  <mergeCells count="26">
    <mergeCell ref="A32:G32"/>
    <mergeCell ref="D42:F42"/>
    <mergeCell ref="A25:C25"/>
    <mergeCell ref="A26:C26"/>
    <mergeCell ref="A27:C27"/>
    <mergeCell ref="A28:C28"/>
    <mergeCell ref="A29:C29"/>
    <mergeCell ref="A30:C30"/>
    <mergeCell ref="A24:C24"/>
    <mergeCell ref="A11:C11"/>
    <mergeCell ref="A12:C12"/>
    <mergeCell ref="A13:C13"/>
    <mergeCell ref="A14:C14"/>
    <mergeCell ref="A15:C15"/>
    <mergeCell ref="A16:C16"/>
    <mergeCell ref="A18:G18"/>
    <mergeCell ref="A20:C20"/>
    <mergeCell ref="A21:C21"/>
    <mergeCell ref="A22:C22"/>
    <mergeCell ref="A23:C23"/>
    <mergeCell ref="A10:C10"/>
    <mergeCell ref="A1:G1"/>
    <mergeCell ref="A2:G2"/>
    <mergeCell ref="A3:G4"/>
    <mergeCell ref="B6:E6"/>
    <mergeCell ref="A8:G8"/>
  </mergeCells>
  <printOptions horizontalCentered="1" verticalCentered="1"/>
  <pageMargins left="0.74803149606299213" right="0.74803149606299213" top="0" bottom="0.98425196850393704" header="0" footer="0"/>
  <pageSetup scale="90" orientation="portrait" r:id="rId1"/>
  <headerFooter alignWithMargins="0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8"/>
  <dimension ref="A1:U49"/>
  <sheetViews>
    <sheetView view="pageBreakPreview" zoomScaleNormal="100" zoomScaleSheetLayoutView="100" workbookViewId="0">
      <selection activeCell="I7" sqref="I7"/>
    </sheetView>
  </sheetViews>
  <sheetFormatPr baseColWidth="10" defaultColWidth="10.7109375" defaultRowHeight="12.75"/>
  <cols>
    <col min="1" max="1" width="15.85546875" style="3" customWidth="1"/>
    <col min="2" max="2" width="14.85546875" style="3" customWidth="1"/>
    <col min="3" max="3" width="13.28515625" style="3" customWidth="1"/>
    <col min="4" max="4" width="11.42578125" style="3"/>
    <col min="5" max="5" width="13.42578125" style="3" customWidth="1"/>
    <col min="6" max="6" width="12.7109375" style="3" customWidth="1"/>
    <col min="7" max="7" width="14" style="3" customWidth="1"/>
    <col min="8" max="8" width="7.42578125" style="3" customWidth="1"/>
    <col min="9" max="256" width="11.42578125" style="3"/>
    <col min="257" max="257" width="15.85546875" style="3" customWidth="1"/>
    <col min="258" max="258" width="14.85546875" style="3" customWidth="1"/>
    <col min="259" max="259" width="13.28515625" style="3" customWidth="1"/>
    <col min="260" max="260" width="11.42578125" style="3"/>
    <col min="261" max="261" width="13.42578125" style="3" customWidth="1"/>
    <col min="262" max="262" width="12.7109375" style="3" customWidth="1"/>
    <col min="263" max="263" width="14" style="3" customWidth="1"/>
    <col min="264" max="264" width="7.42578125" style="3" customWidth="1"/>
    <col min="265" max="512" width="11.42578125" style="3"/>
    <col min="513" max="513" width="15.85546875" style="3" customWidth="1"/>
    <col min="514" max="514" width="14.85546875" style="3" customWidth="1"/>
    <col min="515" max="515" width="13.28515625" style="3" customWidth="1"/>
    <col min="516" max="516" width="11.42578125" style="3"/>
    <col min="517" max="517" width="13.42578125" style="3" customWidth="1"/>
    <col min="518" max="518" width="12.7109375" style="3" customWidth="1"/>
    <col min="519" max="519" width="14" style="3" customWidth="1"/>
    <col min="520" max="520" width="7.42578125" style="3" customWidth="1"/>
    <col min="521" max="768" width="11.42578125" style="3"/>
    <col min="769" max="769" width="15.85546875" style="3" customWidth="1"/>
    <col min="770" max="770" width="14.85546875" style="3" customWidth="1"/>
    <col min="771" max="771" width="13.28515625" style="3" customWidth="1"/>
    <col min="772" max="772" width="11.42578125" style="3"/>
    <col min="773" max="773" width="13.42578125" style="3" customWidth="1"/>
    <col min="774" max="774" width="12.7109375" style="3" customWidth="1"/>
    <col min="775" max="775" width="14" style="3" customWidth="1"/>
    <col min="776" max="776" width="7.42578125" style="3" customWidth="1"/>
    <col min="777" max="1024" width="11.42578125" style="3"/>
    <col min="1025" max="1025" width="15.85546875" style="3" customWidth="1"/>
    <col min="1026" max="1026" width="14.85546875" style="3" customWidth="1"/>
    <col min="1027" max="1027" width="13.28515625" style="3" customWidth="1"/>
    <col min="1028" max="1028" width="11.42578125" style="3"/>
    <col min="1029" max="1029" width="13.42578125" style="3" customWidth="1"/>
    <col min="1030" max="1030" width="12.7109375" style="3" customWidth="1"/>
    <col min="1031" max="1031" width="14" style="3" customWidth="1"/>
    <col min="1032" max="1032" width="7.42578125" style="3" customWidth="1"/>
    <col min="1033" max="1280" width="11.42578125" style="3"/>
    <col min="1281" max="1281" width="15.85546875" style="3" customWidth="1"/>
    <col min="1282" max="1282" width="14.85546875" style="3" customWidth="1"/>
    <col min="1283" max="1283" width="13.28515625" style="3" customWidth="1"/>
    <col min="1284" max="1284" width="11.42578125" style="3"/>
    <col min="1285" max="1285" width="13.42578125" style="3" customWidth="1"/>
    <col min="1286" max="1286" width="12.7109375" style="3" customWidth="1"/>
    <col min="1287" max="1287" width="14" style="3" customWidth="1"/>
    <col min="1288" max="1288" width="7.42578125" style="3" customWidth="1"/>
    <col min="1289" max="1536" width="11.42578125" style="3"/>
    <col min="1537" max="1537" width="15.85546875" style="3" customWidth="1"/>
    <col min="1538" max="1538" width="14.85546875" style="3" customWidth="1"/>
    <col min="1539" max="1539" width="13.28515625" style="3" customWidth="1"/>
    <col min="1540" max="1540" width="11.42578125" style="3"/>
    <col min="1541" max="1541" width="13.42578125" style="3" customWidth="1"/>
    <col min="1542" max="1542" width="12.7109375" style="3" customWidth="1"/>
    <col min="1543" max="1543" width="14" style="3" customWidth="1"/>
    <col min="1544" max="1544" width="7.42578125" style="3" customWidth="1"/>
    <col min="1545" max="1792" width="11.42578125" style="3"/>
    <col min="1793" max="1793" width="15.85546875" style="3" customWidth="1"/>
    <col min="1794" max="1794" width="14.85546875" style="3" customWidth="1"/>
    <col min="1795" max="1795" width="13.28515625" style="3" customWidth="1"/>
    <col min="1796" max="1796" width="11.42578125" style="3"/>
    <col min="1797" max="1797" width="13.42578125" style="3" customWidth="1"/>
    <col min="1798" max="1798" width="12.7109375" style="3" customWidth="1"/>
    <col min="1799" max="1799" width="14" style="3" customWidth="1"/>
    <col min="1800" max="1800" width="7.42578125" style="3" customWidth="1"/>
    <col min="1801" max="2048" width="11.42578125" style="3"/>
    <col min="2049" max="2049" width="15.85546875" style="3" customWidth="1"/>
    <col min="2050" max="2050" width="14.85546875" style="3" customWidth="1"/>
    <col min="2051" max="2051" width="13.28515625" style="3" customWidth="1"/>
    <col min="2052" max="2052" width="11.42578125" style="3"/>
    <col min="2053" max="2053" width="13.42578125" style="3" customWidth="1"/>
    <col min="2054" max="2054" width="12.7109375" style="3" customWidth="1"/>
    <col min="2055" max="2055" width="14" style="3" customWidth="1"/>
    <col min="2056" max="2056" width="7.42578125" style="3" customWidth="1"/>
    <col min="2057" max="2304" width="11.42578125" style="3"/>
    <col min="2305" max="2305" width="15.85546875" style="3" customWidth="1"/>
    <col min="2306" max="2306" width="14.85546875" style="3" customWidth="1"/>
    <col min="2307" max="2307" width="13.28515625" style="3" customWidth="1"/>
    <col min="2308" max="2308" width="11.42578125" style="3"/>
    <col min="2309" max="2309" width="13.42578125" style="3" customWidth="1"/>
    <col min="2310" max="2310" width="12.7109375" style="3" customWidth="1"/>
    <col min="2311" max="2311" width="14" style="3" customWidth="1"/>
    <col min="2312" max="2312" width="7.42578125" style="3" customWidth="1"/>
    <col min="2313" max="2560" width="11.42578125" style="3"/>
    <col min="2561" max="2561" width="15.85546875" style="3" customWidth="1"/>
    <col min="2562" max="2562" width="14.85546875" style="3" customWidth="1"/>
    <col min="2563" max="2563" width="13.28515625" style="3" customWidth="1"/>
    <col min="2564" max="2564" width="11.42578125" style="3"/>
    <col min="2565" max="2565" width="13.42578125" style="3" customWidth="1"/>
    <col min="2566" max="2566" width="12.7109375" style="3" customWidth="1"/>
    <col min="2567" max="2567" width="14" style="3" customWidth="1"/>
    <col min="2568" max="2568" width="7.42578125" style="3" customWidth="1"/>
    <col min="2569" max="2816" width="11.42578125" style="3"/>
    <col min="2817" max="2817" width="15.85546875" style="3" customWidth="1"/>
    <col min="2818" max="2818" width="14.85546875" style="3" customWidth="1"/>
    <col min="2819" max="2819" width="13.28515625" style="3" customWidth="1"/>
    <col min="2820" max="2820" width="11.42578125" style="3"/>
    <col min="2821" max="2821" width="13.42578125" style="3" customWidth="1"/>
    <col min="2822" max="2822" width="12.7109375" style="3" customWidth="1"/>
    <col min="2823" max="2823" width="14" style="3" customWidth="1"/>
    <col min="2824" max="2824" width="7.42578125" style="3" customWidth="1"/>
    <col min="2825" max="3072" width="11.42578125" style="3"/>
    <col min="3073" max="3073" width="15.85546875" style="3" customWidth="1"/>
    <col min="3074" max="3074" width="14.85546875" style="3" customWidth="1"/>
    <col min="3075" max="3075" width="13.28515625" style="3" customWidth="1"/>
    <col min="3076" max="3076" width="11.42578125" style="3"/>
    <col min="3077" max="3077" width="13.42578125" style="3" customWidth="1"/>
    <col min="3078" max="3078" width="12.7109375" style="3" customWidth="1"/>
    <col min="3079" max="3079" width="14" style="3" customWidth="1"/>
    <col min="3080" max="3080" width="7.42578125" style="3" customWidth="1"/>
    <col min="3081" max="3328" width="11.42578125" style="3"/>
    <col min="3329" max="3329" width="15.85546875" style="3" customWidth="1"/>
    <col min="3330" max="3330" width="14.85546875" style="3" customWidth="1"/>
    <col min="3331" max="3331" width="13.28515625" style="3" customWidth="1"/>
    <col min="3332" max="3332" width="11.42578125" style="3"/>
    <col min="3333" max="3333" width="13.42578125" style="3" customWidth="1"/>
    <col min="3334" max="3334" width="12.7109375" style="3" customWidth="1"/>
    <col min="3335" max="3335" width="14" style="3" customWidth="1"/>
    <col min="3336" max="3336" width="7.42578125" style="3" customWidth="1"/>
    <col min="3337" max="3584" width="11.42578125" style="3"/>
    <col min="3585" max="3585" width="15.85546875" style="3" customWidth="1"/>
    <col min="3586" max="3586" width="14.85546875" style="3" customWidth="1"/>
    <col min="3587" max="3587" width="13.28515625" style="3" customWidth="1"/>
    <col min="3588" max="3588" width="11.42578125" style="3"/>
    <col min="3589" max="3589" width="13.42578125" style="3" customWidth="1"/>
    <col min="3590" max="3590" width="12.7109375" style="3" customWidth="1"/>
    <col min="3591" max="3591" width="14" style="3" customWidth="1"/>
    <col min="3592" max="3592" width="7.42578125" style="3" customWidth="1"/>
    <col min="3593" max="3840" width="11.42578125" style="3"/>
    <col min="3841" max="3841" width="15.85546875" style="3" customWidth="1"/>
    <col min="3842" max="3842" width="14.85546875" style="3" customWidth="1"/>
    <col min="3843" max="3843" width="13.28515625" style="3" customWidth="1"/>
    <col min="3844" max="3844" width="11.42578125" style="3"/>
    <col min="3845" max="3845" width="13.42578125" style="3" customWidth="1"/>
    <col min="3846" max="3846" width="12.7109375" style="3" customWidth="1"/>
    <col min="3847" max="3847" width="14" style="3" customWidth="1"/>
    <col min="3848" max="3848" width="7.42578125" style="3" customWidth="1"/>
    <col min="3849" max="4096" width="11.42578125" style="3"/>
    <col min="4097" max="4097" width="15.85546875" style="3" customWidth="1"/>
    <col min="4098" max="4098" width="14.85546875" style="3" customWidth="1"/>
    <col min="4099" max="4099" width="13.28515625" style="3" customWidth="1"/>
    <col min="4100" max="4100" width="11.42578125" style="3"/>
    <col min="4101" max="4101" width="13.42578125" style="3" customWidth="1"/>
    <col min="4102" max="4102" width="12.7109375" style="3" customWidth="1"/>
    <col min="4103" max="4103" width="14" style="3" customWidth="1"/>
    <col min="4104" max="4104" width="7.42578125" style="3" customWidth="1"/>
    <col min="4105" max="4352" width="11.42578125" style="3"/>
    <col min="4353" max="4353" width="15.85546875" style="3" customWidth="1"/>
    <col min="4354" max="4354" width="14.85546875" style="3" customWidth="1"/>
    <col min="4355" max="4355" width="13.28515625" style="3" customWidth="1"/>
    <col min="4356" max="4356" width="11.42578125" style="3"/>
    <col min="4357" max="4357" width="13.42578125" style="3" customWidth="1"/>
    <col min="4358" max="4358" width="12.7109375" style="3" customWidth="1"/>
    <col min="4359" max="4359" width="14" style="3" customWidth="1"/>
    <col min="4360" max="4360" width="7.42578125" style="3" customWidth="1"/>
    <col min="4361" max="4608" width="11.42578125" style="3"/>
    <col min="4609" max="4609" width="15.85546875" style="3" customWidth="1"/>
    <col min="4610" max="4610" width="14.85546875" style="3" customWidth="1"/>
    <col min="4611" max="4611" width="13.28515625" style="3" customWidth="1"/>
    <col min="4612" max="4612" width="11.42578125" style="3"/>
    <col min="4613" max="4613" width="13.42578125" style="3" customWidth="1"/>
    <col min="4614" max="4614" width="12.7109375" style="3" customWidth="1"/>
    <col min="4615" max="4615" width="14" style="3" customWidth="1"/>
    <col min="4616" max="4616" width="7.42578125" style="3" customWidth="1"/>
    <col min="4617" max="4864" width="11.42578125" style="3"/>
    <col min="4865" max="4865" width="15.85546875" style="3" customWidth="1"/>
    <col min="4866" max="4866" width="14.85546875" style="3" customWidth="1"/>
    <col min="4867" max="4867" width="13.28515625" style="3" customWidth="1"/>
    <col min="4868" max="4868" width="11.42578125" style="3"/>
    <col min="4869" max="4869" width="13.42578125" style="3" customWidth="1"/>
    <col min="4870" max="4870" width="12.7109375" style="3" customWidth="1"/>
    <col min="4871" max="4871" width="14" style="3" customWidth="1"/>
    <col min="4872" max="4872" width="7.42578125" style="3" customWidth="1"/>
    <col min="4873" max="5120" width="11.42578125" style="3"/>
    <col min="5121" max="5121" width="15.85546875" style="3" customWidth="1"/>
    <col min="5122" max="5122" width="14.85546875" style="3" customWidth="1"/>
    <col min="5123" max="5123" width="13.28515625" style="3" customWidth="1"/>
    <col min="5124" max="5124" width="11.42578125" style="3"/>
    <col min="5125" max="5125" width="13.42578125" style="3" customWidth="1"/>
    <col min="5126" max="5126" width="12.7109375" style="3" customWidth="1"/>
    <col min="5127" max="5127" width="14" style="3" customWidth="1"/>
    <col min="5128" max="5128" width="7.42578125" style="3" customWidth="1"/>
    <col min="5129" max="5376" width="11.42578125" style="3"/>
    <col min="5377" max="5377" width="15.85546875" style="3" customWidth="1"/>
    <col min="5378" max="5378" width="14.85546875" style="3" customWidth="1"/>
    <col min="5379" max="5379" width="13.28515625" style="3" customWidth="1"/>
    <col min="5380" max="5380" width="11.42578125" style="3"/>
    <col min="5381" max="5381" width="13.42578125" style="3" customWidth="1"/>
    <col min="5382" max="5382" width="12.7109375" style="3" customWidth="1"/>
    <col min="5383" max="5383" width="14" style="3" customWidth="1"/>
    <col min="5384" max="5384" width="7.42578125" style="3" customWidth="1"/>
    <col min="5385" max="5632" width="11.42578125" style="3"/>
    <col min="5633" max="5633" width="15.85546875" style="3" customWidth="1"/>
    <col min="5634" max="5634" width="14.85546875" style="3" customWidth="1"/>
    <col min="5635" max="5635" width="13.28515625" style="3" customWidth="1"/>
    <col min="5636" max="5636" width="11.42578125" style="3"/>
    <col min="5637" max="5637" width="13.42578125" style="3" customWidth="1"/>
    <col min="5638" max="5638" width="12.7109375" style="3" customWidth="1"/>
    <col min="5639" max="5639" width="14" style="3" customWidth="1"/>
    <col min="5640" max="5640" width="7.42578125" style="3" customWidth="1"/>
    <col min="5641" max="5888" width="11.42578125" style="3"/>
    <col min="5889" max="5889" width="15.85546875" style="3" customWidth="1"/>
    <col min="5890" max="5890" width="14.85546875" style="3" customWidth="1"/>
    <col min="5891" max="5891" width="13.28515625" style="3" customWidth="1"/>
    <col min="5892" max="5892" width="11.42578125" style="3"/>
    <col min="5893" max="5893" width="13.42578125" style="3" customWidth="1"/>
    <col min="5894" max="5894" width="12.7109375" style="3" customWidth="1"/>
    <col min="5895" max="5895" width="14" style="3" customWidth="1"/>
    <col min="5896" max="5896" width="7.42578125" style="3" customWidth="1"/>
    <col min="5897" max="6144" width="11.42578125" style="3"/>
    <col min="6145" max="6145" width="15.85546875" style="3" customWidth="1"/>
    <col min="6146" max="6146" width="14.85546875" style="3" customWidth="1"/>
    <col min="6147" max="6147" width="13.28515625" style="3" customWidth="1"/>
    <col min="6148" max="6148" width="11.42578125" style="3"/>
    <col min="6149" max="6149" width="13.42578125" style="3" customWidth="1"/>
    <col min="6150" max="6150" width="12.7109375" style="3" customWidth="1"/>
    <col min="6151" max="6151" width="14" style="3" customWidth="1"/>
    <col min="6152" max="6152" width="7.42578125" style="3" customWidth="1"/>
    <col min="6153" max="6400" width="11.42578125" style="3"/>
    <col min="6401" max="6401" width="15.85546875" style="3" customWidth="1"/>
    <col min="6402" max="6402" width="14.85546875" style="3" customWidth="1"/>
    <col min="6403" max="6403" width="13.28515625" style="3" customWidth="1"/>
    <col min="6404" max="6404" width="11.42578125" style="3"/>
    <col min="6405" max="6405" width="13.42578125" style="3" customWidth="1"/>
    <col min="6406" max="6406" width="12.7109375" style="3" customWidth="1"/>
    <col min="6407" max="6407" width="14" style="3" customWidth="1"/>
    <col min="6408" max="6408" width="7.42578125" style="3" customWidth="1"/>
    <col min="6409" max="6656" width="11.42578125" style="3"/>
    <col min="6657" max="6657" width="15.85546875" style="3" customWidth="1"/>
    <col min="6658" max="6658" width="14.85546875" style="3" customWidth="1"/>
    <col min="6659" max="6659" width="13.28515625" style="3" customWidth="1"/>
    <col min="6660" max="6660" width="11.42578125" style="3"/>
    <col min="6661" max="6661" width="13.42578125" style="3" customWidth="1"/>
    <col min="6662" max="6662" width="12.7109375" style="3" customWidth="1"/>
    <col min="6663" max="6663" width="14" style="3" customWidth="1"/>
    <col min="6664" max="6664" width="7.42578125" style="3" customWidth="1"/>
    <col min="6665" max="6912" width="11.42578125" style="3"/>
    <col min="6913" max="6913" width="15.85546875" style="3" customWidth="1"/>
    <col min="6914" max="6914" width="14.85546875" style="3" customWidth="1"/>
    <col min="6915" max="6915" width="13.28515625" style="3" customWidth="1"/>
    <col min="6916" max="6916" width="11.42578125" style="3"/>
    <col min="6917" max="6917" width="13.42578125" style="3" customWidth="1"/>
    <col min="6918" max="6918" width="12.7109375" style="3" customWidth="1"/>
    <col min="6919" max="6919" width="14" style="3" customWidth="1"/>
    <col min="6920" max="6920" width="7.42578125" style="3" customWidth="1"/>
    <col min="6921" max="7168" width="11.42578125" style="3"/>
    <col min="7169" max="7169" width="15.85546875" style="3" customWidth="1"/>
    <col min="7170" max="7170" width="14.85546875" style="3" customWidth="1"/>
    <col min="7171" max="7171" width="13.28515625" style="3" customWidth="1"/>
    <col min="7172" max="7172" width="11.42578125" style="3"/>
    <col min="7173" max="7173" width="13.42578125" style="3" customWidth="1"/>
    <col min="7174" max="7174" width="12.7109375" style="3" customWidth="1"/>
    <col min="7175" max="7175" width="14" style="3" customWidth="1"/>
    <col min="7176" max="7176" width="7.42578125" style="3" customWidth="1"/>
    <col min="7177" max="7424" width="11.42578125" style="3"/>
    <col min="7425" max="7425" width="15.85546875" style="3" customWidth="1"/>
    <col min="7426" max="7426" width="14.85546875" style="3" customWidth="1"/>
    <col min="7427" max="7427" width="13.28515625" style="3" customWidth="1"/>
    <col min="7428" max="7428" width="11.42578125" style="3"/>
    <col min="7429" max="7429" width="13.42578125" style="3" customWidth="1"/>
    <col min="7430" max="7430" width="12.7109375" style="3" customWidth="1"/>
    <col min="7431" max="7431" width="14" style="3" customWidth="1"/>
    <col min="7432" max="7432" width="7.42578125" style="3" customWidth="1"/>
    <col min="7433" max="7680" width="11.42578125" style="3"/>
    <col min="7681" max="7681" width="15.85546875" style="3" customWidth="1"/>
    <col min="7682" max="7682" width="14.85546875" style="3" customWidth="1"/>
    <col min="7683" max="7683" width="13.28515625" style="3" customWidth="1"/>
    <col min="7684" max="7684" width="11.42578125" style="3"/>
    <col min="7685" max="7685" width="13.42578125" style="3" customWidth="1"/>
    <col min="7686" max="7686" width="12.7109375" style="3" customWidth="1"/>
    <col min="7687" max="7687" width="14" style="3" customWidth="1"/>
    <col min="7688" max="7688" width="7.42578125" style="3" customWidth="1"/>
    <col min="7689" max="7936" width="11.42578125" style="3"/>
    <col min="7937" max="7937" width="15.85546875" style="3" customWidth="1"/>
    <col min="7938" max="7938" width="14.85546875" style="3" customWidth="1"/>
    <col min="7939" max="7939" width="13.28515625" style="3" customWidth="1"/>
    <col min="7940" max="7940" width="11.42578125" style="3"/>
    <col min="7941" max="7941" width="13.42578125" style="3" customWidth="1"/>
    <col min="7942" max="7942" width="12.7109375" style="3" customWidth="1"/>
    <col min="7943" max="7943" width="14" style="3" customWidth="1"/>
    <col min="7944" max="7944" width="7.42578125" style="3" customWidth="1"/>
    <col min="7945" max="8192" width="11.42578125" style="3"/>
    <col min="8193" max="8193" width="15.85546875" style="3" customWidth="1"/>
    <col min="8194" max="8194" width="14.85546875" style="3" customWidth="1"/>
    <col min="8195" max="8195" width="13.28515625" style="3" customWidth="1"/>
    <col min="8196" max="8196" width="11.42578125" style="3"/>
    <col min="8197" max="8197" width="13.42578125" style="3" customWidth="1"/>
    <col min="8198" max="8198" width="12.7109375" style="3" customWidth="1"/>
    <col min="8199" max="8199" width="14" style="3" customWidth="1"/>
    <col min="8200" max="8200" width="7.42578125" style="3" customWidth="1"/>
    <col min="8201" max="8448" width="11.42578125" style="3"/>
    <col min="8449" max="8449" width="15.85546875" style="3" customWidth="1"/>
    <col min="8450" max="8450" width="14.85546875" style="3" customWidth="1"/>
    <col min="8451" max="8451" width="13.28515625" style="3" customWidth="1"/>
    <col min="8452" max="8452" width="11.42578125" style="3"/>
    <col min="8453" max="8453" width="13.42578125" style="3" customWidth="1"/>
    <col min="8454" max="8454" width="12.7109375" style="3" customWidth="1"/>
    <col min="8455" max="8455" width="14" style="3" customWidth="1"/>
    <col min="8456" max="8456" width="7.42578125" style="3" customWidth="1"/>
    <col min="8457" max="8704" width="11.42578125" style="3"/>
    <col min="8705" max="8705" width="15.85546875" style="3" customWidth="1"/>
    <col min="8706" max="8706" width="14.85546875" style="3" customWidth="1"/>
    <col min="8707" max="8707" width="13.28515625" style="3" customWidth="1"/>
    <col min="8708" max="8708" width="11.42578125" style="3"/>
    <col min="8709" max="8709" width="13.42578125" style="3" customWidth="1"/>
    <col min="8710" max="8710" width="12.7109375" style="3" customWidth="1"/>
    <col min="8711" max="8711" width="14" style="3" customWidth="1"/>
    <col min="8712" max="8712" width="7.42578125" style="3" customWidth="1"/>
    <col min="8713" max="8960" width="11.42578125" style="3"/>
    <col min="8961" max="8961" width="15.85546875" style="3" customWidth="1"/>
    <col min="8962" max="8962" width="14.85546875" style="3" customWidth="1"/>
    <col min="8963" max="8963" width="13.28515625" style="3" customWidth="1"/>
    <col min="8964" max="8964" width="11.42578125" style="3"/>
    <col min="8965" max="8965" width="13.42578125" style="3" customWidth="1"/>
    <col min="8966" max="8966" width="12.7109375" style="3" customWidth="1"/>
    <col min="8967" max="8967" width="14" style="3" customWidth="1"/>
    <col min="8968" max="8968" width="7.42578125" style="3" customWidth="1"/>
    <col min="8969" max="9216" width="11.42578125" style="3"/>
    <col min="9217" max="9217" width="15.85546875" style="3" customWidth="1"/>
    <col min="9218" max="9218" width="14.85546875" style="3" customWidth="1"/>
    <col min="9219" max="9219" width="13.28515625" style="3" customWidth="1"/>
    <col min="9220" max="9220" width="11.42578125" style="3"/>
    <col min="9221" max="9221" width="13.42578125" style="3" customWidth="1"/>
    <col min="9222" max="9222" width="12.7109375" style="3" customWidth="1"/>
    <col min="9223" max="9223" width="14" style="3" customWidth="1"/>
    <col min="9224" max="9224" width="7.42578125" style="3" customWidth="1"/>
    <col min="9225" max="9472" width="11.42578125" style="3"/>
    <col min="9473" max="9473" width="15.85546875" style="3" customWidth="1"/>
    <col min="9474" max="9474" width="14.85546875" style="3" customWidth="1"/>
    <col min="9475" max="9475" width="13.28515625" style="3" customWidth="1"/>
    <col min="9476" max="9476" width="11.42578125" style="3"/>
    <col min="9477" max="9477" width="13.42578125" style="3" customWidth="1"/>
    <col min="9478" max="9478" width="12.7109375" style="3" customWidth="1"/>
    <col min="9479" max="9479" width="14" style="3" customWidth="1"/>
    <col min="9480" max="9480" width="7.42578125" style="3" customWidth="1"/>
    <col min="9481" max="9728" width="11.42578125" style="3"/>
    <col min="9729" max="9729" width="15.85546875" style="3" customWidth="1"/>
    <col min="9730" max="9730" width="14.85546875" style="3" customWidth="1"/>
    <col min="9731" max="9731" width="13.28515625" style="3" customWidth="1"/>
    <col min="9732" max="9732" width="11.42578125" style="3"/>
    <col min="9733" max="9733" width="13.42578125" style="3" customWidth="1"/>
    <col min="9734" max="9734" width="12.7109375" style="3" customWidth="1"/>
    <col min="9735" max="9735" width="14" style="3" customWidth="1"/>
    <col min="9736" max="9736" width="7.42578125" style="3" customWidth="1"/>
    <col min="9737" max="9984" width="11.42578125" style="3"/>
    <col min="9985" max="9985" width="15.85546875" style="3" customWidth="1"/>
    <col min="9986" max="9986" width="14.85546875" style="3" customWidth="1"/>
    <col min="9987" max="9987" width="13.28515625" style="3" customWidth="1"/>
    <col min="9988" max="9988" width="11.42578125" style="3"/>
    <col min="9989" max="9989" width="13.42578125" style="3" customWidth="1"/>
    <col min="9990" max="9990" width="12.7109375" style="3" customWidth="1"/>
    <col min="9991" max="9991" width="14" style="3" customWidth="1"/>
    <col min="9992" max="9992" width="7.42578125" style="3" customWidth="1"/>
    <col min="9993" max="10240" width="11.42578125" style="3"/>
    <col min="10241" max="10241" width="15.85546875" style="3" customWidth="1"/>
    <col min="10242" max="10242" width="14.85546875" style="3" customWidth="1"/>
    <col min="10243" max="10243" width="13.28515625" style="3" customWidth="1"/>
    <col min="10244" max="10244" width="11.42578125" style="3"/>
    <col min="10245" max="10245" width="13.42578125" style="3" customWidth="1"/>
    <col min="10246" max="10246" width="12.7109375" style="3" customWidth="1"/>
    <col min="10247" max="10247" width="14" style="3" customWidth="1"/>
    <col min="10248" max="10248" width="7.42578125" style="3" customWidth="1"/>
    <col min="10249" max="10496" width="11.42578125" style="3"/>
    <col min="10497" max="10497" width="15.85546875" style="3" customWidth="1"/>
    <col min="10498" max="10498" width="14.85546875" style="3" customWidth="1"/>
    <col min="10499" max="10499" width="13.28515625" style="3" customWidth="1"/>
    <col min="10500" max="10500" width="11.42578125" style="3"/>
    <col min="10501" max="10501" width="13.42578125" style="3" customWidth="1"/>
    <col min="10502" max="10502" width="12.7109375" style="3" customWidth="1"/>
    <col min="10503" max="10503" width="14" style="3" customWidth="1"/>
    <col min="10504" max="10504" width="7.42578125" style="3" customWidth="1"/>
    <col min="10505" max="10752" width="11.42578125" style="3"/>
    <col min="10753" max="10753" width="15.85546875" style="3" customWidth="1"/>
    <col min="10754" max="10754" width="14.85546875" style="3" customWidth="1"/>
    <col min="10755" max="10755" width="13.28515625" style="3" customWidth="1"/>
    <col min="10756" max="10756" width="11.42578125" style="3"/>
    <col min="10757" max="10757" width="13.42578125" style="3" customWidth="1"/>
    <col min="10758" max="10758" width="12.7109375" style="3" customWidth="1"/>
    <col min="10759" max="10759" width="14" style="3" customWidth="1"/>
    <col min="10760" max="10760" width="7.42578125" style="3" customWidth="1"/>
    <col min="10761" max="11008" width="11.42578125" style="3"/>
    <col min="11009" max="11009" width="15.85546875" style="3" customWidth="1"/>
    <col min="11010" max="11010" width="14.85546875" style="3" customWidth="1"/>
    <col min="11011" max="11011" width="13.28515625" style="3" customWidth="1"/>
    <col min="11012" max="11012" width="11.42578125" style="3"/>
    <col min="11013" max="11013" width="13.42578125" style="3" customWidth="1"/>
    <col min="11014" max="11014" width="12.7109375" style="3" customWidth="1"/>
    <col min="11015" max="11015" width="14" style="3" customWidth="1"/>
    <col min="11016" max="11016" width="7.42578125" style="3" customWidth="1"/>
    <col min="11017" max="11264" width="11.42578125" style="3"/>
    <col min="11265" max="11265" width="15.85546875" style="3" customWidth="1"/>
    <col min="11266" max="11266" width="14.85546875" style="3" customWidth="1"/>
    <col min="11267" max="11267" width="13.28515625" style="3" customWidth="1"/>
    <col min="11268" max="11268" width="11.42578125" style="3"/>
    <col min="11269" max="11269" width="13.42578125" style="3" customWidth="1"/>
    <col min="11270" max="11270" width="12.7109375" style="3" customWidth="1"/>
    <col min="11271" max="11271" width="14" style="3" customWidth="1"/>
    <col min="11272" max="11272" width="7.42578125" style="3" customWidth="1"/>
    <col min="11273" max="11520" width="11.42578125" style="3"/>
    <col min="11521" max="11521" width="15.85546875" style="3" customWidth="1"/>
    <col min="11522" max="11522" width="14.85546875" style="3" customWidth="1"/>
    <col min="11523" max="11523" width="13.28515625" style="3" customWidth="1"/>
    <col min="11524" max="11524" width="11.42578125" style="3"/>
    <col min="11525" max="11525" width="13.42578125" style="3" customWidth="1"/>
    <col min="11526" max="11526" width="12.7109375" style="3" customWidth="1"/>
    <col min="11527" max="11527" width="14" style="3" customWidth="1"/>
    <col min="11528" max="11528" width="7.42578125" style="3" customWidth="1"/>
    <col min="11529" max="11776" width="11.42578125" style="3"/>
    <col min="11777" max="11777" width="15.85546875" style="3" customWidth="1"/>
    <col min="11778" max="11778" width="14.85546875" style="3" customWidth="1"/>
    <col min="11779" max="11779" width="13.28515625" style="3" customWidth="1"/>
    <col min="11780" max="11780" width="11.42578125" style="3"/>
    <col min="11781" max="11781" width="13.42578125" style="3" customWidth="1"/>
    <col min="11782" max="11782" width="12.7109375" style="3" customWidth="1"/>
    <col min="11783" max="11783" width="14" style="3" customWidth="1"/>
    <col min="11784" max="11784" width="7.42578125" style="3" customWidth="1"/>
    <col min="11785" max="12032" width="11.42578125" style="3"/>
    <col min="12033" max="12033" width="15.85546875" style="3" customWidth="1"/>
    <col min="12034" max="12034" width="14.85546875" style="3" customWidth="1"/>
    <col min="12035" max="12035" width="13.28515625" style="3" customWidth="1"/>
    <col min="12036" max="12036" width="11.42578125" style="3"/>
    <col min="12037" max="12037" width="13.42578125" style="3" customWidth="1"/>
    <col min="12038" max="12038" width="12.7109375" style="3" customWidth="1"/>
    <col min="12039" max="12039" width="14" style="3" customWidth="1"/>
    <col min="12040" max="12040" width="7.42578125" style="3" customWidth="1"/>
    <col min="12041" max="12288" width="11.42578125" style="3"/>
    <col min="12289" max="12289" width="15.85546875" style="3" customWidth="1"/>
    <col min="12290" max="12290" width="14.85546875" style="3" customWidth="1"/>
    <col min="12291" max="12291" width="13.28515625" style="3" customWidth="1"/>
    <col min="12292" max="12292" width="11.42578125" style="3"/>
    <col min="12293" max="12293" width="13.42578125" style="3" customWidth="1"/>
    <col min="12294" max="12294" width="12.7109375" style="3" customWidth="1"/>
    <col min="12295" max="12295" width="14" style="3" customWidth="1"/>
    <col min="12296" max="12296" width="7.42578125" style="3" customWidth="1"/>
    <col min="12297" max="12544" width="11.42578125" style="3"/>
    <col min="12545" max="12545" width="15.85546875" style="3" customWidth="1"/>
    <col min="12546" max="12546" width="14.85546875" style="3" customWidth="1"/>
    <col min="12547" max="12547" width="13.28515625" style="3" customWidth="1"/>
    <col min="12548" max="12548" width="11.42578125" style="3"/>
    <col min="12549" max="12549" width="13.42578125" style="3" customWidth="1"/>
    <col min="12550" max="12550" width="12.7109375" style="3" customWidth="1"/>
    <col min="12551" max="12551" width="14" style="3" customWidth="1"/>
    <col min="12552" max="12552" width="7.42578125" style="3" customWidth="1"/>
    <col min="12553" max="12800" width="11.42578125" style="3"/>
    <col min="12801" max="12801" width="15.85546875" style="3" customWidth="1"/>
    <col min="12802" max="12802" width="14.85546875" style="3" customWidth="1"/>
    <col min="12803" max="12803" width="13.28515625" style="3" customWidth="1"/>
    <col min="12804" max="12804" width="11.42578125" style="3"/>
    <col min="12805" max="12805" width="13.42578125" style="3" customWidth="1"/>
    <col min="12806" max="12806" width="12.7109375" style="3" customWidth="1"/>
    <col min="12807" max="12807" width="14" style="3" customWidth="1"/>
    <col min="12808" max="12808" width="7.42578125" style="3" customWidth="1"/>
    <col min="12809" max="13056" width="11.42578125" style="3"/>
    <col min="13057" max="13057" width="15.85546875" style="3" customWidth="1"/>
    <col min="13058" max="13058" width="14.85546875" style="3" customWidth="1"/>
    <col min="13059" max="13059" width="13.28515625" style="3" customWidth="1"/>
    <col min="13060" max="13060" width="11.42578125" style="3"/>
    <col min="13061" max="13061" width="13.42578125" style="3" customWidth="1"/>
    <col min="13062" max="13062" width="12.7109375" style="3" customWidth="1"/>
    <col min="13063" max="13063" width="14" style="3" customWidth="1"/>
    <col min="13064" max="13064" width="7.42578125" style="3" customWidth="1"/>
    <col min="13065" max="13312" width="11.42578125" style="3"/>
    <col min="13313" max="13313" width="15.85546875" style="3" customWidth="1"/>
    <col min="13314" max="13314" width="14.85546875" style="3" customWidth="1"/>
    <col min="13315" max="13315" width="13.28515625" style="3" customWidth="1"/>
    <col min="13316" max="13316" width="11.42578125" style="3"/>
    <col min="13317" max="13317" width="13.42578125" style="3" customWidth="1"/>
    <col min="13318" max="13318" width="12.7109375" style="3" customWidth="1"/>
    <col min="13319" max="13319" width="14" style="3" customWidth="1"/>
    <col min="13320" max="13320" width="7.42578125" style="3" customWidth="1"/>
    <col min="13321" max="13568" width="11.42578125" style="3"/>
    <col min="13569" max="13569" width="15.85546875" style="3" customWidth="1"/>
    <col min="13570" max="13570" width="14.85546875" style="3" customWidth="1"/>
    <col min="13571" max="13571" width="13.28515625" style="3" customWidth="1"/>
    <col min="13572" max="13572" width="11.42578125" style="3"/>
    <col min="13573" max="13573" width="13.42578125" style="3" customWidth="1"/>
    <col min="13574" max="13574" width="12.7109375" style="3" customWidth="1"/>
    <col min="13575" max="13575" width="14" style="3" customWidth="1"/>
    <col min="13576" max="13576" width="7.42578125" style="3" customWidth="1"/>
    <col min="13577" max="13824" width="11.42578125" style="3"/>
    <col min="13825" max="13825" width="15.85546875" style="3" customWidth="1"/>
    <col min="13826" max="13826" width="14.85546875" style="3" customWidth="1"/>
    <col min="13827" max="13827" width="13.28515625" style="3" customWidth="1"/>
    <col min="13828" max="13828" width="11.42578125" style="3"/>
    <col min="13829" max="13829" width="13.42578125" style="3" customWidth="1"/>
    <col min="13830" max="13830" width="12.7109375" style="3" customWidth="1"/>
    <col min="13831" max="13831" width="14" style="3" customWidth="1"/>
    <col min="13832" max="13832" width="7.42578125" style="3" customWidth="1"/>
    <col min="13833" max="14080" width="11.42578125" style="3"/>
    <col min="14081" max="14081" width="15.85546875" style="3" customWidth="1"/>
    <col min="14082" max="14082" width="14.85546875" style="3" customWidth="1"/>
    <col min="14083" max="14083" width="13.28515625" style="3" customWidth="1"/>
    <col min="14084" max="14084" width="11.42578125" style="3"/>
    <col min="14085" max="14085" width="13.42578125" style="3" customWidth="1"/>
    <col min="14086" max="14086" width="12.7109375" style="3" customWidth="1"/>
    <col min="14087" max="14087" width="14" style="3" customWidth="1"/>
    <col min="14088" max="14088" width="7.42578125" style="3" customWidth="1"/>
    <col min="14089" max="14336" width="11.42578125" style="3"/>
    <col min="14337" max="14337" width="15.85546875" style="3" customWidth="1"/>
    <col min="14338" max="14338" width="14.85546875" style="3" customWidth="1"/>
    <col min="14339" max="14339" width="13.28515625" style="3" customWidth="1"/>
    <col min="14340" max="14340" width="11.42578125" style="3"/>
    <col min="14341" max="14341" width="13.42578125" style="3" customWidth="1"/>
    <col min="14342" max="14342" width="12.7109375" style="3" customWidth="1"/>
    <col min="14343" max="14343" width="14" style="3" customWidth="1"/>
    <col min="14344" max="14344" width="7.42578125" style="3" customWidth="1"/>
    <col min="14345" max="14592" width="11.42578125" style="3"/>
    <col min="14593" max="14593" width="15.85546875" style="3" customWidth="1"/>
    <col min="14594" max="14594" width="14.85546875" style="3" customWidth="1"/>
    <col min="14595" max="14595" width="13.28515625" style="3" customWidth="1"/>
    <col min="14596" max="14596" width="11.42578125" style="3"/>
    <col min="14597" max="14597" width="13.42578125" style="3" customWidth="1"/>
    <col min="14598" max="14598" width="12.7109375" style="3" customWidth="1"/>
    <col min="14599" max="14599" width="14" style="3" customWidth="1"/>
    <col min="14600" max="14600" width="7.42578125" style="3" customWidth="1"/>
    <col min="14601" max="14848" width="11.42578125" style="3"/>
    <col min="14849" max="14849" width="15.85546875" style="3" customWidth="1"/>
    <col min="14850" max="14850" width="14.85546875" style="3" customWidth="1"/>
    <col min="14851" max="14851" width="13.28515625" style="3" customWidth="1"/>
    <col min="14852" max="14852" width="11.42578125" style="3"/>
    <col min="14853" max="14853" width="13.42578125" style="3" customWidth="1"/>
    <col min="14854" max="14854" width="12.7109375" style="3" customWidth="1"/>
    <col min="14855" max="14855" width="14" style="3" customWidth="1"/>
    <col min="14856" max="14856" width="7.42578125" style="3" customWidth="1"/>
    <col min="14857" max="15104" width="11.42578125" style="3"/>
    <col min="15105" max="15105" width="15.85546875" style="3" customWidth="1"/>
    <col min="15106" max="15106" width="14.85546875" style="3" customWidth="1"/>
    <col min="15107" max="15107" width="13.28515625" style="3" customWidth="1"/>
    <col min="15108" max="15108" width="11.42578125" style="3"/>
    <col min="15109" max="15109" width="13.42578125" style="3" customWidth="1"/>
    <col min="15110" max="15110" width="12.7109375" style="3" customWidth="1"/>
    <col min="15111" max="15111" width="14" style="3" customWidth="1"/>
    <col min="15112" max="15112" width="7.42578125" style="3" customWidth="1"/>
    <col min="15113" max="15360" width="11.42578125" style="3"/>
    <col min="15361" max="15361" width="15.85546875" style="3" customWidth="1"/>
    <col min="15362" max="15362" width="14.85546875" style="3" customWidth="1"/>
    <col min="15363" max="15363" width="13.28515625" style="3" customWidth="1"/>
    <col min="15364" max="15364" width="11.42578125" style="3"/>
    <col min="15365" max="15365" width="13.42578125" style="3" customWidth="1"/>
    <col min="15366" max="15366" width="12.7109375" style="3" customWidth="1"/>
    <col min="15367" max="15367" width="14" style="3" customWidth="1"/>
    <col min="15368" max="15368" width="7.42578125" style="3" customWidth="1"/>
    <col min="15369" max="15616" width="11.42578125" style="3"/>
    <col min="15617" max="15617" width="15.85546875" style="3" customWidth="1"/>
    <col min="15618" max="15618" width="14.85546875" style="3" customWidth="1"/>
    <col min="15619" max="15619" width="13.28515625" style="3" customWidth="1"/>
    <col min="15620" max="15620" width="11.42578125" style="3"/>
    <col min="15621" max="15621" width="13.42578125" style="3" customWidth="1"/>
    <col min="15622" max="15622" width="12.7109375" style="3" customWidth="1"/>
    <col min="15623" max="15623" width="14" style="3" customWidth="1"/>
    <col min="15624" max="15624" width="7.42578125" style="3" customWidth="1"/>
    <col min="15625" max="15872" width="11.42578125" style="3"/>
    <col min="15873" max="15873" width="15.85546875" style="3" customWidth="1"/>
    <col min="15874" max="15874" width="14.85546875" style="3" customWidth="1"/>
    <col min="15875" max="15875" width="13.28515625" style="3" customWidth="1"/>
    <col min="15876" max="15876" width="11.42578125" style="3"/>
    <col min="15877" max="15877" width="13.42578125" style="3" customWidth="1"/>
    <col min="15878" max="15878" width="12.7109375" style="3" customWidth="1"/>
    <col min="15879" max="15879" width="14" style="3" customWidth="1"/>
    <col min="15880" max="15880" width="7.42578125" style="3" customWidth="1"/>
    <col min="15881" max="16128" width="11.42578125" style="3"/>
    <col min="16129" max="16129" width="15.85546875" style="3" customWidth="1"/>
    <col min="16130" max="16130" width="14.85546875" style="3" customWidth="1"/>
    <col min="16131" max="16131" width="13.28515625" style="3" customWidth="1"/>
    <col min="16132" max="16132" width="11.42578125" style="3"/>
    <col min="16133" max="16133" width="13.42578125" style="3" customWidth="1"/>
    <col min="16134" max="16134" width="12.7109375" style="3" customWidth="1"/>
    <col min="16135" max="16135" width="14" style="3" customWidth="1"/>
    <col min="16136" max="16136" width="7.42578125" style="3" customWidth="1"/>
    <col min="16137" max="16384" width="11.42578125" style="3"/>
  </cols>
  <sheetData>
    <row r="1" spans="1:21" ht="20.25">
      <c r="A1" s="1346" t="str">
        <f>PPTO!D3</f>
        <v>PRESUPUESTO
MUNICIPIO EL BAGRE (ANTIOQUIA).</v>
      </c>
      <c r="B1" s="1347"/>
      <c r="C1" s="1347"/>
      <c r="D1" s="1347"/>
      <c r="E1" s="1347"/>
      <c r="F1" s="1347"/>
      <c r="G1" s="1348"/>
      <c r="H1" s="1"/>
      <c r="I1" s="2"/>
    </row>
    <row r="2" spans="1:21" ht="18" customHeight="1">
      <c r="A2" s="1362" t="s">
        <v>16</v>
      </c>
      <c r="B2" s="1363"/>
      <c r="C2" s="1363"/>
      <c r="D2" s="1363"/>
      <c r="E2" s="1363"/>
      <c r="F2" s="1363"/>
      <c r="G2" s="1364"/>
      <c r="H2" s="1"/>
      <c r="I2" s="2"/>
    </row>
    <row r="3" spans="1:21" ht="27" customHeight="1">
      <c r="A3" s="1367" t="str">
        <f>+PPTO!$D$5</f>
        <v>PROYECTO DE MEJORAMIENTO VIAL, ESPACIO PUBLICO Y OBRAS COMPLEMENTARIAS DE LA AVENIDA LA JUVENTUD Y TRAMOS ADYACENTES Y PRIORITARIOS DEL SECTOR URBANO EN EL MUNICIPIO EL BAGRE ANTIOQUIA.</v>
      </c>
      <c r="B3" s="1368"/>
      <c r="C3" s="1368"/>
      <c r="D3" s="1368"/>
      <c r="E3" s="1368"/>
      <c r="F3" s="1368"/>
      <c r="G3" s="1369"/>
      <c r="H3" s="1"/>
      <c r="I3" s="2"/>
    </row>
    <row r="4" spans="1:21">
      <c r="A4" s="1370"/>
      <c r="B4" s="1368"/>
      <c r="C4" s="1368"/>
      <c r="D4" s="1368"/>
      <c r="E4" s="1368"/>
      <c r="F4" s="1368"/>
      <c r="G4" s="1369"/>
      <c r="H4" s="1"/>
      <c r="I4" s="2"/>
    </row>
    <row r="5" spans="1:21" ht="6.75" customHeight="1">
      <c r="A5" s="222"/>
      <c r="B5" s="6"/>
      <c r="C5" s="24"/>
      <c r="D5" s="25"/>
      <c r="E5" s="6"/>
      <c r="F5" s="6"/>
      <c r="G5" s="223"/>
      <c r="H5" s="9"/>
    </row>
    <row r="6" spans="1:21" ht="27.75" customHeight="1">
      <c r="A6" s="368">
        <v>6.48</v>
      </c>
      <c r="B6" s="1349" t="str">
        <f>VLOOKUP(A6,PPTO!D9:I136,2,FALSE)</f>
        <v>Tapas de concreto D=1.20, para pozo de inspeccion con tapa de aro con nucleo de concreto</v>
      </c>
      <c r="C6" s="1350"/>
      <c r="D6" s="1350"/>
      <c r="E6" s="1351"/>
      <c r="F6" s="192" t="s">
        <v>118</v>
      </c>
      <c r="G6" s="248" t="str">
        <f>VLOOKUP(A6,PPTO!D9:I136,3,FALSE)</f>
        <v>und</v>
      </c>
      <c r="H6" s="9"/>
    </row>
    <row r="7" spans="1:21" ht="3.75" customHeight="1">
      <c r="A7" s="226"/>
      <c r="B7" s="4"/>
      <c r="C7" s="6"/>
      <c r="D7" s="4"/>
      <c r="E7" s="4"/>
      <c r="F7" s="4"/>
      <c r="G7" s="227"/>
      <c r="H7" s="9"/>
    </row>
    <row r="8" spans="1:21" ht="22.5" customHeight="1">
      <c r="A8" s="1354" t="s">
        <v>69</v>
      </c>
      <c r="B8" s="1355"/>
      <c r="C8" s="1355"/>
      <c r="D8" s="1355"/>
      <c r="E8" s="1355"/>
      <c r="F8" s="1355"/>
      <c r="G8" s="1356"/>
      <c r="H8" s="9"/>
    </row>
    <row r="9" spans="1:21" ht="4.5" customHeight="1">
      <c r="A9" s="226"/>
      <c r="B9" s="4"/>
      <c r="C9" s="6"/>
      <c r="D9" s="4"/>
      <c r="E9" s="4"/>
      <c r="F9" s="4"/>
      <c r="G9" s="227"/>
      <c r="H9" s="9"/>
      <c r="I9" s="5"/>
      <c r="J9" s="5"/>
      <c r="K9" s="5"/>
      <c r="L9" s="26"/>
      <c r="M9" s="5"/>
      <c r="N9" s="5"/>
      <c r="O9" s="5"/>
      <c r="P9" s="5"/>
    </row>
    <row r="10" spans="1:21">
      <c r="A10" s="1373" t="s">
        <v>17</v>
      </c>
      <c r="B10" s="1374"/>
      <c r="C10" s="1374"/>
      <c r="D10" s="346" t="s">
        <v>18</v>
      </c>
      <c r="E10" s="346" t="s">
        <v>19</v>
      </c>
      <c r="F10" s="346" t="s">
        <v>20</v>
      </c>
      <c r="G10" s="228" t="s">
        <v>21</v>
      </c>
      <c r="H10" s="27"/>
      <c r="I10" s="28"/>
      <c r="J10" s="29"/>
      <c r="K10" s="30"/>
      <c r="L10" s="30"/>
      <c r="M10" s="30"/>
      <c r="N10" s="30"/>
      <c r="O10" s="30"/>
      <c r="P10" s="5"/>
    </row>
    <row r="11" spans="1:21">
      <c r="A11" s="1352" t="s">
        <v>47</v>
      </c>
      <c r="B11" s="1353"/>
      <c r="C11" s="1353"/>
      <c r="D11" s="346"/>
      <c r="E11" s="83"/>
      <c r="F11" s="97"/>
      <c r="G11" s="229">
        <f>+G39*10%</f>
        <v>10181</v>
      </c>
      <c r="H11" s="9"/>
      <c r="I11" s="30"/>
      <c r="J11" s="31"/>
      <c r="K11" s="30"/>
      <c r="L11" s="30"/>
      <c r="M11" s="30"/>
      <c r="N11" s="30"/>
      <c r="O11" s="30"/>
      <c r="P11" s="5"/>
    </row>
    <row r="12" spans="1:21">
      <c r="A12" s="1371"/>
      <c r="B12" s="1372"/>
      <c r="C12" s="1372"/>
      <c r="D12" s="83"/>
      <c r="E12" s="83"/>
      <c r="F12" s="93"/>
      <c r="G12" s="229"/>
      <c r="H12" s="9"/>
      <c r="I12" s="16"/>
      <c r="J12" s="13"/>
      <c r="K12" s="8"/>
      <c r="L12" s="8"/>
      <c r="M12" s="8"/>
      <c r="N12" s="8"/>
      <c r="O12" s="8"/>
      <c r="P12" s="5"/>
    </row>
    <row r="13" spans="1:21">
      <c r="A13" s="1371"/>
      <c r="B13" s="1372"/>
      <c r="C13" s="1372"/>
      <c r="D13" s="83"/>
      <c r="E13" s="83"/>
      <c r="F13" s="93"/>
      <c r="G13" s="229"/>
      <c r="H13" s="9"/>
      <c r="I13" s="13"/>
      <c r="J13" s="13"/>
      <c r="K13" s="13"/>
      <c r="L13" s="13"/>
      <c r="M13" s="13"/>
      <c r="N13" s="13"/>
      <c r="O13" s="13"/>
      <c r="P13" s="5"/>
    </row>
    <row r="14" spans="1:21">
      <c r="A14" s="1371"/>
      <c r="B14" s="1372"/>
      <c r="C14" s="1372"/>
      <c r="D14" s="83"/>
      <c r="E14" s="83"/>
      <c r="F14" s="93"/>
      <c r="G14" s="229"/>
      <c r="H14" s="9"/>
      <c r="I14" s="8"/>
      <c r="J14" s="14"/>
      <c r="K14" s="32"/>
      <c r="L14" s="14"/>
      <c r="M14" s="15"/>
      <c r="N14" s="15"/>
      <c r="O14" s="19"/>
      <c r="P14" s="5"/>
    </row>
    <row r="15" spans="1:21">
      <c r="A15" s="1371"/>
      <c r="B15" s="1372"/>
      <c r="C15" s="1372"/>
      <c r="D15" s="83"/>
      <c r="E15" s="83"/>
      <c r="F15" s="98"/>
      <c r="G15" s="229"/>
      <c r="H15" s="9"/>
      <c r="I15" s="8"/>
      <c r="J15" s="33"/>
      <c r="K15" s="32"/>
      <c r="L15" s="14"/>
      <c r="M15" s="15"/>
      <c r="N15" s="15"/>
      <c r="O15" s="19"/>
      <c r="P15" s="5"/>
      <c r="Q15" s="5"/>
      <c r="R15" s="5"/>
      <c r="S15" s="5"/>
      <c r="T15" s="5"/>
      <c r="U15" s="5"/>
    </row>
    <row r="16" spans="1:21">
      <c r="A16" s="1371"/>
      <c r="B16" s="1372"/>
      <c r="C16" s="1372"/>
      <c r="D16" s="85" t="s">
        <v>37</v>
      </c>
      <c r="E16" s="50"/>
      <c r="F16" s="49"/>
      <c r="G16" s="230">
        <f>SUM(G11:G15)</f>
        <v>10181</v>
      </c>
      <c r="H16" s="9"/>
      <c r="I16" s="34"/>
      <c r="J16" s="34"/>
      <c r="K16" s="35"/>
      <c r="L16" s="36"/>
      <c r="M16" s="7"/>
      <c r="N16" s="7"/>
      <c r="O16" s="19"/>
      <c r="P16" s="5"/>
      <c r="Q16" s="5"/>
      <c r="R16" s="5"/>
      <c r="S16" s="5"/>
      <c r="T16" s="5"/>
      <c r="U16" s="5"/>
    </row>
    <row r="17" spans="1:21" ht="4.5" customHeight="1">
      <c r="A17" s="226"/>
      <c r="B17" s="4"/>
      <c r="C17" s="6"/>
      <c r="D17" s="4"/>
      <c r="E17" s="4"/>
      <c r="F17" s="4"/>
      <c r="G17" s="227"/>
      <c r="H17" s="9"/>
      <c r="I17" s="34"/>
      <c r="J17" s="34"/>
      <c r="K17" s="35"/>
      <c r="L17" s="36"/>
      <c r="M17" s="7"/>
      <c r="N17" s="7"/>
      <c r="O17" s="19"/>
      <c r="P17" s="5"/>
      <c r="Q17" s="5"/>
      <c r="R17" s="5"/>
      <c r="S17" s="5"/>
      <c r="T17" s="5"/>
      <c r="U17" s="5"/>
    </row>
    <row r="18" spans="1:21" ht="22.5" customHeight="1">
      <c r="A18" s="1354" t="s">
        <v>70</v>
      </c>
      <c r="B18" s="1355"/>
      <c r="C18" s="1355"/>
      <c r="D18" s="1355"/>
      <c r="E18" s="1355"/>
      <c r="F18" s="1355"/>
      <c r="G18" s="1356"/>
      <c r="H18" s="9"/>
    </row>
    <row r="19" spans="1:21" ht="4.5" customHeight="1">
      <c r="A19" s="226"/>
      <c r="B19" s="4"/>
      <c r="C19" s="6"/>
      <c r="D19" s="4"/>
      <c r="E19" s="4"/>
      <c r="F19" s="38"/>
      <c r="G19" s="227"/>
      <c r="H19" s="9"/>
      <c r="I19" s="34"/>
      <c r="J19" s="34"/>
      <c r="K19" s="35"/>
      <c r="L19" s="39"/>
      <c r="M19" s="7"/>
      <c r="N19" s="7"/>
      <c r="O19" s="8"/>
      <c r="P19" s="5"/>
      <c r="Q19" s="5"/>
      <c r="R19" s="5"/>
      <c r="S19" s="5"/>
      <c r="T19" s="5"/>
      <c r="U19" s="5"/>
    </row>
    <row r="20" spans="1:21">
      <c r="A20" s="1373" t="s">
        <v>17</v>
      </c>
      <c r="B20" s="1374"/>
      <c r="C20" s="1374"/>
      <c r="D20" s="346" t="s">
        <v>3</v>
      </c>
      <c r="E20" s="346" t="s">
        <v>4</v>
      </c>
      <c r="F20" s="346" t="s">
        <v>25</v>
      </c>
      <c r="G20" s="228" t="s">
        <v>21</v>
      </c>
      <c r="H20" s="27"/>
      <c r="I20" s="34"/>
      <c r="J20" s="34"/>
      <c r="K20" s="35"/>
      <c r="L20" s="39"/>
      <c r="M20" s="7"/>
      <c r="N20" s="7"/>
      <c r="O20" s="8"/>
      <c r="P20" s="5"/>
      <c r="Q20" s="5"/>
      <c r="R20" s="5"/>
      <c r="S20" s="5"/>
      <c r="T20" s="5"/>
      <c r="U20" s="5"/>
    </row>
    <row r="21" spans="1:21">
      <c r="A21" s="1441" t="s">
        <v>691</v>
      </c>
      <c r="B21" s="1442"/>
      <c r="C21" s="1443"/>
      <c r="D21" s="118" t="s">
        <v>44</v>
      </c>
      <c r="E21" s="119">
        <f>(PI()*0.6^2*0.12)-(PI()*0.3^2*0.12)</f>
        <v>0.1</v>
      </c>
      <c r="F21" s="87">
        <f>'CONC 4000 PSI '!G43</f>
        <v>461971</v>
      </c>
      <c r="G21" s="67">
        <f>+F21*E21</f>
        <v>46197</v>
      </c>
      <c r="H21" s="9"/>
      <c r="I21" s="34"/>
      <c r="J21" s="34"/>
      <c r="K21" s="35"/>
      <c r="L21" s="36"/>
      <c r="M21" s="7"/>
      <c r="N21" s="7"/>
      <c r="O21" s="19"/>
      <c r="P21" s="5"/>
      <c r="Q21" s="5"/>
      <c r="R21" s="5"/>
      <c r="S21" s="5"/>
      <c r="T21" s="5"/>
      <c r="U21" s="5"/>
    </row>
    <row r="22" spans="1:21" ht="27" customHeight="1">
      <c r="A22" s="1444" t="s">
        <v>692</v>
      </c>
      <c r="B22" s="1403"/>
      <c r="C22" s="1404"/>
      <c r="D22" s="116" t="s">
        <v>44</v>
      </c>
      <c r="E22" s="117">
        <f>(PI()*0.35^2*0.09)</f>
        <v>0.03</v>
      </c>
      <c r="F22" s="91">
        <f>'CONC 4000 PSI '!G43</f>
        <v>461971</v>
      </c>
      <c r="G22" s="67">
        <f>+F22*E22</f>
        <v>13859</v>
      </c>
      <c r="H22" s="9"/>
      <c r="I22" s="10"/>
      <c r="J22" s="10"/>
      <c r="K22" s="12"/>
      <c r="L22" s="39"/>
      <c r="M22" s="7"/>
      <c r="N22" s="7"/>
      <c r="O22" s="15"/>
      <c r="P22" s="5"/>
      <c r="Q22" s="5"/>
      <c r="R22" s="5"/>
      <c r="S22" s="5"/>
      <c r="T22" s="5"/>
      <c r="U22" s="5"/>
    </row>
    <row r="23" spans="1:21">
      <c r="A23" s="1386" t="s">
        <v>269</v>
      </c>
      <c r="B23" s="1353"/>
      <c r="C23" s="1353"/>
      <c r="D23" s="79" t="s">
        <v>53</v>
      </c>
      <c r="E23" s="82">
        <f>SUM(E21:E22)*120</f>
        <v>15.6</v>
      </c>
      <c r="F23" s="83">
        <f>'4.9'!G42</f>
        <v>7260</v>
      </c>
      <c r="G23" s="67">
        <f>+F23*E23</f>
        <v>113256</v>
      </c>
      <c r="H23" s="9"/>
      <c r="I23" s="10"/>
      <c r="J23" s="10"/>
      <c r="K23" s="12"/>
      <c r="L23" s="39"/>
      <c r="M23" s="7"/>
      <c r="N23" s="7"/>
      <c r="O23" s="15"/>
      <c r="P23" s="5"/>
      <c r="Q23" s="5"/>
      <c r="R23" s="5"/>
      <c r="S23" s="5"/>
      <c r="T23" s="5"/>
      <c r="U23" s="5"/>
    </row>
    <row r="24" spans="1:21">
      <c r="A24" s="1377" t="s">
        <v>270</v>
      </c>
      <c r="B24" s="1378"/>
      <c r="C24" s="1378"/>
      <c r="D24" s="81" t="s">
        <v>53</v>
      </c>
      <c r="E24" s="88">
        <v>21.8</v>
      </c>
      <c r="F24" s="78">
        <v>12000</v>
      </c>
      <c r="G24" s="67">
        <f>+F24*E24</f>
        <v>261600</v>
      </c>
      <c r="H24" s="9"/>
      <c r="I24" s="10"/>
      <c r="J24" s="40"/>
      <c r="K24" s="12"/>
      <c r="L24" s="13"/>
      <c r="M24" s="14"/>
      <c r="N24" s="14"/>
      <c r="O24" s="15"/>
      <c r="P24" s="5"/>
      <c r="Q24" s="5"/>
      <c r="R24" s="5"/>
      <c r="S24" s="5"/>
      <c r="T24" s="5"/>
      <c r="U24" s="5"/>
    </row>
    <row r="25" spans="1:21">
      <c r="A25" s="1352"/>
      <c r="B25" s="1353"/>
      <c r="C25" s="1353"/>
      <c r="D25" s="81"/>
      <c r="E25" s="82"/>
      <c r="F25" s="78"/>
      <c r="G25" s="67"/>
      <c r="H25" s="9"/>
      <c r="I25" s="10"/>
      <c r="J25" s="11"/>
      <c r="K25" s="12"/>
      <c r="L25" s="13"/>
      <c r="M25" s="14"/>
      <c r="N25" s="14"/>
      <c r="O25" s="15"/>
      <c r="P25" s="5"/>
      <c r="Q25" s="5"/>
      <c r="R25" s="5"/>
      <c r="S25" s="5"/>
      <c r="T25" s="5"/>
      <c r="U25" s="5"/>
    </row>
    <row r="26" spans="1:21">
      <c r="A26" s="1352"/>
      <c r="B26" s="1353"/>
      <c r="C26" s="1353"/>
      <c r="D26" s="79"/>
      <c r="E26" s="82"/>
      <c r="F26" s="78"/>
      <c r="G26" s="67"/>
      <c r="H26" s="9"/>
      <c r="I26" s="10"/>
      <c r="J26" s="11"/>
      <c r="K26" s="12"/>
      <c r="L26" s="13"/>
      <c r="M26" s="14"/>
      <c r="N26" s="14"/>
      <c r="O26" s="15"/>
      <c r="P26" s="5"/>
      <c r="Q26" s="5"/>
      <c r="R26" s="5"/>
      <c r="S26" s="5"/>
      <c r="T26" s="5"/>
      <c r="U26" s="5"/>
    </row>
    <row r="27" spans="1:21">
      <c r="A27" s="1352"/>
      <c r="B27" s="1353"/>
      <c r="C27" s="1353"/>
      <c r="D27" s="79"/>
      <c r="E27" s="82"/>
      <c r="F27" s="78"/>
      <c r="G27" s="231"/>
      <c r="H27" s="9"/>
      <c r="I27" s="10"/>
      <c r="J27" s="11"/>
      <c r="K27" s="12"/>
      <c r="L27" s="13"/>
      <c r="M27" s="14"/>
      <c r="N27" s="14"/>
      <c r="O27" s="15"/>
      <c r="P27" s="5"/>
      <c r="Q27" s="5"/>
      <c r="R27" s="5"/>
      <c r="S27" s="5"/>
      <c r="T27" s="5"/>
      <c r="U27" s="5"/>
    </row>
    <row r="28" spans="1:21">
      <c r="A28" s="1352"/>
      <c r="B28" s="1353"/>
      <c r="C28" s="1353"/>
      <c r="D28" s="79"/>
      <c r="E28" s="82"/>
      <c r="F28" s="83"/>
      <c r="G28" s="231"/>
      <c r="H28" s="9"/>
      <c r="I28" s="41"/>
      <c r="J28" s="41"/>
      <c r="K28" s="12"/>
      <c r="L28" s="13"/>
      <c r="M28" s="14"/>
      <c r="N28" s="14"/>
      <c r="O28" s="15"/>
      <c r="P28" s="5"/>
      <c r="Q28" s="5"/>
      <c r="R28" s="5"/>
      <c r="S28" s="5"/>
      <c r="T28" s="5"/>
      <c r="U28" s="5"/>
    </row>
    <row r="29" spans="1:21">
      <c r="A29" s="1352"/>
      <c r="B29" s="1353"/>
      <c r="C29" s="1353"/>
      <c r="D29" s="84"/>
      <c r="E29" s="84"/>
      <c r="F29" s="83"/>
      <c r="G29" s="231"/>
      <c r="H29" s="9"/>
      <c r="I29" s="42"/>
      <c r="J29" s="42"/>
      <c r="K29" s="42"/>
      <c r="L29" s="13"/>
      <c r="M29" s="14"/>
      <c r="N29" s="14"/>
      <c r="O29" s="15"/>
      <c r="P29" s="5"/>
      <c r="Q29" s="5"/>
      <c r="R29" s="5"/>
      <c r="S29" s="5"/>
      <c r="T29" s="5"/>
      <c r="U29" s="5"/>
    </row>
    <row r="30" spans="1:21">
      <c r="A30" s="1352"/>
      <c r="B30" s="1353"/>
      <c r="C30" s="1353"/>
      <c r="D30" s="85" t="s">
        <v>28</v>
      </c>
      <c r="E30" s="50"/>
      <c r="F30" s="49"/>
      <c r="G30" s="230">
        <f>SUM(G21:G29)</f>
        <v>434912</v>
      </c>
      <c r="H30" s="9"/>
      <c r="I30" s="8"/>
      <c r="J30" s="13"/>
      <c r="K30" s="8"/>
      <c r="L30" s="13"/>
      <c r="M30" s="14"/>
      <c r="N30" s="14"/>
      <c r="O30" s="15"/>
      <c r="P30" s="5"/>
    </row>
    <row r="31" spans="1:21" ht="3.75" customHeight="1">
      <c r="A31" s="226"/>
      <c r="B31" s="4"/>
      <c r="C31" s="6"/>
      <c r="D31" s="4"/>
      <c r="E31" s="4"/>
      <c r="F31" s="4"/>
      <c r="G31" s="227"/>
      <c r="H31" s="9"/>
      <c r="I31" s="8"/>
      <c r="J31" s="13"/>
      <c r="K31" s="18"/>
      <c r="L31" s="13"/>
      <c r="M31" s="33"/>
      <c r="N31" s="33"/>
      <c r="O31" s="15"/>
      <c r="P31" s="5"/>
    </row>
    <row r="32" spans="1:21" ht="22.5" customHeight="1">
      <c r="A32" s="1354" t="s">
        <v>71</v>
      </c>
      <c r="B32" s="1355"/>
      <c r="C32" s="1355"/>
      <c r="D32" s="1355"/>
      <c r="E32" s="1355"/>
      <c r="F32" s="1355"/>
      <c r="G32" s="1356"/>
      <c r="H32" s="9"/>
    </row>
    <row r="33" spans="1:16" ht="3.75" customHeight="1">
      <c r="A33" s="226"/>
      <c r="B33" s="4"/>
      <c r="C33" s="6"/>
      <c r="D33" s="4"/>
      <c r="E33" s="4"/>
      <c r="F33" s="4"/>
      <c r="G33" s="227"/>
      <c r="H33" s="9"/>
      <c r="I33" s="8"/>
      <c r="J33" s="13"/>
      <c r="K33" s="8"/>
      <c r="L33" s="8"/>
      <c r="M33" s="8"/>
      <c r="N33" s="8"/>
      <c r="O33" s="15"/>
      <c r="P33" s="5"/>
    </row>
    <row r="34" spans="1:16">
      <c r="A34" s="232" t="s">
        <v>5</v>
      </c>
      <c r="B34" s="60" t="s">
        <v>29</v>
      </c>
      <c r="C34" s="60" t="s">
        <v>30</v>
      </c>
      <c r="D34" s="60" t="s">
        <v>31</v>
      </c>
      <c r="E34" s="60" t="s">
        <v>32</v>
      </c>
      <c r="F34" s="60" t="s">
        <v>20</v>
      </c>
      <c r="G34" s="228" t="s">
        <v>33</v>
      </c>
      <c r="H34" s="27"/>
      <c r="I34" s="8"/>
      <c r="J34" s="13"/>
      <c r="K34" s="8"/>
      <c r="L34" s="8"/>
      <c r="M34" s="8"/>
      <c r="N34" s="8"/>
      <c r="O34" s="15"/>
      <c r="P34" s="5"/>
    </row>
    <row r="35" spans="1:16">
      <c r="A35" s="233" t="s">
        <v>41</v>
      </c>
      <c r="B35" s="63">
        <f>BOF</f>
        <v>51749</v>
      </c>
      <c r="C35" s="68">
        <f>ffpp</f>
        <v>0.64539999999999997</v>
      </c>
      <c r="D35" s="72">
        <v>1</v>
      </c>
      <c r="E35" s="66">
        <f>OF</f>
        <v>88696</v>
      </c>
      <c r="F35" s="65">
        <v>3</v>
      </c>
      <c r="G35" s="231">
        <f>ROUND(+D35*E35/F35,0)</f>
        <v>29565</v>
      </c>
      <c r="H35" s="9"/>
      <c r="I35" s="16"/>
      <c r="J35" s="13"/>
      <c r="K35" s="8"/>
      <c r="L35" s="8"/>
      <c r="M35" s="8"/>
      <c r="N35" s="8"/>
      <c r="O35" s="15"/>
      <c r="P35" s="5"/>
    </row>
    <row r="36" spans="1:16">
      <c r="A36" s="233" t="s">
        <v>38</v>
      </c>
      <c r="B36" s="63">
        <f>BOB</f>
        <v>41749</v>
      </c>
      <c r="C36" s="68">
        <f>ffpp</f>
        <v>0.64539999999999997</v>
      </c>
      <c r="D36" s="72">
        <v>3</v>
      </c>
      <c r="E36" s="66">
        <f>OB</f>
        <v>72242</v>
      </c>
      <c r="F36" s="65">
        <f>F35</f>
        <v>3</v>
      </c>
      <c r="G36" s="231">
        <f>ROUND(+D36*E36/F36,0)</f>
        <v>72242</v>
      </c>
      <c r="H36" s="9"/>
      <c r="I36" s="8"/>
      <c r="J36" s="8"/>
      <c r="K36" s="13"/>
      <c r="L36" s="13"/>
      <c r="M36" s="13"/>
      <c r="N36" s="13"/>
      <c r="O36" s="13"/>
      <c r="P36" s="5"/>
    </row>
    <row r="37" spans="1:16">
      <c r="A37" s="234"/>
      <c r="B37" s="50"/>
      <c r="C37" s="961"/>
      <c r="D37" s="50"/>
      <c r="E37" s="66"/>
      <c r="F37" s="65"/>
      <c r="G37" s="231"/>
      <c r="H37" s="9"/>
      <c r="I37" s="8"/>
      <c r="J37" s="13"/>
      <c r="K37" s="13"/>
      <c r="L37" s="13"/>
      <c r="M37" s="33"/>
      <c r="N37" s="33"/>
      <c r="O37" s="43"/>
      <c r="P37" s="5"/>
    </row>
    <row r="38" spans="1:16">
      <c r="A38" s="233"/>
      <c r="B38" s="65"/>
      <c r="C38" s="68"/>
      <c r="D38" s="65"/>
      <c r="E38" s="69"/>
      <c r="F38" s="69"/>
      <c r="G38" s="236"/>
      <c r="H38" s="9"/>
      <c r="I38" s="8"/>
      <c r="J38" s="13"/>
      <c r="K38" s="13"/>
      <c r="L38" s="13"/>
      <c r="M38" s="33"/>
      <c r="N38" s="33"/>
      <c r="O38" s="43"/>
      <c r="P38" s="5"/>
    </row>
    <row r="39" spans="1:16">
      <c r="A39" s="249"/>
      <c r="B39" s="71"/>
      <c r="C39" s="71"/>
      <c r="D39" s="71" t="s">
        <v>34</v>
      </c>
      <c r="E39" s="71"/>
      <c r="F39" s="71"/>
      <c r="G39" s="250">
        <f>SUM(G35:G38)</f>
        <v>101807</v>
      </c>
      <c r="H39" s="9"/>
      <c r="I39" s="8"/>
      <c r="J39" s="13"/>
      <c r="K39" s="13"/>
      <c r="L39" s="13"/>
      <c r="M39" s="14"/>
      <c r="N39" s="14"/>
      <c r="O39" s="15"/>
      <c r="P39" s="5"/>
    </row>
    <row r="40" spans="1:16">
      <c r="A40" s="226"/>
      <c r="B40" s="4"/>
      <c r="C40" s="6"/>
      <c r="D40" s="4"/>
      <c r="E40" s="4"/>
      <c r="F40" s="4"/>
      <c r="G40" s="227"/>
      <c r="H40" s="9"/>
      <c r="I40" s="8"/>
      <c r="J40" s="13"/>
      <c r="K40" s="13"/>
      <c r="L40" s="13"/>
      <c r="M40" s="14"/>
      <c r="N40" s="14"/>
      <c r="O40" s="19"/>
      <c r="P40" s="5"/>
    </row>
    <row r="41" spans="1:16">
      <c r="A41" s="226"/>
      <c r="B41" s="4"/>
      <c r="C41" s="6"/>
      <c r="D41" s="4"/>
      <c r="E41" s="4"/>
      <c r="F41" s="4"/>
      <c r="G41" s="227"/>
      <c r="H41" s="9"/>
      <c r="I41" s="8"/>
      <c r="J41" s="13"/>
      <c r="K41" s="13"/>
      <c r="L41" s="13"/>
      <c r="M41" s="17"/>
      <c r="N41" s="17"/>
      <c r="O41" s="37"/>
      <c r="P41" s="5"/>
    </row>
    <row r="42" spans="1:16" ht="14.25">
      <c r="A42" s="226"/>
      <c r="B42" s="4"/>
      <c r="C42" s="6"/>
      <c r="D42" s="1357" t="s">
        <v>35</v>
      </c>
      <c r="E42" s="1358"/>
      <c r="F42" s="1359"/>
      <c r="G42" s="239">
        <f>+G39+G30+G16</f>
        <v>546900</v>
      </c>
      <c r="H42" s="9"/>
      <c r="I42" s="48"/>
      <c r="J42" s="20"/>
      <c r="K42" s="8"/>
      <c r="L42" s="8"/>
      <c r="M42" s="8"/>
      <c r="N42" s="8"/>
      <c r="O42" s="8"/>
      <c r="P42" s="5"/>
    </row>
    <row r="43" spans="1:16" ht="14.25">
      <c r="A43" s="240"/>
      <c r="B43" s="57"/>
      <c r="C43" s="58"/>
      <c r="D43" s="99"/>
      <c r="E43" s="99"/>
      <c r="F43" s="99"/>
      <c r="G43" s="251"/>
      <c r="H43" s="9"/>
      <c r="I43" s="48"/>
      <c r="J43" s="20"/>
      <c r="K43" s="8"/>
      <c r="L43" s="8"/>
      <c r="M43" s="8"/>
      <c r="N43" s="8"/>
      <c r="O43" s="8"/>
      <c r="P43" s="5"/>
    </row>
    <row r="44" spans="1:16" ht="14.25">
      <c r="A44" s="374"/>
      <c r="B44" s="375"/>
      <c r="C44" s="375"/>
      <c r="D44" s="99"/>
      <c r="E44" s="99"/>
      <c r="F44" s="99"/>
      <c r="G44" s="251"/>
      <c r="H44" s="9"/>
      <c r="I44" s="48"/>
      <c r="J44" s="20"/>
      <c r="K44" s="8"/>
      <c r="L44" s="8"/>
      <c r="M44" s="8"/>
      <c r="N44" s="8"/>
      <c r="O44" s="8"/>
      <c r="P44" s="5"/>
    </row>
    <row r="45" spans="1:16" ht="14.25">
      <c r="A45" s="373"/>
      <c r="B45" s="376"/>
      <c r="C45" s="376"/>
      <c r="D45" s="99"/>
      <c r="E45" s="99"/>
      <c r="F45" s="99"/>
      <c r="G45" s="251"/>
      <c r="H45" s="9"/>
      <c r="I45" s="48"/>
      <c r="J45" s="20"/>
      <c r="K45" s="8"/>
      <c r="L45" s="8"/>
      <c r="M45" s="8"/>
      <c r="N45" s="8"/>
      <c r="O45" s="8"/>
      <c r="P45" s="5"/>
    </row>
    <row r="46" spans="1:16" ht="14.25">
      <c r="A46" s="373"/>
      <c r="B46" s="376"/>
      <c r="C46" s="376"/>
      <c r="D46" s="44"/>
      <c r="E46" s="45"/>
      <c r="F46" s="45"/>
      <c r="G46" s="251"/>
      <c r="H46" s="9"/>
      <c r="I46" s="8"/>
      <c r="J46" s="13"/>
      <c r="K46" s="8"/>
      <c r="L46" s="8"/>
      <c r="M46" s="8"/>
      <c r="N46" s="8"/>
      <c r="O46" s="8"/>
      <c r="P46" s="5"/>
    </row>
    <row r="47" spans="1:16" ht="15" thickBot="1">
      <c r="A47" s="242"/>
      <c r="B47" s="243"/>
      <c r="C47" s="244"/>
      <c r="D47" s="245"/>
      <c r="E47" s="246"/>
      <c r="F47" s="246"/>
      <c r="G47" s="247"/>
      <c r="H47" s="9"/>
      <c r="I47" s="8"/>
      <c r="J47" s="13"/>
      <c r="K47" s="8"/>
      <c r="L47" s="8"/>
      <c r="M47" s="8"/>
      <c r="N47" s="8"/>
      <c r="O47" s="8"/>
      <c r="P47" s="5"/>
    </row>
    <row r="48" spans="1:16">
      <c r="I48" s="5"/>
      <c r="J48" s="5"/>
      <c r="K48" s="5"/>
      <c r="L48" s="5"/>
      <c r="M48" s="5"/>
      <c r="N48" s="5"/>
      <c r="O48" s="5"/>
      <c r="P48" s="5"/>
    </row>
    <row r="49" spans="9:16">
      <c r="I49" s="5"/>
      <c r="J49" s="5"/>
      <c r="K49" s="5"/>
      <c r="L49" s="5"/>
      <c r="M49" s="5"/>
      <c r="N49" s="5"/>
      <c r="O49" s="5"/>
      <c r="P49" s="5"/>
    </row>
  </sheetData>
  <mergeCells count="26">
    <mergeCell ref="A32:G32"/>
    <mergeCell ref="D42:F42"/>
    <mergeCell ref="A25:C25"/>
    <mergeCell ref="A26:C26"/>
    <mergeCell ref="A27:C27"/>
    <mergeCell ref="A28:C28"/>
    <mergeCell ref="A29:C29"/>
    <mergeCell ref="A30:C30"/>
    <mergeCell ref="A24:C24"/>
    <mergeCell ref="A11:C11"/>
    <mergeCell ref="A12:C12"/>
    <mergeCell ref="A13:C13"/>
    <mergeCell ref="A14:C14"/>
    <mergeCell ref="A15:C15"/>
    <mergeCell ref="A16:C16"/>
    <mergeCell ref="A18:G18"/>
    <mergeCell ref="A20:C20"/>
    <mergeCell ref="A21:C21"/>
    <mergeCell ref="A22:C22"/>
    <mergeCell ref="A23:C23"/>
    <mergeCell ref="A10:C10"/>
    <mergeCell ref="A1:G1"/>
    <mergeCell ref="A2:G2"/>
    <mergeCell ref="A3:G4"/>
    <mergeCell ref="B6:E6"/>
    <mergeCell ref="A8:G8"/>
  </mergeCells>
  <printOptions horizontalCentered="1" verticalCentered="1"/>
  <pageMargins left="0.74803149606299213" right="0.74803149606299213" top="0" bottom="0.98425196850393704" header="0" footer="0"/>
  <pageSetup scale="90" orientation="portrait" r:id="rId1"/>
  <headerFooter alignWithMargins="0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9"/>
  <dimension ref="A1:U49"/>
  <sheetViews>
    <sheetView view="pageBreakPreview" topLeftCell="A9" zoomScaleNormal="100" zoomScaleSheetLayoutView="100" workbookViewId="0">
      <selection activeCell="I7" sqref="I7"/>
    </sheetView>
  </sheetViews>
  <sheetFormatPr baseColWidth="10" defaultColWidth="10.7109375" defaultRowHeight="12.75"/>
  <cols>
    <col min="1" max="1" width="15.85546875" style="3" customWidth="1"/>
    <col min="2" max="2" width="14.85546875" style="3" customWidth="1"/>
    <col min="3" max="3" width="13.28515625" style="3" customWidth="1"/>
    <col min="4" max="4" width="11.42578125" style="3"/>
    <col min="5" max="5" width="13.42578125" style="3" customWidth="1"/>
    <col min="6" max="6" width="12.7109375" style="3" customWidth="1"/>
    <col min="7" max="7" width="14" style="3" customWidth="1"/>
    <col min="8" max="8" width="7.42578125" style="3" customWidth="1"/>
    <col min="9" max="256" width="11.42578125" style="3"/>
    <col min="257" max="257" width="15.85546875" style="3" customWidth="1"/>
    <col min="258" max="258" width="14.85546875" style="3" customWidth="1"/>
    <col min="259" max="259" width="13.28515625" style="3" customWidth="1"/>
    <col min="260" max="260" width="11.42578125" style="3"/>
    <col min="261" max="261" width="13.42578125" style="3" customWidth="1"/>
    <col min="262" max="262" width="12.7109375" style="3" customWidth="1"/>
    <col min="263" max="263" width="14" style="3" customWidth="1"/>
    <col min="264" max="264" width="7.42578125" style="3" customWidth="1"/>
    <col min="265" max="512" width="11.42578125" style="3"/>
    <col min="513" max="513" width="15.85546875" style="3" customWidth="1"/>
    <col min="514" max="514" width="14.85546875" style="3" customWidth="1"/>
    <col min="515" max="515" width="13.28515625" style="3" customWidth="1"/>
    <col min="516" max="516" width="11.42578125" style="3"/>
    <col min="517" max="517" width="13.42578125" style="3" customWidth="1"/>
    <col min="518" max="518" width="12.7109375" style="3" customWidth="1"/>
    <col min="519" max="519" width="14" style="3" customWidth="1"/>
    <col min="520" max="520" width="7.42578125" style="3" customWidth="1"/>
    <col min="521" max="768" width="11.42578125" style="3"/>
    <col min="769" max="769" width="15.85546875" style="3" customWidth="1"/>
    <col min="770" max="770" width="14.85546875" style="3" customWidth="1"/>
    <col min="771" max="771" width="13.28515625" style="3" customWidth="1"/>
    <col min="772" max="772" width="11.42578125" style="3"/>
    <col min="773" max="773" width="13.42578125" style="3" customWidth="1"/>
    <col min="774" max="774" width="12.7109375" style="3" customWidth="1"/>
    <col min="775" max="775" width="14" style="3" customWidth="1"/>
    <col min="776" max="776" width="7.42578125" style="3" customWidth="1"/>
    <col min="777" max="1024" width="11.42578125" style="3"/>
    <col min="1025" max="1025" width="15.85546875" style="3" customWidth="1"/>
    <col min="1026" max="1026" width="14.85546875" style="3" customWidth="1"/>
    <col min="1027" max="1027" width="13.28515625" style="3" customWidth="1"/>
    <col min="1028" max="1028" width="11.42578125" style="3"/>
    <col min="1029" max="1029" width="13.42578125" style="3" customWidth="1"/>
    <col min="1030" max="1030" width="12.7109375" style="3" customWidth="1"/>
    <col min="1031" max="1031" width="14" style="3" customWidth="1"/>
    <col min="1032" max="1032" width="7.42578125" style="3" customWidth="1"/>
    <col min="1033" max="1280" width="11.42578125" style="3"/>
    <col min="1281" max="1281" width="15.85546875" style="3" customWidth="1"/>
    <col min="1282" max="1282" width="14.85546875" style="3" customWidth="1"/>
    <col min="1283" max="1283" width="13.28515625" style="3" customWidth="1"/>
    <col min="1284" max="1284" width="11.42578125" style="3"/>
    <col min="1285" max="1285" width="13.42578125" style="3" customWidth="1"/>
    <col min="1286" max="1286" width="12.7109375" style="3" customWidth="1"/>
    <col min="1287" max="1287" width="14" style="3" customWidth="1"/>
    <col min="1288" max="1288" width="7.42578125" style="3" customWidth="1"/>
    <col min="1289" max="1536" width="11.42578125" style="3"/>
    <col min="1537" max="1537" width="15.85546875" style="3" customWidth="1"/>
    <col min="1538" max="1538" width="14.85546875" style="3" customWidth="1"/>
    <col min="1539" max="1539" width="13.28515625" style="3" customWidth="1"/>
    <col min="1540" max="1540" width="11.42578125" style="3"/>
    <col min="1541" max="1541" width="13.42578125" style="3" customWidth="1"/>
    <col min="1542" max="1542" width="12.7109375" style="3" customWidth="1"/>
    <col min="1543" max="1543" width="14" style="3" customWidth="1"/>
    <col min="1544" max="1544" width="7.42578125" style="3" customWidth="1"/>
    <col min="1545" max="1792" width="11.42578125" style="3"/>
    <col min="1793" max="1793" width="15.85546875" style="3" customWidth="1"/>
    <col min="1794" max="1794" width="14.85546875" style="3" customWidth="1"/>
    <col min="1795" max="1795" width="13.28515625" style="3" customWidth="1"/>
    <col min="1796" max="1796" width="11.42578125" style="3"/>
    <col min="1797" max="1797" width="13.42578125" style="3" customWidth="1"/>
    <col min="1798" max="1798" width="12.7109375" style="3" customWidth="1"/>
    <col min="1799" max="1799" width="14" style="3" customWidth="1"/>
    <col min="1800" max="1800" width="7.42578125" style="3" customWidth="1"/>
    <col min="1801" max="2048" width="11.42578125" style="3"/>
    <col min="2049" max="2049" width="15.85546875" style="3" customWidth="1"/>
    <col min="2050" max="2050" width="14.85546875" style="3" customWidth="1"/>
    <col min="2051" max="2051" width="13.28515625" style="3" customWidth="1"/>
    <col min="2052" max="2052" width="11.42578125" style="3"/>
    <col min="2053" max="2053" width="13.42578125" style="3" customWidth="1"/>
    <col min="2054" max="2054" width="12.7109375" style="3" customWidth="1"/>
    <col min="2055" max="2055" width="14" style="3" customWidth="1"/>
    <col min="2056" max="2056" width="7.42578125" style="3" customWidth="1"/>
    <col min="2057" max="2304" width="11.42578125" style="3"/>
    <col min="2305" max="2305" width="15.85546875" style="3" customWidth="1"/>
    <col min="2306" max="2306" width="14.85546875" style="3" customWidth="1"/>
    <col min="2307" max="2307" width="13.28515625" style="3" customWidth="1"/>
    <col min="2308" max="2308" width="11.42578125" style="3"/>
    <col min="2309" max="2309" width="13.42578125" style="3" customWidth="1"/>
    <col min="2310" max="2310" width="12.7109375" style="3" customWidth="1"/>
    <col min="2311" max="2311" width="14" style="3" customWidth="1"/>
    <col min="2312" max="2312" width="7.42578125" style="3" customWidth="1"/>
    <col min="2313" max="2560" width="11.42578125" style="3"/>
    <col min="2561" max="2561" width="15.85546875" style="3" customWidth="1"/>
    <col min="2562" max="2562" width="14.85546875" style="3" customWidth="1"/>
    <col min="2563" max="2563" width="13.28515625" style="3" customWidth="1"/>
    <col min="2564" max="2564" width="11.42578125" style="3"/>
    <col min="2565" max="2565" width="13.42578125" style="3" customWidth="1"/>
    <col min="2566" max="2566" width="12.7109375" style="3" customWidth="1"/>
    <col min="2567" max="2567" width="14" style="3" customWidth="1"/>
    <col min="2568" max="2568" width="7.42578125" style="3" customWidth="1"/>
    <col min="2569" max="2816" width="11.42578125" style="3"/>
    <col min="2817" max="2817" width="15.85546875" style="3" customWidth="1"/>
    <col min="2818" max="2818" width="14.85546875" style="3" customWidth="1"/>
    <col min="2819" max="2819" width="13.28515625" style="3" customWidth="1"/>
    <col min="2820" max="2820" width="11.42578125" style="3"/>
    <col min="2821" max="2821" width="13.42578125" style="3" customWidth="1"/>
    <col min="2822" max="2822" width="12.7109375" style="3" customWidth="1"/>
    <col min="2823" max="2823" width="14" style="3" customWidth="1"/>
    <col min="2824" max="2824" width="7.42578125" style="3" customWidth="1"/>
    <col min="2825" max="3072" width="11.42578125" style="3"/>
    <col min="3073" max="3073" width="15.85546875" style="3" customWidth="1"/>
    <col min="3074" max="3074" width="14.85546875" style="3" customWidth="1"/>
    <col min="3075" max="3075" width="13.28515625" style="3" customWidth="1"/>
    <col min="3076" max="3076" width="11.42578125" style="3"/>
    <col min="3077" max="3077" width="13.42578125" style="3" customWidth="1"/>
    <col min="3078" max="3078" width="12.7109375" style="3" customWidth="1"/>
    <col min="3079" max="3079" width="14" style="3" customWidth="1"/>
    <col min="3080" max="3080" width="7.42578125" style="3" customWidth="1"/>
    <col min="3081" max="3328" width="11.42578125" style="3"/>
    <col min="3329" max="3329" width="15.85546875" style="3" customWidth="1"/>
    <col min="3330" max="3330" width="14.85546875" style="3" customWidth="1"/>
    <col min="3331" max="3331" width="13.28515625" style="3" customWidth="1"/>
    <col min="3332" max="3332" width="11.42578125" style="3"/>
    <col min="3333" max="3333" width="13.42578125" style="3" customWidth="1"/>
    <col min="3334" max="3334" width="12.7109375" style="3" customWidth="1"/>
    <col min="3335" max="3335" width="14" style="3" customWidth="1"/>
    <col min="3336" max="3336" width="7.42578125" style="3" customWidth="1"/>
    <col min="3337" max="3584" width="11.42578125" style="3"/>
    <col min="3585" max="3585" width="15.85546875" style="3" customWidth="1"/>
    <col min="3586" max="3586" width="14.85546875" style="3" customWidth="1"/>
    <col min="3587" max="3587" width="13.28515625" style="3" customWidth="1"/>
    <col min="3588" max="3588" width="11.42578125" style="3"/>
    <col min="3589" max="3589" width="13.42578125" style="3" customWidth="1"/>
    <col min="3590" max="3590" width="12.7109375" style="3" customWidth="1"/>
    <col min="3591" max="3591" width="14" style="3" customWidth="1"/>
    <col min="3592" max="3592" width="7.42578125" style="3" customWidth="1"/>
    <col min="3593" max="3840" width="11.42578125" style="3"/>
    <col min="3841" max="3841" width="15.85546875" style="3" customWidth="1"/>
    <col min="3842" max="3842" width="14.85546875" style="3" customWidth="1"/>
    <col min="3843" max="3843" width="13.28515625" style="3" customWidth="1"/>
    <col min="3844" max="3844" width="11.42578125" style="3"/>
    <col min="3845" max="3845" width="13.42578125" style="3" customWidth="1"/>
    <col min="3846" max="3846" width="12.7109375" style="3" customWidth="1"/>
    <col min="3847" max="3847" width="14" style="3" customWidth="1"/>
    <col min="3848" max="3848" width="7.42578125" style="3" customWidth="1"/>
    <col min="3849" max="4096" width="11.42578125" style="3"/>
    <col min="4097" max="4097" width="15.85546875" style="3" customWidth="1"/>
    <col min="4098" max="4098" width="14.85546875" style="3" customWidth="1"/>
    <col min="4099" max="4099" width="13.28515625" style="3" customWidth="1"/>
    <col min="4100" max="4100" width="11.42578125" style="3"/>
    <col min="4101" max="4101" width="13.42578125" style="3" customWidth="1"/>
    <col min="4102" max="4102" width="12.7109375" style="3" customWidth="1"/>
    <col min="4103" max="4103" width="14" style="3" customWidth="1"/>
    <col min="4104" max="4104" width="7.42578125" style="3" customWidth="1"/>
    <col min="4105" max="4352" width="11.42578125" style="3"/>
    <col min="4353" max="4353" width="15.85546875" style="3" customWidth="1"/>
    <col min="4354" max="4354" width="14.85546875" style="3" customWidth="1"/>
    <col min="4355" max="4355" width="13.28515625" style="3" customWidth="1"/>
    <col min="4356" max="4356" width="11.42578125" style="3"/>
    <col min="4357" max="4357" width="13.42578125" style="3" customWidth="1"/>
    <col min="4358" max="4358" width="12.7109375" style="3" customWidth="1"/>
    <col min="4359" max="4359" width="14" style="3" customWidth="1"/>
    <col min="4360" max="4360" width="7.42578125" style="3" customWidth="1"/>
    <col min="4361" max="4608" width="11.42578125" style="3"/>
    <col min="4609" max="4609" width="15.85546875" style="3" customWidth="1"/>
    <col min="4610" max="4610" width="14.85546875" style="3" customWidth="1"/>
    <col min="4611" max="4611" width="13.28515625" style="3" customWidth="1"/>
    <col min="4612" max="4612" width="11.42578125" style="3"/>
    <col min="4613" max="4613" width="13.42578125" style="3" customWidth="1"/>
    <col min="4614" max="4614" width="12.7109375" style="3" customWidth="1"/>
    <col min="4615" max="4615" width="14" style="3" customWidth="1"/>
    <col min="4616" max="4616" width="7.42578125" style="3" customWidth="1"/>
    <col min="4617" max="4864" width="11.42578125" style="3"/>
    <col min="4865" max="4865" width="15.85546875" style="3" customWidth="1"/>
    <col min="4866" max="4866" width="14.85546875" style="3" customWidth="1"/>
    <col min="4867" max="4867" width="13.28515625" style="3" customWidth="1"/>
    <col min="4868" max="4868" width="11.42578125" style="3"/>
    <col min="4869" max="4869" width="13.42578125" style="3" customWidth="1"/>
    <col min="4870" max="4870" width="12.7109375" style="3" customWidth="1"/>
    <col min="4871" max="4871" width="14" style="3" customWidth="1"/>
    <col min="4872" max="4872" width="7.42578125" style="3" customWidth="1"/>
    <col min="4873" max="5120" width="11.42578125" style="3"/>
    <col min="5121" max="5121" width="15.85546875" style="3" customWidth="1"/>
    <col min="5122" max="5122" width="14.85546875" style="3" customWidth="1"/>
    <col min="5123" max="5123" width="13.28515625" style="3" customWidth="1"/>
    <col min="5124" max="5124" width="11.42578125" style="3"/>
    <col min="5125" max="5125" width="13.42578125" style="3" customWidth="1"/>
    <col min="5126" max="5126" width="12.7109375" style="3" customWidth="1"/>
    <col min="5127" max="5127" width="14" style="3" customWidth="1"/>
    <col min="5128" max="5128" width="7.42578125" style="3" customWidth="1"/>
    <col min="5129" max="5376" width="11.42578125" style="3"/>
    <col min="5377" max="5377" width="15.85546875" style="3" customWidth="1"/>
    <col min="5378" max="5378" width="14.85546875" style="3" customWidth="1"/>
    <col min="5379" max="5379" width="13.28515625" style="3" customWidth="1"/>
    <col min="5380" max="5380" width="11.42578125" style="3"/>
    <col min="5381" max="5381" width="13.42578125" style="3" customWidth="1"/>
    <col min="5382" max="5382" width="12.7109375" style="3" customWidth="1"/>
    <col min="5383" max="5383" width="14" style="3" customWidth="1"/>
    <col min="5384" max="5384" width="7.42578125" style="3" customWidth="1"/>
    <col min="5385" max="5632" width="11.42578125" style="3"/>
    <col min="5633" max="5633" width="15.85546875" style="3" customWidth="1"/>
    <col min="5634" max="5634" width="14.85546875" style="3" customWidth="1"/>
    <col min="5635" max="5635" width="13.28515625" style="3" customWidth="1"/>
    <col min="5636" max="5636" width="11.42578125" style="3"/>
    <col min="5637" max="5637" width="13.42578125" style="3" customWidth="1"/>
    <col min="5638" max="5638" width="12.7109375" style="3" customWidth="1"/>
    <col min="5639" max="5639" width="14" style="3" customWidth="1"/>
    <col min="5640" max="5640" width="7.42578125" style="3" customWidth="1"/>
    <col min="5641" max="5888" width="11.42578125" style="3"/>
    <col min="5889" max="5889" width="15.85546875" style="3" customWidth="1"/>
    <col min="5890" max="5890" width="14.85546875" style="3" customWidth="1"/>
    <col min="5891" max="5891" width="13.28515625" style="3" customWidth="1"/>
    <col min="5892" max="5892" width="11.42578125" style="3"/>
    <col min="5893" max="5893" width="13.42578125" style="3" customWidth="1"/>
    <col min="5894" max="5894" width="12.7109375" style="3" customWidth="1"/>
    <col min="5895" max="5895" width="14" style="3" customWidth="1"/>
    <col min="5896" max="5896" width="7.42578125" style="3" customWidth="1"/>
    <col min="5897" max="6144" width="11.42578125" style="3"/>
    <col min="6145" max="6145" width="15.85546875" style="3" customWidth="1"/>
    <col min="6146" max="6146" width="14.85546875" style="3" customWidth="1"/>
    <col min="6147" max="6147" width="13.28515625" style="3" customWidth="1"/>
    <col min="6148" max="6148" width="11.42578125" style="3"/>
    <col min="6149" max="6149" width="13.42578125" style="3" customWidth="1"/>
    <col min="6150" max="6150" width="12.7109375" style="3" customWidth="1"/>
    <col min="6151" max="6151" width="14" style="3" customWidth="1"/>
    <col min="6152" max="6152" width="7.42578125" style="3" customWidth="1"/>
    <col min="6153" max="6400" width="11.42578125" style="3"/>
    <col min="6401" max="6401" width="15.85546875" style="3" customWidth="1"/>
    <col min="6402" max="6402" width="14.85546875" style="3" customWidth="1"/>
    <col min="6403" max="6403" width="13.28515625" style="3" customWidth="1"/>
    <col min="6404" max="6404" width="11.42578125" style="3"/>
    <col min="6405" max="6405" width="13.42578125" style="3" customWidth="1"/>
    <col min="6406" max="6406" width="12.7109375" style="3" customWidth="1"/>
    <col min="6407" max="6407" width="14" style="3" customWidth="1"/>
    <col min="6408" max="6408" width="7.42578125" style="3" customWidth="1"/>
    <col min="6409" max="6656" width="11.42578125" style="3"/>
    <col min="6657" max="6657" width="15.85546875" style="3" customWidth="1"/>
    <col min="6658" max="6658" width="14.85546875" style="3" customWidth="1"/>
    <col min="6659" max="6659" width="13.28515625" style="3" customWidth="1"/>
    <col min="6660" max="6660" width="11.42578125" style="3"/>
    <col min="6661" max="6661" width="13.42578125" style="3" customWidth="1"/>
    <col min="6662" max="6662" width="12.7109375" style="3" customWidth="1"/>
    <col min="6663" max="6663" width="14" style="3" customWidth="1"/>
    <col min="6664" max="6664" width="7.42578125" style="3" customWidth="1"/>
    <col min="6665" max="6912" width="11.42578125" style="3"/>
    <col min="6913" max="6913" width="15.85546875" style="3" customWidth="1"/>
    <col min="6914" max="6914" width="14.85546875" style="3" customWidth="1"/>
    <col min="6915" max="6915" width="13.28515625" style="3" customWidth="1"/>
    <col min="6916" max="6916" width="11.42578125" style="3"/>
    <col min="6917" max="6917" width="13.42578125" style="3" customWidth="1"/>
    <col min="6918" max="6918" width="12.7109375" style="3" customWidth="1"/>
    <col min="6919" max="6919" width="14" style="3" customWidth="1"/>
    <col min="6920" max="6920" width="7.42578125" style="3" customWidth="1"/>
    <col min="6921" max="7168" width="11.42578125" style="3"/>
    <col min="7169" max="7169" width="15.85546875" style="3" customWidth="1"/>
    <col min="7170" max="7170" width="14.85546875" style="3" customWidth="1"/>
    <col min="7171" max="7171" width="13.28515625" style="3" customWidth="1"/>
    <col min="7172" max="7172" width="11.42578125" style="3"/>
    <col min="7173" max="7173" width="13.42578125" style="3" customWidth="1"/>
    <col min="7174" max="7174" width="12.7109375" style="3" customWidth="1"/>
    <col min="7175" max="7175" width="14" style="3" customWidth="1"/>
    <col min="7176" max="7176" width="7.42578125" style="3" customWidth="1"/>
    <col min="7177" max="7424" width="11.42578125" style="3"/>
    <col min="7425" max="7425" width="15.85546875" style="3" customWidth="1"/>
    <col min="7426" max="7426" width="14.85546875" style="3" customWidth="1"/>
    <col min="7427" max="7427" width="13.28515625" style="3" customWidth="1"/>
    <col min="7428" max="7428" width="11.42578125" style="3"/>
    <col min="7429" max="7429" width="13.42578125" style="3" customWidth="1"/>
    <col min="7430" max="7430" width="12.7109375" style="3" customWidth="1"/>
    <col min="7431" max="7431" width="14" style="3" customWidth="1"/>
    <col min="7432" max="7432" width="7.42578125" style="3" customWidth="1"/>
    <col min="7433" max="7680" width="11.42578125" style="3"/>
    <col min="7681" max="7681" width="15.85546875" style="3" customWidth="1"/>
    <col min="7682" max="7682" width="14.85546875" style="3" customWidth="1"/>
    <col min="7683" max="7683" width="13.28515625" style="3" customWidth="1"/>
    <col min="7684" max="7684" width="11.42578125" style="3"/>
    <col min="7685" max="7685" width="13.42578125" style="3" customWidth="1"/>
    <col min="7686" max="7686" width="12.7109375" style="3" customWidth="1"/>
    <col min="7687" max="7687" width="14" style="3" customWidth="1"/>
    <col min="7688" max="7688" width="7.42578125" style="3" customWidth="1"/>
    <col min="7689" max="7936" width="11.42578125" style="3"/>
    <col min="7937" max="7937" width="15.85546875" style="3" customWidth="1"/>
    <col min="7938" max="7938" width="14.85546875" style="3" customWidth="1"/>
    <col min="7939" max="7939" width="13.28515625" style="3" customWidth="1"/>
    <col min="7940" max="7940" width="11.42578125" style="3"/>
    <col min="7941" max="7941" width="13.42578125" style="3" customWidth="1"/>
    <col min="7942" max="7942" width="12.7109375" style="3" customWidth="1"/>
    <col min="7943" max="7943" width="14" style="3" customWidth="1"/>
    <col min="7944" max="7944" width="7.42578125" style="3" customWidth="1"/>
    <col min="7945" max="8192" width="11.42578125" style="3"/>
    <col min="8193" max="8193" width="15.85546875" style="3" customWidth="1"/>
    <col min="8194" max="8194" width="14.85546875" style="3" customWidth="1"/>
    <col min="8195" max="8195" width="13.28515625" style="3" customWidth="1"/>
    <col min="8196" max="8196" width="11.42578125" style="3"/>
    <col min="8197" max="8197" width="13.42578125" style="3" customWidth="1"/>
    <col min="8198" max="8198" width="12.7109375" style="3" customWidth="1"/>
    <col min="8199" max="8199" width="14" style="3" customWidth="1"/>
    <col min="8200" max="8200" width="7.42578125" style="3" customWidth="1"/>
    <col min="8201" max="8448" width="11.42578125" style="3"/>
    <col min="8449" max="8449" width="15.85546875" style="3" customWidth="1"/>
    <col min="8450" max="8450" width="14.85546875" style="3" customWidth="1"/>
    <col min="8451" max="8451" width="13.28515625" style="3" customWidth="1"/>
    <col min="8452" max="8452" width="11.42578125" style="3"/>
    <col min="8453" max="8453" width="13.42578125" style="3" customWidth="1"/>
    <col min="8454" max="8454" width="12.7109375" style="3" customWidth="1"/>
    <col min="8455" max="8455" width="14" style="3" customWidth="1"/>
    <col min="8456" max="8456" width="7.42578125" style="3" customWidth="1"/>
    <col min="8457" max="8704" width="11.42578125" style="3"/>
    <col min="8705" max="8705" width="15.85546875" style="3" customWidth="1"/>
    <col min="8706" max="8706" width="14.85546875" style="3" customWidth="1"/>
    <col min="8707" max="8707" width="13.28515625" style="3" customWidth="1"/>
    <col min="8708" max="8708" width="11.42578125" style="3"/>
    <col min="8709" max="8709" width="13.42578125" style="3" customWidth="1"/>
    <col min="8710" max="8710" width="12.7109375" style="3" customWidth="1"/>
    <col min="8711" max="8711" width="14" style="3" customWidth="1"/>
    <col min="8712" max="8712" width="7.42578125" style="3" customWidth="1"/>
    <col min="8713" max="8960" width="11.42578125" style="3"/>
    <col min="8961" max="8961" width="15.85546875" style="3" customWidth="1"/>
    <col min="8962" max="8962" width="14.85546875" style="3" customWidth="1"/>
    <col min="8963" max="8963" width="13.28515625" style="3" customWidth="1"/>
    <col min="8964" max="8964" width="11.42578125" style="3"/>
    <col min="8965" max="8965" width="13.42578125" style="3" customWidth="1"/>
    <col min="8966" max="8966" width="12.7109375" style="3" customWidth="1"/>
    <col min="8967" max="8967" width="14" style="3" customWidth="1"/>
    <col min="8968" max="8968" width="7.42578125" style="3" customWidth="1"/>
    <col min="8969" max="9216" width="11.42578125" style="3"/>
    <col min="9217" max="9217" width="15.85546875" style="3" customWidth="1"/>
    <col min="9218" max="9218" width="14.85546875" style="3" customWidth="1"/>
    <col min="9219" max="9219" width="13.28515625" style="3" customWidth="1"/>
    <col min="9220" max="9220" width="11.42578125" style="3"/>
    <col min="9221" max="9221" width="13.42578125" style="3" customWidth="1"/>
    <col min="9222" max="9222" width="12.7109375" style="3" customWidth="1"/>
    <col min="9223" max="9223" width="14" style="3" customWidth="1"/>
    <col min="9224" max="9224" width="7.42578125" style="3" customWidth="1"/>
    <col min="9225" max="9472" width="11.42578125" style="3"/>
    <col min="9473" max="9473" width="15.85546875" style="3" customWidth="1"/>
    <col min="9474" max="9474" width="14.85546875" style="3" customWidth="1"/>
    <col min="9475" max="9475" width="13.28515625" style="3" customWidth="1"/>
    <col min="9476" max="9476" width="11.42578125" style="3"/>
    <col min="9477" max="9477" width="13.42578125" style="3" customWidth="1"/>
    <col min="9478" max="9478" width="12.7109375" style="3" customWidth="1"/>
    <col min="9479" max="9479" width="14" style="3" customWidth="1"/>
    <col min="9480" max="9480" width="7.42578125" style="3" customWidth="1"/>
    <col min="9481" max="9728" width="11.42578125" style="3"/>
    <col min="9729" max="9729" width="15.85546875" style="3" customWidth="1"/>
    <col min="9730" max="9730" width="14.85546875" style="3" customWidth="1"/>
    <col min="9731" max="9731" width="13.28515625" style="3" customWidth="1"/>
    <col min="9732" max="9732" width="11.42578125" style="3"/>
    <col min="9733" max="9733" width="13.42578125" style="3" customWidth="1"/>
    <col min="9734" max="9734" width="12.7109375" style="3" customWidth="1"/>
    <col min="9735" max="9735" width="14" style="3" customWidth="1"/>
    <col min="9736" max="9736" width="7.42578125" style="3" customWidth="1"/>
    <col min="9737" max="9984" width="11.42578125" style="3"/>
    <col min="9985" max="9985" width="15.85546875" style="3" customWidth="1"/>
    <col min="9986" max="9986" width="14.85546875" style="3" customWidth="1"/>
    <col min="9987" max="9987" width="13.28515625" style="3" customWidth="1"/>
    <col min="9988" max="9988" width="11.42578125" style="3"/>
    <col min="9989" max="9989" width="13.42578125" style="3" customWidth="1"/>
    <col min="9990" max="9990" width="12.7109375" style="3" customWidth="1"/>
    <col min="9991" max="9991" width="14" style="3" customWidth="1"/>
    <col min="9992" max="9992" width="7.42578125" style="3" customWidth="1"/>
    <col min="9993" max="10240" width="11.42578125" style="3"/>
    <col min="10241" max="10241" width="15.85546875" style="3" customWidth="1"/>
    <col min="10242" max="10242" width="14.85546875" style="3" customWidth="1"/>
    <col min="10243" max="10243" width="13.28515625" style="3" customWidth="1"/>
    <col min="10244" max="10244" width="11.42578125" style="3"/>
    <col min="10245" max="10245" width="13.42578125" style="3" customWidth="1"/>
    <col min="10246" max="10246" width="12.7109375" style="3" customWidth="1"/>
    <col min="10247" max="10247" width="14" style="3" customWidth="1"/>
    <col min="10248" max="10248" width="7.42578125" style="3" customWidth="1"/>
    <col min="10249" max="10496" width="11.42578125" style="3"/>
    <col min="10497" max="10497" width="15.85546875" style="3" customWidth="1"/>
    <col min="10498" max="10498" width="14.85546875" style="3" customWidth="1"/>
    <col min="10499" max="10499" width="13.28515625" style="3" customWidth="1"/>
    <col min="10500" max="10500" width="11.42578125" style="3"/>
    <col min="10501" max="10501" width="13.42578125" style="3" customWidth="1"/>
    <col min="10502" max="10502" width="12.7109375" style="3" customWidth="1"/>
    <col min="10503" max="10503" width="14" style="3" customWidth="1"/>
    <col min="10504" max="10504" width="7.42578125" style="3" customWidth="1"/>
    <col min="10505" max="10752" width="11.42578125" style="3"/>
    <col min="10753" max="10753" width="15.85546875" style="3" customWidth="1"/>
    <col min="10754" max="10754" width="14.85546875" style="3" customWidth="1"/>
    <col min="10755" max="10755" width="13.28515625" style="3" customWidth="1"/>
    <col min="10756" max="10756" width="11.42578125" style="3"/>
    <col min="10757" max="10757" width="13.42578125" style="3" customWidth="1"/>
    <col min="10758" max="10758" width="12.7109375" style="3" customWidth="1"/>
    <col min="10759" max="10759" width="14" style="3" customWidth="1"/>
    <col min="10760" max="10760" width="7.42578125" style="3" customWidth="1"/>
    <col min="10761" max="11008" width="11.42578125" style="3"/>
    <col min="11009" max="11009" width="15.85546875" style="3" customWidth="1"/>
    <col min="11010" max="11010" width="14.85546875" style="3" customWidth="1"/>
    <col min="11011" max="11011" width="13.28515625" style="3" customWidth="1"/>
    <col min="11012" max="11012" width="11.42578125" style="3"/>
    <col min="11013" max="11013" width="13.42578125" style="3" customWidth="1"/>
    <col min="11014" max="11014" width="12.7109375" style="3" customWidth="1"/>
    <col min="11015" max="11015" width="14" style="3" customWidth="1"/>
    <col min="11016" max="11016" width="7.42578125" style="3" customWidth="1"/>
    <col min="11017" max="11264" width="11.42578125" style="3"/>
    <col min="11265" max="11265" width="15.85546875" style="3" customWidth="1"/>
    <col min="11266" max="11266" width="14.85546875" style="3" customWidth="1"/>
    <col min="11267" max="11267" width="13.28515625" style="3" customWidth="1"/>
    <col min="11268" max="11268" width="11.42578125" style="3"/>
    <col min="11269" max="11269" width="13.42578125" style="3" customWidth="1"/>
    <col min="11270" max="11270" width="12.7109375" style="3" customWidth="1"/>
    <col min="11271" max="11271" width="14" style="3" customWidth="1"/>
    <col min="11272" max="11272" width="7.42578125" style="3" customWidth="1"/>
    <col min="11273" max="11520" width="11.42578125" style="3"/>
    <col min="11521" max="11521" width="15.85546875" style="3" customWidth="1"/>
    <col min="11522" max="11522" width="14.85546875" style="3" customWidth="1"/>
    <col min="11523" max="11523" width="13.28515625" style="3" customWidth="1"/>
    <col min="11524" max="11524" width="11.42578125" style="3"/>
    <col min="11525" max="11525" width="13.42578125" style="3" customWidth="1"/>
    <col min="11526" max="11526" width="12.7109375" style="3" customWidth="1"/>
    <col min="11527" max="11527" width="14" style="3" customWidth="1"/>
    <col min="11528" max="11528" width="7.42578125" style="3" customWidth="1"/>
    <col min="11529" max="11776" width="11.42578125" style="3"/>
    <col min="11777" max="11777" width="15.85546875" style="3" customWidth="1"/>
    <col min="11778" max="11778" width="14.85546875" style="3" customWidth="1"/>
    <col min="11779" max="11779" width="13.28515625" style="3" customWidth="1"/>
    <col min="11780" max="11780" width="11.42578125" style="3"/>
    <col min="11781" max="11781" width="13.42578125" style="3" customWidth="1"/>
    <col min="11782" max="11782" width="12.7109375" style="3" customWidth="1"/>
    <col min="11783" max="11783" width="14" style="3" customWidth="1"/>
    <col min="11784" max="11784" width="7.42578125" style="3" customWidth="1"/>
    <col min="11785" max="12032" width="11.42578125" style="3"/>
    <col min="12033" max="12033" width="15.85546875" style="3" customWidth="1"/>
    <col min="12034" max="12034" width="14.85546875" style="3" customWidth="1"/>
    <col min="12035" max="12035" width="13.28515625" style="3" customWidth="1"/>
    <col min="12036" max="12036" width="11.42578125" style="3"/>
    <col min="12037" max="12037" width="13.42578125" style="3" customWidth="1"/>
    <col min="12038" max="12038" width="12.7109375" style="3" customWidth="1"/>
    <col min="12039" max="12039" width="14" style="3" customWidth="1"/>
    <col min="12040" max="12040" width="7.42578125" style="3" customWidth="1"/>
    <col min="12041" max="12288" width="11.42578125" style="3"/>
    <col min="12289" max="12289" width="15.85546875" style="3" customWidth="1"/>
    <col min="12290" max="12290" width="14.85546875" style="3" customWidth="1"/>
    <col min="12291" max="12291" width="13.28515625" style="3" customWidth="1"/>
    <col min="12292" max="12292" width="11.42578125" style="3"/>
    <col min="12293" max="12293" width="13.42578125" style="3" customWidth="1"/>
    <col min="12294" max="12294" width="12.7109375" style="3" customWidth="1"/>
    <col min="12295" max="12295" width="14" style="3" customWidth="1"/>
    <col min="12296" max="12296" width="7.42578125" style="3" customWidth="1"/>
    <col min="12297" max="12544" width="11.42578125" style="3"/>
    <col min="12545" max="12545" width="15.85546875" style="3" customWidth="1"/>
    <col min="12546" max="12546" width="14.85546875" style="3" customWidth="1"/>
    <col min="12547" max="12547" width="13.28515625" style="3" customWidth="1"/>
    <col min="12548" max="12548" width="11.42578125" style="3"/>
    <col min="12549" max="12549" width="13.42578125" style="3" customWidth="1"/>
    <col min="12550" max="12550" width="12.7109375" style="3" customWidth="1"/>
    <col min="12551" max="12551" width="14" style="3" customWidth="1"/>
    <col min="12552" max="12552" width="7.42578125" style="3" customWidth="1"/>
    <col min="12553" max="12800" width="11.42578125" style="3"/>
    <col min="12801" max="12801" width="15.85546875" style="3" customWidth="1"/>
    <col min="12802" max="12802" width="14.85546875" style="3" customWidth="1"/>
    <col min="12803" max="12803" width="13.28515625" style="3" customWidth="1"/>
    <col min="12804" max="12804" width="11.42578125" style="3"/>
    <col min="12805" max="12805" width="13.42578125" style="3" customWidth="1"/>
    <col min="12806" max="12806" width="12.7109375" style="3" customWidth="1"/>
    <col min="12807" max="12807" width="14" style="3" customWidth="1"/>
    <col min="12808" max="12808" width="7.42578125" style="3" customWidth="1"/>
    <col min="12809" max="13056" width="11.42578125" style="3"/>
    <col min="13057" max="13057" width="15.85546875" style="3" customWidth="1"/>
    <col min="13058" max="13058" width="14.85546875" style="3" customWidth="1"/>
    <col min="13059" max="13059" width="13.28515625" style="3" customWidth="1"/>
    <col min="13060" max="13060" width="11.42578125" style="3"/>
    <col min="13061" max="13061" width="13.42578125" style="3" customWidth="1"/>
    <col min="13062" max="13062" width="12.7109375" style="3" customWidth="1"/>
    <col min="13063" max="13063" width="14" style="3" customWidth="1"/>
    <col min="13064" max="13064" width="7.42578125" style="3" customWidth="1"/>
    <col min="13065" max="13312" width="11.42578125" style="3"/>
    <col min="13313" max="13313" width="15.85546875" style="3" customWidth="1"/>
    <col min="13314" max="13314" width="14.85546875" style="3" customWidth="1"/>
    <col min="13315" max="13315" width="13.28515625" style="3" customWidth="1"/>
    <col min="13316" max="13316" width="11.42578125" style="3"/>
    <col min="13317" max="13317" width="13.42578125" style="3" customWidth="1"/>
    <col min="13318" max="13318" width="12.7109375" style="3" customWidth="1"/>
    <col min="13319" max="13319" width="14" style="3" customWidth="1"/>
    <col min="13320" max="13320" width="7.42578125" style="3" customWidth="1"/>
    <col min="13321" max="13568" width="11.42578125" style="3"/>
    <col min="13569" max="13569" width="15.85546875" style="3" customWidth="1"/>
    <col min="13570" max="13570" width="14.85546875" style="3" customWidth="1"/>
    <col min="13571" max="13571" width="13.28515625" style="3" customWidth="1"/>
    <col min="13572" max="13572" width="11.42578125" style="3"/>
    <col min="13573" max="13573" width="13.42578125" style="3" customWidth="1"/>
    <col min="13574" max="13574" width="12.7109375" style="3" customWidth="1"/>
    <col min="13575" max="13575" width="14" style="3" customWidth="1"/>
    <col min="13576" max="13576" width="7.42578125" style="3" customWidth="1"/>
    <col min="13577" max="13824" width="11.42578125" style="3"/>
    <col min="13825" max="13825" width="15.85546875" style="3" customWidth="1"/>
    <col min="13826" max="13826" width="14.85546875" style="3" customWidth="1"/>
    <col min="13827" max="13827" width="13.28515625" style="3" customWidth="1"/>
    <col min="13828" max="13828" width="11.42578125" style="3"/>
    <col min="13829" max="13829" width="13.42578125" style="3" customWidth="1"/>
    <col min="13830" max="13830" width="12.7109375" style="3" customWidth="1"/>
    <col min="13831" max="13831" width="14" style="3" customWidth="1"/>
    <col min="13832" max="13832" width="7.42578125" style="3" customWidth="1"/>
    <col min="13833" max="14080" width="11.42578125" style="3"/>
    <col min="14081" max="14081" width="15.85546875" style="3" customWidth="1"/>
    <col min="14082" max="14082" width="14.85546875" style="3" customWidth="1"/>
    <col min="14083" max="14083" width="13.28515625" style="3" customWidth="1"/>
    <col min="14084" max="14084" width="11.42578125" style="3"/>
    <col min="14085" max="14085" width="13.42578125" style="3" customWidth="1"/>
    <col min="14086" max="14086" width="12.7109375" style="3" customWidth="1"/>
    <col min="14087" max="14087" width="14" style="3" customWidth="1"/>
    <col min="14088" max="14088" width="7.42578125" style="3" customWidth="1"/>
    <col min="14089" max="14336" width="11.42578125" style="3"/>
    <col min="14337" max="14337" width="15.85546875" style="3" customWidth="1"/>
    <col min="14338" max="14338" width="14.85546875" style="3" customWidth="1"/>
    <col min="14339" max="14339" width="13.28515625" style="3" customWidth="1"/>
    <col min="14340" max="14340" width="11.42578125" style="3"/>
    <col min="14341" max="14341" width="13.42578125" style="3" customWidth="1"/>
    <col min="14342" max="14342" width="12.7109375" style="3" customWidth="1"/>
    <col min="14343" max="14343" width="14" style="3" customWidth="1"/>
    <col min="14344" max="14344" width="7.42578125" style="3" customWidth="1"/>
    <col min="14345" max="14592" width="11.42578125" style="3"/>
    <col min="14593" max="14593" width="15.85546875" style="3" customWidth="1"/>
    <col min="14594" max="14594" width="14.85546875" style="3" customWidth="1"/>
    <col min="14595" max="14595" width="13.28515625" style="3" customWidth="1"/>
    <col min="14596" max="14596" width="11.42578125" style="3"/>
    <col min="14597" max="14597" width="13.42578125" style="3" customWidth="1"/>
    <col min="14598" max="14598" width="12.7109375" style="3" customWidth="1"/>
    <col min="14599" max="14599" width="14" style="3" customWidth="1"/>
    <col min="14600" max="14600" width="7.42578125" style="3" customWidth="1"/>
    <col min="14601" max="14848" width="11.42578125" style="3"/>
    <col min="14849" max="14849" width="15.85546875" style="3" customWidth="1"/>
    <col min="14850" max="14850" width="14.85546875" style="3" customWidth="1"/>
    <col min="14851" max="14851" width="13.28515625" style="3" customWidth="1"/>
    <col min="14852" max="14852" width="11.42578125" style="3"/>
    <col min="14853" max="14853" width="13.42578125" style="3" customWidth="1"/>
    <col min="14854" max="14854" width="12.7109375" style="3" customWidth="1"/>
    <col min="14855" max="14855" width="14" style="3" customWidth="1"/>
    <col min="14856" max="14856" width="7.42578125" style="3" customWidth="1"/>
    <col min="14857" max="15104" width="11.42578125" style="3"/>
    <col min="15105" max="15105" width="15.85546875" style="3" customWidth="1"/>
    <col min="15106" max="15106" width="14.85546875" style="3" customWidth="1"/>
    <col min="15107" max="15107" width="13.28515625" style="3" customWidth="1"/>
    <col min="15108" max="15108" width="11.42578125" style="3"/>
    <col min="15109" max="15109" width="13.42578125" style="3" customWidth="1"/>
    <col min="15110" max="15110" width="12.7109375" style="3" customWidth="1"/>
    <col min="15111" max="15111" width="14" style="3" customWidth="1"/>
    <col min="15112" max="15112" width="7.42578125" style="3" customWidth="1"/>
    <col min="15113" max="15360" width="11.42578125" style="3"/>
    <col min="15361" max="15361" width="15.85546875" style="3" customWidth="1"/>
    <col min="15362" max="15362" width="14.85546875" style="3" customWidth="1"/>
    <col min="15363" max="15363" width="13.28515625" style="3" customWidth="1"/>
    <col min="15364" max="15364" width="11.42578125" style="3"/>
    <col min="15365" max="15365" width="13.42578125" style="3" customWidth="1"/>
    <col min="15366" max="15366" width="12.7109375" style="3" customWidth="1"/>
    <col min="15367" max="15367" width="14" style="3" customWidth="1"/>
    <col min="15368" max="15368" width="7.42578125" style="3" customWidth="1"/>
    <col min="15369" max="15616" width="11.42578125" style="3"/>
    <col min="15617" max="15617" width="15.85546875" style="3" customWidth="1"/>
    <col min="15618" max="15618" width="14.85546875" style="3" customWidth="1"/>
    <col min="15619" max="15619" width="13.28515625" style="3" customWidth="1"/>
    <col min="15620" max="15620" width="11.42578125" style="3"/>
    <col min="15621" max="15621" width="13.42578125" style="3" customWidth="1"/>
    <col min="15622" max="15622" width="12.7109375" style="3" customWidth="1"/>
    <col min="15623" max="15623" width="14" style="3" customWidth="1"/>
    <col min="15624" max="15624" width="7.42578125" style="3" customWidth="1"/>
    <col min="15625" max="15872" width="11.42578125" style="3"/>
    <col min="15873" max="15873" width="15.85546875" style="3" customWidth="1"/>
    <col min="15874" max="15874" width="14.85546875" style="3" customWidth="1"/>
    <col min="15875" max="15875" width="13.28515625" style="3" customWidth="1"/>
    <col min="15876" max="15876" width="11.42578125" style="3"/>
    <col min="15877" max="15877" width="13.42578125" style="3" customWidth="1"/>
    <col min="15878" max="15878" width="12.7109375" style="3" customWidth="1"/>
    <col min="15879" max="15879" width="14" style="3" customWidth="1"/>
    <col min="15880" max="15880" width="7.42578125" style="3" customWidth="1"/>
    <col min="15881" max="16128" width="11.42578125" style="3"/>
    <col min="16129" max="16129" width="15.85546875" style="3" customWidth="1"/>
    <col min="16130" max="16130" width="14.85546875" style="3" customWidth="1"/>
    <col min="16131" max="16131" width="13.28515625" style="3" customWidth="1"/>
    <col min="16132" max="16132" width="11.42578125" style="3"/>
    <col min="16133" max="16133" width="13.42578125" style="3" customWidth="1"/>
    <col min="16134" max="16134" width="12.7109375" style="3" customWidth="1"/>
    <col min="16135" max="16135" width="14" style="3" customWidth="1"/>
    <col min="16136" max="16136" width="7.42578125" style="3" customWidth="1"/>
    <col min="16137" max="16384" width="11.42578125" style="3"/>
  </cols>
  <sheetData>
    <row r="1" spans="1:21" ht="20.25">
      <c r="A1" s="1346" t="str">
        <f>PPTO!D3</f>
        <v>PRESUPUESTO
MUNICIPIO EL BAGRE (ANTIOQUIA).</v>
      </c>
      <c r="B1" s="1347"/>
      <c r="C1" s="1347"/>
      <c r="D1" s="1347"/>
      <c r="E1" s="1347"/>
      <c r="F1" s="1347"/>
      <c r="G1" s="1348"/>
      <c r="H1" s="1"/>
      <c r="I1" s="2"/>
    </row>
    <row r="2" spans="1:21" ht="18" customHeight="1">
      <c r="A2" s="1362" t="s">
        <v>16</v>
      </c>
      <c r="B2" s="1363"/>
      <c r="C2" s="1363"/>
      <c r="D2" s="1363"/>
      <c r="E2" s="1363"/>
      <c r="F2" s="1363"/>
      <c r="G2" s="1364"/>
      <c r="H2" s="1"/>
      <c r="I2" s="2"/>
    </row>
    <row r="3" spans="1:21" ht="27" customHeight="1">
      <c r="A3" s="1367" t="str">
        <f>+PPTO!$D$5</f>
        <v>PROYECTO DE MEJORAMIENTO VIAL, ESPACIO PUBLICO Y OBRAS COMPLEMENTARIAS DE LA AVENIDA LA JUVENTUD Y TRAMOS ADYACENTES Y PRIORITARIOS DEL SECTOR URBANO EN EL MUNICIPIO EL BAGRE ANTIOQUIA.</v>
      </c>
      <c r="B3" s="1368"/>
      <c r="C3" s="1368"/>
      <c r="D3" s="1368"/>
      <c r="E3" s="1368"/>
      <c r="F3" s="1368"/>
      <c r="G3" s="1369"/>
      <c r="H3" s="1"/>
      <c r="I3" s="2"/>
    </row>
    <row r="4" spans="1:21">
      <c r="A4" s="1370"/>
      <c r="B4" s="1368"/>
      <c r="C4" s="1368"/>
      <c r="D4" s="1368"/>
      <c r="E4" s="1368"/>
      <c r="F4" s="1368"/>
      <c r="G4" s="1369"/>
      <c r="H4" s="1"/>
      <c r="I4" s="2"/>
    </row>
    <row r="5" spans="1:21" ht="6.75" customHeight="1">
      <c r="A5" s="222"/>
      <c r="B5" s="6"/>
      <c r="C5" s="24"/>
      <c r="D5" s="25"/>
      <c r="E5" s="6"/>
      <c r="F5" s="6"/>
      <c r="G5" s="223"/>
      <c r="H5" s="9"/>
    </row>
    <row r="6" spans="1:21" ht="27" customHeight="1">
      <c r="A6" s="368">
        <v>6.49</v>
      </c>
      <c r="B6" s="1349" t="str">
        <f>VLOOKUP(A6,PPTO!D9:I136,2,FALSE)</f>
        <v>Tapas de concreto D=1.50, para pozo de inspeccion con tapa de aro con nucleo de concreto</v>
      </c>
      <c r="C6" s="1350"/>
      <c r="D6" s="1350"/>
      <c r="E6" s="1351"/>
      <c r="F6" s="192" t="s">
        <v>118</v>
      </c>
      <c r="G6" s="248" t="str">
        <f>VLOOKUP(A6,PPTO!D9:I136,3,FALSE)</f>
        <v>und</v>
      </c>
      <c r="H6" s="9"/>
    </row>
    <row r="7" spans="1:21" ht="3.75" customHeight="1">
      <c r="A7" s="226"/>
      <c r="B7" s="4"/>
      <c r="C7" s="6"/>
      <c r="D7" s="4"/>
      <c r="E7" s="4"/>
      <c r="F7" s="4"/>
      <c r="G7" s="227"/>
      <c r="H7" s="9"/>
    </row>
    <row r="8" spans="1:21" ht="22.5" customHeight="1">
      <c r="A8" s="1354" t="s">
        <v>69</v>
      </c>
      <c r="B8" s="1355"/>
      <c r="C8" s="1355"/>
      <c r="D8" s="1355"/>
      <c r="E8" s="1355"/>
      <c r="F8" s="1355"/>
      <c r="G8" s="1356"/>
      <c r="H8" s="9"/>
    </row>
    <row r="9" spans="1:21" ht="4.5" customHeight="1">
      <c r="A9" s="226"/>
      <c r="B9" s="4"/>
      <c r="C9" s="6"/>
      <c r="D9" s="4"/>
      <c r="E9" s="4"/>
      <c r="F9" s="4"/>
      <c r="G9" s="227"/>
      <c r="H9" s="9"/>
      <c r="I9" s="5"/>
      <c r="J9" s="5"/>
      <c r="K9" s="5"/>
      <c r="L9" s="26"/>
      <c r="M9" s="5"/>
      <c r="N9" s="5"/>
      <c r="O9" s="5"/>
      <c r="P9" s="5"/>
    </row>
    <row r="10" spans="1:21">
      <c r="A10" s="1373" t="s">
        <v>17</v>
      </c>
      <c r="B10" s="1374"/>
      <c r="C10" s="1374"/>
      <c r="D10" s="346" t="s">
        <v>18</v>
      </c>
      <c r="E10" s="346" t="s">
        <v>19</v>
      </c>
      <c r="F10" s="346" t="s">
        <v>20</v>
      </c>
      <c r="G10" s="228" t="s">
        <v>21</v>
      </c>
      <c r="H10" s="27"/>
      <c r="I10" s="28"/>
      <c r="J10" s="29"/>
      <c r="K10" s="30"/>
      <c r="L10" s="30"/>
      <c r="M10" s="30"/>
      <c r="N10" s="30"/>
      <c r="O10" s="30"/>
      <c r="P10" s="5"/>
    </row>
    <row r="11" spans="1:21">
      <c r="A11" s="1352" t="s">
        <v>47</v>
      </c>
      <c r="B11" s="1353"/>
      <c r="C11" s="1353"/>
      <c r="D11" s="346"/>
      <c r="E11" s="83"/>
      <c r="F11" s="97"/>
      <c r="G11" s="229">
        <f>+G39*10%</f>
        <v>10908</v>
      </c>
      <c r="H11" s="9"/>
      <c r="I11" s="30"/>
      <c r="J11" s="31"/>
      <c r="K11" s="30"/>
      <c r="L11" s="30"/>
      <c r="M11" s="30"/>
      <c r="N11" s="30"/>
      <c r="O11" s="30"/>
      <c r="P11" s="5"/>
    </row>
    <row r="12" spans="1:21">
      <c r="A12" s="1371"/>
      <c r="B12" s="1372"/>
      <c r="C12" s="1372"/>
      <c r="D12" s="83"/>
      <c r="E12" s="83"/>
      <c r="F12" s="93"/>
      <c r="G12" s="229"/>
      <c r="H12" s="9"/>
      <c r="I12" s="16"/>
      <c r="J12" s="13"/>
      <c r="K12" s="8"/>
      <c r="L12" s="8"/>
      <c r="M12" s="8"/>
      <c r="N12" s="8"/>
      <c r="O12" s="8"/>
      <c r="P12" s="5"/>
    </row>
    <row r="13" spans="1:21">
      <c r="A13" s="1371"/>
      <c r="B13" s="1372"/>
      <c r="C13" s="1372"/>
      <c r="D13" s="83"/>
      <c r="E13" s="83"/>
      <c r="F13" s="93"/>
      <c r="G13" s="229"/>
      <c r="H13" s="9"/>
      <c r="I13" s="13"/>
      <c r="J13" s="13"/>
      <c r="K13" s="13"/>
      <c r="L13" s="13"/>
      <c r="M13" s="13"/>
      <c r="N13" s="13"/>
      <c r="O13" s="13"/>
      <c r="P13" s="5"/>
    </row>
    <row r="14" spans="1:21">
      <c r="A14" s="1371"/>
      <c r="B14" s="1372"/>
      <c r="C14" s="1372"/>
      <c r="D14" s="83"/>
      <c r="E14" s="83"/>
      <c r="F14" s="93"/>
      <c r="G14" s="229"/>
      <c r="H14" s="9"/>
      <c r="I14" s="8"/>
      <c r="J14" s="14"/>
      <c r="K14" s="32"/>
      <c r="L14" s="14"/>
      <c r="M14" s="15"/>
      <c r="N14" s="15"/>
      <c r="O14" s="19"/>
      <c r="P14" s="5"/>
    </row>
    <row r="15" spans="1:21">
      <c r="A15" s="1371"/>
      <c r="B15" s="1372"/>
      <c r="C15" s="1372"/>
      <c r="D15" s="83"/>
      <c r="E15" s="83"/>
      <c r="F15" s="98"/>
      <c r="G15" s="229"/>
      <c r="H15" s="9"/>
      <c r="I15" s="8"/>
      <c r="J15" s="33"/>
      <c r="K15" s="32"/>
      <c r="L15" s="14"/>
      <c r="M15" s="15"/>
      <c r="N15" s="15"/>
      <c r="O15" s="19"/>
      <c r="P15" s="5"/>
      <c r="Q15" s="5"/>
      <c r="R15" s="5"/>
      <c r="S15" s="5"/>
      <c r="T15" s="5"/>
      <c r="U15" s="5"/>
    </row>
    <row r="16" spans="1:21">
      <c r="A16" s="1371"/>
      <c r="B16" s="1372"/>
      <c r="C16" s="1372"/>
      <c r="D16" s="85" t="s">
        <v>37</v>
      </c>
      <c r="E16" s="50"/>
      <c r="F16" s="49"/>
      <c r="G16" s="230">
        <f>SUM(G11:G15)</f>
        <v>10908</v>
      </c>
      <c r="H16" s="9"/>
      <c r="I16" s="34"/>
      <c r="J16" s="34"/>
      <c r="K16" s="35"/>
      <c r="L16" s="36"/>
      <c r="M16" s="7"/>
      <c r="N16" s="7"/>
      <c r="O16" s="19"/>
      <c r="P16" s="5"/>
      <c r="Q16" s="5"/>
      <c r="R16" s="5"/>
      <c r="S16" s="5"/>
      <c r="T16" s="5"/>
      <c r="U16" s="5"/>
    </row>
    <row r="17" spans="1:21" ht="4.5" customHeight="1">
      <c r="A17" s="226"/>
      <c r="B17" s="4"/>
      <c r="C17" s="6"/>
      <c r="D17" s="4"/>
      <c r="E17" s="4"/>
      <c r="F17" s="4"/>
      <c r="G17" s="227"/>
      <c r="H17" s="9"/>
      <c r="I17" s="34"/>
      <c r="J17" s="34"/>
      <c r="K17" s="35"/>
      <c r="L17" s="36"/>
      <c r="M17" s="7"/>
      <c r="N17" s="7"/>
      <c r="O17" s="19"/>
      <c r="P17" s="5"/>
      <c r="Q17" s="5"/>
      <c r="R17" s="5"/>
      <c r="S17" s="5"/>
      <c r="T17" s="5"/>
      <c r="U17" s="5"/>
    </row>
    <row r="18" spans="1:21" ht="22.5" customHeight="1">
      <c r="A18" s="1354" t="s">
        <v>70</v>
      </c>
      <c r="B18" s="1355"/>
      <c r="C18" s="1355"/>
      <c r="D18" s="1355"/>
      <c r="E18" s="1355"/>
      <c r="F18" s="1355"/>
      <c r="G18" s="1356"/>
      <c r="H18" s="9"/>
    </row>
    <row r="19" spans="1:21" ht="4.5" customHeight="1">
      <c r="A19" s="226"/>
      <c r="B19" s="4"/>
      <c r="C19" s="6"/>
      <c r="D19" s="4"/>
      <c r="E19" s="4"/>
      <c r="F19" s="38"/>
      <c r="G19" s="227"/>
      <c r="H19" s="9"/>
      <c r="I19" s="34"/>
      <c r="J19" s="34"/>
      <c r="K19" s="35"/>
      <c r="L19" s="39"/>
      <c r="M19" s="7"/>
      <c r="N19" s="7"/>
      <c r="O19" s="8"/>
      <c r="P19" s="5"/>
      <c r="Q19" s="5"/>
      <c r="R19" s="5"/>
      <c r="S19" s="5"/>
      <c r="T19" s="5"/>
      <c r="U19" s="5"/>
    </row>
    <row r="20" spans="1:21">
      <c r="A20" s="1373" t="s">
        <v>17</v>
      </c>
      <c r="B20" s="1374"/>
      <c r="C20" s="1374"/>
      <c r="D20" s="346" t="s">
        <v>3</v>
      </c>
      <c r="E20" s="346" t="s">
        <v>4</v>
      </c>
      <c r="F20" s="346" t="s">
        <v>25</v>
      </c>
      <c r="G20" s="228" t="s">
        <v>21</v>
      </c>
      <c r="H20" s="27"/>
      <c r="I20" s="34"/>
      <c r="J20" s="34"/>
      <c r="K20" s="35"/>
      <c r="L20" s="39"/>
      <c r="M20" s="7"/>
      <c r="N20" s="7"/>
      <c r="O20" s="8"/>
      <c r="P20" s="5"/>
      <c r="Q20" s="5"/>
      <c r="R20" s="5"/>
      <c r="S20" s="5"/>
      <c r="T20" s="5"/>
      <c r="U20" s="5"/>
    </row>
    <row r="21" spans="1:21" ht="31.5" customHeight="1">
      <c r="A21" s="1441" t="s">
        <v>267</v>
      </c>
      <c r="B21" s="1442"/>
      <c r="C21" s="1443"/>
      <c r="D21" s="118" t="s">
        <v>44</v>
      </c>
      <c r="E21" s="119">
        <f>(PI()*0.75^2*0.12)-(PI()*0.3^2*0.12)</f>
        <v>0.18</v>
      </c>
      <c r="F21" s="87">
        <f>'CONC 3000 PSI'!G43</f>
        <v>360849</v>
      </c>
      <c r="G21" s="67">
        <f>+F21*E21</f>
        <v>64953</v>
      </c>
      <c r="H21" s="9"/>
      <c r="I21" s="34"/>
      <c r="J21" s="34"/>
      <c r="K21" s="35"/>
      <c r="L21" s="36"/>
      <c r="M21" s="7"/>
      <c r="N21" s="7"/>
      <c r="O21" s="19"/>
      <c r="P21" s="5"/>
      <c r="Q21" s="5"/>
      <c r="R21" s="5"/>
      <c r="S21" s="5"/>
      <c r="T21" s="5"/>
      <c r="U21" s="5"/>
    </row>
    <row r="22" spans="1:21" ht="27.75" customHeight="1">
      <c r="A22" s="1444" t="s">
        <v>268</v>
      </c>
      <c r="B22" s="1403"/>
      <c r="C22" s="1404"/>
      <c r="D22" s="116" t="s">
        <v>44</v>
      </c>
      <c r="E22" s="117">
        <f>(PI()*0.35^2*0.09)</f>
        <v>0.03</v>
      </c>
      <c r="F22" s="91">
        <f>'CONC 3000 PSI'!G43</f>
        <v>360849</v>
      </c>
      <c r="G22" s="67">
        <f>+F22*E22</f>
        <v>10825</v>
      </c>
      <c r="H22" s="9"/>
      <c r="I22" s="10"/>
      <c r="J22" s="10"/>
      <c r="K22" s="12"/>
      <c r="L22" s="39"/>
      <c r="M22" s="7"/>
      <c r="N22" s="7"/>
      <c r="O22" s="15"/>
      <c r="P22" s="5"/>
      <c r="Q22" s="5"/>
      <c r="R22" s="5"/>
      <c r="S22" s="5"/>
      <c r="T22" s="5"/>
      <c r="U22" s="5"/>
    </row>
    <row r="23" spans="1:21">
      <c r="A23" s="1386" t="s">
        <v>269</v>
      </c>
      <c r="B23" s="1353"/>
      <c r="C23" s="1353"/>
      <c r="D23" s="79" t="s">
        <v>53</v>
      </c>
      <c r="E23" s="82">
        <f>SUM(E21:E22)*120</f>
        <v>25.2</v>
      </c>
      <c r="F23" s="83">
        <f>'4.9'!G42</f>
        <v>7260</v>
      </c>
      <c r="G23" s="67">
        <f>+F23*E23</f>
        <v>182952</v>
      </c>
      <c r="H23" s="9"/>
      <c r="I23" s="10"/>
      <c r="J23" s="10"/>
      <c r="K23" s="12"/>
      <c r="L23" s="39"/>
      <c r="M23" s="7"/>
      <c r="N23" s="7"/>
      <c r="O23" s="15"/>
      <c r="P23" s="5"/>
      <c r="Q23" s="5"/>
      <c r="R23" s="5"/>
      <c r="S23" s="5"/>
      <c r="T23" s="5"/>
      <c r="U23" s="5"/>
    </row>
    <row r="24" spans="1:21" ht="27" customHeight="1">
      <c r="A24" s="1377" t="s">
        <v>270</v>
      </c>
      <c r="B24" s="1378"/>
      <c r="C24" s="1378"/>
      <c r="D24" s="81" t="s">
        <v>53</v>
      </c>
      <c r="E24" s="88">
        <v>21.8</v>
      </c>
      <c r="F24" s="78">
        <v>12000</v>
      </c>
      <c r="G24" s="67">
        <f>+F24*E24</f>
        <v>261600</v>
      </c>
      <c r="H24" s="9"/>
      <c r="I24" s="10"/>
      <c r="J24" s="40"/>
      <c r="K24" s="12"/>
      <c r="L24" s="13"/>
      <c r="M24" s="14"/>
      <c r="N24" s="14"/>
      <c r="O24" s="15"/>
      <c r="P24" s="5"/>
      <c r="Q24" s="5"/>
      <c r="R24" s="5"/>
      <c r="S24" s="5"/>
      <c r="T24" s="5"/>
      <c r="U24" s="5"/>
    </row>
    <row r="25" spans="1:21">
      <c r="A25" s="1352"/>
      <c r="B25" s="1353"/>
      <c r="C25" s="1353"/>
      <c r="D25" s="81"/>
      <c r="E25" s="82"/>
      <c r="F25" s="78"/>
      <c r="G25" s="67"/>
      <c r="H25" s="9"/>
      <c r="I25" s="10"/>
      <c r="J25" s="11"/>
      <c r="K25" s="12"/>
      <c r="L25" s="13"/>
      <c r="M25" s="14"/>
      <c r="N25" s="14"/>
      <c r="O25" s="15"/>
      <c r="P25" s="5"/>
      <c r="Q25" s="5"/>
      <c r="R25" s="5"/>
      <c r="S25" s="5"/>
      <c r="T25" s="5"/>
      <c r="U25" s="5"/>
    </row>
    <row r="26" spans="1:21">
      <c r="A26" s="1352"/>
      <c r="B26" s="1353"/>
      <c r="C26" s="1353"/>
      <c r="D26" s="79"/>
      <c r="E26" s="82"/>
      <c r="F26" s="78"/>
      <c r="G26" s="67"/>
      <c r="H26" s="9"/>
      <c r="I26" s="10"/>
      <c r="J26" s="11"/>
      <c r="K26" s="12"/>
      <c r="L26" s="13"/>
      <c r="M26" s="14"/>
      <c r="N26" s="14"/>
      <c r="O26" s="15"/>
      <c r="P26" s="5"/>
      <c r="Q26" s="5"/>
      <c r="R26" s="5"/>
      <c r="S26" s="5"/>
      <c r="T26" s="5"/>
      <c r="U26" s="5"/>
    </row>
    <row r="27" spans="1:21">
      <c r="A27" s="1352"/>
      <c r="B27" s="1353"/>
      <c r="C27" s="1353"/>
      <c r="D27" s="79"/>
      <c r="E27" s="82"/>
      <c r="F27" s="78"/>
      <c r="G27" s="231"/>
      <c r="H27" s="9"/>
      <c r="I27" s="10"/>
      <c r="J27" s="11"/>
      <c r="K27" s="12"/>
      <c r="L27" s="13"/>
      <c r="M27" s="14"/>
      <c r="N27" s="14"/>
      <c r="O27" s="15"/>
      <c r="P27" s="5"/>
      <c r="Q27" s="5"/>
      <c r="R27" s="5"/>
      <c r="S27" s="5"/>
      <c r="T27" s="5"/>
      <c r="U27" s="5"/>
    </row>
    <row r="28" spans="1:21">
      <c r="A28" s="1352"/>
      <c r="B28" s="1353"/>
      <c r="C28" s="1353"/>
      <c r="D28" s="79"/>
      <c r="E28" s="82"/>
      <c r="F28" s="83"/>
      <c r="G28" s="231"/>
      <c r="H28" s="9"/>
      <c r="I28" s="41"/>
      <c r="J28" s="41"/>
      <c r="K28" s="12"/>
      <c r="L28" s="13"/>
      <c r="M28" s="14"/>
      <c r="N28" s="14"/>
      <c r="O28" s="15"/>
      <c r="P28" s="5"/>
      <c r="Q28" s="5"/>
      <c r="R28" s="5"/>
      <c r="S28" s="5"/>
      <c r="T28" s="5"/>
      <c r="U28" s="5"/>
    </row>
    <row r="29" spans="1:21">
      <c r="A29" s="1352"/>
      <c r="B29" s="1353"/>
      <c r="C29" s="1353"/>
      <c r="D29" s="84"/>
      <c r="E29" s="84"/>
      <c r="F29" s="83"/>
      <c r="G29" s="231"/>
      <c r="H29" s="9"/>
      <c r="I29" s="42"/>
      <c r="J29" s="42"/>
      <c r="K29" s="42"/>
      <c r="L29" s="13"/>
      <c r="M29" s="14"/>
      <c r="N29" s="14"/>
      <c r="O29" s="15"/>
      <c r="P29" s="5"/>
      <c r="Q29" s="5"/>
      <c r="R29" s="5"/>
      <c r="S29" s="5"/>
      <c r="T29" s="5"/>
      <c r="U29" s="5"/>
    </row>
    <row r="30" spans="1:21">
      <c r="A30" s="1352"/>
      <c r="B30" s="1353"/>
      <c r="C30" s="1353"/>
      <c r="D30" s="85" t="s">
        <v>28</v>
      </c>
      <c r="E30" s="50"/>
      <c r="F30" s="49"/>
      <c r="G30" s="230">
        <f>SUM(G21:G29)</f>
        <v>520330</v>
      </c>
      <c r="H30" s="9"/>
      <c r="I30" s="8"/>
      <c r="J30" s="13"/>
      <c r="K30" s="8"/>
      <c r="L30" s="13"/>
      <c r="M30" s="14"/>
      <c r="N30" s="14"/>
      <c r="O30" s="15"/>
      <c r="P30" s="5"/>
    </row>
    <row r="31" spans="1:21" ht="3.75" customHeight="1">
      <c r="A31" s="226"/>
      <c r="B31" s="4"/>
      <c r="C31" s="6"/>
      <c r="D31" s="4"/>
      <c r="E31" s="4"/>
      <c r="F31" s="4"/>
      <c r="G31" s="227"/>
      <c r="H31" s="9"/>
      <c r="I31" s="8"/>
      <c r="J31" s="13"/>
      <c r="K31" s="18"/>
      <c r="L31" s="13"/>
      <c r="M31" s="33"/>
      <c r="N31" s="33"/>
      <c r="O31" s="15"/>
      <c r="P31" s="5"/>
    </row>
    <row r="32" spans="1:21" ht="22.5" customHeight="1">
      <c r="A32" s="1354" t="s">
        <v>71</v>
      </c>
      <c r="B32" s="1355"/>
      <c r="C32" s="1355"/>
      <c r="D32" s="1355"/>
      <c r="E32" s="1355"/>
      <c r="F32" s="1355"/>
      <c r="G32" s="1356"/>
      <c r="H32" s="9"/>
    </row>
    <row r="33" spans="1:16" ht="3.75" customHeight="1">
      <c r="A33" s="226"/>
      <c r="B33" s="4"/>
      <c r="C33" s="6"/>
      <c r="D33" s="4"/>
      <c r="E33" s="4"/>
      <c r="F33" s="4"/>
      <c r="G33" s="227"/>
      <c r="H33" s="9"/>
      <c r="I33" s="8"/>
      <c r="J33" s="13"/>
      <c r="K33" s="8"/>
      <c r="L33" s="8"/>
      <c r="M33" s="8"/>
      <c r="N33" s="8"/>
      <c r="O33" s="15"/>
      <c r="P33" s="5"/>
    </row>
    <row r="34" spans="1:16">
      <c r="A34" s="232" t="s">
        <v>5</v>
      </c>
      <c r="B34" s="60" t="s">
        <v>29</v>
      </c>
      <c r="C34" s="60" t="s">
        <v>30</v>
      </c>
      <c r="D34" s="60" t="s">
        <v>31</v>
      </c>
      <c r="E34" s="60" t="s">
        <v>32</v>
      </c>
      <c r="F34" s="60" t="s">
        <v>20</v>
      </c>
      <c r="G34" s="228" t="s">
        <v>33</v>
      </c>
      <c r="H34" s="27"/>
      <c r="I34" s="8"/>
      <c r="J34" s="13"/>
      <c r="K34" s="8"/>
      <c r="L34" s="8"/>
      <c r="M34" s="8"/>
      <c r="N34" s="8"/>
      <c r="O34" s="15"/>
      <c r="P34" s="5"/>
    </row>
    <row r="35" spans="1:16">
      <c r="A35" s="233" t="s">
        <v>41</v>
      </c>
      <c r="B35" s="63">
        <f>BOF</f>
        <v>51749</v>
      </c>
      <c r="C35" s="68">
        <f>ffpp</f>
        <v>0.64539999999999997</v>
      </c>
      <c r="D35" s="72">
        <v>1</v>
      </c>
      <c r="E35" s="66">
        <f>OF</f>
        <v>88696</v>
      </c>
      <c r="F35" s="65">
        <v>2.8</v>
      </c>
      <c r="G35" s="231">
        <f>ROUND(+D35*E35/F35,0)</f>
        <v>31677</v>
      </c>
      <c r="H35" s="9"/>
      <c r="I35" s="16"/>
      <c r="J35" s="13"/>
      <c r="K35" s="8"/>
      <c r="L35" s="8"/>
      <c r="M35" s="8"/>
      <c r="N35" s="8"/>
      <c r="O35" s="15"/>
      <c r="P35" s="5"/>
    </row>
    <row r="36" spans="1:16">
      <c r="A36" s="233" t="s">
        <v>38</v>
      </c>
      <c r="B36" s="63">
        <f>BOB</f>
        <v>41749</v>
      </c>
      <c r="C36" s="68">
        <f>ffpp</f>
        <v>0.64539999999999997</v>
      </c>
      <c r="D36" s="72">
        <v>3</v>
      </c>
      <c r="E36" s="66">
        <f>OB</f>
        <v>72242</v>
      </c>
      <c r="F36" s="65">
        <f>F35</f>
        <v>2.8</v>
      </c>
      <c r="G36" s="231">
        <f>ROUND(+D36*E36/F36,0)</f>
        <v>77402</v>
      </c>
      <c r="H36" s="9"/>
      <c r="I36" s="8"/>
      <c r="J36" s="8"/>
      <c r="K36" s="13"/>
      <c r="L36" s="13"/>
      <c r="M36" s="13"/>
      <c r="N36" s="13"/>
      <c r="O36" s="13"/>
      <c r="P36" s="5"/>
    </row>
    <row r="37" spans="1:16">
      <c r="A37" s="234"/>
      <c r="B37" s="50"/>
      <c r="C37" s="961"/>
      <c r="D37" s="50"/>
      <c r="E37" s="66"/>
      <c r="F37" s="65"/>
      <c r="G37" s="231"/>
      <c r="H37" s="9"/>
      <c r="I37" s="8"/>
      <c r="J37" s="13"/>
      <c r="K37" s="13"/>
      <c r="L37" s="13"/>
      <c r="M37" s="33"/>
      <c r="N37" s="33"/>
      <c r="O37" s="43"/>
      <c r="P37" s="5"/>
    </row>
    <row r="38" spans="1:16">
      <c r="A38" s="233"/>
      <c r="B38" s="65"/>
      <c r="C38" s="68"/>
      <c r="D38" s="65"/>
      <c r="E38" s="69"/>
      <c r="F38" s="69"/>
      <c r="G38" s="236"/>
      <c r="H38" s="9"/>
      <c r="I38" s="8"/>
      <c r="J38" s="13"/>
      <c r="K38" s="13"/>
      <c r="L38" s="13"/>
      <c r="M38" s="33"/>
      <c r="N38" s="33"/>
      <c r="O38" s="43"/>
      <c r="P38" s="5"/>
    </row>
    <row r="39" spans="1:16">
      <c r="A39" s="249"/>
      <c r="B39" s="71"/>
      <c r="C39" s="71"/>
      <c r="D39" s="71" t="s">
        <v>34</v>
      </c>
      <c r="E39" s="71"/>
      <c r="F39" s="71"/>
      <c r="G39" s="250">
        <f>SUM(G35:G38)</f>
        <v>109079</v>
      </c>
      <c r="H39" s="9"/>
      <c r="I39" s="8"/>
      <c r="J39" s="13"/>
      <c r="K39" s="13"/>
      <c r="L39" s="13"/>
      <c r="M39" s="14"/>
      <c r="N39" s="14"/>
      <c r="O39" s="15"/>
      <c r="P39" s="5"/>
    </row>
    <row r="40" spans="1:16">
      <c r="A40" s="226"/>
      <c r="B40" s="4"/>
      <c r="C40" s="6"/>
      <c r="D40" s="4"/>
      <c r="E40" s="4"/>
      <c r="F40" s="4"/>
      <c r="G40" s="227"/>
      <c r="H40" s="9"/>
      <c r="I40" s="8"/>
      <c r="J40" s="13"/>
      <c r="K40" s="13"/>
      <c r="L40" s="13"/>
      <c r="M40" s="14"/>
      <c r="N40" s="14"/>
      <c r="O40" s="19"/>
      <c r="P40" s="5"/>
    </row>
    <row r="41" spans="1:16">
      <c r="A41" s="226"/>
      <c r="B41" s="4"/>
      <c r="C41" s="6"/>
      <c r="D41" s="4"/>
      <c r="E41" s="4"/>
      <c r="F41" s="4"/>
      <c r="G41" s="227"/>
      <c r="H41" s="9"/>
      <c r="I41" s="8"/>
      <c r="J41" s="13"/>
      <c r="K41" s="13"/>
      <c r="L41" s="13"/>
      <c r="M41" s="17"/>
      <c r="N41" s="17"/>
      <c r="O41" s="37"/>
      <c r="P41" s="5"/>
    </row>
    <row r="42" spans="1:16" ht="14.25">
      <c r="A42" s="226"/>
      <c r="B42" s="4"/>
      <c r="C42" s="6"/>
      <c r="D42" s="1357" t="s">
        <v>35</v>
      </c>
      <c r="E42" s="1358"/>
      <c r="F42" s="1359"/>
      <c r="G42" s="239">
        <f>+G39+G30+G16</f>
        <v>640317</v>
      </c>
      <c r="H42" s="9"/>
      <c r="I42" s="48"/>
      <c r="J42" s="20"/>
      <c r="K42" s="8"/>
      <c r="L42" s="8"/>
      <c r="M42" s="8"/>
      <c r="N42" s="8"/>
      <c r="O42" s="8"/>
      <c r="P42" s="5"/>
    </row>
    <row r="43" spans="1:16" ht="14.25">
      <c r="A43" s="240"/>
      <c r="B43" s="57"/>
      <c r="C43" s="58"/>
      <c r="D43" s="99"/>
      <c r="E43" s="99"/>
      <c r="F43" s="99"/>
      <c r="G43" s="251"/>
      <c r="H43" s="9"/>
      <c r="I43" s="48"/>
      <c r="J43" s="20"/>
      <c r="K43" s="8"/>
      <c r="L43" s="8"/>
      <c r="M43" s="8"/>
      <c r="N43" s="8"/>
      <c r="O43" s="8"/>
      <c r="P43" s="5"/>
    </row>
    <row r="44" spans="1:16" ht="14.25">
      <c r="A44" s="374"/>
      <c r="B44" s="375"/>
      <c r="C44" s="375"/>
      <c r="D44" s="99"/>
      <c r="E44" s="99"/>
      <c r="F44" s="99"/>
      <c r="G44" s="251"/>
      <c r="H44" s="9"/>
      <c r="I44" s="48"/>
      <c r="J44" s="20"/>
      <c r="K44" s="8"/>
      <c r="L44" s="8"/>
      <c r="M44" s="8"/>
      <c r="N44" s="8"/>
      <c r="O44" s="8"/>
      <c r="P44" s="5"/>
    </row>
    <row r="45" spans="1:16" ht="14.25">
      <c r="A45" s="373"/>
      <c r="B45" s="376"/>
      <c r="C45" s="376"/>
      <c r="D45" s="99"/>
      <c r="E45" s="99"/>
      <c r="F45" s="99"/>
      <c r="G45" s="251"/>
      <c r="H45" s="9"/>
      <c r="I45" s="48"/>
      <c r="J45" s="20"/>
      <c r="K45" s="8"/>
      <c r="L45" s="8"/>
      <c r="M45" s="8"/>
      <c r="N45" s="8"/>
      <c r="O45" s="8"/>
      <c r="P45" s="5"/>
    </row>
    <row r="46" spans="1:16" ht="14.25">
      <c r="A46" s="373"/>
      <c r="B46" s="376"/>
      <c r="C46" s="376"/>
      <c r="D46" s="44"/>
      <c r="E46" s="45"/>
      <c r="F46" s="45"/>
      <c r="G46" s="251"/>
      <c r="H46" s="9"/>
      <c r="I46" s="8"/>
      <c r="J46" s="13"/>
      <c r="K46" s="8"/>
      <c r="L46" s="8"/>
      <c r="M46" s="8"/>
      <c r="N46" s="8"/>
      <c r="O46" s="8"/>
      <c r="P46" s="5"/>
    </row>
    <row r="47" spans="1:16" ht="15" thickBot="1">
      <c r="A47" s="242"/>
      <c r="B47" s="243"/>
      <c r="C47" s="244"/>
      <c r="D47" s="245"/>
      <c r="E47" s="246"/>
      <c r="F47" s="246"/>
      <c r="G47" s="247"/>
      <c r="H47" s="9"/>
      <c r="I47" s="8"/>
      <c r="J47" s="13"/>
      <c r="K47" s="8"/>
      <c r="L47" s="8"/>
      <c r="M47" s="8"/>
      <c r="N47" s="8"/>
      <c r="O47" s="8"/>
      <c r="P47" s="5"/>
    </row>
    <row r="48" spans="1:16">
      <c r="I48" s="5"/>
      <c r="J48" s="5"/>
      <c r="K48" s="5"/>
      <c r="L48" s="5"/>
      <c r="M48" s="5"/>
      <c r="N48" s="5"/>
      <c r="O48" s="5"/>
      <c r="P48" s="5"/>
    </row>
    <row r="49" spans="9:16">
      <c r="I49" s="5"/>
      <c r="J49" s="5"/>
      <c r="K49" s="5"/>
      <c r="L49" s="5"/>
      <c r="M49" s="5"/>
      <c r="N49" s="5"/>
      <c r="O49" s="5"/>
      <c r="P49" s="5"/>
    </row>
  </sheetData>
  <mergeCells count="26">
    <mergeCell ref="A32:G32"/>
    <mergeCell ref="D42:F42"/>
    <mergeCell ref="A25:C25"/>
    <mergeCell ref="A26:C26"/>
    <mergeCell ref="A27:C27"/>
    <mergeCell ref="A28:C28"/>
    <mergeCell ref="A29:C29"/>
    <mergeCell ref="A30:C30"/>
    <mergeCell ref="A24:C24"/>
    <mergeCell ref="A11:C11"/>
    <mergeCell ref="A12:C12"/>
    <mergeCell ref="A13:C13"/>
    <mergeCell ref="A14:C14"/>
    <mergeCell ref="A15:C15"/>
    <mergeCell ref="A16:C16"/>
    <mergeCell ref="A18:G18"/>
    <mergeCell ref="A20:C20"/>
    <mergeCell ref="A21:C21"/>
    <mergeCell ref="A22:C22"/>
    <mergeCell ref="A23:C23"/>
    <mergeCell ref="A10:C10"/>
    <mergeCell ref="A1:G1"/>
    <mergeCell ref="A2:G2"/>
    <mergeCell ref="A3:G4"/>
    <mergeCell ref="B6:E6"/>
    <mergeCell ref="A8:G8"/>
  </mergeCells>
  <printOptions horizontalCentered="1" verticalCentered="1"/>
  <pageMargins left="0.74803149606299213" right="0.74803149606299213" top="0" bottom="0.98425196850393704" header="0" footer="0"/>
  <pageSetup scale="90" orientation="portrait" r:id="rId1"/>
  <headerFooter alignWithMargins="0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94"/>
  <dimension ref="A1:U49"/>
  <sheetViews>
    <sheetView view="pageBreakPreview" topLeftCell="A9" zoomScaleNormal="100" zoomScaleSheetLayoutView="100" workbookViewId="0">
      <selection activeCell="I7" sqref="I7"/>
    </sheetView>
  </sheetViews>
  <sheetFormatPr baseColWidth="10" defaultColWidth="10.7109375" defaultRowHeight="12.75"/>
  <cols>
    <col min="1" max="1" width="15.85546875" style="3" customWidth="1"/>
    <col min="2" max="2" width="14.85546875" style="3" customWidth="1"/>
    <col min="3" max="3" width="13.28515625" style="3" customWidth="1"/>
    <col min="4" max="4" width="11.42578125" style="3"/>
    <col min="5" max="5" width="13.42578125" style="3" customWidth="1"/>
    <col min="6" max="6" width="12.7109375" style="3" customWidth="1"/>
    <col min="7" max="7" width="14" style="3" customWidth="1"/>
    <col min="8" max="8" width="7.42578125" style="3" customWidth="1"/>
    <col min="9" max="256" width="11.42578125" style="3"/>
    <col min="257" max="257" width="15.85546875" style="3" customWidth="1"/>
    <col min="258" max="258" width="14.85546875" style="3" customWidth="1"/>
    <col min="259" max="259" width="13.28515625" style="3" customWidth="1"/>
    <col min="260" max="260" width="11.42578125" style="3"/>
    <col min="261" max="261" width="13.42578125" style="3" customWidth="1"/>
    <col min="262" max="262" width="12.7109375" style="3" customWidth="1"/>
    <col min="263" max="263" width="14" style="3" customWidth="1"/>
    <col min="264" max="264" width="7.42578125" style="3" customWidth="1"/>
    <col min="265" max="512" width="11.42578125" style="3"/>
    <col min="513" max="513" width="15.85546875" style="3" customWidth="1"/>
    <col min="514" max="514" width="14.85546875" style="3" customWidth="1"/>
    <col min="515" max="515" width="13.28515625" style="3" customWidth="1"/>
    <col min="516" max="516" width="11.42578125" style="3"/>
    <col min="517" max="517" width="13.42578125" style="3" customWidth="1"/>
    <col min="518" max="518" width="12.7109375" style="3" customWidth="1"/>
    <col min="519" max="519" width="14" style="3" customWidth="1"/>
    <col min="520" max="520" width="7.42578125" style="3" customWidth="1"/>
    <col min="521" max="768" width="11.42578125" style="3"/>
    <col min="769" max="769" width="15.85546875" style="3" customWidth="1"/>
    <col min="770" max="770" width="14.85546875" style="3" customWidth="1"/>
    <col min="771" max="771" width="13.28515625" style="3" customWidth="1"/>
    <col min="772" max="772" width="11.42578125" style="3"/>
    <col min="773" max="773" width="13.42578125" style="3" customWidth="1"/>
    <col min="774" max="774" width="12.7109375" style="3" customWidth="1"/>
    <col min="775" max="775" width="14" style="3" customWidth="1"/>
    <col min="776" max="776" width="7.42578125" style="3" customWidth="1"/>
    <col min="777" max="1024" width="11.42578125" style="3"/>
    <col min="1025" max="1025" width="15.85546875" style="3" customWidth="1"/>
    <col min="1026" max="1026" width="14.85546875" style="3" customWidth="1"/>
    <col min="1027" max="1027" width="13.28515625" style="3" customWidth="1"/>
    <col min="1028" max="1028" width="11.42578125" style="3"/>
    <col min="1029" max="1029" width="13.42578125" style="3" customWidth="1"/>
    <col min="1030" max="1030" width="12.7109375" style="3" customWidth="1"/>
    <col min="1031" max="1031" width="14" style="3" customWidth="1"/>
    <col min="1032" max="1032" width="7.42578125" style="3" customWidth="1"/>
    <col min="1033" max="1280" width="11.42578125" style="3"/>
    <col min="1281" max="1281" width="15.85546875" style="3" customWidth="1"/>
    <col min="1282" max="1282" width="14.85546875" style="3" customWidth="1"/>
    <col min="1283" max="1283" width="13.28515625" style="3" customWidth="1"/>
    <col min="1284" max="1284" width="11.42578125" style="3"/>
    <col min="1285" max="1285" width="13.42578125" style="3" customWidth="1"/>
    <col min="1286" max="1286" width="12.7109375" style="3" customWidth="1"/>
    <col min="1287" max="1287" width="14" style="3" customWidth="1"/>
    <col min="1288" max="1288" width="7.42578125" style="3" customWidth="1"/>
    <col min="1289" max="1536" width="11.42578125" style="3"/>
    <col min="1537" max="1537" width="15.85546875" style="3" customWidth="1"/>
    <col min="1538" max="1538" width="14.85546875" style="3" customWidth="1"/>
    <col min="1539" max="1539" width="13.28515625" style="3" customWidth="1"/>
    <col min="1540" max="1540" width="11.42578125" style="3"/>
    <col min="1541" max="1541" width="13.42578125" style="3" customWidth="1"/>
    <col min="1542" max="1542" width="12.7109375" style="3" customWidth="1"/>
    <col min="1543" max="1543" width="14" style="3" customWidth="1"/>
    <col min="1544" max="1544" width="7.42578125" style="3" customWidth="1"/>
    <col min="1545" max="1792" width="11.42578125" style="3"/>
    <col min="1793" max="1793" width="15.85546875" style="3" customWidth="1"/>
    <col min="1794" max="1794" width="14.85546875" style="3" customWidth="1"/>
    <col min="1795" max="1795" width="13.28515625" style="3" customWidth="1"/>
    <col min="1796" max="1796" width="11.42578125" style="3"/>
    <col min="1797" max="1797" width="13.42578125" style="3" customWidth="1"/>
    <col min="1798" max="1798" width="12.7109375" style="3" customWidth="1"/>
    <col min="1799" max="1799" width="14" style="3" customWidth="1"/>
    <col min="1800" max="1800" width="7.42578125" style="3" customWidth="1"/>
    <col min="1801" max="2048" width="11.42578125" style="3"/>
    <col min="2049" max="2049" width="15.85546875" style="3" customWidth="1"/>
    <col min="2050" max="2050" width="14.85546875" style="3" customWidth="1"/>
    <col min="2051" max="2051" width="13.28515625" style="3" customWidth="1"/>
    <col min="2052" max="2052" width="11.42578125" style="3"/>
    <col min="2053" max="2053" width="13.42578125" style="3" customWidth="1"/>
    <col min="2054" max="2054" width="12.7109375" style="3" customWidth="1"/>
    <col min="2055" max="2055" width="14" style="3" customWidth="1"/>
    <col min="2056" max="2056" width="7.42578125" style="3" customWidth="1"/>
    <col min="2057" max="2304" width="11.42578125" style="3"/>
    <col min="2305" max="2305" width="15.85546875" style="3" customWidth="1"/>
    <col min="2306" max="2306" width="14.85546875" style="3" customWidth="1"/>
    <col min="2307" max="2307" width="13.28515625" style="3" customWidth="1"/>
    <col min="2308" max="2308" width="11.42578125" style="3"/>
    <col min="2309" max="2309" width="13.42578125" style="3" customWidth="1"/>
    <col min="2310" max="2310" width="12.7109375" style="3" customWidth="1"/>
    <col min="2311" max="2311" width="14" style="3" customWidth="1"/>
    <col min="2312" max="2312" width="7.42578125" style="3" customWidth="1"/>
    <col min="2313" max="2560" width="11.42578125" style="3"/>
    <col min="2561" max="2561" width="15.85546875" style="3" customWidth="1"/>
    <col min="2562" max="2562" width="14.85546875" style="3" customWidth="1"/>
    <col min="2563" max="2563" width="13.28515625" style="3" customWidth="1"/>
    <col min="2564" max="2564" width="11.42578125" style="3"/>
    <col min="2565" max="2565" width="13.42578125" style="3" customWidth="1"/>
    <col min="2566" max="2566" width="12.7109375" style="3" customWidth="1"/>
    <col min="2567" max="2567" width="14" style="3" customWidth="1"/>
    <col min="2568" max="2568" width="7.42578125" style="3" customWidth="1"/>
    <col min="2569" max="2816" width="11.42578125" style="3"/>
    <col min="2817" max="2817" width="15.85546875" style="3" customWidth="1"/>
    <col min="2818" max="2818" width="14.85546875" style="3" customWidth="1"/>
    <col min="2819" max="2819" width="13.28515625" style="3" customWidth="1"/>
    <col min="2820" max="2820" width="11.42578125" style="3"/>
    <col min="2821" max="2821" width="13.42578125" style="3" customWidth="1"/>
    <col min="2822" max="2822" width="12.7109375" style="3" customWidth="1"/>
    <col min="2823" max="2823" width="14" style="3" customWidth="1"/>
    <col min="2824" max="2824" width="7.42578125" style="3" customWidth="1"/>
    <col min="2825" max="3072" width="11.42578125" style="3"/>
    <col min="3073" max="3073" width="15.85546875" style="3" customWidth="1"/>
    <col min="3074" max="3074" width="14.85546875" style="3" customWidth="1"/>
    <col min="3075" max="3075" width="13.28515625" style="3" customWidth="1"/>
    <col min="3076" max="3076" width="11.42578125" style="3"/>
    <col min="3077" max="3077" width="13.42578125" style="3" customWidth="1"/>
    <col min="3078" max="3078" width="12.7109375" style="3" customWidth="1"/>
    <col min="3079" max="3079" width="14" style="3" customWidth="1"/>
    <col min="3080" max="3080" width="7.42578125" style="3" customWidth="1"/>
    <col min="3081" max="3328" width="11.42578125" style="3"/>
    <col min="3329" max="3329" width="15.85546875" style="3" customWidth="1"/>
    <col min="3330" max="3330" width="14.85546875" style="3" customWidth="1"/>
    <col min="3331" max="3331" width="13.28515625" style="3" customWidth="1"/>
    <col min="3332" max="3332" width="11.42578125" style="3"/>
    <col min="3333" max="3333" width="13.42578125" style="3" customWidth="1"/>
    <col min="3334" max="3334" width="12.7109375" style="3" customWidth="1"/>
    <col min="3335" max="3335" width="14" style="3" customWidth="1"/>
    <col min="3336" max="3336" width="7.42578125" style="3" customWidth="1"/>
    <col min="3337" max="3584" width="11.42578125" style="3"/>
    <col min="3585" max="3585" width="15.85546875" style="3" customWidth="1"/>
    <col min="3586" max="3586" width="14.85546875" style="3" customWidth="1"/>
    <col min="3587" max="3587" width="13.28515625" style="3" customWidth="1"/>
    <col min="3588" max="3588" width="11.42578125" style="3"/>
    <col min="3589" max="3589" width="13.42578125" style="3" customWidth="1"/>
    <col min="3590" max="3590" width="12.7109375" style="3" customWidth="1"/>
    <col min="3591" max="3591" width="14" style="3" customWidth="1"/>
    <col min="3592" max="3592" width="7.42578125" style="3" customWidth="1"/>
    <col min="3593" max="3840" width="11.42578125" style="3"/>
    <col min="3841" max="3841" width="15.85546875" style="3" customWidth="1"/>
    <col min="3842" max="3842" width="14.85546875" style="3" customWidth="1"/>
    <col min="3843" max="3843" width="13.28515625" style="3" customWidth="1"/>
    <col min="3844" max="3844" width="11.42578125" style="3"/>
    <col min="3845" max="3845" width="13.42578125" style="3" customWidth="1"/>
    <col min="3846" max="3846" width="12.7109375" style="3" customWidth="1"/>
    <col min="3847" max="3847" width="14" style="3" customWidth="1"/>
    <col min="3848" max="3848" width="7.42578125" style="3" customWidth="1"/>
    <col min="3849" max="4096" width="11.42578125" style="3"/>
    <col min="4097" max="4097" width="15.85546875" style="3" customWidth="1"/>
    <col min="4098" max="4098" width="14.85546875" style="3" customWidth="1"/>
    <col min="4099" max="4099" width="13.28515625" style="3" customWidth="1"/>
    <col min="4100" max="4100" width="11.42578125" style="3"/>
    <col min="4101" max="4101" width="13.42578125" style="3" customWidth="1"/>
    <col min="4102" max="4102" width="12.7109375" style="3" customWidth="1"/>
    <col min="4103" max="4103" width="14" style="3" customWidth="1"/>
    <col min="4104" max="4104" width="7.42578125" style="3" customWidth="1"/>
    <col min="4105" max="4352" width="11.42578125" style="3"/>
    <col min="4353" max="4353" width="15.85546875" style="3" customWidth="1"/>
    <col min="4354" max="4354" width="14.85546875" style="3" customWidth="1"/>
    <col min="4355" max="4355" width="13.28515625" style="3" customWidth="1"/>
    <col min="4356" max="4356" width="11.42578125" style="3"/>
    <col min="4357" max="4357" width="13.42578125" style="3" customWidth="1"/>
    <col min="4358" max="4358" width="12.7109375" style="3" customWidth="1"/>
    <col min="4359" max="4359" width="14" style="3" customWidth="1"/>
    <col min="4360" max="4360" width="7.42578125" style="3" customWidth="1"/>
    <col min="4361" max="4608" width="11.42578125" style="3"/>
    <col min="4609" max="4609" width="15.85546875" style="3" customWidth="1"/>
    <col min="4610" max="4610" width="14.85546875" style="3" customWidth="1"/>
    <col min="4611" max="4611" width="13.28515625" style="3" customWidth="1"/>
    <col min="4612" max="4612" width="11.42578125" style="3"/>
    <col min="4613" max="4613" width="13.42578125" style="3" customWidth="1"/>
    <col min="4614" max="4614" width="12.7109375" style="3" customWidth="1"/>
    <col min="4615" max="4615" width="14" style="3" customWidth="1"/>
    <col min="4616" max="4616" width="7.42578125" style="3" customWidth="1"/>
    <col min="4617" max="4864" width="11.42578125" style="3"/>
    <col min="4865" max="4865" width="15.85546875" style="3" customWidth="1"/>
    <col min="4866" max="4866" width="14.85546875" style="3" customWidth="1"/>
    <col min="4867" max="4867" width="13.28515625" style="3" customWidth="1"/>
    <col min="4868" max="4868" width="11.42578125" style="3"/>
    <col min="4869" max="4869" width="13.42578125" style="3" customWidth="1"/>
    <col min="4870" max="4870" width="12.7109375" style="3" customWidth="1"/>
    <col min="4871" max="4871" width="14" style="3" customWidth="1"/>
    <col min="4872" max="4872" width="7.42578125" style="3" customWidth="1"/>
    <col min="4873" max="5120" width="11.42578125" style="3"/>
    <col min="5121" max="5121" width="15.85546875" style="3" customWidth="1"/>
    <col min="5122" max="5122" width="14.85546875" style="3" customWidth="1"/>
    <col min="5123" max="5123" width="13.28515625" style="3" customWidth="1"/>
    <col min="5124" max="5124" width="11.42578125" style="3"/>
    <col min="5125" max="5125" width="13.42578125" style="3" customWidth="1"/>
    <col min="5126" max="5126" width="12.7109375" style="3" customWidth="1"/>
    <col min="5127" max="5127" width="14" style="3" customWidth="1"/>
    <col min="5128" max="5128" width="7.42578125" style="3" customWidth="1"/>
    <col min="5129" max="5376" width="11.42578125" style="3"/>
    <col min="5377" max="5377" width="15.85546875" style="3" customWidth="1"/>
    <col min="5378" max="5378" width="14.85546875" style="3" customWidth="1"/>
    <col min="5379" max="5379" width="13.28515625" style="3" customWidth="1"/>
    <col min="5380" max="5380" width="11.42578125" style="3"/>
    <col min="5381" max="5381" width="13.42578125" style="3" customWidth="1"/>
    <col min="5382" max="5382" width="12.7109375" style="3" customWidth="1"/>
    <col min="5383" max="5383" width="14" style="3" customWidth="1"/>
    <col min="5384" max="5384" width="7.42578125" style="3" customWidth="1"/>
    <col min="5385" max="5632" width="11.42578125" style="3"/>
    <col min="5633" max="5633" width="15.85546875" style="3" customWidth="1"/>
    <col min="5634" max="5634" width="14.85546875" style="3" customWidth="1"/>
    <col min="5635" max="5635" width="13.28515625" style="3" customWidth="1"/>
    <col min="5636" max="5636" width="11.42578125" style="3"/>
    <col min="5637" max="5637" width="13.42578125" style="3" customWidth="1"/>
    <col min="5638" max="5638" width="12.7109375" style="3" customWidth="1"/>
    <col min="5639" max="5639" width="14" style="3" customWidth="1"/>
    <col min="5640" max="5640" width="7.42578125" style="3" customWidth="1"/>
    <col min="5641" max="5888" width="11.42578125" style="3"/>
    <col min="5889" max="5889" width="15.85546875" style="3" customWidth="1"/>
    <col min="5890" max="5890" width="14.85546875" style="3" customWidth="1"/>
    <col min="5891" max="5891" width="13.28515625" style="3" customWidth="1"/>
    <col min="5892" max="5892" width="11.42578125" style="3"/>
    <col min="5893" max="5893" width="13.42578125" style="3" customWidth="1"/>
    <col min="5894" max="5894" width="12.7109375" style="3" customWidth="1"/>
    <col min="5895" max="5895" width="14" style="3" customWidth="1"/>
    <col min="5896" max="5896" width="7.42578125" style="3" customWidth="1"/>
    <col min="5897" max="6144" width="11.42578125" style="3"/>
    <col min="6145" max="6145" width="15.85546875" style="3" customWidth="1"/>
    <col min="6146" max="6146" width="14.85546875" style="3" customWidth="1"/>
    <col min="6147" max="6147" width="13.28515625" style="3" customWidth="1"/>
    <col min="6148" max="6148" width="11.42578125" style="3"/>
    <col min="6149" max="6149" width="13.42578125" style="3" customWidth="1"/>
    <col min="6150" max="6150" width="12.7109375" style="3" customWidth="1"/>
    <col min="6151" max="6151" width="14" style="3" customWidth="1"/>
    <col min="6152" max="6152" width="7.42578125" style="3" customWidth="1"/>
    <col min="6153" max="6400" width="11.42578125" style="3"/>
    <col min="6401" max="6401" width="15.85546875" style="3" customWidth="1"/>
    <col min="6402" max="6402" width="14.85546875" style="3" customWidth="1"/>
    <col min="6403" max="6403" width="13.28515625" style="3" customWidth="1"/>
    <col min="6404" max="6404" width="11.42578125" style="3"/>
    <col min="6405" max="6405" width="13.42578125" style="3" customWidth="1"/>
    <col min="6406" max="6406" width="12.7109375" style="3" customWidth="1"/>
    <col min="6407" max="6407" width="14" style="3" customWidth="1"/>
    <col min="6408" max="6408" width="7.42578125" style="3" customWidth="1"/>
    <col min="6409" max="6656" width="11.42578125" style="3"/>
    <col min="6657" max="6657" width="15.85546875" style="3" customWidth="1"/>
    <col min="6658" max="6658" width="14.85546875" style="3" customWidth="1"/>
    <col min="6659" max="6659" width="13.28515625" style="3" customWidth="1"/>
    <col min="6660" max="6660" width="11.42578125" style="3"/>
    <col min="6661" max="6661" width="13.42578125" style="3" customWidth="1"/>
    <col min="6662" max="6662" width="12.7109375" style="3" customWidth="1"/>
    <col min="6663" max="6663" width="14" style="3" customWidth="1"/>
    <col min="6664" max="6664" width="7.42578125" style="3" customWidth="1"/>
    <col min="6665" max="6912" width="11.42578125" style="3"/>
    <col min="6913" max="6913" width="15.85546875" style="3" customWidth="1"/>
    <col min="6914" max="6914" width="14.85546875" style="3" customWidth="1"/>
    <col min="6915" max="6915" width="13.28515625" style="3" customWidth="1"/>
    <col min="6916" max="6916" width="11.42578125" style="3"/>
    <col min="6917" max="6917" width="13.42578125" style="3" customWidth="1"/>
    <col min="6918" max="6918" width="12.7109375" style="3" customWidth="1"/>
    <col min="6919" max="6919" width="14" style="3" customWidth="1"/>
    <col min="6920" max="6920" width="7.42578125" style="3" customWidth="1"/>
    <col min="6921" max="7168" width="11.42578125" style="3"/>
    <col min="7169" max="7169" width="15.85546875" style="3" customWidth="1"/>
    <col min="7170" max="7170" width="14.85546875" style="3" customWidth="1"/>
    <col min="7171" max="7171" width="13.28515625" style="3" customWidth="1"/>
    <col min="7172" max="7172" width="11.42578125" style="3"/>
    <col min="7173" max="7173" width="13.42578125" style="3" customWidth="1"/>
    <col min="7174" max="7174" width="12.7109375" style="3" customWidth="1"/>
    <col min="7175" max="7175" width="14" style="3" customWidth="1"/>
    <col min="7176" max="7176" width="7.42578125" style="3" customWidth="1"/>
    <col min="7177" max="7424" width="11.42578125" style="3"/>
    <col min="7425" max="7425" width="15.85546875" style="3" customWidth="1"/>
    <col min="7426" max="7426" width="14.85546875" style="3" customWidth="1"/>
    <col min="7427" max="7427" width="13.28515625" style="3" customWidth="1"/>
    <col min="7428" max="7428" width="11.42578125" style="3"/>
    <col min="7429" max="7429" width="13.42578125" style="3" customWidth="1"/>
    <col min="7430" max="7430" width="12.7109375" style="3" customWidth="1"/>
    <col min="7431" max="7431" width="14" style="3" customWidth="1"/>
    <col min="7432" max="7432" width="7.42578125" style="3" customWidth="1"/>
    <col min="7433" max="7680" width="11.42578125" style="3"/>
    <col min="7681" max="7681" width="15.85546875" style="3" customWidth="1"/>
    <col min="7682" max="7682" width="14.85546875" style="3" customWidth="1"/>
    <col min="7683" max="7683" width="13.28515625" style="3" customWidth="1"/>
    <col min="7684" max="7684" width="11.42578125" style="3"/>
    <col min="7685" max="7685" width="13.42578125" style="3" customWidth="1"/>
    <col min="7686" max="7686" width="12.7109375" style="3" customWidth="1"/>
    <col min="7687" max="7687" width="14" style="3" customWidth="1"/>
    <col min="7688" max="7688" width="7.42578125" style="3" customWidth="1"/>
    <col min="7689" max="7936" width="11.42578125" style="3"/>
    <col min="7937" max="7937" width="15.85546875" style="3" customWidth="1"/>
    <col min="7938" max="7938" width="14.85546875" style="3" customWidth="1"/>
    <col min="7939" max="7939" width="13.28515625" style="3" customWidth="1"/>
    <col min="7940" max="7940" width="11.42578125" style="3"/>
    <col min="7941" max="7941" width="13.42578125" style="3" customWidth="1"/>
    <col min="7942" max="7942" width="12.7109375" style="3" customWidth="1"/>
    <col min="7943" max="7943" width="14" style="3" customWidth="1"/>
    <col min="7944" max="7944" width="7.42578125" style="3" customWidth="1"/>
    <col min="7945" max="8192" width="11.42578125" style="3"/>
    <col min="8193" max="8193" width="15.85546875" style="3" customWidth="1"/>
    <col min="8194" max="8194" width="14.85546875" style="3" customWidth="1"/>
    <col min="8195" max="8195" width="13.28515625" style="3" customWidth="1"/>
    <col min="8196" max="8196" width="11.42578125" style="3"/>
    <col min="8197" max="8197" width="13.42578125" style="3" customWidth="1"/>
    <col min="8198" max="8198" width="12.7109375" style="3" customWidth="1"/>
    <col min="8199" max="8199" width="14" style="3" customWidth="1"/>
    <col min="8200" max="8200" width="7.42578125" style="3" customWidth="1"/>
    <col min="8201" max="8448" width="11.42578125" style="3"/>
    <col min="8449" max="8449" width="15.85546875" style="3" customWidth="1"/>
    <col min="8450" max="8450" width="14.85546875" style="3" customWidth="1"/>
    <col min="8451" max="8451" width="13.28515625" style="3" customWidth="1"/>
    <col min="8452" max="8452" width="11.42578125" style="3"/>
    <col min="8453" max="8453" width="13.42578125" style="3" customWidth="1"/>
    <col min="8454" max="8454" width="12.7109375" style="3" customWidth="1"/>
    <col min="8455" max="8455" width="14" style="3" customWidth="1"/>
    <col min="8456" max="8456" width="7.42578125" style="3" customWidth="1"/>
    <col min="8457" max="8704" width="11.42578125" style="3"/>
    <col min="8705" max="8705" width="15.85546875" style="3" customWidth="1"/>
    <col min="8706" max="8706" width="14.85546875" style="3" customWidth="1"/>
    <col min="8707" max="8707" width="13.28515625" style="3" customWidth="1"/>
    <col min="8708" max="8708" width="11.42578125" style="3"/>
    <col min="8709" max="8709" width="13.42578125" style="3" customWidth="1"/>
    <col min="8710" max="8710" width="12.7109375" style="3" customWidth="1"/>
    <col min="8711" max="8711" width="14" style="3" customWidth="1"/>
    <col min="8712" max="8712" width="7.42578125" style="3" customWidth="1"/>
    <col min="8713" max="8960" width="11.42578125" style="3"/>
    <col min="8961" max="8961" width="15.85546875" style="3" customWidth="1"/>
    <col min="8962" max="8962" width="14.85546875" style="3" customWidth="1"/>
    <col min="8963" max="8963" width="13.28515625" style="3" customWidth="1"/>
    <col min="8964" max="8964" width="11.42578125" style="3"/>
    <col min="8965" max="8965" width="13.42578125" style="3" customWidth="1"/>
    <col min="8966" max="8966" width="12.7109375" style="3" customWidth="1"/>
    <col min="8967" max="8967" width="14" style="3" customWidth="1"/>
    <col min="8968" max="8968" width="7.42578125" style="3" customWidth="1"/>
    <col min="8969" max="9216" width="11.42578125" style="3"/>
    <col min="9217" max="9217" width="15.85546875" style="3" customWidth="1"/>
    <col min="9218" max="9218" width="14.85546875" style="3" customWidth="1"/>
    <col min="9219" max="9219" width="13.28515625" style="3" customWidth="1"/>
    <col min="9220" max="9220" width="11.42578125" style="3"/>
    <col min="9221" max="9221" width="13.42578125" style="3" customWidth="1"/>
    <col min="9222" max="9222" width="12.7109375" style="3" customWidth="1"/>
    <col min="9223" max="9223" width="14" style="3" customWidth="1"/>
    <col min="9224" max="9224" width="7.42578125" style="3" customWidth="1"/>
    <col min="9225" max="9472" width="11.42578125" style="3"/>
    <col min="9473" max="9473" width="15.85546875" style="3" customWidth="1"/>
    <col min="9474" max="9474" width="14.85546875" style="3" customWidth="1"/>
    <col min="9475" max="9475" width="13.28515625" style="3" customWidth="1"/>
    <col min="9476" max="9476" width="11.42578125" style="3"/>
    <col min="9477" max="9477" width="13.42578125" style="3" customWidth="1"/>
    <col min="9478" max="9478" width="12.7109375" style="3" customWidth="1"/>
    <col min="9479" max="9479" width="14" style="3" customWidth="1"/>
    <col min="9480" max="9480" width="7.42578125" style="3" customWidth="1"/>
    <col min="9481" max="9728" width="11.42578125" style="3"/>
    <col min="9729" max="9729" width="15.85546875" style="3" customWidth="1"/>
    <col min="9730" max="9730" width="14.85546875" style="3" customWidth="1"/>
    <col min="9731" max="9731" width="13.28515625" style="3" customWidth="1"/>
    <col min="9732" max="9732" width="11.42578125" style="3"/>
    <col min="9733" max="9733" width="13.42578125" style="3" customWidth="1"/>
    <col min="9734" max="9734" width="12.7109375" style="3" customWidth="1"/>
    <col min="9735" max="9735" width="14" style="3" customWidth="1"/>
    <col min="9736" max="9736" width="7.42578125" style="3" customWidth="1"/>
    <col min="9737" max="9984" width="11.42578125" style="3"/>
    <col min="9985" max="9985" width="15.85546875" style="3" customWidth="1"/>
    <col min="9986" max="9986" width="14.85546875" style="3" customWidth="1"/>
    <col min="9987" max="9987" width="13.28515625" style="3" customWidth="1"/>
    <col min="9988" max="9988" width="11.42578125" style="3"/>
    <col min="9989" max="9989" width="13.42578125" style="3" customWidth="1"/>
    <col min="9990" max="9990" width="12.7109375" style="3" customWidth="1"/>
    <col min="9991" max="9991" width="14" style="3" customWidth="1"/>
    <col min="9992" max="9992" width="7.42578125" style="3" customWidth="1"/>
    <col min="9993" max="10240" width="11.42578125" style="3"/>
    <col min="10241" max="10241" width="15.85546875" style="3" customWidth="1"/>
    <col min="10242" max="10242" width="14.85546875" style="3" customWidth="1"/>
    <col min="10243" max="10243" width="13.28515625" style="3" customWidth="1"/>
    <col min="10244" max="10244" width="11.42578125" style="3"/>
    <col min="10245" max="10245" width="13.42578125" style="3" customWidth="1"/>
    <col min="10246" max="10246" width="12.7109375" style="3" customWidth="1"/>
    <col min="10247" max="10247" width="14" style="3" customWidth="1"/>
    <col min="10248" max="10248" width="7.42578125" style="3" customWidth="1"/>
    <col min="10249" max="10496" width="11.42578125" style="3"/>
    <col min="10497" max="10497" width="15.85546875" style="3" customWidth="1"/>
    <col min="10498" max="10498" width="14.85546875" style="3" customWidth="1"/>
    <col min="10499" max="10499" width="13.28515625" style="3" customWidth="1"/>
    <col min="10500" max="10500" width="11.42578125" style="3"/>
    <col min="10501" max="10501" width="13.42578125" style="3" customWidth="1"/>
    <col min="10502" max="10502" width="12.7109375" style="3" customWidth="1"/>
    <col min="10503" max="10503" width="14" style="3" customWidth="1"/>
    <col min="10504" max="10504" width="7.42578125" style="3" customWidth="1"/>
    <col min="10505" max="10752" width="11.42578125" style="3"/>
    <col min="10753" max="10753" width="15.85546875" style="3" customWidth="1"/>
    <col min="10754" max="10754" width="14.85546875" style="3" customWidth="1"/>
    <col min="10755" max="10755" width="13.28515625" style="3" customWidth="1"/>
    <col min="10756" max="10756" width="11.42578125" style="3"/>
    <col min="10757" max="10757" width="13.42578125" style="3" customWidth="1"/>
    <col min="10758" max="10758" width="12.7109375" style="3" customWidth="1"/>
    <col min="10759" max="10759" width="14" style="3" customWidth="1"/>
    <col min="10760" max="10760" width="7.42578125" style="3" customWidth="1"/>
    <col min="10761" max="11008" width="11.42578125" style="3"/>
    <col min="11009" max="11009" width="15.85546875" style="3" customWidth="1"/>
    <col min="11010" max="11010" width="14.85546875" style="3" customWidth="1"/>
    <col min="11011" max="11011" width="13.28515625" style="3" customWidth="1"/>
    <col min="11012" max="11012" width="11.42578125" style="3"/>
    <col min="11013" max="11013" width="13.42578125" style="3" customWidth="1"/>
    <col min="11014" max="11014" width="12.7109375" style="3" customWidth="1"/>
    <col min="11015" max="11015" width="14" style="3" customWidth="1"/>
    <col min="11016" max="11016" width="7.42578125" style="3" customWidth="1"/>
    <col min="11017" max="11264" width="11.42578125" style="3"/>
    <col min="11265" max="11265" width="15.85546875" style="3" customWidth="1"/>
    <col min="11266" max="11266" width="14.85546875" style="3" customWidth="1"/>
    <col min="11267" max="11267" width="13.28515625" style="3" customWidth="1"/>
    <col min="11268" max="11268" width="11.42578125" style="3"/>
    <col min="11269" max="11269" width="13.42578125" style="3" customWidth="1"/>
    <col min="11270" max="11270" width="12.7109375" style="3" customWidth="1"/>
    <col min="11271" max="11271" width="14" style="3" customWidth="1"/>
    <col min="11272" max="11272" width="7.42578125" style="3" customWidth="1"/>
    <col min="11273" max="11520" width="11.42578125" style="3"/>
    <col min="11521" max="11521" width="15.85546875" style="3" customWidth="1"/>
    <col min="11522" max="11522" width="14.85546875" style="3" customWidth="1"/>
    <col min="11523" max="11523" width="13.28515625" style="3" customWidth="1"/>
    <col min="11524" max="11524" width="11.42578125" style="3"/>
    <col min="11525" max="11525" width="13.42578125" style="3" customWidth="1"/>
    <col min="11526" max="11526" width="12.7109375" style="3" customWidth="1"/>
    <col min="11527" max="11527" width="14" style="3" customWidth="1"/>
    <col min="11528" max="11528" width="7.42578125" style="3" customWidth="1"/>
    <col min="11529" max="11776" width="11.42578125" style="3"/>
    <col min="11777" max="11777" width="15.85546875" style="3" customWidth="1"/>
    <col min="11778" max="11778" width="14.85546875" style="3" customWidth="1"/>
    <col min="11779" max="11779" width="13.28515625" style="3" customWidth="1"/>
    <col min="11780" max="11780" width="11.42578125" style="3"/>
    <col min="11781" max="11781" width="13.42578125" style="3" customWidth="1"/>
    <col min="11782" max="11782" width="12.7109375" style="3" customWidth="1"/>
    <col min="11783" max="11783" width="14" style="3" customWidth="1"/>
    <col min="11784" max="11784" width="7.42578125" style="3" customWidth="1"/>
    <col min="11785" max="12032" width="11.42578125" style="3"/>
    <col min="12033" max="12033" width="15.85546875" style="3" customWidth="1"/>
    <col min="12034" max="12034" width="14.85546875" style="3" customWidth="1"/>
    <col min="12035" max="12035" width="13.28515625" style="3" customWidth="1"/>
    <col min="12036" max="12036" width="11.42578125" style="3"/>
    <col min="12037" max="12037" width="13.42578125" style="3" customWidth="1"/>
    <col min="12038" max="12038" width="12.7109375" style="3" customWidth="1"/>
    <col min="12039" max="12039" width="14" style="3" customWidth="1"/>
    <col min="12040" max="12040" width="7.42578125" style="3" customWidth="1"/>
    <col min="12041" max="12288" width="11.42578125" style="3"/>
    <col min="12289" max="12289" width="15.85546875" style="3" customWidth="1"/>
    <col min="12290" max="12290" width="14.85546875" style="3" customWidth="1"/>
    <col min="12291" max="12291" width="13.28515625" style="3" customWidth="1"/>
    <col min="12292" max="12292" width="11.42578125" style="3"/>
    <col min="12293" max="12293" width="13.42578125" style="3" customWidth="1"/>
    <col min="12294" max="12294" width="12.7109375" style="3" customWidth="1"/>
    <col min="12295" max="12295" width="14" style="3" customWidth="1"/>
    <col min="12296" max="12296" width="7.42578125" style="3" customWidth="1"/>
    <col min="12297" max="12544" width="11.42578125" style="3"/>
    <col min="12545" max="12545" width="15.85546875" style="3" customWidth="1"/>
    <col min="12546" max="12546" width="14.85546875" style="3" customWidth="1"/>
    <col min="12547" max="12547" width="13.28515625" style="3" customWidth="1"/>
    <col min="12548" max="12548" width="11.42578125" style="3"/>
    <col min="12549" max="12549" width="13.42578125" style="3" customWidth="1"/>
    <col min="12550" max="12550" width="12.7109375" style="3" customWidth="1"/>
    <col min="12551" max="12551" width="14" style="3" customWidth="1"/>
    <col min="12552" max="12552" width="7.42578125" style="3" customWidth="1"/>
    <col min="12553" max="12800" width="11.42578125" style="3"/>
    <col min="12801" max="12801" width="15.85546875" style="3" customWidth="1"/>
    <col min="12802" max="12802" width="14.85546875" style="3" customWidth="1"/>
    <col min="12803" max="12803" width="13.28515625" style="3" customWidth="1"/>
    <col min="12804" max="12804" width="11.42578125" style="3"/>
    <col min="12805" max="12805" width="13.42578125" style="3" customWidth="1"/>
    <col min="12806" max="12806" width="12.7109375" style="3" customWidth="1"/>
    <col min="12807" max="12807" width="14" style="3" customWidth="1"/>
    <col min="12808" max="12808" width="7.42578125" style="3" customWidth="1"/>
    <col min="12809" max="13056" width="11.42578125" style="3"/>
    <col min="13057" max="13057" width="15.85546875" style="3" customWidth="1"/>
    <col min="13058" max="13058" width="14.85546875" style="3" customWidth="1"/>
    <col min="13059" max="13059" width="13.28515625" style="3" customWidth="1"/>
    <col min="13060" max="13060" width="11.42578125" style="3"/>
    <col min="13061" max="13061" width="13.42578125" style="3" customWidth="1"/>
    <col min="13062" max="13062" width="12.7109375" style="3" customWidth="1"/>
    <col min="13063" max="13063" width="14" style="3" customWidth="1"/>
    <col min="13064" max="13064" width="7.42578125" style="3" customWidth="1"/>
    <col min="13065" max="13312" width="11.42578125" style="3"/>
    <col min="13313" max="13313" width="15.85546875" style="3" customWidth="1"/>
    <col min="13314" max="13314" width="14.85546875" style="3" customWidth="1"/>
    <col min="13315" max="13315" width="13.28515625" style="3" customWidth="1"/>
    <col min="13316" max="13316" width="11.42578125" style="3"/>
    <col min="13317" max="13317" width="13.42578125" style="3" customWidth="1"/>
    <col min="13318" max="13318" width="12.7109375" style="3" customWidth="1"/>
    <col min="13319" max="13319" width="14" style="3" customWidth="1"/>
    <col min="13320" max="13320" width="7.42578125" style="3" customWidth="1"/>
    <col min="13321" max="13568" width="11.42578125" style="3"/>
    <col min="13569" max="13569" width="15.85546875" style="3" customWidth="1"/>
    <col min="13570" max="13570" width="14.85546875" style="3" customWidth="1"/>
    <col min="13571" max="13571" width="13.28515625" style="3" customWidth="1"/>
    <col min="13572" max="13572" width="11.42578125" style="3"/>
    <col min="13573" max="13573" width="13.42578125" style="3" customWidth="1"/>
    <col min="13574" max="13574" width="12.7109375" style="3" customWidth="1"/>
    <col min="13575" max="13575" width="14" style="3" customWidth="1"/>
    <col min="13576" max="13576" width="7.42578125" style="3" customWidth="1"/>
    <col min="13577" max="13824" width="11.42578125" style="3"/>
    <col min="13825" max="13825" width="15.85546875" style="3" customWidth="1"/>
    <col min="13826" max="13826" width="14.85546875" style="3" customWidth="1"/>
    <col min="13827" max="13827" width="13.28515625" style="3" customWidth="1"/>
    <col min="13828" max="13828" width="11.42578125" style="3"/>
    <col min="13829" max="13829" width="13.42578125" style="3" customWidth="1"/>
    <col min="13830" max="13830" width="12.7109375" style="3" customWidth="1"/>
    <col min="13831" max="13831" width="14" style="3" customWidth="1"/>
    <col min="13832" max="13832" width="7.42578125" style="3" customWidth="1"/>
    <col min="13833" max="14080" width="11.42578125" style="3"/>
    <col min="14081" max="14081" width="15.85546875" style="3" customWidth="1"/>
    <col min="14082" max="14082" width="14.85546875" style="3" customWidth="1"/>
    <col min="14083" max="14083" width="13.28515625" style="3" customWidth="1"/>
    <col min="14084" max="14084" width="11.42578125" style="3"/>
    <col min="14085" max="14085" width="13.42578125" style="3" customWidth="1"/>
    <col min="14086" max="14086" width="12.7109375" style="3" customWidth="1"/>
    <col min="14087" max="14087" width="14" style="3" customWidth="1"/>
    <col min="14088" max="14088" width="7.42578125" style="3" customWidth="1"/>
    <col min="14089" max="14336" width="11.42578125" style="3"/>
    <col min="14337" max="14337" width="15.85546875" style="3" customWidth="1"/>
    <col min="14338" max="14338" width="14.85546875" style="3" customWidth="1"/>
    <col min="14339" max="14339" width="13.28515625" style="3" customWidth="1"/>
    <col min="14340" max="14340" width="11.42578125" style="3"/>
    <col min="14341" max="14341" width="13.42578125" style="3" customWidth="1"/>
    <col min="14342" max="14342" width="12.7109375" style="3" customWidth="1"/>
    <col min="14343" max="14343" width="14" style="3" customWidth="1"/>
    <col min="14344" max="14344" width="7.42578125" style="3" customWidth="1"/>
    <col min="14345" max="14592" width="11.42578125" style="3"/>
    <col min="14593" max="14593" width="15.85546875" style="3" customWidth="1"/>
    <col min="14594" max="14594" width="14.85546875" style="3" customWidth="1"/>
    <col min="14595" max="14595" width="13.28515625" style="3" customWidth="1"/>
    <col min="14596" max="14596" width="11.42578125" style="3"/>
    <col min="14597" max="14597" width="13.42578125" style="3" customWidth="1"/>
    <col min="14598" max="14598" width="12.7109375" style="3" customWidth="1"/>
    <col min="14599" max="14599" width="14" style="3" customWidth="1"/>
    <col min="14600" max="14600" width="7.42578125" style="3" customWidth="1"/>
    <col min="14601" max="14848" width="11.42578125" style="3"/>
    <col min="14849" max="14849" width="15.85546875" style="3" customWidth="1"/>
    <col min="14850" max="14850" width="14.85546875" style="3" customWidth="1"/>
    <col min="14851" max="14851" width="13.28515625" style="3" customWidth="1"/>
    <col min="14852" max="14852" width="11.42578125" style="3"/>
    <col min="14853" max="14853" width="13.42578125" style="3" customWidth="1"/>
    <col min="14854" max="14854" width="12.7109375" style="3" customWidth="1"/>
    <col min="14855" max="14855" width="14" style="3" customWidth="1"/>
    <col min="14856" max="14856" width="7.42578125" style="3" customWidth="1"/>
    <col min="14857" max="15104" width="11.42578125" style="3"/>
    <col min="15105" max="15105" width="15.85546875" style="3" customWidth="1"/>
    <col min="15106" max="15106" width="14.85546875" style="3" customWidth="1"/>
    <col min="15107" max="15107" width="13.28515625" style="3" customWidth="1"/>
    <col min="15108" max="15108" width="11.42578125" style="3"/>
    <col min="15109" max="15109" width="13.42578125" style="3" customWidth="1"/>
    <col min="15110" max="15110" width="12.7109375" style="3" customWidth="1"/>
    <col min="15111" max="15111" width="14" style="3" customWidth="1"/>
    <col min="15112" max="15112" width="7.42578125" style="3" customWidth="1"/>
    <col min="15113" max="15360" width="11.42578125" style="3"/>
    <col min="15361" max="15361" width="15.85546875" style="3" customWidth="1"/>
    <col min="15362" max="15362" width="14.85546875" style="3" customWidth="1"/>
    <col min="15363" max="15363" width="13.28515625" style="3" customWidth="1"/>
    <col min="15364" max="15364" width="11.42578125" style="3"/>
    <col min="15365" max="15365" width="13.42578125" style="3" customWidth="1"/>
    <col min="15366" max="15366" width="12.7109375" style="3" customWidth="1"/>
    <col min="15367" max="15367" width="14" style="3" customWidth="1"/>
    <col min="15368" max="15368" width="7.42578125" style="3" customWidth="1"/>
    <col min="15369" max="15616" width="11.42578125" style="3"/>
    <col min="15617" max="15617" width="15.85546875" style="3" customWidth="1"/>
    <col min="15618" max="15618" width="14.85546875" style="3" customWidth="1"/>
    <col min="15619" max="15619" width="13.28515625" style="3" customWidth="1"/>
    <col min="15620" max="15620" width="11.42578125" style="3"/>
    <col min="15621" max="15621" width="13.42578125" style="3" customWidth="1"/>
    <col min="15622" max="15622" width="12.7109375" style="3" customWidth="1"/>
    <col min="15623" max="15623" width="14" style="3" customWidth="1"/>
    <col min="15624" max="15624" width="7.42578125" style="3" customWidth="1"/>
    <col min="15625" max="15872" width="11.42578125" style="3"/>
    <col min="15873" max="15873" width="15.85546875" style="3" customWidth="1"/>
    <col min="15874" max="15874" width="14.85546875" style="3" customWidth="1"/>
    <col min="15875" max="15875" width="13.28515625" style="3" customWidth="1"/>
    <col min="15876" max="15876" width="11.42578125" style="3"/>
    <col min="15877" max="15877" width="13.42578125" style="3" customWidth="1"/>
    <col min="15878" max="15878" width="12.7109375" style="3" customWidth="1"/>
    <col min="15879" max="15879" width="14" style="3" customWidth="1"/>
    <col min="15880" max="15880" width="7.42578125" style="3" customWidth="1"/>
    <col min="15881" max="16128" width="11.42578125" style="3"/>
    <col min="16129" max="16129" width="15.85546875" style="3" customWidth="1"/>
    <col min="16130" max="16130" width="14.85546875" style="3" customWidth="1"/>
    <col min="16131" max="16131" width="13.28515625" style="3" customWidth="1"/>
    <col min="16132" max="16132" width="11.42578125" style="3"/>
    <col min="16133" max="16133" width="13.42578125" style="3" customWidth="1"/>
    <col min="16134" max="16134" width="12.7109375" style="3" customWidth="1"/>
    <col min="16135" max="16135" width="14" style="3" customWidth="1"/>
    <col min="16136" max="16136" width="7.42578125" style="3" customWidth="1"/>
    <col min="16137" max="16384" width="11.42578125" style="3"/>
  </cols>
  <sheetData>
    <row r="1" spans="1:21" ht="20.25">
      <c r="A1" s="1346" t="str">
        <f>PPTO!D3</f>
        <v>PRESUPUESTO
MUNICIPIO EL BAGRE (ANTIOQUIA).</v>
      </c>
      <c r="B1" s="1347"/>
      <c r="C1" s="1347"/>
      <c r="D1" s="1347"/>
      <c r="E1" s="1347"/>
      <c r="F1" s="1347"/>
      <c r="G1" s="1348"/>
      <c r="H1" s="1"/>
      <c r="I1" s="2"/>
    </row>
    <row r="2" spans="1:21" ht="18" customHeight="1">
      <c r="A2" s="1362" t="s">
        <v>16</v>
      </c>
      <c r="B2" s="1363"/>
      <c r="C2" s="1363"/>
      <c r="D2" s="1363"/>
      <c r="E2" s="1363"/>
      <c r="F2" s="1363"/>
      <c r="G2" s="1364"/>
      <c r="H2" s="1"/>
      <c r="I2" s="2"/>
    </row>
    <row r="3" spans="1:21" ht="27" customHeight="1">
      <c r="A3" s="1367" t="str">
        <f>+PPTO!$D$5</f>
        <v>PROYECTO DE MEJORAMIENTO VIAL, ESPACIO PUBLICO Y OBRAS COMPLEMENTARIAS DE LA AVENIDA LA JUVENTUD Y TRAMOS ADYACENTES Y PRIORITARIOS DEL SECTOR URBANO EN EL MUNICIPIO EL BAGRE ANTIOQUIA.</v>
      </c>
      <c r="B3" s="1368"/>
      <c r="C3" s="1368"/>
      <c r="D3" s="1368"/>
      <c r="E3" s="1368"/>
      <c r="F3" s="1368"/>
      <c r="G3" s="1369"/>
      <c r="H3" s="1"/>
      <c r="I3" s="2"/>
    </row>
    <row r="4" spans="1:21" ht="12" customHeight="1">
      <c r="A4" s="1370"/>
      <c r="B4" s="1368"/>
      <c r="C4" s="1368"/>
      <c r="D4" s="1368"/>
      <c r="E4" s="1368"/>
      <c r="F4" s="1368"/>
      <c r="G4" s="1369"/>
      <c r="H4" s="1"/>
      <c r="I4" s="2"/>
    </row>
    <row r="5" spans="1:21" ht="6.75" customHeight="1">
      <c r="A5" s="222"/>
      <c r="B5" s="6"/>
      <c r="C5" s="24"/>
      <c r="D5" s="25"/>
      <c r="E5" s="6"/>
      <c r="F5" s="6"/>
      <c r="G5" s="223"/>
      <c r="H5" s="9"/>
    </row>
    <row r="6" spans="1:21" ht="39.75" customHeight="1">
      <c r="A6" s="371" t="s">
        <v>336</v>
      </c>
      <c r="B6" s="1349" t="e">
        <f>VLOOKUP(A6,PPTO!D9:I136,2,FALSE)</f>
        <v>#N/A</v>
      </c>
      <c r="C6" s="1350"/>
      <c r="D6" s="1350"/>
      <c r="E6" s="1351"/>
      <c r="F6" s="192" t="s">
        <v>118</v>
      </c>
      <c r="G6" s="248" t="e">
        <f>VLOOKUP(A6,PPTO!D9:I136,3,FALSE)</f>
        <v>#N/A</v>
      </c>
      <c r="H6" s="9"/>
      <c r="J6" s="3">
        <v>6</v>
      </c>
    </row>
    <row r="7" spans="1:21" ht="3.75" customHeight="1">
      <c r="A7" s="226"/>
      <c r="B7" s="4"/>
      <c r="C7" s="6"/>
      <c r="D7" s="4"/>
      <c r="E7" s="4"/>
      <c r="F7" s="4"/>
      <c r="G7" s="227"/>
      <c r="H7" s="9"/>
    </row>
    <row r="8" spans="1:21" ht="22.5" customHeight="1">
      <c r="A8" s="1354" t="s">
        <v>69</v>
      </c>
      <c r="B8" s="1355"/>
      <c r="C8" s="1355"/>
      <c r="D8" s="1355"/>
      <c r="E8" s="1355"/>
      <c r="F8" s="1355"/>
      <c r="G8" s="1356"/>
      <c r="H8" s="9"/>
      <c r="N8" s="486" t="s">
        <v>282</v>
      </c>
      <c r="O8" s="487" t="s">
        <v>283</v>
      </c>
      <c r="P8" s="487" t="s">
        <v>284</v>
      </c>
      <c r="Q8" s="487" t="s">
        <v>286</v>
      </c>
    </row>
    <row r="9" spans="1:21" ht="4.5" customHeight="1">
      <c r="A9" s="226"/>
      <c r="B9" s="4"/>
      <c r="C9" s="6"/>
      <c r="D9" s="4"/>
      <c r="E9" s="4"/>
      <c r="F9" s="4"/>
      <c r="G9" s="227"/>
      <c r="H9" s="9"/>
      <c r="I9" s="5"/>
      <c r="J9" s="5"/>
      <c r="K9" s="5"/>
      <c r="L9" s="26"/>
      <c r="M9" s="5"/>
      <c r="N9" s="30"/>
      <c r="O9" s="13"/>
      <c r="P9" s="31"/>
      <c r="Q9" s="487"/>
    </row>
    <row r="10" spans="1:21">
      <c r="A10" s="1373" t="s">
        <v>17</v>
      </c>
      <c r="B10" s="1374"/>
      <c r="C10" s="1374"/>
      <c r="D10" s="353" t="s">
        <v>18</v>
      </c>
      <c r="E10" s="353" t="s">
        <v>19</v>
      </c>
      <c r="F10" s="353" t="s">
        <v>20</v>
      </c>
      <c r="G10" s="228" t="s">
        <v>21</v>
      </c>
      <c r="H10" s="27"/>
      <c r="I10" s="28"/>
      <c r="J10" s="29"/>
      <c r="K10" s="30"/>
      <c r="L10" s="30"/>
      <c r="M10" s="30"/>
      <c r="N10" s="30">
        <v>3</v>
      </c>
      <c r="O10" s="13">
        <v>1.1000000000000001</v>
      </c>
      <c r="P10" s="488">
        <f>2/0.3</f>
        <v>7</v>
      </c>
      <c r="Q10" s="489">
        <f>((N10*0.0254)/8/2)^2*PI()*7850*O10*P10</f>
        <v>4.3099999999999996</v>
      </c>
    </row>
    <row r="11" spans="1:21">
      <c r="A11" s="1352" t="s">
        <v>47</v>
      </c>
      <c r="B11" s="1353"/>
      <c r="C11" s="1353"/>
      <c r="D11" s="353"/>
      <c r="E11" s="83"/>
      <c r="F11" s="97"/>
      <c r="G11" s="229">
        <f>+G39*10%</f>
        <v>179660</v>
      </c>
      <c r="H11" s="9"/>
      <c r="I11" s="30"/>
      <c r="J11" s="31"/>
      <c r="K11" s="30"/>
      <c r="L11" s="30"/>
      <c r="M11" s="30"/>
      <c r="N11" s="30">
        <v>3</v>
      </c>
      <c r="O11" s="13">
        <v>1.5</v>
      </c>
      <c r="P11" s="488">
        <f>2/0.3</f>
        <v>7</v>
      </c>
      <c r="Q11" s="489">
        <f t="shared" ref="Q11:Q26" si="0">((N11*0.0254)/8/2)^2*PI()*7850*O11*P11</f>
        <v>5.87</v>
      </c>
    </row>
    <row r="12" spans="1:21">
      <c r="A12" s="1371" t="s">
        <v>710</v>
      </c>
      <c r="B12" s="1372"/>
      <c r="C12" s="1372"/>
      <c r="D12" s="83" t="s">
        <v>119</v>
      </c>
      <c r="E12" s="83">
        <v>3500</v>
      </c>
      <c r="F12" s="93">
        <f>F35</f>
        <v>0.17</v>
      </c>
      <c r="G12" s="229">
        <f>E12/F12</f>
        <v>20588</v>
      </c>
      <c r="H12" s="9"/>
      <c r="I12" s="16"/>
      <c r="J12" s="13"/>
      <c r="K12" s="8"/>
      <c r="L12" s="8"/>
      <c r="M12" s="8"/>
      <c r="N12" s="30">
        <v>3</v>
      </c>
      <c r="O12" s="13">
        <f>2+0.15*2</f>
        <v>2.2999999999999998</v>
      </c>
      <c r="P12" s="488">
        <f>2/0.3</f>
        <v>7</v>
      </c>
      <c r="Q12" s="489">
        <f t="shared" si="0"/>
        <v>9.01</v>
      </c>
    </row>
    <row r="13" spans="1:21">
      <c r="A13" s="1371"/>
      <c r="B13" s="1372"/>
      <c r="C13" s="1372"/>
      <c r="D13" s="83"/>
      <c r="E13" s="83"/>
      <c r="F13" s="93"/>
      <c r="G13" s="229"/>
      <c r="H13" s="9"/>
      <c r="I13" s="13"/>
      <c r="J13" s="13"/>
      <c r="K13" s="13"/>
      <c r="L13" s="13"/>
      <c r="M13" s="13"/>
      <c r="N13" s="30">
        <v>3</v>
      </c>
      <c r="O13" s="13">
        <f>1.3+1+0.1</f>
        <v>2.4</v>
      </c>
      <c r="P13" s="488">
        <f>2/0.25</f>
        <v>8</v>
      </c>
      <c r="Q13" s="489">
        <f t="shared" si="0"/>
        <v>10.74</v>
      </c>
    </row>
    <row r="14" spans="1:21">
      <c r="A14" s="1371"/>
      <c r="B14" s="1372"/>
      <c r="C14" s="1372"/>
      <c r="D14" s="83"/>
      <c r="E14" s="83"/>
      <c r="F14" s="93"/>
      <c r="G14" s="229"/>
      <c r="H14" s="9"/>
      <c r="I14" s="8"/>
      <c r="J14" s="14"/>
      <c r="K14" s="32"/>
      <c r="L14" s="14"/>
      <c r="M14" s="15"/>
      <c r="N14" s="30">
        <v>3</v>
      </c>
      <c r="O14" s="13">
        <f>0.1*2+((0.6+(1/2)))</f>
        <v>1.3</v>
      </c>
      <c r="P14" s="488">
        <f>2/0.25</f>
        <v>8</v>
      </c>
      <c r="Q14" s="489">
        <f t="shared" si="0"/>
        <v>5.82</v>
      </c>
    </row>
    <row r="15" spans="1:21">
      <c r="A15" s="1371"/>
      <c r="B15" s="1372"/>
      <c r="C15" s="1372"/>
      <c r="D15" s="83"/>
      <c r="E15" s="83"/>
      <c r="F15" s="98"/>
      <c r="G15" s="229"/>
      <c r="H15" s="9"/>
      <c r="I15" s="8"/>
      <c r="J15" s="33"/>
      <c r="K15" s="32"/>
      <c r="L15" s="14"/>
      <c r="M15" s="15"/>
      <c r="N15" s="30">
        <v>3</v>
      </c>
      <c r="O15" s="485">
        <f>0.1*2+((0.3+(1/2)))</f>
        <v>1</v>
      </c>
      <c r="P15" s="488">
        <f>2/0.3</f>
        <v>7</v>
      </c>
      <c r="Q15" s="489">
        <f t="shared" si="0"/>
        <v>3.92</v>
      </c>
      <c r="R15" s="5"/>
      <c r="S15" s="5"/>
      <c r="T15" s="5"/>
      <c r="U15" s="5"/>
    </row>
    <row r="16" spans="1:21">
      <c r="A16" s="1371"/>
      <c r="B16" s="1372"/>
      <c r="C16" s="1372"/>
      <c r="D16" s="85" t="s">
        <v>37</v>
      </c>
      <c r="E16" s="50"/>
      <c r="F16" s="49"/>
      <c r="G16" s="230">
        <f>SUM(G11:G15)</f>
        <v>200248</v>
      </c>
      <c r="H16" s="9"/>
      <c r="I16" s="34"/>
      <c r="J16" s="34"/>
      <c r="K16" s="35"/>
      <c r="L16" s="36"/>
      <c r="M16" s="7"/>
      <c r="N16" s="30">
        <v>3</v>
      </c>
      <c r="O16" s="13">
        <f>2+0.1*2</f>
        <v>2.2000000000000002</v>
      </c>
      <c r="P16" s="488">
        <f>1/0.3</f>
        <v>3</v>
      </c>
      <c r="Q16" s="489">
        <f t="shared" si="0"/>
        <v>3.69</v>
      </c>
      <c r="R16" s="5"/>
      <c r="S16" s="5"/>
      <c r="T16" s="5"/>
      <c r="U16" s="5"/>
    </row>
    <row r="17" spans="1:21" ht="4.5" customHeight="1">
      <c r="A17" s="226"/>
      <c r="B17" s="4"/>
      <c r="C17" s="6"/>
      <c r="D17" s="4"/>
      <c r="E17" s="4"/>
      <c r="F17" s="4"/>
      <c r="G17" s="227"/>
      <c r="H17" s="9"/>
      <c r="I17" s="34"/>
      <c r="J17" s="34"/>
      <c r="K17" s="35"/>
      <c r="L17" s="36"/>
      <c r="M17" s="7"/>
      <c r="N17" s="30"/>
      <c r="O17" s="13"/>
      <c r="P17" s="488"/>
      <c r="Q17" s="489"/>
      <c r="R17" s="5"/>
      <c r="S17" s="5"/>
      <c r="T17" s="5"/>
      <c r="U17" s="5"/>
    </row>
    <row r="18" spans="1:21" ht="22.5" customHeight="1">
      <c r="A18" s="1354" t="s">
        <v>70</v>
      </c>
      <c r="B18" s="1355"/>
      <c r="C18" s="1355"/>
      <c r="D18" s="1355"/>
      <c r="E18" s="1355"/>
      <c r="F18" s="1355"/>
      <c r="G18" s="1356"/>
      <c r="H18" s="9"/>
      <c r="N18" s="30">
        <v>3</v>
      </c>
      <c r="O18" s="13">
        <f>2+0.1*2</f>
        <v>2.2000000000000002</v>
      </c>
      <c r="P18" s="488">
        <f>(1.3+1+1.6)/0.3</f>
        <v>13</v>
      </c>
      <c r="Q18" s="489">
        <f t="shared" si="0"/>
        <v>16</v>
      </c>
    </row>
    <row r="19" spans="1:21" ht="4.5" customHeight="1">
      <c r="A19" s="226"/>
      <c r="B19" s="4"/>
      <c r="C19" s="6"/>
      <c r="D19" s="4"/>
      <c r="E19" s="4"/>
      <c r="F19" s="38"/>
      <c r="G19" s="227"/>
      <c r="H19" s="9"/>
      <c r="I19" s="34"/>
      <c r="J19" s="34"/>
      <c r="K19" s="35"/>
      <c r="L19" s="39"/>
      <c r="M19" s="7"/>
      <c r="N19" s="30"/>
      <c r="O19" s="13"/>
      <c r="P19" s="488"/>
      <c r="Q19" s="489"/>
      <c r="R19" s="5"/>
      <c r="S19" s="5"/>
      <c r="T19" s="5"/>
      <c r="U19" s="5"/>
    </row>
    <row r="20" spans="1:21">
      <c r="A20" s="1373" t="s">
        <v>17</v>
      </c>
      <c r="B20" s="1374"/>
      <c r="C20" s="1374"/>
      <c r="D20" s="353" t="s">
        <v>3</v>
      </c>
      <c r="E20" s="353" t="s">
        <v>4</v>
      </c>
      <c r="F20" s="353" t="s">
        <v>25</v>
      </c>
      <c r="G20" s="228" t="s">
        <v>21</v>
      </c>
      <c r="H20" s="27"/>
      <c r="I20" s="34"/>
      <c r="J20" s="34"/>
      <c r="K20" s="35"/>
      <c r="L20" s="39"/>
      <c r="M20" s="7"/>
      <c r="N20" s="30">
        <v>3</v>
      </c>
      <c r="O20" s="13">
        <f>0.5+0.4</f>
        <v>0.9</v>
      </c>
      <c r="P20" s="488">
        <f>1/0.3</f>
        <v>3</v>
      </c>
      <c r="Q20" s="489">
        <f t="shared" si="0"/>
        <v>1.51</v>
      </c>
      <c r="R20" s="5"/>
      <c r="S20" s="5"/>
      <c r="T20" s="5"/>
      <c r="U20" s="5"/>
    </row>
    <row r="21" spans="1:21" ht="26.25" customHeight="1">
      <c r="A21" s="1441" t="s">
        <v>277</v>
      </c>
      <c r="B21" s="1442"/>
      <c r="C21" s="1443"/>
      <c r="D21" s="118" t="s">
        <v>44</v>
      </c>
      <c r="E21" s="119">
        <f>0.65*1*0.15+1.6*1*0.15+1.15*((0.65+1.6)/2)*0.15*2+0.55*1.6*0.15*2+(1.8)*0.7*0.15</f>
        <v>1.18</v>
      </c>
      <c r="F21" s="91">
        <f>'CONC 3000 PSI'!$G$43</f>
        <v>360849</v>
      </c>
      <c r="G21" s="67">
        <f>+F21*E21</f>
        <v>425802</v>
      </c>
      <c r="H21" s="9"/>
      <c r="I21" s="34"/>
      <c r="J21" s="34"/>
      <c r="K21" s="35"/>
      <c r="L21" s="36"/>
      <c r="M21" s="7"/>
      <c r="N21" s="30">
        <v>3</v>
      </c>
      <c r="O21" s="13">
        <f>0.4+1.5</f>
        <v>1.9</v>
      </c>
      <c r="P21" s="488">
        <f>1/0.3</f>
        <v>3</v>
      </c>
      <c r="Q21" s="489">
        <f t="shared" si="0"/>
        <v>3.19</v>
      </c>
      <c r="R21" s="5"/>
      <c r="S21" s="5"/>
      <c r="T21" s="5"/>
      <c r="U21" s="5"/>
    </row>
    <row r="22" spans="1:21">
      <c r="A22" s="1441" t="s">
        <v>279</v>
      </c>
      <c r="B22" s="1442"/>
      <c r="C22" s="1443"/>
      <c r="D22" s="116" t="s">
        <v>44</v>
      </c>
      <c r="E22" s="117">
        <f>1.7*0.7*0.1</f>
        <v>0.12</v>
      </c>
      <c r="F22" s="91">
        <f>'CONC 3000 PSI'!$G$43</f>
        <v>360849</v>
      </c>
      <c r="G22" s="67">
        <f>+F22*E22</f>
        <v>43302</v>
      </c>
      <c r="H22" s="9"/>
      <c r="I22" s="10"/>
      <c r="J22" s="10"/>
      <c r="K22" s="12"/>
      <c r="L22" s="39"/>
      <c r="M22" s="7"/>
      <c r="N22" s="30">
        <v>8</v>
      </c>
      <c r="O22" s="13">
        <f>0.25+0.25</f>
        <v>0.5</v>
      </c>
      <c r="P22" s="488">
        <f>2/0.25</f>
        <v>8</v>
      </c>
      <c r="Q22" s="489">
        <f t="shared" si="0"/>
        <v>15.91</v>
      </c>
      <c r="R22" s="5"/>
      <c r="S22" s="5"/>
      <c r="T22" s="5"/>
      <c r="U22" s="5"/>
    </row>
    <row r="23" spans="1:21">
      <c r="A23" s="1441" t="s">
        <v>280</v>
      </c>
      <c r="B23" s="1442"/>
      <c r="C23" s="1443"/>
      <c r="D23" s="79" t="s">
        <v>44</v>
      </c>
      <c r="E23" s="88">
        <f>0.1*0.15*1</f>
        <v>1.4999999999999999E-2</v>
      </c>
      <c r="F23" s="91">
        <f>'CONC 3000 PSI'!$G$43</f>
        <v>360849</v>
      </c>
      <c r="G23" s="67">
        <f>+F23*E23</f>
        <v>5413</v>
      </c>
      <c r="H23" s="9"/>
      <c r="I23" s="10"/>
      <c r="J23" s="10"/>
      <c r="K23" s="12"/>
      <c r="L23" s="39"/>
      <c r="M23" s="7"/>
      <c r="N23" s="30">
        <v>4</v>
      </c>
      <c r="O23" s="13">
        <f>0.9+0.15*2</f>
        <v>1.2</v>
      </c>
      <c r="P23" s="488">
        <f>1*2</f>
        <v>2</v>
      </c>
      <c r="Q23" s="489">
        <f t="shared" si="0"/>
        <v>2.39</v>
      </c>
      <c r="R23" s="5"/>
      <c r="S23" s="5"/>
      <c r="T23" s="5"/>
      <c r="U23" s="5"/>
    </row>
    <row r="24" spans="1:21">
      <c r="A24" s="1377" t="s">
        <v>281</v>
      </c>
      <c r="B24" s="1378"/>
      <c r="C24" s="1378"/>
      <c r="D24" s="81" t="s">
        <v>119</v>
      </c>
      <c r="E24" s="88">
        <v>1</v>
      </c>
      <c r="F24" s="78">
        <v>550000</v>
      </c>
      <c r="G24" s="67">
        <f>+F24*E24</f>
        <v>550000</v>
      </c>
      <c r="H24" s="9"/>
      <c r="I24" s="10"/>
      <c r="J24" s="40"/>
      <c r="K24" s="12"/>
      <c r="L24" s="13"/>
      <c r="M24" s="14"/>
      <c r="N24" s="30">
        <v>4</v>
      </c>
      <c r="O24" s="13">
        <f>0.9+0.15*2</f>
        <v>1.2</v>
      </c>
      <c r="P24" s="488">
        <f>1*2</f>
        <v>2</v>
      </c>
      <c r="Q24" s="489">
        <f t="shared" si="0"/>
        <v>2.39</v>
      </c>
      <c r="R24" s="5"/>
      <c r="S24" s="5"/>
      <c r="T24" s="5"/>
      <c r="U24" s="5"/>
    </row>
    <row r="25" spans="1:21">
      <c r="A25" s="1352" t="s">
        <v>287</v>
      </c>
      <c r="B25" s="1353"/>
      <c r="C25" s="1353"/>
      <c r="D25" s="81" t="s">
        <v>122</v>
      </c>
      <c r="E25" s="82">
        <v>8</v>
      </c>
      <c r="F25" s="87">
        <f>905107/6*IPC</f>
        <v>155648</v>
      </c>
      <c r="G25" s="67">
        <f t="shared" ref="G25:G28" si="1">+F25*E25</f>
        <v>1245184</v>
      </c>
      <c r="H25" s="9"/>
      <c r="I25" s="10"/>
      <c r="J25" s="11"/>
      <c r="K25" s="12"/>
      <c r="L25" s="13"/>
      <c r="M25" s="14"/>
      <c r="N25" s="30">
        <v>2</v>
      </c>
      <c r="O25" s="13">
        <v>0.5</v>
      </c>
      <c r="P25" s="490">
        <f>1/0.1</f>
        <v>10</v>
      </c>
      <c r="Q25" s="489">
        <f t="shared" si="0"/>
        <v>1.24</v>
      </c>
      <c r="R25" s="5"/>
      <c r="S25" s="5"/>
      <c r="T25" s="5"/>
      <c r="U25" s="5"/>
    </row>
    <row r="26" spans="1:21">
      <c r="A26" s="1352" t="s">
        <v>693</v>
      </c>
      <c r="B26" s="1353"/>
      <c r="C26" s="1353"/>
      <c r="D26" s="79" t="s">
        <v>122</v>
      </c>
      <c r="E26" s="82">
        <f>1*2+2*2</f>
        <v>6</v>
      </c>
      <c r="F26" s="78">
        <v>17800</v>
      </c>
      <c r="G26" s="67">
        <f t="shared" si="1"/>
        <v>106800</v>
      </c>
      <c r="H26" s="9"/>
      <c r="I26" s="10"/>
      <c r="J26" s="11"/>
      <c r="K26" s="12"/>
      <c r="L26" s="13"/>
      <c r="M26" s="14"/>
      <c r="N26" s="30">
        <v>6</v>
      </c>
      <c r="O26" s="13">
        <v>1.2</v>
      </c>
      <c r="P26" s="490">
        <f>1.6/0.25</f>
        <v>6</v>
      </c>
      <c r="Q26" s="489">
        <f t="shared" si="0"/>
        <v>16.11</v>
      </c>
      <c r="R26" s="5"/>
      <c r="S26" s="5"/>
      <c r="T26" s="5"/>
      <c r="U26" s="5"/>
    </row>
    <row r="27" spans="1:21">
      <c r="A27" s="1352"/>
      <c r="B27" s="1353"/>
      <c r="C27" s="1353"/>
      <c r="D27" s="79"/>
      <c r="E27" s="82"/>
      <c r="F27" s="78"/>
      <c r="G27" s="67"/>
      <c r="H27" s="9"/>
      <c r="I27" s="10"/>
      <c r="J27" s="11"/>
      <c r="K27" s="12"/>
      <c r="L27" s="13"/>
      <c r="M27" s="14"/>
      <c r="N27" s="30"/>
      <c r="O27" s="13"/>
      <c r="P27" s="484"/>
      <c r="Q27" s="491">
        <f>SUM(Q10:Q26)</f>
        <v>102.1</v>
      </c>
      <c r="R27" s="5"/>
      <c r="S27" s="5"/>
      <c r="T27" s="5"/>
      <c r="U27" s="5"/>
    </row>
    <row r="28" spans="1:21">
      <c r="A28" s="1386" t="s">
        <v>269</v>
      </c>
      <c r="B28" s="1353"/>
      <c r="C28" s="1353"/>
      <c r="D28" s="79" t="s">
        <v>53</v>
      </c>
      <c r="E28" s="82">
        <f>Q27</f>
        <v>102.1</v>
      </c>
      <c r="F28" s="83">
        <f>'4.9'!$G$42</f>
        <v>7260</v>
      </c>
      <c r="G28" s="67">
        <f t="shared" si="1"/>
        <v>741246</v>
      </c>
      <c r="H28" s="9"/>
      <c r="I28" s="41"/>
      <c r="J28" s="41"/>
      <c r="K28" s="12"/>
      <c r="L28" s="13"/>
      <c r="M28" s="14"/>
      <c r="N28" s="30"/>
      <c r="O28" s="13"/>
      <c r="P28" s="484"/>
      <c r="Q28" s="5"/>
      <c r="R28" s="5"/>
      <c r="S28" s="5"/>
      <c r="T28" s="5"/>
      <c r="U28" s="5"/>
    </row>
    <row r="29" spans="1:21">
      <c r="A29" s="1377"/>
      <c r="B29" s="1378"/>
      <c r="C29" s="1378"/>
      <c r="D29" s="81"/>
      <c r="E29" s="88"/>
      <c r="F29" s="78"/>
      <c r="G29" s="67"/>
      <c r="H29" s="9"/>
      <c r="I29" s="42"/>
      <c r="J29" s="42"/>
      <c r="K29" s="42"/>
      <c r="L29" s="13"/>
      <c r="M29" s="14"/>
      <c r="N29" s="30"/>
      <c r="O29" s="13"/>
      <c r="P29" s="484"/>
      <c r="Q29" s="5"/>
      <c r="R29" s="5"/>
      <c r="S29" s="5"/>
      <c r="T29" s="5"/>
      <c r="U29" s="5"/>
    </row>
    <row r="30" spans="1:21">
      <c r="A30" s="1352"/>
      <c r="B30" s="1353"/>
      <c r="C30" s="1353"/>
      <c r="D30" s="85" t="s">
        <v>28</v>
      </c>
      <c r="E30" s="50"/>
      <c r="F30" s="49"/>
      <c r="G30" s="230">
        <f>SUM(G21:G29)</f>
        <v>3117747</v>
      </c>
      <c r="H30" s="9"/>
      <c r="I30" s="8"/>
      <c r="J30" s="13"/>
      <c r="K30" s="8"/>
      <c r="L30" s="13"/>
      <c r="M30" s="14"/>
      <c r="N30" s="30"/>
      <c r="O30" s="13"/>
      <c r="P30" s="484"/>
    </row>
    <row r="31" spans="1:21" ht="3.75" customHeight="1">
      <c r="A31" s="226"/>
      <c r="B31" s="4"/>
      <c r="C31" s="6"/>
      <c r="D31" s="4"/>
      <c r="E31" s="4"/>
      <c r="F31" s="4"/>
      <c r="G31" s="227"/>
      <c r="H31" s="9"/>
      <c r="I31" s="8"/>
      <c r="J31" s="13"/>
      <c r="K31" s="18"/>
      <c r="L31" s="13"/>
      <c r="M31" s="33"/>
      <c r="N31" s="30"/>
      <c r="O31" s="13"/>
      <c r="P31" s="484"/>
    </row>
    <row r="32" spans="1:21" ht="22.5" customHeight="1">
      <c r="A32" s="1354" t="s">
        <v>71</v>
      </c>
      <c r="B32" s="1355"/>
      <c r="C32" s="1355"/>
      <c r="D32" s="1355"/>
      <c r="E32" s="1355"/>
      <c r="F32" s="1355"/>
      <c r="G32" s="1356"/>
      <c r="H32" s="9"/>
      <c r="N32" s="30"/>
      <c r="P32" s="484"/>
    </row>
    <row r="33" spans="1:16" ht="3.75" customHeight="1">
      <c r="A33" s="226"/>
      <c r="B33" s="4"/>
      <c r="C33" s="6"/>
      <c r="D33" s="4"/>
      <c r="E33" s="4"/>
      <c r="F33" s="4"/>
      <c r="G33" s="227"/>
      <c r="H33" s="9"/>
      <c r="I33" s="8"/>
      <c r="J33" s="13"/>
      <c r="K33" s="8"/>
      <c r="L33" s="8"/>
      <c r="M33" s="8"/>
      <c r="N33" s="30"/>
      <c r="O33" s="15"/>
      <c r="P33" s="5"/>
    </row>
    <row r="34" spans="1:16">
      <c r="A34" s="232" t="s">
        <v>5</v>
      </c>
      <c r="B34" s="60" t="s">
        <v>29</v>
      </c>
      <c r="C34" s="60" t="s">
        <v>30</v>
      </c>
      <c r="D34" s="60" t="s">
        <v>31</v>
      </c>
      <c r="E34" s="60" t="s">
        <v>32</v>
      </c>
      <c r="F34" s="60" t="s">
        <v>20</v>
      </c>
      <c r="G34" s="228" t="s">
        <v>33</v>
      </c>
      <c r="H34" s="27"/>
      <c r="I34" s="8"/>
      <c r="J34" s="13"/>
      <c r="K34" s="8"/>
      <c r="L34" s="8"/>
      <c r="M34" s="8"/>
      <c r="N34" s="30"/>
      <c r="O34" s="15"/>
      <c r="P34" s="5"/>
    </row>
    <row r="35" spans="1:16">
      <c r="A35" s="233" t="s">
        <v>41</v>
      </c>
      <c r="B35" s="63">
        <f>BOF</f>
        <v>51749</v>
      </c>
      <c r="C35" s="68">
        <f>ffpp</f>
        <v>0.64539999999999997</v>
      </c>
      <c r="D35" s="72">
        <v>1</v>
      </c>
      <c r="E35" s="66">
        <f>OF</f>
        <v>88696</v>
      </c>
      <c r="F35" s="65">
        <f>1/J6</f>
        <v>0.17</v>
      </c>
      <c r="G35" s="231">
        <f>ROUND(+D35*E35/F35,0)</f>
        <v>521741</v>
      </c>
      <c r="H35" s="9"/>
      <c r="I35" s="16"/>
      <c r="J35" s="13"/>
      <c r="K35" s="8"/>
      <c r="L35" s="8"/>
      <c r="M35" s="8"/>
      <c r="N35" s="30"/>
      <c r="O35" s="15"/>
      <c r="P35" s="5"/>
    </row>
    <row r="36" spans="1:16">
      <c r="A36" s="233" t="s">
        <v>38</v>
      </c>
      <c r="B36" s="63">
        <f>BOB</f>
        <v>41749</v>
      </c>
      <c r="C36" s="68">
        <f>ffpp</f>
        <v>0.64539999999999997</v>
      </c>
      <c r="D36" s="72">
        <v>3</v>
      </c>
      <c r="E36" s="66">
        <f>OB</f>
        <v>72242</v>
      </c>
      <c r="F36" s="65">
        <f>F35</f>
        <v>0.17</v>
      </c>
      <c r="G36" s="231">
        <f>ROUND(+D36*E36/F36,0)</f>
        <v>1274859</v>
      </c>
      <c r="H36" s="9"/>
      <c r="I36" s="8"/>
      <c r="J36" s="8"/>
      <c r="K36" s="13"/>
      <c r="L36" s="13"/>
      <c r="M36" s="13"/>
      <c r="N36" s="30"/>
      <c r="O36" s="13"/>
      <c r="P36" s="5"/>
    </row>
    <row r="37" spans="1:16">
      <c r="A37" s="234"/>
      <c r="B37" s="50"/>
      <c r="C37" s="961"/>
      <c r="D37" s="50"/>
      <c r="E37" s="66"/>
      <c r="F37" s="65"/>
      <c r="G37" s="231"/>
      <c r="H37" s="9"/>
      <c r="I37" s="8"/>
      <c r="J37" s="13"/>
      <c r="K37" s="13"/>
      <c r="L37" s="13"/>
      <c r="M37" s="33"/>
      <c r="N37" s="30"/>
      <c r="O37" s="43"/>
      <c r="P37" s="5"/>
    </row>
    <row r="38" spans="1:16">
      <c r="A38" s="233"/>
      <c r="B38" s="65"/>
      <c r="C38" s="68"/>
      <c r="D38" s="65"/>
      <c r="E38" s="69"/>
      <c r="F38" s="69"/>
      <c r="G38" s="236"/>
      <c r="H38" s="9"/>
      <c r="I38" s="8"/>
      <c r="J38" s="13"/>
      <c r="K38" s="13"/>
      <c r="L38" s="13"/>
      <c r="M38" s="33"/>
      <c r="N38" s="33"/>
      <c r="O38" s="43"/>
      <c r="P38" s="5"/>
    </row>
    <row r="39" spans="1:16">
      <c r="A39" s="249"/>
      <c r="B39" s="71"/>
      <c r="C39" s="71"/>
      <c r="D39" s="71" t="s">
        <v>34</v>
      </c>
      <c r="E39" s="71"/>
      <c r="F39" s="71"/>
      <c r="G39" s="250">
        <f>SUM(G35:G38)</f>
        <v>1796600</v>
      </c>
      <c r="H39" s="9"/>
      <c r="I39" s="8"/>
      <c r="J39" s="13"/>
      <c r="K39" s="13"/>
      <c r="L39" s="13"/>
      <c r="M39" s="14"/>
      <c r="N39" s="14"/>
      <c r="O39" s="15"/>
      <c r="P39" s="5"/>
    </row>
    <row r="40" spans="1:16">
      <c r="A40" s="226"/>
      <c r="B40" s="4"/>
      <c r="C40" s="6"/>
      <c r="D40" s="4"/>
      <c r="E40" s="4"/>
      <c r="F40" s="4"/>
      <c r="G40" s="227"/>
      <c r="H40" s="9"/>
      <c r="I40" s="8"/>
      <c r="J40" s="13"/>
      <c r="K40" s="13"/>
      <c r="L40" s="13"/>
      <c r="M40" s="14"/>
      <c r="N40" s="14"/>
      <c r="O40" s="19"/>
      <c r="P40" s="5"/>
    </row>
    <row r="41" spans="1:16">
      <c r="A41" s="226"/>
      <c r="B41" s="4"/>
      <c r="C41" s="6"/>
      <c r="D41" s="4"/>
      <c r="E41" s="4"/>
      <c r="F41" s="4"/>
      <c r="G41" s="227"/>
      <c r="H41" s="9"/>
      <c r="I41" s="8"/>
      <c r="J41" s="13"/>
      <c r="K41" s="13"/>
      <c r="L41" s="13"/>
      <c r="M41" s="17"/>
      <c r="N41" s="17"/>
      <c r="O41" s="37"/>
      <c r="P41" s="5"/>
    </row>
    <row r="42" spans="1:16" ht="14.25">
      <c r="A42" s="226"/>
      <c r="B42" s="4"/>
      <c r="C42" s="6"/>
      <c r="D42" s="1357" t="s">
        <v>35</v>
      </c>
      <c r="E42" s="1358"/>
      <c r="F42" s="1359"/>
      <c r="G42" s="239">
        <f>+G39+G30+G16</f>
        <v>5114595</v>
      </c>
      <c r="H42" s="9"/>
      <c r="I42" s="48"/>
      <c r="J42" s="20"/>
      <c r="K42" s="8"/>
      <c r="L42" s="8"/>
      <c r="M42" s="8"/>
      <c r="N42" s="8"/>
      <c r="O42" s="8"/>
      <c r="P42" s="5"/>
    </row>
    <row r="43" spans="1:16" ht="14.25">
      <c r="A43" s="240"/>
      <c r="B43" s="57"/>
      <c r="C43" s="58"/>
      <c r="D43" s="99"/>
      <c r="E43" s="99"/>
      <c r="F43" s="99"/>
      <c r="G43" s="251"/>
      <c r="H43" s="9"/>
      <c r="I43" s="48"/>
      <c r="J43" s="20"/>
      <c r="K43" s="8"/>
      <c r="L43" s="8"/>
      <c r="M43" s="8"/>
      <c r="N43" s="8"/>
      <c r="O43" s="8"/>
      <c r="P43" s="5"/>
    </row>
    <row r="44" spans="1:16" ht="14.25">
      <c r="A44" s="374"/>
      <c r="B44" s="375"/>
      <c r="C44" s="375"/>
      <c r="D44" s="99"/>
      <c r="E44" s="99"/>
      <c r="F44" s="99"/>
      <c r="G44" s="251"/>
      <c r="H44" s="9"/>
      <c r="I44" s="48"/>
      <c r="J44" s="20"/>
      <c r="K44" s="8"/>
      <c r="L44" s="8"/>
      <c r="M44" s="8"/>
      <c r="N44" s="8"/>
      <c r="O44" s="8"/>
      <c r="P44" s="5"/>
    </row>
    <row r="45" spans="1:16" ht="14.25">
      <c r="A45" s="373"/>
      <c r="B45" s="376"/>
      <c r="C45" s="376"/>
      <c r="D45" s="99"/>
      <c r="E45" s="99"/>
      <c r="F45" s="99"/>
      <c r="G45" s="251"/>
      <c r="H45" s="9"/>
      <c r="I45" s="48"/>
      <c r="J45" s="20"/>
      <c r="K45" s="8"/>
      <c r="L45" s="8"/>
      <c r="M45" s="8"/>
      <c r="N45" s="8"/>
      <c r="O45" s="8"/>
      <c r="P45" s="5"/>
    </row>
    <row r="46" spans="1:16" ht="14.25">
      <c r="A46" s="373"/>
      <c r="B46" s="376"/>
      <c r="C46" s="376"/>
      <c r="D46" s="44"/>
      <c r="E46" s="45"/>
      <c r="F46" s="45"/>
      <c r="G46" s="251"/>
      <c r="H46" s="9"/>
      <c r="I46" s="8"/>
      <c r="J46" s="13"/>
      <c r="K46" s="8"/>
      <c r="L46" s="8"/>
      <c r="M46" s="8"/>
      <c r="N46" s="8"/>
      <c r="O46" s="8"/>
      <c r="P46" s="5"/>
    </row>
    <row r="47" spans="1:16" ht="15" thickBot="1">
      <c r="A47" s="242"/>
      <c r="B47" s="243"/>
      <c r="C47" s="244"/>
      <c r="D47" s="245"/>
      <c r="E47" s="246"/>
      <c r="F47" s="246"/>
      <c r="G47" s="247"/>
      <c r="H47" s="9"/>
      <c r="I47" s="8"/>
      <c r="J47" s="13"/>
      <c r="K47" s="8"/>
      <c r="L47" s="8"/>
      <c r="M47" s="8"/>
      <c r="N47" s="8"/>
      <c r="O47" s="8"/>
      <c r="P47" s="5"/>
    </row>
    <row r="48" spans="1:16">
      <c r="I48" s="5"/>
      <c r="J48" s="5"/>
      <c r="K48" s="5"/>
      <c r="L48" s="5"/>
      <c r="M48" s="5"/>
      <c r="N48" s="5"/>
      <c r="O48" s="5"/>
      <c r="P48" s="5"/>
    </row>
    <row r="49" spans="9:16">
      <c r="I49" s="5"/>
      <c r="J49" s="5"/>
      <c r="K49" s="5"/>
      <c r="L49" s="5"/>
      <c r="M49" s="5"/>
      <c r="N49" s="5"/>
      <c r="O49" s="5"/>
      <c r="P49" s="5"/>
    </row>
  </sheetData>
  <mergeCells count="26">
    <mergeCell ref="A10:C10"/>
    <mergeCell ref="A1:G1"/>
    <mergeCell ref="A2:G2"/>
    <mergeCell ref="A3:G4"/>
    <mergeCell ref="B6:E6"/>
    <mergeCell ref="A8:G8"/>
    <mergeCell ref="A24:C24"/>
    <mergeCell ref="A11:C11"/>
    <mergeCell ref="A12:C12"/>
    <mergeCell ref="A13:C13"/>
    <mergeCell ref="A14:C14"/>
    <mergeCell ref="A15:C15"/>
    <mergeCell ref="A16:C16"/>
    <mergeCell ref="A18:G18"/>
    <mergeCell ref="A20:C20"/>
    <mergeCell ref="A21:C21"/>
    <mergeCell ref="A22:C22"/>
    <mergeCell ref="A23:C23"/>
    <mergeCell ref="A32:G32"/>
    <mergeCell ref="D42:F42"/>
    <mergeCell ref="A25:C25"/>
    <mergeCell ref="A26:C26"/>
    <mergeCell ref="A27:C27"/>
    <mergeCell ref="A28:C28"/>
    <mergeCell ref="A29:C29"/>
    <mergeCell ref="A30:C30"/>
  </mergeCells>
  <printOptions horizontalCentered="1" verticalCentered="1"/>
  <pageMargins left="0.74803149606299213" right="0.74803149606299213" top="0" bottom="0.98425196850393704" header="0" footer="0"/>
  <pageSetup scale="90" orientation="portrait" r:id="rId1"/>
  <headerFooter alignWithMargins="0"/>
  <drawing r:id="rId2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95"/>
  <dimension ref="A1:U49"/>
  <sheetViews>
    <sheetView view="pageBreakPreview" zoomScaleNormal="100" zoomScaleSheetLayoutView="100" workbookViewId="0">
      <selection activeCell="I7" sqref="I7"/>
    </sheetView>
  </sheetViews>
  <sheetFormatPr baseColWidth="10" defaultColWidth="10.7109375" defaultRowHeight="12.75"/>
  <cols>
    <col min="1" max="1" width="15.85546875" style="3" customWidth="1"/>
    <col min="2" max="2" width="14.85546875" style="3" customWidth="1"/>
    <col min="3" max="3" width="13.28515625" style="3" customWidth="1"/>
    <col min="4" max="4" width="11.42578125" style="3"/>
    <col min="5" max="5" width="13.42578125" style="3" customWidth="1"/>
    <col min="6" max="6" width="12.7109375" style="3" customWidth="1"/>
    <col min="7" max="7" width="14" style="3" customWidth="1"/>
    <col min="8" max="8" width="7.42578125" style="3" customWidth="1"/>
    <col min="9" max="256" width="11.42578125" style="3"/>
    <col min="257" max="257" width="15.85546875" style="3" customWidth="1"/>
    <col min="258" max="258" width="14.85546875" style="3" customWidth="1"/>
    <col min="259" max="259" width="13.28515625" style="3" customWidth="1"/>
    <col min="260" max="260" width="11.42578125" style="3"/>
    <col min="261" max="261" width="13.42578125" style="3" customWidth="1"/>
    <col min="262" max="262" width="12.7109375" style="3" customWidth="1"/>
    <col min="263" max="263" width="14" style="3" customWidth="1"/>
    <col min="264" max="264" width="7.42578125" style="3" customWidth="1"/>
    <col min="265" max="512" width="11.42578125" style="3"/>
    <col min="513" max="513" width="15.85546875" style="3" customWidth="1"/>
    <col min="514" max="514" width="14.85546875" style="3" customWidth="1"/>
    <col min="515" max="515" width="13.28515625" style="3" customWidth="1"/>
    <col min="516" max="516" width="11.42578125" style="3"/>
    <col min="517" max="517" width="13.42578125" style="3" customWidth="1"/>
    <col min="518" max="518" width="12.7109375" style="3" customWidth="1"/>
    <col min="519" max="519" width="14" style="3" customWidth="1"/>
    <col min="520" max="520" width="7.42578125" style="3" customWidth="1"/>
    <col min="521" max="768" width="11.42578125" style="3"/>
    <col min="769" max="769" width="15.85546875" style="3" customWidth="1"/>
    <col min="770" max="770" width="14.85546875" style="3" customWidth="1"/>
    <col min="771" max="771" width="13.28515625" style="3" customWidth="1"/>
    <col min="772" max="772" width="11.42578125" style="3"/>
    <col min="773" max="773" width="13.42578125" style="3" customWidth="1"/>
    <col min="774" max="774" width="12.7109375" style="3" customWidth="1"/>
    <col min="775" max="775" width="14" style="3" customWidth="1"/>
    <col min="776" max="776" width="7.42578125" style="3" customWidth="1"/>
    <col min="777" max="1024" width="11.42578125" style="3"/>
    <col min="1025" max="1025" width="15.85546875" style="3" customWidth="1"/>
    <col min="1026" max="1026" width="14.85546875" style="3" customWidth="1"/>
    <col min="1027" max="1027" width="13.28515625" style="3" customWidth="1"/>
    <col min="1028" max="1028" width="11.42578125" style="3"/>
    <col min="1029" max="1029" width="13.42578125" style="3" customWidth="1"/>
    <col min="1030" max="1030" width="12.7109375" style="3" customWidth="1"/>
    <col min="1031" max="1031" width="14" style="3" customWidth="1"/>
    <col min="1032" max="1032" width="7.42578125" style="3" customWidth="1"/>
    <col min="1033" max="1280" width="11.42578125" style="3"/>
    <col min="1281" max="1281" width="15.85546875" style="3" customWidth="1"/>
    <col min="1282" max="1282" width="14.85546875" style="3" customWidth="1"/>
    <col min="1283" max="1283" width="13.28515625" style="3" customWidth="1"/>
    <col min="1284" max="1284" width="11.42578125" style="3"/>
    <col min="1285" max="1285" width="13.42578125" style="3" customWidth="1"/>
    <col min="1286" max="1286" width="12.7109375" style="3" customWidth="1"/>
    <col min="1287" max="1287" width="14" style="3" customWidth="1"/>
    <col min="1288" max="1288" width="7.42578125" style="3" customWidth="1"/>
    <col min="1289" max="1536" width="11.42578125" style="3"/>
    <col min="1537" max="1537" width="15.85546875" style="3" customWidth="1"/>
    <col min="1538" max="1538" width="14.85546875" style="3" customWidth="1"/>
    <col min="1539" max="1539" width="13.28515625" style="3" customWidth="1"/>
    <col min="1540" max="1540" width="11.42578125" style="3"/>
    <col min="1541" max="1541" width="13.42578125" style="3" customWidth="1"/>
    <col min="1542" max="1542" width="12.7109375" style="3" customWidth="1"/>
    <col min="1543" max="1543" width="14" style="3" customWidth="1"/>
    <col min="1544" max="1544" width="7.42578125" style="3" customWidth="1"/>
    <col min="1545" max="1792" width="11.42578125" style="3"/>
    <col min="1793" max="1793" width="15.85546875" style="3" customWidth="1"/>
    <col min="1794" max="1794" width="14.85546875" style="3" customWidth="1"/>
    <col min="1795" max="1795" width="13.28515625" style="3" customWidth="1"/>
    <col min="1796" max="1796" width="11.42578125" style="3"/>
    <col min="1797" max="1797" width="13.42578125" style="3" customWidth="1"/>
    <col min="1798" max="1798" width="12.7109375" style="3" customWidth="1"/>
    <col min="1799" max="1799" width="14" style="3" customWidth="1"/>
    <col min="1800" max="1800" width="7.42578125" style="3" customWidth="1"/>
    <col min="1801" max="2048" width="11.42578125" style="3"/>
    <col min="2049" max="2049" width="15.85546875" style="3" customWidth="1"/>
    <col min="2050" max="2050" width="14.85546875" style="3" customWidth="1"/>
    <col min="2051" max="2051" width="13.28515625" style="3" customWidth="1"/>
    <col min="2052" max="2052" width="11.42578125" style="3"/>
    <col min="2053" max="2053" width="13.42578125" style="3" customWidth="1"/>
    <col min="2054" max="2054" width="12.7109375" style="3" customWidth="1"/>
    <col min="2055" max="2055" width="14" style="3" customWidth="1"/>
    <col min="2056" max="2056" width="7.42578125" style="3" customWidth="1"/>
    <col min="2057" max="2304" width="11.42578125" style="3"/>
    <col min="2305" max="2305" width="15.85546875" style="3" customWidth="1"/>
    <col min="2306" max="2306" width="14.85546875" style="3" customWidth="1"/>
    <col min="2307" max="2307" width="13.28515625" style="3" customWidth="1"/>
    <col min="2308" max="2308" width="11.42578125" style="3"/>
    <col min="2309" max="2309" width="13.42578125" style="3" customWidth="1"/>
    <col min="2310" max="2310" width="12.7109375" style="3" customWidth="1"/>
    <col min="2311" max="2311" width="14" style="3" customWidth="1"/>
    <col min="2312" max="2312" width="7.42578125" style="3" customWidth="1"/>
    <col min="2313" max="2560" width="11.42578125" style="3"/>
    <col min="2561" max="2561" width="15.85546875" style="3" customWidth="1"/>
    <col min="2562" max="2562" width="14.85546875" style="3" customWidth="1"/>
    <col min="2563" max="2563" width="13.28515625" style="3" customWidth="1"/>
    <col min="2564" max="2564" width="11.42578125" style="3"/>
    <col min="2565" max="2565" width="13.42578125" style="3" customWidth="1"/>
    <col min="2566" max="2566" width="12.7109375" style="3" customWidth="1"/>
    <col min="2567" max="2567" width="14" style="3" customWidth="1"/>
    <col min="2568" max="2568" width="7.42578125" style="3" customWidth="1"/>
    <col min="2569" max="2816" width="11.42578125" style="3"/>
    <col min="2817" max="2817" width="15.85546875" style="3" customWidth="1"/>
    <col min="2818" max="2818" width="14.85546875" style="3" customWidth="1"/>
    <col min="2819" max="2819" width="13.28515625" style="3" customWidth="1"/>
    <col min="2820" max="2820" width="11.42578125" style="3"/>
    <col min="2821" max="2821" width="13.42578125" style="3" customWidth="1"/>
    <col min="2822" max="2822" width="12.7109375" style="3" customWidth="1"/>
    <col min="2823" max="2823" width="14" style="3" customWidth="1"/>
    <col min="2824" max="2824" width="7.42578125" style="3" customWidth="1"/>
    <col min="2825" max="3072" width="11.42578125" style="3"/>
    <col min="3073" max="3073" width="15.85546875" style="3" customWidth="1"/>
    <col min="3074" max="3074" width="14.85546875" style="3" customWidth="1"/>
    <col min="3075" max="3075" width="13.28515625" style="3" customWidth="1"/>
    <col min="3076" max="3076" width="11.42578125" style="3"/>
    <col min="3077" max="3077" width="13.42578125" style="3" customWidth="1"/>
    <col min="3078" max="3078" width="12.7109375" style="3" customWidth="1"/>
    <col min="3079" max="3079" width="14" style="3" customWidth="1"/>
    <col min="3080" max="3080" width="7.42578125" style="3" customWidth="1"/>
    <col min="3081" max="3328" width="11.42578125" style="3"/>
    <col min="3329" max="3329" width="15.85546875" style="3" customWidth="1"/>
    <col min="3330" max="3330" width="14.85546875" style="3" customWidth="1"/>
    <col min="3331" max="3331" width="13.28515625" style="3" customWidth="1"/>
    <col min="3332" max="3332" width="11.42578125" style="3"/>
    <col min="3333" max="3333" width="13.42578125" style="3" customWidth="1"/>
    <col min="3334" max="3334" width="12.7109375" style="3" customWidth="1"/>
    <col min="3335" max="3335" width="14" style="3" customWidth="1"/>
    <col min="3336" max="3336" width="7.42578125" style="3" customWidth="1"/>
    <col min="3337" max="3584" width="11.42578125" style="3"/>
    <col min="3585" max="3585" width="15.85546875" style="3" customWidth="1"/>
    <col min="3586" max="3586" width="14.85546875" style="3" customWidth="1"/>
    <col min="3587" max="3587" width="13.28515625" style="3" customWidth="1"/>
    <col min="3588" max="3588" width="11.42578125" style="3"/>
    <col min="3589" max="3589" width="13.42578125" style="3" customWidth="1"/>
    <col min="3590" max="3590" width="12.7109375" style="3" customWidth="1"/>
    <col min="3591" max="3591" width="14" style="3" customWidth="1"/>
    <col min="3592" max="3592" width="7.42578125" style="3" customWidth="1"/>
    <col min="3593" max="3840" width="11.42578125" style="3"/>
    <col min="3841" max="3841" width="15.85546875" style="3" customWidth="1"/>
    <col min="3842" max="3842" width="14.85546875" style="3" customWidth="1"/>
    <col min="3843" max="3843" width="13.28515625" style="3" customWidth="1"/>
    <col min="3844" max="3844" width="11.42578125" style="3"/>
    <col min="3845" max="3845" width="13.42578125" style="3" customWidth="1"/>
    <col min="3846" max="3846" width="12.7109375" style="3" customWidth="1"/>
    <col min="3847" max="3847" width="14" style="3" customWidth="1"/>
    <col min="3848" max="3848" width="7.42578125" style="3" customWidth="1"/>
    <col min="3849" max="4096" width="11.42578125" style="3"/>
    <col min="4097" max="4097" width="15.85546875" style="3" customWidth="1"/>
    <col min="4098" max="4098" width="14.85546875" style="3" customWidth="1"/>
    <col min="4099" max="4099" width="13.28515625" style="3" customWidth="1"/>
    <col min="4100" max="4100" width="11.42578125" style="3"/>
    <col min="4101" max="4101" width="13.42578125" style="3" customWidth="1"/>
    <col min="4102" max="4102" width="12.7109375" style="3" customWidth="1"/>
    <col min="4103" max="4103" width="14" style="3" customWidth="1"/>
    <col min="4104" max="4104" width="7.42578125" style="3" customWidth="1"/>
    <col min="4105" max="4352" width="11.42578125" style="3"/>
    <col min="4353" max="4353" width="15.85546875" style="3" customWidth="1"/>
    <col min="4354" max="4354" width="14.85546875" style="3" customWidth="1"/>
    <col min="4355" max="4355" width="13.28515625" style="3" customWidth="1"/>
    <col min="4356" max="4356" width="11.42578125" style="3"/>
    <col min="4357" max="4357" width="13.42578125" style="3" customWidth="1"/>
    <col min="4358" max="4358" width="12.7109375" style="3" customWidth="1"/>
    <col min="4359" max="4359" width="14" style="3" customWidth="1"/>
    <col min="4360" max="4360" width="7.42578125" style="3" customWidth="1"/>
    <col min="4361" max="4608" width="11.42578125" style="3"/>
    <col min="4609" max="4609" width="15.85546875" style="3" customWidth="1"/>
    <col min="4610" max="4610" width="14.85546875" style="3" customWidth="1"/>
    <col min="4611" max="4611" width="13.28515625" style="3" customWidth="1"/>
    <col min="4612" max="4612" width="11.42578125" style="3"/>
    <col min="4613" max="4613" width="13.42578125" style="3" customWidth="1"/>
    <col min="4614" max="4614" width="12.7109375" style="3" customWidth="1"/>
    <col min="4615" max="4615" width="14" style="3" customWidth="1"/>
    <col min="4616" max="4616" width="7.42578125" style="3" customWidth="1"/>
    <col min="4617" max="4864" width="11.42578125" style="3"/>
    <col min="4865" max="4865" width="15.85546875" style="3" customWidth="1"/>
    <col min="4866" max="4866" width="14.85546875" style="3" customWidth="1"/>
    <col min="4867" max="4867" width="13.28515625" style="3" customWidth="1"/>
    <col min="4868" max="4868" width="11.42578125" style="3"/>
    <col min="4869" max="4869" width="13.42578125" style="3" customWidth="1"/>
    <col min="4870" max="4870" width="12.7109375" style="3" customWidth="1"/>
    <col min="4871" max="4871" width="14" style="3" customWidth="1"/>
    <col min="4872" max="4872" width="7.42578125" style="3" customWidth="1"/>
    <col min="4873" max="5120" width="11.42578125" style="3"/>
    <col min="5121" max="5121" width="15.85546875" style="3" customWidth="1"/>
    <col min="5122" max="5122" width="14.85546875" style="3" customWidth="1"/>
    <col min="5123" max="5123" width="13.28515625" style="3" customWidth="1"/>
    <col min="5124" max="5124" width="11.42578125" style="3"/>
    <col min="5125" max="5125" width="13.42578125" style="3" customWidth="1"/>
    <col min="5126" max="5126" width="12.7109375" style="3" customWidth="1"/>
    <col min="5127" max="5127" width="14" style="3" customWidth="1"/>
    <col min="5128" max="5128" width="7.42578125" style="3" customWidth="1"/>
    <col min="5129" max="5376" width="11.42578125" style="3"/>
    <col min="5377" max="5377" width="15.85546875" style="3" customWidth="1"/>
    <col min="5378" max="5378" width="14.85546875" style="3" customWidth="1"/>
    <col min="5379" max="5379" width="13.28515625" style="3" customWidth="1"/>
    <col min="5380" max="5380" width="11.42578125" style="3"/>
    <col min="5381" max="5381" width="13.42578125" style="3" customWidth="1"/>
    <col min="5382" max="5382" width="12.7109375" style="3" customWidth="1"/>
    <col min="5383" max="5383" width="14" style="3" customWidth="1"/>
    <col min="5384" max="5384" width="7.42578125" style="3" customWidth="1"/>
    <col min="5385" max="5632" width="11.42578125" style="3"/>
    <col min="5633" max="5633" width="15.85546875" style="3" customWidth="1"/>
    <col min="5634" max="5634" width="14.85546875" style="3" customWidth="1"/>
    <col min="5635" max="5635" width="13.28515625" style="3" customWidth="1"/>
    <col min="5636" max="5636" width="11.42578125" style="3"/>
    <col min="5637" max="5637" width="13.42578125" style="3" customWidth="1"/>
    <col min="5638" max="5638" width="12.7109375" style="3" customWidth="1"/>
    <col min="5639" max="5639" width="14" style="3" customWidth="1"/>
    <col min="5640" max="5640" width="7.42578125" style="3" customWidth="1"/>
    <col min="5641" max="5888" width="11.42578125" style="3"/>
    <col min="5889" max="5889" width="15.85546875" style="3" customWidth="1"/>
    <col min="5890" max="5890" width="14.85546875" style="3" customWidth="1"/>
    <col min="5891" max="5891" width="13.28515625" style="3" customWidth="1"/>
    <col min="5892" max="5892" width="11.42578125" style="3"/>
    <col min="5893" max="5893" width="13.42578125" style="3" customWidth="1"/>
    <col min="5894" max="5894" width="12.7109375" style="3" customWidth="1"/>
    <col min="5895" max="5895" width="14" style="3" customWidth="1"/>
    <col min="5896" max="5896" width="7.42578125" style="3" customWidth="1"/>
    <col min="5897" max="6144" width="11.42578125" style="3"/>
    <col min="6145" max="6145" width="15.85546875" style="3" customWidth="1"/>
    <col min="6146" max="6146" width="14.85546875" style="3" customWidth="1"/>
    <col min="6147" max="6147" width="13.28515625" style="3" customWidth="1"/>
    <col min="6148" max="6148" width="11.42578125" style="3"/>
    <col min="6149" max="6149" width="13.42578125" style="3" customWidth="1"/>
    <col min="6150" max="6150" width="12.7109375" style="3" customWidth="1"/>
    <col min="6151" max="6151" width="14" style="3" customWidth="1"/>
    <col min="6152" max="6152" width="7.42578125" style="3" customWidth="1"/>
    <col min="6153" max="6400" width="11.42578125" style="3"/>
    <col min="6401" max="6401" width="15.85546875" style="3" customWidth="1"/>
    <col min="6402" max="6402" width="14.85546875" style="3" customWidth="1"/>
    <col min="6403" max="6403" width="13.28515625" style="3" customWidth="1"/>
    <col min="6404" max="6404" width="11.42578125" style="3"/>
    <col min="6405" max="6405" width="13.42578125" style="3" customWidth="1"/>
    <col min="6406" max="6406" width="12.7109375" style="3" customWidth="1"/>
    <col min="6407" max="6407" width="14" style="3" customWidth="1"/>
    <col min="6408" max="6408" width="7.42578125" style="3" customWidth="1"/>
    <col min="6409" max="6656" width="11.42578125" style="3"/>
    <col min="6657" max="6657" width="15.85546875" style="3" customWidth="1"/>
    <col min="6658" max="6658" width="14.85546875" style="3" customWidth="1"/>
    <col min="6659" max="6659" width="13.28515625" style="3" customWidth="1"/>
    <col min="6660" max="6660" width="11.42578125" style="3"/>
    <col min="6661" max="6661" width="13.42578125" style="3" customWidth="1"/>
    <col min="6662" max="6662" width="12.7109375" style="3" customWidth="1"/>
    <col min="6663" max="6663" width="14" style="3" customWidth="1"/>
    <col min="6664" max="6664" width="7.42578125" style="3" customWidth="1"/>
    <col min="6665" max="6912" width="11.42578125" style="3"/>
    <col min="6913" max="6913" width="15.85546875" style="3" customWidth="1"/>
    <col min="6914" max="6914" width="14.85546875" style="3" customWidth="1"/>
    <col min="6915" max="6915" width="13.28515625" style="3" customWidth="1"/>
    <col min="6916" max="6916" width="11.42578125" style="3"/>
    <col min="6917" max="6917" width="13.42578125" style="3" customWidth="1"/>
    <col min="6918" max="6918" width="12.7109375" style="3" customWidth="1"/>
    <col min="6919" max="6919" width="14" style="3" customWidth="1"/>
    <col min="6920" max="6920" width="7.42578125" style="3" customWidth="1"/>
    <col min="6921" max="7168" width="11.42578125" style="3"/>
    <col min="7169" max="7169" width="15.85546875" style="3" customWidth="1"/>
    <col min="7170" max="7170" width="14.85546875" style="3" customWidth="1"/>
    <col min="7171" max="7171" width="13.28515625" style="3" customWidth="1"/>
    <col min="7172" max="7172" width="11.42578125" style="3"/>
    <col min="7173" max="7173" width="13.42578125" style="3" customWidth="1"/>
    <col min="7174" max="7174" width="12.7109375" style="3" customWidth="1"/>
    <col min="7175" max="7175" width="14" style="3" customWidth="1"/>
    <col min="7176" max="7176" width="7.42578125" style="3" customWidth="1"/>
    <col min="7177" max="7424" width="11.42578125" style="3"/>
    <col min="7425" max="7425" width="15.85546875" style="3" customWidth="1"/>
    <col min="7426" max="7426" width="14.85546875" style="3" customWidth="1"/>
    <col min="7427" max="7427" width="13.28515625" style="3" customWidth="1"/>
    <col min="7428" max="7428" width="11.42578125" style="3"/>
    <col min="7429" max="7429" width="13.42578125" style="3" customWidth="1"/>
    <col min="7430" max="7430" width="12.7109375" style="3" customWidth="1"/>
    <col min="7431" max="7431" width="14" style="3" customWidth="1"/>
    <col min="7432" max="7432" width="7.42578125" style="3" customWidth="1"/>
    <col min="7433" max="7680" width="11.42578125" style="3"/>
    <col min="7681" max="7681" width="15.85546875" style="3" customWidth="1"/>
    <col min="7682" max="7682" width="14.85546875" style="3" customWidth="1"/>
    <col min="7683" max="7683" width="13.28515625" style="3" customWidth="1"/>
    <col min="7684" max="7684" width="11.42578125" style="3"/>
    <col min="7685" max="7685" width="13.42578125" style="3" customWidth="1"/>
    <col min="7686" max="7686" width="12.7109375" style="3" customWidth="1"/>
    <col min="7687" max="7687" width="14" style="3" customWidth="1"/>
    <col min="7688" max="7688" width="7.42578125" style="3" customWidth="1"/>
    <col min="7689" max="7936" width="11.42578125" style="3"/>
    <col min="7937" max="7937" width="15.85546875" style="3" customWidth="1"/>
    <col min="7938" max="7938" width="14.85546875" style="3" customWidth="1"/>
    <col min="7939" max="7939" width="13.28515625" style="3" customWidth="1"/>
    <col min="7940" max="7940" width="11.42578125" style="3"/>
    <col min="7941" max="7941" width="13.42578125" style="3" customWidth="1"/>
    <col min="7942" max="7942" width="12.7109375" style="3" customWidth="1"/>
    <col min="7943" max="7943" width="14" style="3" customWidth="1"/>
    <col min="7944" max="7944" width="7.42578125" style="3" customWidth="1"/>
    <col min="7945" max="8192" width="11.42578125" style="3"/>
    <col min="8193" max="8193" width="15.85546875" style="3" customWidth="1"/>
    <col min="8194" max="8194" width="14.85546875" style="3" customWidth="1"/>
    <col min="8195" max="8195" width="13.28515625" style="3" customWidth="1"/>
    <col min="8196" max="8196" width="11.42578125" style="3"/>
    <col min="8197" max="8197" width="13.42578125" style="3" customWidth="1"/>
    <col min="8198" max="8198" width="12.7109375" style="3" customWidth="1"/>
    <col min="8199" max="8199" width="14" style="3" customWidth="1"/>
    <col min="8200" max="8200" width="7.42578125" style="3" customWidth="1"/>
    <col min="8201" max="8448" width="11.42578125" style="3"/>
    <col min="8449" max="8449" width="15.85546875" style="3" customWidth="1"/>
    <col min="8450" max="8450" width="14.85546875" style="3" customWidth="1"/>
    <col min="8451" max="8451" width="13.28515625" style="3" customWidth="1"/>
    <col min="8452" max="8452" width="11.42578125" style="3"/>
    <col min="8453" max="8453" width="13.42578125" style="3" customWidth="1"/>
    <col min="8454" max="8454" width="12.7109375" style="3" customWidth="1"/>
    <col min="8455" max="8455" width="14" style="3" customWidth="1"/>
    <col min="8456" max="8456" width="7.42578125" style="3" customWidth="1"/>
    <col min="8457" max="8704" width="11.42578125" style="3"/>
    <col min="8705" max="8705" width="15.85546875" style="3" customWidth="1"/>
    <col min="8706" max="8706" width="14.85546875" style="3" customWidth="1"/>
    <col min="8707" max="8707" width="13.28515625" style="3" customWidth="1"/>
    <col min="8708" max="8708" width="11.42578125" style="3"/>
    <col min="8709" max="8709" width="13.42578125" style="3" customWidth="1"/>
    <col min="8710" max="8710" width="12.7109375" style="3" customWidth="1"/>
    <col min="8711" max="8711" width="14" style="3" customWidth="1"/>
    <col min="8712" max="8712" width="7.42578125" style="3" customWidth="1"/>
    <col min="8713" max="8960" width="11.42578125" style="3"/>
    <col min="8961" max="8961" width="15.85546875" style="3" customWidth="1"/>
    <col min="8962" max="8962" width="14.85546875" style="3" customWidth="1"/>
    <col min="8963" max="8963" width="13.28515625" style="3" customWidth="1"/>
    <col min="8964" max="8964" width="11.42578125" style="3"/>
    <col min="8965" max="8965" width="13.42578125" style="3" customWidth="1"/>
    <col min="8966" max="8966" width="12.7109375" style="3" customWidth="1"/>
    <col min="8967" max="8967" width="14" style="3" customWidth="1"/>
    <col min="8968" max="8968" width="7.42578125" style="3" customWidth="1"/>
    <col min="8969" max="9216" width="11.42578125" style="3"/>
    <col min="9217" max="9217" width="15.85546875" style="3" customWidth="1"/>
    <col min="9218" max="9218" width="14.85546875" style="3" customWidth="1"/>
    <col min="9219" max="9219" width="13.28515625" style="3" customWidth="1"/>
    <col min="9220" max="9220" width="11.42578125" style="3"/>
    <col min="9221" max="9221" width="13.42578125" style="3" customWidth="1"/>
    <col min="9222" max="9222" width="12.7109375" style="3" customWidth="1"/>
    <col min="9223" max="9223" width="14" style="3" customWidth="1"/>
    <col min="9224" max="9224" width="7.42578125" style="3" customWidth="1"/>
    <col min="9225" max="9472" width="11.42578125" style="3"/>
    <col min="9473" max="9473" width="15.85546875" style="3" customWidth="1"/>
    <col min="9474" max="9474" width="14.85546875" style="3" customWidth="1"/>
    <col min="9475" max="9475" width="13.28515625" style="3" customWidth="1"/>
    <col min="9476" max="9476" width="11.42578125" style="3"/>
    <col min="9477" max="9477" width="13.42578125" style="3" customWidth="1"/>
    <col min="9478" max="9478" width="12.7109375" style="3" customWidth="1"/>
    <col min="9479" max="9479" width="14" style="3" customWidth="1"/>
    <col min="9480" max="9480" width="7.42578125" style="3" customWidth="1"/>
    <col min="9481" max="9728" width="11.42578125" style="3"/>
    <col min="9729" max="9729" width="15.85546875" style="3" customWidth="1"/>
    <col min="9730" max="9730" width="14.85546875" style="3" customWidth="1"/>
    <col min="9731" max="9731" width="13.28515625" style="3" customWidth="1"/>
    <col min="9732" max="9732" width="11.42578125" style="3"/>
    <col min="9733" max="9733" width="13.42578125" style="3" customWidth="1"/>
    <col min="9734" max="9734" width="12.7109375" style="3" customWidth="1"/>
    <col min="9735" max="9735" width="14" style="3" customWidth="1"/>
    <col min="9736" max="9736" width="7.42578125" style="3" customWidth="1"/>
    <col min="9737" max="9984" width="11.42578125" style="3"/>
    <col min="9985" max="9985" width="15.85546875" style="3" customWidth="1"/>
    <col min="9986" max="9986" width="14.85546875" style="3" customWidth="1"/>
    <col min="9987" max="9987" width="13.28515625" style="3" customWidth="1"/>
    <col min="9988" max="9988" width="11.42578125" style="3"/>
    <col min="9989" max="9989" width="13.42578125" style="3" customWidth="1"/>
    <col min="9990" max="9990" width="12.7109375" style="3" customWidth="1"/>
    <col min="9991" max="9991" width="14" style="3" customWidth="1"/>
    <col min="9992" max="9992" width="7.42578125" style="3" customWidth="1"/>
    <col min="9993" max="10240" width="11.42578125" style="3"/>
    <col min="10241" max="10241" width="15.85546875" style="3" customWidth="1"/>
    <col min="10242" max="10242" width="14.85546875" style="3" customWidth="1"/>
    <col min="10243" max="10243" width="13.28515625" style="3" customWidth="1"/>
    <col min="10244" max="10244" width="11.42578125" style="3"/>
    <col min="10245" max="10245" width="13.42578125" style="3" customWidth="1"/>
    <col min="10246" max="10246" width="12.7109375" style="3" customWidth="1"/>
    <col min="10247" max="10247" width="14" style="3" customWidth="1"/>
    <col min="10248" max="10248" width="7.42578125" style="3" customWidth="1"/>
    <col min="10249" max="10496" width="11.42578125" style="3"/>
    <col min="10497" max="10497" width="15.85546875" style="3" customWidth="1"/>
    <col min="10498" max="10498" width="14.85546875" style="3" customWidth="1"/>
    <col min="10499" max="10499" width="13.28515625" style="3" customWidth="1"/>
    <col min="10500" max="10500" width="11.42578125" style="3"/>
    <col min="10501" max="10501" width="13.42578125" style="3" customWidth="1"/>
    <col min="10502" max="10502" width="12.7109375" style="3" customWidth="1"/>
    <col min="10503" max="10503" width="14" style="3" customWidth="1"/>
    <col min="10504" max="10504" width="7.42578125" style="3" customWidth="1"/>
    <col min="10505" max="10752" width="11.42578125" style="3"/>
    <col min="10753" max="10753" width="15.85546875" style="3" customWidth="1"/>
    <col min="10754" max="10754" width="14.85546875" style="3" customWidth="1"/>
    <col min="10755" max="10755" width="13.28515625" style="3" customWidth="1"/>
    <col min="10756" max="10756" width="11.42578125" style="3"/>
    <col min="10757" max="10757" width="13.42578125" style="3" customWidth="1"/>
    <col min="10758" max="10758" width="12.7109375" style="3" customWidth="1"/>
    <col min="10759" max="10759" width="14" style="3" customWidth="1"/>
    <col min="10760" max="10760" width="7.42578125" style="3" customWidth="1"/>
    <col min="10761" max="11008" width="11.42578125" style="3"/>
    <col min="11009" max="11009" width="15.85546875" style="3" customWidth="1"/>
    <col min="11010" max="11010" width="14.85546875" style="3" customWidth="1"/>
    <col min="11011" max="11011" width="13.28515625" style="3" customWidth="1"/>
    <col min="11012" max="11012" width="11.42578125" style="3"/>
    <col min="11013" max="11013" width="13.42578125" style="3" customWidth="1"/>
    <col min="11014" max="11014" width="12.7109375" style="3" customWidth="1"/>
    <col min="11015" max="11015" width="14" style="3" customWidth="1"/>
    <col min="11016" max="11016" width="7.42578125" style="3" customWidth="1"/>
    <col min="11017" max="11264" width="11.42578125" style="3"/>
    <col min="11265" max="11265" width="15.85546875" style="3" customWidth="1"/>
    <col min="11266" max="11266" width="14.85546875" style="3" customWidth="1"/>
    <col min="11267" max="11267" width="13.28515625" style="3" customWidth="1"/>
    <col min="11268" max="11268" width="11.42578125" style="3"/>
    <col min="11269" max="11269" width="13.42578125" style="3" customWidth="1"/>
    <col min="11270" max="11270" width="12.7109375" style="3" customWidth="1"/>
    <col min="11271" max="11271" width="14" style="3" customWidth="1"/>
    <col min="11272" max="11272" width="7.42578125" style="3" customWidth="1"/>
    <col min="11273" max="11520" width="11.42578125" style="3"/>
    <col min="11521" max="11521" width="15.85546875" style="3" customWidth="1"/>
    <col min="11522" max="11522" width="14.85546875" style="3" customWidth="1"/>
    <col min="11523" max="11523" width="13.28515625" style="3" customWidth="1"/>
    <col min="11524" max="11524" width="11.42578125" style="3"/>
    <col min="11525" max="11525" width="13.42578125" style="3" customWidth="1"/>
    <col min="11526" max="11526" width="12.7109375" style="3" customWidth="1"/>
    <col min="11527" max="11527" width="14" style="3" customWidth="1"/>
    <col min="11528" max="11528" width="7.42578125" style="3" customWidth="1"/>
    <col min="11529" max="11776" width="11.42578125" style="3"/>
    <col min="11777" max="11777" width="15.85546875" style="3" customWidth="1"/>
    <col min="11778" max="11778" width="14.85546875" style="3" customWidth="1"/>
    <col min="11779" max="11779" width="13.28515625" style="3" customWidth="1"/>
    <col min="11780" max="11780" width="11.42578125" style="3"/>
    <col min="11781" max="11781" width="13.42578125" style="3" customWidth="1"/>
    <col min="11782" max="11782" width="12.7109375" style="3" customWidth="1"/>
    <col min="11783" max="11783" width="14" style="3" customWidth="1"/>
    <col min="11784" max="11784" width="7.42578125" style="3" customWidth="1"/>
    <col min="11785" max="12032" width="11.42578125" style="3"/>
    <col min="12033" max="12033" width="15.85546875" style="3" customWidth="1"/>
    <col min="12034" max="12034" width="14.85546875" style="3" customWidth="1"/>
    <col min="12035" max="12035" width="13.28515625" style="3" customWidth="1"/>
    <col min="12036" max="12036" width="11.42578125" style="3"/>
    <col min="12037" max="12037" width="13.42578125" style="3" customWidth="1"/>
    <col min="12038" max="12038" width="12.7109375" style="3" customWidth="1"/>
    <col min="12039" max="12039" width="14" style="3" customWidth="1"/>
    <col min="12040" max="12040" width="7.42578125" style="3" customWidth="1"/>
    <col min="12041" max="12288" width="11.42578125" style="3"/>
    <col min="12289" max="12289" width="15.85546875" style="3" customWidth="1"/>
    <col min="12290" max="12290" width="14.85546875" style="3" customWidth="1"/>
    <col min="12291" max="12291" width="13.28515625" style="3" customWidth="1"/>
    <col min="12292" max="12292" width="11.42578125" style="3"/>
    <col min="12293" max="12293" width="13.42578125" style="3" customWidth="1"/>
    <col min="12294" max="12294" width="12.7109375" style="3" customWidth="1"/>
    <col min="12295" max="12295" width="14" style="3" customWidth="1"/>
    <col min="12296" max="12296" width="7.42578125" style="3" customWidth="1"/>
    <col min="12297" max="12544" width="11.42578125" style="3"/>
    <col min="12545" max="12545" width="15.85546875" style="3" customWidth="1"/>
    <col min="12546" max="12546" width="14.85546875" style="3" customWidth="1"/>
    <col min="12547" max="12547" width="13.28515625" style="3" customWidth="1"/>
    <col min="12548" max="12548" width="11.42578125" style="3"/>
    <col min="12549" max="12549" width="13.42578125" style="3" customWidth="1"/>
    <col min="12550" max="12550" width="12.7109375" style="3" customWidth="1"/>
    <col min="12551" max="12551" width="14" style="3" customWidth="1"/>
    <col min="12552" max="12552" width="7.42578125" style="3" customWidth="1"/>
    <col min="12553" max="12800" width="11.42578125" style="3"/>
    <col min="12801" max="12801" width="15.85546875" style="3" customWidth="1"/>
    <col min="12802" max="12802" width="14.85546875" style="3" customWidth="1"/>
    <col min="12803" max="12803" width="13.28515625" style="3" customWidth="1"/>
    <col min="12804" max="12804" width="11.42578125" style="3"/>
    <col min="12805" max="12805" width="13.42578125" style="3" customWidth="1"/>
    <col min="12806" max="12806" width="12.7109375" style="3" customWidth="1"/>
    <col min="12807" max="12807" width="14" style="3" customWidth="1"/>
    <col min="12808" max="12808" width="7.42578125" style="3" customWidth="1"/>
    <col min="12809" max="13056" width="11.42578125" style="3"/>
    <col min="13057" max="13057" width="15.85546875" style="3" customWidth="1"/>
    <col min="13058" max="13058" width="14.85546875" style="3" customWidth="1"/>
    <col min="13059" max="13059" width="13.28515625" style="3" customWidth="1"/>
    <col min="13060" max="13060" width="11.42578125" style="3"/>
    <col min="13061" max="13061" width="13.42578125" style="3" customWidth="1"/>
    <col min="13062" max="13062" width="12.7109375" style="3" customWidth="1"/>
    <col min="13063" max="13063" width="14" style="3" customWidth="1"/>
    <col min="13064" max="13064" width="7.42578125" style="3" customWidth="1"/>
    <col min="13065" max="13312" width="11.42578125" style="3"/>
    <col min="13313" max="13313" width="15.85546875" style="3" customWidth="1"/>
    <col min="13314" max="13314" width="14.85546875" style="3" customWidth="1"/>
    <col min="13315" max="13315" width="13.28515625" style="3" customWidth="1"/>
    <col min="13316" max="13316" width="11.42578125" style="3"/>
    <col min="13317" max="13317" width="13.42578125" style="3" customWidth="1"/>
    <col min="13318" max="13318" width="12.7109375" style="3" customWidth="1"/>
    <col min="13319" max="13319" width="14" style="3" customWidth="1"/>
    <col min="13320" max="13320" width="7.42578125" style="3" customWidth="1"/>
    <col min="13321" max="13568" width="11.42578125" style="3"/>
    <col min="13569" max="13569" width="15.85546875" style="3" customWidth="1"/>
    <col min="13570" max="13570" width="14.85546875" style="3" customWidth="1"/>
    <col min="13571" max="13571" width="13.28515625" style="3" customWidth="1"/>
    <col min="13572" max="13572" width="11.42578125" style="3"/>
    <col min="13573" max="13573" width="13.42578125" style="3" customWidth="1"/>
    <col min="13574" max="13574" width="12.7109375" style="3" customWidth="1"/>
    <col min="13575" max="13575" width="14" style="3" customWidth="1"/>
    <col min="13576" max="13576" width="7.42578125" style="3" customWidth="1"/>
    <col min="13577" max="13824" width="11.42578125" style="3"/>
    <col min="13825" max="13825" width="15.85546875" style="3" customWidth="1"/>
    <col min="13826" max="13826" width="14.85546875" style="3" customWidth="1"/>
    <col min="13827" max="13827" width="13.28515625" style="3" customWidth="1"/>
    <col min="13828" max="13828" width="11.42578125" style="3"/>
    <col min="13829" max="13829" width="13.42578125" style="3" customWidth="1"/>
    <col min="13830" max="13830" width="12.7109375" style="3" customWidth="1"/>
    <col min="13831" max="13831" width="14" style="3" customWidth="1"/>
    <col min="13832" max="13832" width="7.42578125" style="3" customWidth="1"/>
    <col min="13833" max="14080" width="11.42578125" style="3"/>
    <col min="14081" max="14081" width="15.85546875" style="3" customWidth="1"/>
    <col min="14082" max="14082" width="14.85546875" style="3" customWidth="1"/>
    <col min="14083" max="14083" width="13.28515625" style="3" customWidth="1"/>
    <col min="14084" max="14084" width="11.42578125" style="3"/>
    <col min="14085" max="14085" width="13.42578125" style="3" customWidth="1"/>
    <col min="14086" max="14086" width="12.7109375" style="3" customWidth="1"/>
    <col min="14087" max="14087" width="14" style="3" customWidth="1"/>
    <col min="14088" max="14088" width="7.42578125" style="3" customWidth="1"/>
    <col min="14089" max="14336" width="11.42578125" style="3"/>
    <col min="14337" max="14337" width="15.85546875" style="3" customWidth="1"/>
    <col min="14338" max="14338" width="14.85546875" style="3" customWidth="1"/>
    <col min="14339" max="14339" width="13.28515625" style="3" customWidth="1"/>
    <col min="14340" max="14340" width="11.42578125" style="3"/>
    <col min="14341" max="14341" width="13.42578125" style="3" customWidth="1"/>
    <col min="14342" max="14342" width="12.7109375" style="3" customWidth="1"/>
    <col min="14343" max="14343" width="14" style="3" customWidth="1"/>
    <col min="14344" max="14344" width="7.42578125" style="3" customWidth="1"/>
    <col min="14345" max="14592" width="11.42578125" style="3"/>
    <col min="14593" max="14593" width="15.85546875" style="3" customWidth="1"/>
    <col min="14594" max="14594" width="14.85546875" style="3" customWidth="1"/>
    <col min="14595" max="14595" width="13.28515625" style="3" customWidth="1"/>
    <col min="14596" max="14596" width="11.42578125" style="3"/>
    <col min="14597" max="14597" width="13.42578125" style="3" customWidth="1"/>
    <col min="14598" max="14598" width="12.7109375" style="3" customWidth="1"/>
    <col min="14599" max="14599" width="14" style="3" customWidth="1"/>
    <col min="14600" max="14600" width="7.42578125" style="3" customWidth="1"/>
    <col min="14601" max="14848" width="11.42578125" style="3"/>
    <col min="14849" max="14849" width="15.85546875" style="3" customWidth="1"/>
    <col min="14850" max="14850" width="14.85546875" style="3" customWidth="1"/>
    <col min="14851" max="14851" width="13.28515625" style="3" customWidth="1"/>
    <col min="14852" max="14852" width="11.42578125" style="3"/>
    <col min="14853" max="14853" width="13.42578125" style="3" customWidth="1"/>
    <col min="14854" max="14854" width="12.7109375" style="3" customWidth="1"/>
    <col min="14855" max="14855" width="14" style="3" customWidth="1"/>
    <col min="14856" max="14856" width="7.42578125" style="3" customWidth="1"/>
    <col min="14857" max="15104" width="11.42578125" style="3"/>
    <col min="15105" max="15105" width="15.85546875" style="3" customWidth="1"/>
    <col min="15106" max="15106" width="14.85546875" style="3" customWidth="1"/>
    <col min="15107" max="15107" width="13.28515625" style="3" customWidth="1"/>
    <col min="15108" max="15108" width="11.42578125" style="3"/>
    <col min="15109" max="15109" width="13.42578125" style="3" customWidth="1"/>
    <col min="15110" max="15110" width="12.7109375" style="3" customWidth="1"/>
    <col min="15111" max="15111" width="14" style="3" customWidth="1"/>
    <col min="15112" max="15112" width="7.42578125" style="3" customWidth="1"/>
    <col min="15113" max="15360" width="11.42578125" style="3"/>
    <col min="15361" max="15361" width="15.85546875" style="3" customWidth="1"/>
    <col min="15362" max="15362" width="14.85546875" style="3" customWidth="1"/>
    <col min="15363" max="15363" width="13.28515625" style="3" customWidth="1"/>
    <col min="15364" max="15364" width="11.42578125" style="3"/>
    <col min="15365" max="15365" width="13.42578125" style="3" customWidth="1"/>
    <col min="15366" max="15366" width="12.7109375" style="3" customWidth="1"/>
    <col min="15367" max="15367" width="14" style="3" customWidth="1"/>
    <col min="15368" max="15368" width="7.42578125" style="3" customWidth="1"/>
    <col min="15369" max="15616" width="11.42578125" style="3"/>
    <col min="15617" max="15617" width="15.85546875" style="3" customWidth="1"/>
    <col min="15618" max="15618" width="14.85546875" style="3" customWidth="1"/>
    <col min="15619" max="15619" width="13.28515625" style="3" customWidth="1"/>
    <col min="15620" max="15620" width="11.42578125" style="3"/>
    <col min="15621" max="15621" width="13.42578125" style="3" customWidth="1"/>
    <col min="15622" max="15622" width="12.7109375" style="3" customWidth="1"/>
    <col min="15623" max="15623" width="14" style="3" customWidth="1"/>
    <col min="15624" max="15624" width="7.42578125" style="3" customWidth="1"/>
    <col min="15625" max="15872" width="11.42578125" style="3"/>
    <col min="15873" max="15873" width="15.85546875" style="3" customWidth="1"/>
    <col min="15874" max="15874" width="14.85546875" style="3" customWidth="1"/>
    <col min="15875" max="15875" width="13.28515625" style="3" customWidth="1"/>
    <col min="15876" max="15876" width="11.42578125" style="3"/>
    <col min="15877" max="15877" width="13.42578125" style="3" customWidth="1"/>
    <col min="15878" max="15878" width="12.7109375" style="3" customWidth="1"/>
    <col min="15879" max="15879" width="14" style="3" customWidth="1"/>
    <col min="15880" max="15880" width="7.42578125" style="3" customWidth="1"/>
    <col min="15881" max="16128" width="11.42578125" style="3"/>
    <col min="16129" max="16129" width="15.85546875" style="3" customWidth="1"/>
    <col min="16130" max="16130" width="14.85546875" style="3" customWidth="1"/>
    <col min="16131" max="16131" width="13.28515625" style="3" customWidth="1"/>
    <col min="16132" max="16132" width="11.42578125" style="3"/>
    <col min="16133" max="16133" width="13.42578125" style="3" customWidth="1"/>
    <col min="16134" max="16134" width="12.7109375" style="3" customWidth="1"/>
    <col min="16135" max="16135" width="14" style="3" customWidth="1"/>
    <col min="16136" max="16136" width="7.42578125" style="3" customWidth="1"/>
    <col min="16137" max="16384" width="11.42578125" style="3"/>
  </cols>
  <sheetData>
    <row r="1" spans="1:21" ht="20.25">
      <c r="A1" s="1346" t="str">
        <f>PPTO!D3</f>
        <v>PRESUPUESTO
MUNICIPIO EL BAGRE (ANTIOQUIA).</v>
      </c>
      <c r="B1" s="1347"/>
      <c r="C1" s="1347"/>
      <c r="D1" s="1347"/>
      <c r="E1" s="1347"/>
      <c r="F1" s="1347"/>
      <c r="G1" s="1348"/>
      <c r="H1" s="1"/>
      <c r="I1" s="2"/>
    </row>
    <row r="2" spans="1:21" ht="18" customHeight="1">
      <c r="A2" s="1362" t="s">
        <v>16</v>
      </c>
      <c r="B2" s="1363"/>
      <c r="C2" s="1363"/>
      <c r="D2" s="1363"/>
      <c r="E2" s="1363"/>
      <c r="F2" s="1363"/>
      <c r="G2" s="1364"/>
      <c r="H2" s="1"/>
      <c r="I2" s="2"/>
    </row>
    <row r="3" spans="1:21" ht="27" customHeight="1">
      <c r="A3" s="1367" t="str">
        <f>+PPTO!$D$5</f>
        <v>PROYECTO DE MEJORAMIENTO VIAL, ESPACIO PUBLICO Y OBRAS COMPLEMENTARIAS DE LA AVENIDA LA JUVENTUD Y TRAMOS ADYACENTES Y PRIORITARIOS DEL SECTOR URBANO EN EL MUNICIPIO EL BAGRE ANTIOQUIA.</v>
      </c>
      <c r="B3" s="1368"/>
      <c r="C3" s="1368"/>
      <c r="D3" s="1368"/>
      <c r="E3" s="1368"/>
      <c r="F3" s="1368"/>
      <c r="G3" s="1369"/>
      <c r="H3" s="1"/>
      <c r="I3" s="2"/>
    </row>
    <row r="4" spans="1:21" ht="10.5" customHeight="1">
      <c r="A4" s="1370"/>
      <c r="B4" s="1368"/>
      <c r="C4" s="1368"/>
      <c r="D4" s="1368"/>
      <c r="E4" s="1368"/>
      <c r="F4" s="1368"/>
      <c r="G4" s="1369"/>
      <c r="H4" s="1"/>
      <c r="I4" s="2"/>
    </row>
    <row r="5" spans="1:21" ht="6.75" customHeight="1">
      <c r="A5" s="222"/>
      <c r="B5" s="6"/>
      <c r="C5" s="24"/>
      <c r="D5" s="25"/>
      <c r="E5" s="6"/>
      <c r="F5" s="6"/>
      <c r="G5" s="223"/>
      <c r="H5" s="9"/>
    </row>
    <row r="6" spans="1:21" ht="29.25" customHeight="1">
      <c r="A6" s="368">
        <v>6.51</v>
      </c>
      <c r="B6" s="1349" t="str">
        <f>VLOOKUP(A6,PPTO!D9:I136,2,FALSE)</f>
        <v>TUBERIA PVC Ø 160 mm (Incluye accesorios, hidrosellos y lubricante) 6" para reposicion de conexiones domiciliarias</v>
      </c>
      <c r="C6" s="1350"/>
      <c r="D6" s="1350"/>
      <c r="E6" s="1351"/>
      <c r="F6" s="192" t="s">
        <v>118</v>
      </c>
      <c r="G6" s="248" t="str">
        <f>VLOOKUP(A6,PPTO!D9:I136,3,FALSE)</f>
        <v>m</v>
      </c>
      <c r="H6" s="9"/>
    </row>
    <row r="7" spans="1:21" ht="3.75" customHeight="1">
      <c r="A7" s="226"/>
      <c r="B7" s="4"/>
      <c r="C7" s="6"/>
      <c r="D7" s="4"/>
      <c r="E7" s="4"/>
      <c r="F7" s="4"/>
      <c r="G7" s="227"/>
      <c r="H7" s="9"/>
    </row>
    <row r="8" spans="1:21" ht="22.5" customHeight="1">
      <c r="A8" s="1354" t="s">
        <v>69</v>
      </c>
      <c r="B8" s="1355"/>
      <c r="C8" s="1355"/>
      <c r="D8" s="1355"/>
      <c r="E8" s="1355"/>
      <c r="F8" s="1355"/>
      <c r="G8" s="1356"/>
      <c r="H8" s="9"/>
    </row>
    <row r="9" spans="1:21" ht="4.5" customHeight="1">
      <c r="A9" s="226"/>
      <c r="B9" s="4"/>
      <c r="C9" s="6"/>
      <c r="D9" s="4"/>
      <c r="E9" s="4"/>
      <c r="F9" s="4"/>
      <c r="G9" s="227"/>
      <c r="H9" s="9"/>
      <c r="I9" s="5"/>
      <c r="J9" s="5"/>
      <c r="K9" s="5"/>
      <c r="L9" s="26"/>
      <c r="M9" s="5"/>
      <c r="N9" s="5"/>
      <c r="O9" s="5"/>
      <c r="P9" s="5"/>
    </row>
    <row r="10" spans="1:21">
      <c r="A10" s="1373" t="s">
        <v>17</v>
      </c>
      <c r="B10" s="1374"/>
      <c r="C10" s="1374"/>
      <c r="D10" s="353" t="s">
        <v>18</v>
      </c>
      <c r="E10" s="353" t="s">
        <v>19</v>
      </c>
      <c r="F10" s="353" t="s">
        <v>20</v>
      </c>
      <c r="G10" s="228" t="s">
        <v>21</v>
      </c>
      <c r="H10" s="27"/>
      <c r="I10" s="28"/>
      <c r="J10" s="29"/>
      <c r="K10" s="30"/>
      <c r="L10" s="30"/>
      <c r="M10" s="30"/>
      <c r="N10" s="30"/>
      <c r="O10" s="30"/>
      <c r="P10" s="5"/>
    </row>
    <row r="11" spans="1:21">
      <c r="A11" s="1352" t="s">
        <v>47</v>
      </c>
      <c r="B11" s="1353"/>
      <c r="C11" s="1353"/>
      <c r="D11" s="353"/>
      <c r="E11" s="83"/>
      <c r="F11" s="97"/>
      <c r="G11" s="229">
        <f>+G39*10%</f>
        <v>1018</v>
      </c>
      <c r="H11" s="9"/>
      <c r="I11" s="30"/>
      <c r="J11" s="31"/>
      <c r="K11" s="30"/>
      <c r="L11" s="30"/>
      <c r="M11" s="30"/>
      <c r="N11" s="30"/>
      <c r="O11" s="30"/>
      <c r="P11" s="5"/>
    </row>
    <row r="12" spans="1:21">
      <c r="A12" s="1371"/>
      <c r="B12" s="1372"/>
      <c r="C12" s="1372"/>
      <c r="D12" s="83"/>
      <c r="E12" s="83"/>
      <c r="F12" s="93"/>
      <c r="G12" s="229"/>
      <c r="H12" s="9"/>
      <c r="I12" s="16"/>
      <c r="J12" s="13"/>
      <c r="K12" s="8"/>
      <c r="L12" s="8"/>
      <c r="M12" s="8"/>
      <c r="N12" s="8"/>
      <c r="O12" s="8"/>
      <c r="P12" s="5"/>
    </row>
    <row r="13" spans="1:21">
      <c r="A13" s="1371"/>
      <c r="B13" s="1372"/>
      <c r="C13" s="1372"/>
      <c r="D13" s="83"/>
      <c r="E13" s="83"/>
      <c r="F13" s="93"/>
      <c r="G13" s="229"/>
      <c r="H13" s="9"/>
      <c r="I13" s="13"/>
      <c r="J13" s="13"/>
      <c r="K13" s="13"/>
      <c r="L13" s="13"/>
      <c r="M13" s="13"/>
      <c r="N13" s="13"/>
      <c r="O13" s="13"/>
      <c r="P13" s="5"/>
    </row>
    <row r="14" spans="1:21">
      <c r="A14" s="1371"/>
      <c r="B14" s="1372"/>
      <c r="C14" s="1372"/>
      <c r="D14" s="83"/>
      <c r="E14" s="83"/>
      <c r="F14" s="93"/>
      <c r="G14" s="229"/>
      <c r="H14" s="9"/>
      <c r="I14" s="8"/>
      <c r="J14" s="14"/>
      <c r="K14" s="32"/>
      <c r="L14" s="14"/>
      <c r="M14" s="15"/>
      <c r="N14" s="15"/>
      <c r="O14" s="19"/>
      <c r="P14" s="5"/>
    </row>
    <row r="15" spans="1:21">
      <c r="A15" s="1371"/>
      <c r="B15" s="1372"/>
      <c r="C15" s="1372"/>
      <c r="D15" s="83"/>
      <c r="E15" s="83"/>
      <c r="F15" s="98"/>
      <c r="G15" s="229"/>
      <c r="H15" s="9"/>
      <c r="I15" s="8"/>
      <c r="J15" s="33"/>
      <c r="K15" s="32"/>
      <c r="L15" s="14"/>
      <c r="M15" s="15"/>
      <c r="N15" s="15"/>
      <c r="O15" s="19"/>
      <c r="P15" s="5"/>
      <c r="Q15" s="5"/>
      <c r="R15" s="5"/>
      <c r="S15" s="5"/>
      <c r="T15" s="5"/>
      <c r="U15" s="5"/>
    </row>
    <row r="16" spans="1:21">
      <c r="A16" s="1371"/>
      <c r="B16" s="1372"/>
      <c r="C16" s="1372"/>
      <c r="D16" s="85" t="s">
        <v>37</v>
      </c>
      <c r="E16" s="50"/>
      <c r="F16" s="49"/>
      <c r="G16" s="230">
        <f>SUM(G11:G15)</f>
        <v>1018</v>
      </c>
      <c r="H16" s="9"/>
      <c r="I16" s="34"/>
      <c r="J16" s="34"/>
      <c r="K16" s="35"/>
      <c r="L16" s="36"/>
      <c r="M16" s="7"/>
      <c r="N16" s="7"/>
      <c r="O16" s="19"/>
      <c r="P16" s="5"/>
      <c r="Q16" s="5"/>
      <c r="R16" s="5"/>
      <c r="S16" s="5"/>
      <c r="T16" s="5"/>
      <c r="U16" s="5"/>
    </row>
    <row r="17" spans="1:21" ht="4.5" customHeight="1">
      <c r="A17" s="226"/>
      <c r="B17" s="4"/>
      <c r="C17" s="6"/>
      <c r="D17" s="4"/>
      <c r="E17" s="4"/>
      <c r="F17" s="4"/>
      <c r="G17" s="227"/>
      <c r="H17" s="9"/>
      <c r="I17" s="34"/>
      <c r="J17" s="34"/>
      <c r="K17" s="35"/>
      <c r="L17" s="36"/>
      <c r="M17" s="7"/>
      <c r="N17" s="7"/>
      <c r="O17" s="19"/>
      <c r="P17" s="5"/>
      <c r="Q17" s="5"/>
      <c r="R17" s="5"/>
      <c r="S17" s="5"/>
      <c r="T17" s="5"/>
      <c r="U17" s="5"/>
    </row>
    <row r="18" spans="1:21" ht="22.5" customHeight="1">
      <c r="A18" s="1354" t="s">
        <v>70</v>
      </c>
      <c r="B18" s="1355"/>
      <c r="C18" s="1355"/>
      <c r="D18" s="1355"/>
      <c r="E18" s="1355"/>
      <c r="F18" s="1355"/>
      <c r="G18" s="1356"/>
      <c r="H18" s="9"/>
    </row>
    <row r="19" spans="1:21" ht="4.5" customHeight="1">
      <c r="A19" s="226"/>
      <c r="B19" s="4"/>
      <c r="C19" s="6"/>
      <c r="D19" s="4"/>
      <c r="E19" s="4"/>
      <c r="F19" s="38"/>
      <c r="G19" s="227"/>
      <c r="H19" s="9"/>
      <c r="I19" s="34"/>
      <c r="J19" s="34"/>
      <c r="K19" s="35"/>
      <c r="L19" s="39"/>
      <c r="M19" s="7"/>
      <c r="N19" s="7"/>
      <c r="O19" s="8"/>
      <c r="P19" s="5"/>
      <c r="Q19" s="5"/>
      <c r="R19" s="5"/>
      <c r="S19" s="5"/>
      <c r="T19" s="5"/>
      <c r="U19" s="5"/>
    </row>
    <row r="20" spans="1:21">
      <c r="A20" s="1373" t="s">
        <v>17</v>
      </c>
      <c r="B20" s="1374"/>
      <c r="C20" s="1374"/>
      <c r="D20" s="353" t="s">
        <v>3</v>
      </c>
      <c r="E20" s="353" t="s">
        <v>4</v>
      </c>
      <c r="F20" s="353" t="s">
        <v>25</v>
      </c>
      <c r="G20" s="228" t="s">
        <v>21</v>
      </c>
      <c r="H20" s="27"/>
      <c r="I20" s="34"/>
      <c r="J20" s="34"/>
      <c r="K20" s="35"/>
      <c r="L20" s="39"/>
      <c r="M20" s="7"/>
      <c r="N20" s="7"/>
      <c r="O20" s="8"/>
      <c r="P20" s="5"/>
      <c r="Q20" s="5"/>
      <c r="R20" s="5"/>
      <c r="S20" s="5"/>
      <c r="T20" s="5"/>
      <c r="U20" s="5"/>
    </row>
    <row r="21" spans="1:21" ht="31.5" customHeight="1">
      <c r="A21" s="1441" t="s">
        <v>219</v>
      </c>
      <c r="B21" s="1442"/>
      <c r="C21" s="1443"/>
      <c r="D21" s="118" t="s">
        <v>51</v>
      </c>
      <c r="E21" s="119">
        <v>1</v>
      </c>
      <c r="F21" s="87">
        <f>178000/6*IPC</f>
        <v>30610</v>
      </c>
      <c r="G21" s="231">
        <f>ROUND(F21*E21,0)</f>
        <v>30610</v>
      </c>
      <c r="H21" s="9"/>
      <c r="I21" s="34"/>
      <c r="J21" s="34"/>
      <c r="K21" s="35"/>
      <c r="L21" s="36"/>
      <c r="M21" s="7"/>
      <c r="N21" s="7"/>
      <c r="O21" s="19"/>
      <c r="P21" s="5"/>
      <c r="Q21" s="5"/>
      <c r="R21" s="5"/>
      <c r="S21" s="5"/>
      <c r="T21" s="5"/>
      <c r="U21" s="5"/>
    </row>
    <row r="22" spans="1:21" ht="27.75" customHeight="1">
      <c r="A22" s="1444"/>
      <c r="B22" s="1403"/>
      <c r="C22" s="1404"/>
      <c r="D22" s="116"/>
      <c r="E22" s="117"/>
      <c r="F22" s="91"/>
      <c r="G22" s="231"/>
      <c r="H22" s="9"/>
      <c r="I22" s="10"/>
      <c r="J22" s="10"/>
      <c r="K22" s="12"/>
      <c r="L22" s="39"/>
      <c r="M22" s="7"/>
      <c r="N22" s="7"/>
      <c r="O22" s="15"/>
      <c r="P22" s="5"/>
      <c r="Q22" s="5"/>
      <c r="R22" s="5"/>
      <c r="S22" s="5"/>
      <c r="T22" s="5"/>
      <c r="U22" s="5"/>
    </row>
    <row r="23" spans="1:21">
      <c r="A23" s="1386" t="s">
        <v>131</v>
      </c>
      <c r="B23" s="1353"/>
      <c r="C23" s="1353"/>
      <c r="D23" s="79"/>
      <c r="E23" s="82">
        <v>1</v>
      </c>
      <c r="F23" s="83">
        <v>5000</v>
      </c>
      <c r="G23" s="67">
        <f>+F23*E23</f>
        <v>5000</v>
      </c>
      <c r="H23" s="9"/>
      <c r="I23" s="10"/>
      <c r="J23" s="10"/>
      <c r="K23" s="12"/>
      <c r="L23" s="39"/>
      <c r="M23" s="7"/>
      <c r="N23" s="7"/>
      <c r="O23" s="15"/>
      <c r="P23" s="5"/>
      <c r="Q23" s="5"/>
      <c r="R23" s="5"/>
      <c r="S23" s="5"/>
      <c r="T23" s="5"/>
      <c r="U23" s="5"/>
    </row>
    <row r="24" spans="1:21">
      <c r="A24" s="1352"/>
      <c r="B24" s="1353"/>
      <c r="C24" s="1353"/>
      <c r="D24" s="81"/>
      <c r="E24" s="88"/>
      <c r="F24" s="78"/>
      <c r="G24" s="231"/>
      <c r="H24" s="9"/>
      <c r="I24" s="10"/>
      <c r="J24" s="40"/>
      <c r="K24" s="12"/>
      <c r="L24" s="13"/>
      <c r="M24" s="14"/>
      <c r="N24" s="14"/>
      <c r="O24" s="15"/>
      <c r="P24" s="5"/>
      <c r="Q24" s="5"/>
      <c r="R24" s="5"/>
      <c r="S24" s="5"/>
      <c r="T24" s="5"/>
      <c r="U24" s="5"/>
    </row>
    <row r="25" spans="1:21">
      <c r="A25" s="1352"/>
      <c r="B25" s="1353"/>
      <c r="C25" s="1353"/>
      <c r="D25" s="81"/>
      <c r="E25" s="82"/>
      <c r="F25" s="78"/>
      <c r="G25" s="231"/>
      <c r="H25" s="9"/>
      <c r="I25" s="10"/>
      <c r="J25" s="11"/>
      <c r="K25" s="12"/>
      <c r="L25" s="13"/>
      <c r="M25" s="14"/>
      <c r="N25" s="14"/>
      <c r="O25" s="15"/>
      <c r="P25" s="5"/>
      <c r="Q25" s="5"/>
      <c r="R25" s="5"/>
      <c r="S25" s="5"/>
      <c r="T25" s="5"/>
      <c r="U25" s="5"/>
    </row>
    <row r="26" spans="1:21">
      <c r="A26" s="1352"/>
      <c r="B26" s="1353"/>
      <c r="C26" s="1353"/>
      <c r="D26" s="79"/>
      <c r="E26" s="82"/>
      <c r="F26" s="78"/>
      <c r="G26" s="231"/>
      <c r="H26" s="9"/>
      <c r="I26" s="10"/>
      <c r="J26" s="11"/>
      <c r="K26" s="12"/>
      <c r="L26" s="13"/>
      <c r="M26" s="14"/>
      <c r="N26" s="14"/>
      <c r="O26" s="15"/>
      <c r="P26" s="5"/>
      <c r="Q26" s="5"/>
      <c r="R26" s="5"/>
      <c r="S26" s="5"/>
      <c r="T26" s="5"/>
      <c r="U26" s="5"/>
    </row>
    <row r="27" spans="1:21">
      <c r="A27" s="1352"/>
      <c r="B27" s="1353"/>
      <c r="C27" s="1353"/>
      <c r="D27" s="79"/>
      <c r="E27" s="82"/>
      <c r="F27" s="78"/>
      <c r="G27" s="231"/>
      <c r="H27" s="9"/>
      <c r="I27" s="10"/>
      <c r="J27" s="11"/>
      <c r="K27" s="12"/>
      <c r="L27" s="13"/>
      <c r="M27" s="14"/>
      <c r="N27" s="14"/>
      <c r="O27" s="15"/>
      <c r="P27" s="5"/>
      <c r="Q27" s="5"/>
      <c r="R27" s="5"/>
      <c r="S27" s="5"/>
      <c r="T27" s="5"/>
      <c r="U27" s="5"/>
    </row>
    <row r="28" spans="1:21">
      <c r="A28" s="1352"/>
      <c r="B28" s="1353"/>
      <c r="C28" s="1353"/>
      <c r="D28" s="79"/>
      <c r="E28" s="82"/>
      <c r="F28" s="83"/>
      <c r="G28" s="231"/>
      <c r="H28" s="9"/>
      <c r="I28" s="41"/>
      <c r="J28" s="41"/>
      <c r="K28" s="12"/>
      <c r="L28" s="13"/>
      <c r="M28" s="14"/>
      <c r="N28" s="14"/>
      <c r="O28" s="15"/>
      <c r="P28" s="5"/>
      <c r="Q28" s="5"/>
      <c r="R28" s="5"/>
      <c r="S28" s="5"/>
      <c r="T28" s="5"/>
      <c r="U28" s="5"/>
    </row>
    <row r="29" spans="1:21">
      <c r="A29" s="1352"/>
      <c r="B29" s="1353"/>
      <c r="C29" s="1353"/>
      <c r="D29" s="84"/>
      <c r="E29" s="84"/>
      <c r="F29" s="83"/>
      <c r="G29" s="231"/>
      <c r="H29" s="9"/>
      <c r="I29" s="42"/>
      <c r="J29" s="42"/>
      <c r="K29" s="42"/>
      <c r="L29" s="13"/>
      <c r="M29" s="14"/>
      <c r="N29" s="14"/>
      <c r="O29" s="15"/>
      <c r="P29" s="5"/>
      <c r="Q29" s="5"/>
      <c r="R29" s="5"/>
      <c r="S29" s="5"/>
      <c r="T29" s="5"/>
      <c r="U29" s="5"/>
    </row>
    <row r="30" spans="1:21">
      <c r="A30" s="1352"/>
      <c r="B30" s="1353"/>
      <c r="C30" s="1353"/>
      <c r="D30" s="85" t="s">
        <v>28</v>
      </c>
      <c r="E30" s="50"/>
      <c r="F30" s="49"/>
      <c r="G30" s="230">
        <f>SUM(G21:G29)</f>
        <v>35610</v>
      </c>
      <c r="H30" s="9"/>
      <c r="I30" s="8"/>
      <c r="J30" s="13"/>
      <c r="K30" s="8"/>
      <c r="L30" s="13"/>
      <c r="M30" s="14"/>
      <c r="N30" s="14"/>
      <c r="O30" s="15"/>
      <c r="P30" s="5"/>
    </row>
    <row r="31" spans="1:21" ht="3.75" customHeight="1">
      <c r="A31" s="226"/>
      <c r="B31" s="4"/>
      <c r="C31" s="6"/>
      <c r="D31" s="4"/>
      <c r="E31" s="4"/>
      <c r="F31" s="4"/>
      <c r="G31" s="227"/>
      <c r="H31" s="9"/>
      <c r="I31" s="8"/>
      <c r="J31" s="13"/>
      <c r="K31" s="18"/>
      <c r="L31" s="13"/>
      <c r="M31" s="33"/>
      <c r="N31" s="33"/>
      <c r="O31" s="15"/>
      <c r="P31" s="5"/>
    </row>
    <row r="32" spans="1:21" ht="22.5" customHeight="1">
      <c r="A32" s="1354" t="s">
        <v>71</v>
      </c>
      <c r="B32" s="1355"/>
      <c r="C32" s="1355"/>
      <c r="D32" s="1355"/>
      <c r="E32" s="1355"/>
      <c r="F32" s="1355"/>
      <c r="G32" s="1356"/>
      <c r="H32" s="9"/>
    </row>
    <row r="33" spans="1:16" ht="3.75" customHeight="1">
      <c r="A33" s="226"/>
      <c r="B33" s="4"/>
      <c r="C33" s="6"/>
      <c r="D33" s="4"/>
      <c r="E33" s="4"/>
      <c r="F33" s="4"/>
      <c r="G33" s="227"/>
      <c r="H33" s="9"/>
      <c r="I33" s="8"/>
      <c r="J33" s="13"/>
      <c r="K33" s="8"/>
      <c r="L33" s="8"/>
      <c r="M33" s="8"/>
      <c r="N33" s="8"/>
      <c r="O33" s="15"/>
      <c r="P33" s="5"/>
    </row>
    <row r="34" spans="1:16">
      <c r="A34" s="232" t="s">
        <v>5</v>
      </c>
      <c r="B34" s="60" t="s">
        <v>29</v>
      </c>
      <c r="C34" s="60" t="s">
        <v>30</v>
      </c>
      <c r="D34" s="60" t="s">
        <v>31</v>
      </c>
      <c r="E34" s="60" t="s">
        <v>32</v>
      </c>
      <c r="F34" s="60" t="s">
        <v>20</v>
      </c>
      <c r="G34" s="228" t="s">
        <v>33</v>
      </c>
      <c r="H34" s="27"/>
      <c r="I34" s="8"/>
      <c r="J34" s="13"/>
      <c r="K34" s="8"/>
      <c r="L34" s="8"/>
      <c r="M34" s="8"/>
      <c r="N34" s="8"/>
      <c r="O34" s="15"/>
      <c r="P34" s="5"/>
    </row>
    <row r="35" spans="1:16">
      <c r="A35" s="233" t="s">
        <v>41</v>
      </c>
      <c r="B35" s="63">
        <f>BOF</f>
        <v>51749</v>
      </c>
      <c r="C35" s="68">
        <f>ffpp</f>
        <v>0.64539999999999997</v>
      </c>
      <c r="D35" s="72">
        <v>1</v>
      </c>
      <c r="E35" s="66">
        <f>OF</f>
        <v>88696</v>
      </c>
      <c r="F35" s="65">
        <v>30</v>
      </c>
      <c r="G35" s="231">
        <f>ROUND(+D35*E35/F35,0)</f>
        <v>2957</v>
      </c>
      <c r="H35" s="9"/>
      <c r="I35" s="16"/>
      <c r="J35" s="13"/>
      <c r="K35" s="8"/>
      <c r="L35" s="8"/>
      <c r="M35" s="8"/>
      <c r="N35" s="8"/>
      <c r="O35" s="15"/>
      <c r="P35" s="5"/>
    </row>
    <row r="36" spans="1:16">
      <c r="A36" s="233" t="s">
        <v>38</v>
      </c>
      <c r="B36" s="63">
        <f>BOB</f>
        <v>41749</v>
      </c>
      <c r="C36" s="68">
        <f>ffpp</f>
        <v>0.64539999999999997</v>
      </c>
      <c r="D36" s="72">
        <v>3</v>
      </c>
      <c r="E36" s="66">
        <f>OB</f>
        <v>72242</v>
      </c>
      <c r="F36" s="65">
        <f>F35</f>
        <v>30</v>
      </c>
      <c r="G36" s="231">
        <f>ROUND(+D36*E36/F36,0)</f>
        <v>7224</v>
      </c>
      <c r="H36" s="9"/>
      <c r="I36" s="8"/>
      <c r="J36" s="8"/>
      <c r="K36" s="13"/>
      <c r="L36" s="13"/>
      <c r="M36" s="13"/>
      <c r="N36" s="13"/>
      <c r="O36" s="13"/>
      <c r="P36" s="5"/>
    </row>
    <row r="37" spans="1:16">
      <c r="A37" s="234"/>
      <c r="B37" s="50"/>
      <c r="C37" s="961"/>
      <c r="D37" s="50"/>
      <c r="E37" s="66"/>
      <c r="F37" s="65"/>
      <c r="G37" s="231"/>
      <c r="H37" s="9"/>
      <c r="I37" s="8"/>
      <c r="J37" s="13"/>
      <c r="K37" s="13"/>
      <c r="L37" s="13"/>
      <c r="M37" s="33"/>
      <c r="N37" s="33"/>
      <c r="O37" s="43"/>
      <c r="P37" s="5"/>
    </row>
    <row r="38" spans="1:16">
      <c r="A38" s="233"/>
      <c r="B38" s="65"/>
      <c r="C38" s="68"/>
      <c r="D38" s="65"/>
      <c r="E38" s="69"/>
      <c r="F38" s="69"/>
      <c r="G38" s="236"/>
      <c r="H38" s="9"/>
      <c r="I38" s="8"/>
      <c r="J38" s="13"/>
      <c r="K38" s="13"/>
      <c r="L38" s="13"/>
      <c r="M38" s="33"/>
      <c r="N38" s="33"/>
      <c r="O38" s="43"/>
      <c r="P38" s="5"/>
    </row>
    <row r="39" spans="1:16">
      <c r="A39" s="249"/>
      <c r="B39" s="71"/>
      <c r="C39" s="71"/>
      <c r="D39" s="71" t="s">
        <v>34</v>
      </c>
      <c r="E39" s="71"/>
      <c r="F39" s="71"/>
      <c r="G39" s="250">
        <f>SUM(G35:G38)</f>
        <v>10181</v>
      </c>
      <c r="H39" s="9"/>
      <c r="I39" s="8"/>
      <c r="J39" s="13"/>
      <c r="K39" s="13"/>
      <c r="L39" s="13"/>
      <c r="M39" s="14"/>
      <c r="N39" s="14"/>
      <c r="O39" s="15"/>
      <c r="P39" s="5"/>
    </row>
    <row r="40" spans="1:16">
      <c r="A40" s="226"/>
      <c r="B40" s="4"/>
      <c r="C40" s="6"/>
      <c r="D40" s="4"/>
      <c r="E40" s="4"/>
      <c r="F40" s="4"/>
      <c r="G40" s="227"/>
      <c r="H40" s="9"/>
      <c r="I40" s="8"/>
      <c r="J40" s="13"/>
      <c r="K40" s="13"/>
      <c r="L40" s="13"/>
      <c r="M40" s="14"/>
      <c r="N40" s="14"/>
      <c r="O40" s="19"/>
      <c r="P40" s="5"/>
    </row>
    <row r="41" spans="1:16">
      <c r="A41" s="226"/>
      <c r="B41" s="4"/>
      <c r="C41" s="6"/>
      <c r="D41" s="4"/>
      <c r="E41" s="4"/>
      <c r="F41" s="4"/>
      <c r="G41" s="227"/>
      <c r="H41" s="9"/>
      <c r="I41" s="8"/>
      <c r="J41" s="13"/>
      <c r="K41" s="13"/>
      <c r="L41" s="13"/>
      <c r="M41" s="17"/>
      <c r="N41" s="17"/>
      <c r="O41" s="37"/>
      <c r="P41" s="5"/>
    </row>
    <row r="42" spans="1:16" ht="14.25">
      <c r="A42" s="226"/>
      <c r="B42" s="4"/>
      <c r="C42" s="6"/>
      <c r="D42" s="1357" t="s">
        <v>35</v>
      </c>
      <c r="E42" s="1358"/>
      <c r="F42" s="1359"/>
      <c r="G42" s="239">
        <f>+G39+G30+G16</f>
        <v>46809</v>
      </c>
      <c r="H42" s="9"/>
      <c r="I42" s="48"/>
      <c r="J42" s="20"/>
      <c r="K42" s="8"/>
      <c r="L42" s="8"/>
      <c r="M42" s="8"/>
      <c r="N42" s="8"/>
      <c r="O42" s="8"/>
      <c r="P42" s="5"/>
    </row>
    <row r="43" spans="1:16" ht="14.25">
      <c r="A43" s="240"/>
      <c r="B43" s="57"/>
      <c r="C43" s="58"/>
      <c r="D43" s="99"/>
      <c r="E43" s="99"/>
      <c r="F43" s="99"/>
      <c r="G43" s="251"/>
      <c r="H43" s="9"/>
      <c r="I43" s="48"/>
      <c r="J43" s="20"/>
      <c r="K43" s="8"/>
      <c r="L43" s="8"/>
      <c r="M43" s="8"/>
      <c r="N43" s="8"/>
      <c r="O43" s="8"/>
      <c r="P43" s="5"/>
    </row>
    <row r="44" spans="1:16" ht="14.25">
      <c r="A44" s="374"/>
      <c r="B44" s="375"/>
      <c r="C44" s="375"/>
      <c r="D44" s="99"/>
      <c r="E44" s="99"/>
      <c r="F44" s="99"/>
      <c r="G44" s="251"/>
      <c r="H44" s="9"/>
      <c r="I44" s="48"/>
      <c r="J44" s="20"/>
      <c r="K44" s="8"/>
      <c r="L44" s="8"/>
      <c r="M44" s="8"/>
      <c r="N44" s="8"/>
      <c r="O44" s="8"/>
      <c r="P44" s="5"/>
    </row>
    <row r="45" spans="1:16" ht="14.25">
      <c r="A45" s="373"/>
      <c r="B45" s="376"/>
      <c r="C45" s="376"/>
      <c r="D45" s="99"/>
      <c r="E45" s="99"/>
      <c r="F45" s="99"/>
      <c r="G45" s="251"/>
      <c r="H45" s="9"/>
      <c r="I45" s="48"/>
      <c r="J45" s="20"/>
      <c r="K45" s="8"/>
      <c r="L45" s="8"/>
      <c r="M45" s="8"/>
      <c r="N45" s="8"/>
      <c r="O45" s="8"/>
      <c r="P45" s="5"/>
    </row>
    <row r="46" spans="1:16" ht="14.25">
      <c r="A46" s="373"/>
      <c r="B46" s="376"/>
      <c r="C46" s="376"/>
      <c r="D46" s="44"/>
      <c r="E46" s="45"/>
      <c r="F46" s="45"/>
      <c r="G46" s="251"/>
      <c r="H46" s="9"/>
      <c r="I46" s="8"/>
      <c r="J46" s="13"/>
      <c r="K46" s="8"/>
      <c r="L46" s="8"/>
      <c r="M46" s="8"/>
      <c r="N46" s="8"/>
      <c r="O46" s="8"/>
      <c r="P46" s="5"/>
    </row>
    <row r="47" spans="1:16" ht="15" thickBot="1">
      <c r="A47" s="242"/>
      <c r="B47" s="243"/>
      <c r="C47" s="244"/>
      <c r="D47" s="245"/>
      <c r="E47" s="246"/>
      <c r="F47" s="246"/>
      <c r="G47" s="247"/>
      <c r="H47" s="9"/>
      <c r="I47" s="8"/>
      <c r="J47" s="13"/>
      <c r="K47" s="8"/>
      <c r="L47" s="8"/>
      <c r="M47" s="8"/>
      <c r="N47" s="8"/>
      <c r="O47" s="8"/>
      <c r="P47" s="5"/>
    </row>
    <row r="48" spans="1:16">
      <c r="I48" s="5"/>
      <c r="J48" s="5"/>
      <c r="K48" s="5"/>
      <c r="L48" s="5"/>
      <c r="M48" s="5"/>
      <c r="N48" s="5"/>
      <c r="O48" s="5"/>
      <c r="P48" s="5"/>
    </row>
    <row r="49" spans="9:16">
      <c r="I49" s="5"/>
      <c r="J49" s="5"/>
      <c r="K49" s="5"/>
      <c r="L49" s="5"/>
      <c r="M49" s="5"/>
      <c r="N49" s="5"/>
      <c r="O49" s="5"/>
      <c r="P49" s="5"/>
    </row>
  </sheetData>
  <mergeCells count="26">
    <mergeCell ref="A10:C10"/>
    <mergeCell ref="A1:G1"/>
    <mergeCell ref="A2:G2"/>
    <mergeCell ref="A3:G4"/>
    <mergeCell ref="B6:E6"/>
    <mergeCell ref="A8:G8"/>
    <mergeCell ref="A24:C24"/>
    <mergeCell ref="A11:C11"/>
    <mergeCell ref="A12:C12"/>
    <mergeCell ref="A13:C13"/>
    <mergeCell ref="A14:C14"/>
    <mergeCell ref="A15:C15"/>
    <mergeCell ref="A16:C16"/>
    <mergeCell ref="A18:G18"/>
    <mergeCell ref="A20:C20"/>
    <mergeCell ref="A21:C21"/>
    <mergeCell ref="A22:C22"/>
    <mergeCell ref="A23:C23"/>
    <mergeCell ref="A32:G32"/>
    <mergeCell ref="D42:F42"/>
    <mergeCell ref="A25:C25"/>
    <mergeCell ref="A26:C26"/>
    <mergeCell ref="A27:C27"/>
    <mergeCell ref="A28:C28"/>
    <mergeCell ref="A29:C29"/>
    <mergeCell ref="A30:C30"/>
  </mergeCells>
  <printOptions horizontalCentered="1" verticalCentered="1"/>
  <pageMargins left="0.74803149606299213" right="0.74803149606299213" top="0" bottom="0.98425196850393704" header="0" footer="0"/>
  <pageSetup scale="90" orientation="portrait" r:id="rId1"/>
  <headerFooter alignWithMargins="0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96"/>
  <dimension ref="A1:U49"/>
  <sheetViews>
    <sheetView view="pageBreakPreview" zoomScaleNormal="100" zoomScaleSheetLayoutView="100" workbookViewId="0">
      <selection activeCell="I7" sqref="I7"/>
    </sheetView>
  </sheetViews>
  <sheetFormatPr baseColWidth="10" defaultColWidth="10.7109375" defaultRowHeight="12.75"/>
  <cols>
    <col min="1" max="1" width="15.85546875" style="3" customWidth="1"/>
    <col min="2" max="2" width="14.85546875" style="3" customWidth="1"/>
    <col min="3" max="3" width="13.28515625" style="3" customWidth="1"/>
    <col min="4" max="4" width="11.42578125" style="3"/>
    <col min="5" max="5" width="13.42578125" style="3" customWidth="1"/>
    <col min="6" max="6" width="12.7109375" style="3" customWidth="1"/>
    <col min="7" max="7" width="14" style="3" customWidth="1"/>
    <col min="8" max="8" width="7.42578125" style="3" customWidth="1"/>
    <col min="9" max="256" width="11.42578125" style="3"/>
    <col min="257" max="257" width="15.85546875" style="3" customWidth="1"/>
    <col min="258" max="258" width="14.85546875" style="3" customWidth="1"/>
    <col min="259" max="259" width="13.28515625" style="3" customWidth="1"/>
    <col min="260" max="260" width="11.42578125" style="3"/>
    <col min="261" max="261" width="13.42578125" style="3" customWidth="1"/>
    <col min="262" max="262" width="12.7109375" style="3" customWidth="1"/>
    <col min="263" max="263" width="14" style="3" customWidth="1"/>
    <col min="264" max="264" width="7.42578125" style="3" customWidth="1"/>
    <col min="265" max="512" width="11.42578125" style="3"/>
    <col min="513" max="513" width="15.85546875" style="3" customWidth="1"/>
    <col min="514" max="514" width="14.85546875" style="3" customWidth="1"/>
    <col min="515" max="515" width="13.28515625" style="3" customWidth="1"/>
    <col min="516" max="516" width="11.42578125" style="3"/>
    <col min="517" max="517" width="13.42578125" style="3" customWidth="1"/>
    <col min="518" max="518" width="12.7109375" style="3" customWidth="1"/>
    <col min="519" max="519" width="14" style="3" customWidth="1"/>
    <col min="520" max="520" width="7.42578125" style="3" customWidth="1"/>
    <col min="521" max="768" width="11.42578125" style="3"/>
    <col min="769" max="769" width="15.85546875" style="3" customWidth="1"/>
    <col min="770" max="770" width="14.85546875" style="3" customWidth="1"/>
    <col min="771" max="771" width="13.28515625" style="3" customWidth="1"/>
    <col min="772" max="772" width="11.42578125" style="3"/>
    <col min="773" max="773" width="13.42578125" style="3" customWidth="1"/>
    <col min="774" max="774" width="12.7109375" style="3" customWidth="1"/>
    <col min="775" max="775" width="14" style="3" customWidth="1"/>
    <col min="776" max="776" width="7.42578125" style="3" customWidth="1"/>
    <col min="777" max="1024" width="11.42578125" style="3"/>
    <col min="1025" max="1025" width="15.85546875" style="3" customWidth="1"/>
    <col min="1026" max="1026" width="14.85546875" style="3" customWidth="1"/>
    <col min="1027" max="1027" width="13.28515625" style="3" customWidth="1"/>
    <col min="1028" max="1028" width="11.42578125" style="3"/>
    <col min="1029" max="1029" width="13.42578125" style="3" customWidth="1"/>
    <col min="1030" max="1030" width="12.7109375" style="3" customWidth="1"/>
    <col min="1031" max="1031" width="14" style="3" customWidth="1"/>
    <col min="1032" max="1032" width="7.42578125" style="3" customWidth="1"/>
    <col min="1033" max="1280" width="11.42578125" style="3"/>
    <col min="1281" max="1281" width="15.85546875" style="3" customWidth="1"/>
    <col min="1282" max="1282" width="14.85546875" style="3" customWidth="1"/>
    <col min="1283" max="1283" width="13.28515625" style="3" customWidth="1"/>
    <col min="1284" max="1284" width="11.42578125" style="3"/>
    <col min="1285" max="1285" width="13.42578125" style="3" customWidth="1"/>
    <col min="1286" max="1286" width="12.7109375" style="3" customWidth="1"/>
    <col min="1287" max="1287" width="14" style="3" customWidth="1"/>
    <col min="1288" max="1288" width="7.42578125" style="3" customWidth="1"/>
    <col min="1289" max="1536" width="11.42578125" style="3"/>
    <col min="1537" max="1537" width="15.85546875" style="3" customWidth="1"/>
    <col min="1538" max="1538" width="14.85546875" style="3" customWidth="1"/>
    <col min="1539" max="1539" width="13.28515625" style="3" customWidth="1"/>
    <col min="1540" max="1540" width="11.42578125" style="3"/>
    <col min="1541" max="1541" width="13.42578125" style="3" customWidth="1"/>
    <col min="1542" max="1542" width="12.7109375" style="3" customWidth="1"/>
    <col min="1543" max="1543" width="14" style="3" customWidth="1"/>
    <col min="1544" max="1544" width="7.42578125" style="3" customWidth="1"/>
    <col min="1545" max="1792" width="11.42578125" style="3"/>
    <col min="1793" max="1793" width="15.85546875" style="3" customWidth="1"/>
    <col min="1794" max="1794" width="14.85546875" style="3" customWidth="1"/>
    <col min="1795" max="1795" width="13.28515625" style="3" customWidth="1"/>
    <col min="1796" max="1796" width="11.42578125" style="3"/>
    <col min="1797" max="1797" width="13.42578125" style="3" customWidth="1"/>
    <col min="1798" max="1798" width="12.7109375" style="3" customWidth="1"/>
    <col min="1799" max="1799" width="14" style="3" customWidth="1"/>
    <col min="1800" max="1800" width="7.42578125" style="3" customWidth="1"/>
    <col min="1801" max="2048" width="11.42578125" style="3"/>
    <col min="2049" max="2049" width="15.85546875" style="3" customWidth="1"/>
    <col min="2050" max="2050" width="14.85546875" style="3" customWidth="1"/>
    <col min="2051" max="2051" width="13.28515625" style="3" customWidth="1"/>
    <col min="2052" max="2052" width="11.42578125" style="3"/>
    <col min="2053" max="2053" width="13.42578125" style="3" customWidth="1"/>
    <col min="2054" max="2054" width="12.7109375" style="3" customWidth="1"/>
    <col min="2055" max="2055" width="14" style="3" customWidth="1"/>
    <col min="2056" max="2056" width="7.42578125" style="3" customWidth="1"/>
    <col min="2057" max="2304" width="11.42578125" style="3"/>
    <col min="2305" max="2305" width="15.85546875" style="3" customWidth="1"/>
    <col min="2306" max="2306" width="14.85546875" style="3" customWidth="1"/>
    <col min="2307" max="2307" width="13.28515625" style="3" customWidth="1"/>
    <col min="2308" max="2308" width="11.42578125" style="3"/>
    <col min="2309" max="2309" width="13.42578125" style="3" customWidth="1"/>
    <col min="2310" max="2310" width="12.7109375" style="3" customWidth="1"/>
    <col min="2311" max="2311" width="14" style="3" customWidth="1"/>
    <col min="2312" max="2312" width="7.42578125" style="3" customWidth="1"/>
    <col min="2313" max="2560" width="11.42578125" style="3"/>
    <col min="2561" max="2561" width="15.85546875" style="3" customWidth="1"/>
    <col min="2562" max="2562" width="14.85546875" style="3" customWidth="1"/>
    <col min="2563" max="2563" width="13.28515625" style="3" customWidth="1"/>
    <col min="2564" max="2564" width="11.42578125" style="3"/>
    <col min="2565" max="2565" width="13.42578125" style="3" customWidth="1"/>
    <col min="2566" max="2566" width="12.7109375" style="3" customWidth="1"/>
    <col min="2567" max="2567" width="14" style="3" customWidth="1"/>
    <col min="2568" max="2568" width="7.42578125" style="3" customWidth="1"/>
    <col min="2569" max="2816" width="11.42578125" style="3"/>
    <col min="2817" max="2817" width="15.85546875" style="3" customWidth="1"/>
    <col min="2818" max="2818" width="14.85546875" style="3" customWidth="1"/>
    <col min="2819" max="2819" width="13.28515625" style="3" customWidth="1"/>
    <col min="2820" max="2820" width="11.42578125" style="3"/>
    <col min="2821" max="2821" width="13.42578125" style="3" customWidth="1"/>
    <col min="2822" max="2822" width="12.7109375" style="3" customWidth="1"/>
    <col min="2823" max="2823" width="14" style="3" customWidth="1"/>
    <col min="2824" max="2824" width="7.42578125" style="3" customWidth="1"/>
    <col min="2825" max="3072" width="11.42578125" style="3"/>
    <col min="3073" max="3073" width="15.85546875" style="3" customWidth="1"/>
    <col min="3074" max="3074" width="14.85546875" style="3" customWidth="1"/>
    <col min="3075" max="3075" width="13.28515625" style="3" customWidth="1"/>
    <col min="3076" max="3076" width="11.42578125" style="3"/>
    <col min="3077" max="3077" width="13.42578125" style="3" customWidth="1"/>
    <col min="3078" max="3078" width="12.7109375" style="3" customWidth="1"/>
    <col min="3079" max="3079" width="14" style="3" customWidth="1"/>
    <col min="3080" max="3080" width="7.42578125" style="3" customWidth="1"/>
    <col min="3081" max="3328" width="11.42578125" style="3"/>
    <col min="3329" max="3329" width="15.85546875" style="3" customWidth="1"/>
    <col min="3330" max="3330" width="14.85546875" style="3" customWidth="1"/>
    <col min="3331" max="3331" width="13.28515625" style="3" customWidth="1"/>
    <col min="3332" max="3332" width="11.42578125" style="3"/>
    <col min="3333" max="3333" width="13.42578125" style="3" customWidth="1"/>
    <col min="3334" max="3334" width="12.7109375" style="3" customWidth="1"/>
    <col min="3335" max="3335" width="14" style="3" customWidth="1"/>
    <col min="3336" max="3336" width="7.42578125" style="3" customWidth="1"/>
    <col min="3337" max="3584" width="11.42578125" style="3"/>
    <col min="3585" max="3585" width="15.85546875" style="3" customWidth="1"/>
    <col min="3586" max="3586" width="14.85546875" style="3" customWidth="1"/>
    <col min="3587" max="3587" width="13.28515625" style="3" customWidth="1"/>
    <col min="3588" max="3588" width="11.42578125" style="3"/>
    <col min="3589" max="3589" width="13.42578125" style="3" customWidth="1"/>
    <col min="3590" max="3590" width="12.7109375" style="3" customWidth="1"/>
    <col min="3591" max="3591" width="14" style="3" customWidth="1"/>
    <col min="3592" max="3592" width="7.42578125" style="3" customWidth="1"/>
    <col min="3593" max="3840" width="11.42578125" style="3"/>
    <col min="3841" max="3841" width="15.85546875" style="3" customWidth="1"/>
    <col min="3842" max="3842" width="14.85546875" style="3" customWidth="1"/>
    <col min="3843" max="3843" width="13.28515625" style="3" customWidth="1"/>
    <col min="3844" max="3844" width="11.42578125" style="3"/>
    <col min="3845" max="3845" width="13.42578125" style="3" customWidth="1"/>
    <col min="3846" max="3846" width="12.7109375" style="3" customWidth="1"/>
    <col min="3847" max="3847" width="14" style="3" customWidth="1"/>
    <col min="3848" max="3848" width="7.42578125" style="3" customWidth="1"/>
    <col min="3849" max="4096" width="11.42578125" style="3"/>
    <col min="4097" max="4097" width="15.85546875" style="3" customWidth="1"/>
    <col min="4098" max="4098" width="14.85546875" style="3" customWidth="1"/>
    <col min="4099" max="4099" width="13.28515625" style="3" customWidth="1"/>
    <col min="4100" max="4100" width="11.42578125" style="3"/>
    <col min="4101" max="4101" width="13.42578125" style="3" customWidth="1"/>
    <col min="4102" max="4102" width="12.7109375" style="3" customWidth="1"/>
    <col min="4103" max="4103" width="14" style="3" customWidth="1"/>
    <col min="4104" max="4104" width="7.42578125" style="3" customWidth="1"/>
    <col min="4105" max="4352" width="11.42578125" style="3"/>
    <col min="4353" max="4353" width="15.85546875" style="3" customWidth="1"/>
    <col min="4354" max="4354" width="14.85546875" style="3" customWidth="1"/>
    <col min="4355" max="4355" width="13.28515625" style="3" customWidth="1"/>
    <col min="4356" max="4356" width="11.42578125" style="3"/>
    <col min="4357" max="4357" width="13.42578125" style="3" customWidth="1"/>
    <col min="4358" max="4358" width="12.7109375" style="3" customWidth="1"/>
    <col min="4359" max="4359" width="14" style="3" customWidth="1"/>
    <col min="4360" max="4360" width="7.42578125" style="3" customWidth="1"/>
    <col min="4361" max="4608" width="11.42578125" style="3"/>
    <col min="4609" max="4609" width="15.85546875" style="3" customWidth="1"/>
    <col min="4610" max="4610" width="14.85546875" style="3" customWidth="1"/>
    <col min="4611" max="4611" width="13.28515625" style="3" customWidth="1"/>
    <col min="4612" max="4612" width="11.42578125" style="3"/>
    <col min="4613" max="4613" width="13.42578125" style="3" customWidth="1"/>
    <col min="4614" max="4614" width="12.7109375" style="3" customWidth="1"/>
    <col min="4615" max="4615" width="14" style="3" customWidth="1"/>
    <col min="4616" max="4616" width="7.42578125" style="3" customWidth="1"/>
    <col min="4617" max="4864" width="11.42578125" style="3"/>
    <col min="4865" max="4865" width="15.85546875" style="3" customWidth="1"/>
    <col min="4866" max="4866" width="14.85546875" style="3" customWidth="1"/>
    <col min="4867" max="4867" width="13.28515625" style="3" customWidth="1"/>
    <col min="4868" max="4868" width="11.42578125" style="3"/>
    <col min="4869" max="4869" width="13.42578125" style="3" customWidth="1"/>
    <col min="4870" max="4870" width="12.7109375" style="3" customWidth="1"/>
    <col min="4871" max="4871" width="14" style="3" customWidth="1"/>
    <col min="4872" max="4872" width="7.42578125" style="3" customWidth="1"/>
    <col min="4873" max="5120" width="11.42578125" style="3"/>
    <col min="5121" max="5121" width="15.85546875" style="3" customWidth="1"/>
    <col min="5122" max="5122" width="14.85546875" style="3" customWidth="1"/>
    <col min="5123" max="5123" width="13.28515625" style="3" customWidth="1"/>
    <col min="5124" max="5124" width="11.42578125" style="3"/>
    <col min="5125" max="5125" width="13.42578125" style="3" customWidth="1"/>
    <col min="5126" max="5126" width="12.7109375" style="3" customWidth="1"/>
    <col min="5127" max="5127" width="14" style="3" customWidth="1"/>
    <col min="5128" max="5128" width="7.42578125" style="3" customWidth="1"/>
    <col min="5129" max="5376" width="11.42578125" style="3"/>
    <col min="5377" max="5377" width="15.85546875" style="3" customWidth="1"/>
    <col min="5378" max="5378" width="14.85546875" style="3" customWidth="1"/>
    <col min="5379" max="5379" width="13.28515625" style="3" customWidth="1"/>
    <col min="5380" max="5380" width="11.42578125" style="3"/>
    <col min="5381" max="5381" width="13.42578125" style="3" customWidth="1"/>
    <col min="5382" max="5382" width="12.7109375" style="3" customWidth="1"/>
    <col min="5383" max="5383" width="14" style="3" customWidth="1"/>
    <col min="5384" max="5384" width="7.42578125" style="3" customWidth="1"/>
    <col min="5385" max="5632" width="11.42578125" style="3"/>
    <col min="5633" max="5633" width="15.85546875" style="3" customWidth="1"/>
    <col min="5634" max="5634" width="14.85546875" style="3" customWidth="1"/>
    <col min="5635" max="5635" width="13.28515625" style="3" customWidth="1"/>
    <col min="5636" max="5636" width="11.42578125" style="3"/>
    <col min="5637" max="5637" width="13.42578125" style="3" customWidth="1"/>
    <col min="5638" max="5638" width="12.7109375" style="3" customWidth="1"/>
    <col min="5639" max="5639" width="14" style="3" customWidth="1"/>
    <col min="5640" max="5640" width="7.42578125" style="3" customWidth="1"/>
    <col min="5641" max="5888" width="11.42578125" style="3"/>
    <col min="5889" max="5889" width="15.85546875" style="3" customWidth="1"/>
    <col min="5890" max="5890" width="14.85546875" style="3" customWidth="1"/>
    <col min="5891" max="5891" width="13.28515625" style="3" customWidth="1"/>
    <col min="5892" max="5892" width="11.42578125" style="3"/>
    <col min="5893" max="5893" width="13.42578125" style="3" customWidth="1"/>
    <col min="5894" max="5894" width="12.7109375" style="3" customWidth="1"/>
    <col min="5895" max="5895" width="14" style="3" customWidth="1"/>
    <col min="5896" max="5896" width="7.42578125" style="3" customWidth="1"/>
    <col min="5897" max="6144" width="11.42578125" style="3"/>
    <col min="6145" max="6145" width="15.85546875" style="3" customWidth="1"/>
    <col min="6146" max="6146" width="14.85546875" style="3" customWidth="1"/>
    <col min="6147" max="6147" width="13.28515625" style="3" customWidth="1"/>
    <col min="6148" max="6148" width="11.42578125" style="3"/>
    <col min="6149" max="6149" width="13.42578125" style="3" customWidth="1"/>
    <col min="6150" max="6150" width="12.7109375" style="3" customWidth="1"/>
    <col min="6151" max="6151" width="14" style="3" customWidth="1"/>
    <col min="6152" max="6152" width="7.42578125" style="3" customWidth="1"/>
    <col min="6153" max="6400" width="11.42578125" style="3"/>
    <col min="6401" max="6401" width="15.85546875" style="3" customWidth="1"/>
    <col min="6402" max="6402" width="14.85546875" style="3" customWidth="1"/>
    <col min="6403" max="6403" width="13.28515625" style="3" customWidth="1"/>
    <col min="6404" max="6404" width="11.42578125" style="3"/>
    <col min="6405" max="6405" width="13.42578125" style="3" customWidth="1"/>
    <col min="6406" max="6406" width="12.7109375" style="3" customWidth="1"/>
    <col min="6407" max="6407" width="14" style="3" customWidth="1"/>
    <col min="6408" max="6408" width="7.42578125" style="3" customWidth="1"/>
    <col min="6409" max="6656" width="11.42578125" style="3"/>
    <col min="6657" max="6657" width="15.85546875" style="3" customWidth="1"/>
    <col min="6658" max="6658" width="14.85546875" style="3" customWidth="1"/>
    <col min="6659" max="6659" width="13.28515625" style="3" customWidth="1"/>
    <col min="6660" max="6660" width="11.42578125" style="3"/>
    <col min="6661" max="6661" width="13.42578125" style="3" customWidth="1"/>
    <col min="6662" max="6662" width="12.7109375" style="3" customWidth="1"/>
    <col min="6663" max="6663" width="14" style="3" customWidth="1"/>
    <col min="6664" max="6664" width="7.42578125" style="3" customWidth="1"/>
    <col min="6665" max="6912" width="11.42578125" style="3"/>
    <col min="6913" max="6913" width="15.85546875" style="3" customWidth="1"/>
    <col min="6914" max="6914" width="14.85546875" style="3" customWidth="1"/>
    <col min="6915" max="6915" width="13.28515625" style="3" customWidth="1"/>
    <col min="6916" max="6916" width="11.42578125" style="3"/>
    <col min="6917" max="6917" width="13.42578125" style="3" customWidth="1"/>
    <col min="6918" max="6918" width="12.7109375" style="3" customWidth="1"/>
    <col min="6919" max="6919" width="14" style="3" customWidth="1"/>
    <col min="6920" max="6920" width="7.42578125" style="3" customWidth="1"/>
    <col min="6921" max="7168" width="11.42578125" style="3"/>
    <col min="7169" max="7169" width="15.85546875" style="3" customWidth="1"/>
    <col min="7170" max="7170" width="14.85546875" style="3" customWidth="1"/>
    <col min="7171" max="7171" width="13.28515625" style="3" customWidth="1"/>
    <col min="7172" max="7172" width="11.42578125" style="3"/>
    <col min="7173" max="7173" width="13.42578125" style="3" customWidth="1"/>
    <col min="7174" max="7174" width="12.7109375" style="3" customWidth="1"/>
    <col min="7175" max="7175" width="14" style="3" customWidth="1"/>
    <col min="7176" max="7176" width="7.42578125" style="3" customWidth="1"/>
    <col min="7177" max="7424" width="11.42578125" style="3"/>
    <col min="7425" max="7425" width="15.85546875" style="3" customWidth="1"/>
    <col min="7426" max="7426" width="14.85546875" style="3" customWidth="1"/>
    <col min="7427" max="7427" width="13.28515625" style="3" customWidth="1"/>
    <col min="7428" max="7428" width="11.42578125" style="3"/>
    <col min="7429" max="7429" width="13.42578125" style="3" customWidth="1"/>
    <col min="7430" max="7430" width="12.7109375" style="3" customWidth="1"/>
    <col min="7431" max="7431" width="14" style="3" customWidth="1"/>
    <col min="7432" max="7432" width="7.42578125" style="3" customWidth="1"/>
    <col min="7433" max="7680" width="11.42578125" style="3"/>
    <col min="7681" max="7681" width="15.85546875" style="3" customWidth="1"/>
    <col min="7682" max="7682" width="14.85546875" style="3" customWidth="1"/>
    <col min="7683" max="7683" width="13.28515625" style="3" customWidth="1"/>
    <col min="7684" max="7684" width="11.42578125" style="3"/>
    <col min="7685" max="7685" width="13.42578125" style="3" customWidth="1"/>
    <col min="7686" max="7686" width="12.7109375" style="3" customWidth="1"/>
    <col min="7687" max="7687" width="14" style="3" customWidth="1"/>
    <col min="7688" max="7688" width="7.42578125" style="3" customWidth="1"/>
    <col min="7689" max="7936" width="11.42578125" style="3"/>
    <col min="7937" max="7937" width="15.85546875" style="3" customWidth="1"/>
    <col min="7938" max="7938" width="14.85546875" style="3" customWidth="1"/>
    <col min="7939" max="7939" width="13.28515625" style="3" customWidth="1"/>
    <col min="7940" max="7940" width="11.42578125" style="3"/>
    <col min="7941" max="7941" width="13.42578125" style="3" customWidth="1"/>
    <col min="7942" max="7942" width="12.7109375" style="3" customWidth="1"/>
    <col min="7943" max="7943" width="14" style="3" customWidth="1"/>
    <col min="7944" max="7944" width="7.42578125" style="3" customWidth="1"/>
    <col min="7945" max="8192" width="11.42578125" style="3"/>
    <col min="8193" max="8193" width="15.85546875" style="3" customWidth="1"/>
    <col min="8194" max="8194" width="14.85546875" style="3" customWidth="1"/>
    <col min="8195" max="8195" width="13.28515625" style="3" customWidth="1"/>
    <col min="8196" max="8196" width="11.42578125" style="3"/>
    <col min="8197" max="8197" width="13.42578125" style="3" customWidth="1"/>
    <col min="8198" max="8198" width="12.7109375" style="3" customWidth="1"/>
    <col min="8199" max="8199" width="14" style="3" customWidth="1"/>
    <col min="8200" max="8200" width="7.42578125" style="3" customWidth="1"/>
    <col min="8201" max="8448" width="11.42578125" style="3"/>
    <col min="8449" max="8449" width="15.85546875" style="3" customWidth="1"/>
    <col min="8450" max="8450" width="14.85546875" style="3" customWidth="1"/>
    <col min="8451" max="8451" width="13.28515625" style="3" customWidth="1"/>
    <col min="8452" max="8452" width="11.42578125" style="3"/>
    <col min="8453" max="8453" width="13.42578125" style="3" customWidth="1"/>
    <col min="8454" max="8454" width="12.7109375" style="3" customWidth="1"/>
    <col min="8455" max="8455" width="14" style="3" customWidth="1"/>
    <col min="8456" max="8456" width="7.42578125" style="3" customWidth="1"/>
    <col min="8457" max="8704" width="11.42578125" style="3"/>
    <col min="8705" max="8705" width="15.85546875" style="3" customWidth="1"/>
    <col min="8706" max="8706" width="14.85546875" style="3" customWidth="1"/>
    <col min="8707" max="8707" width="13.28515625" style="3" customWidth="1"/>
    <col min="8708" max="8708" width="11.42578125" style="3"/>
    <col min="8709" max="8709" width="13.42578125" style="3" customWidth="1"/>
    <col min="8710" max="8710" width="12.7109375" style="3" customWidth="1"/>
    <col min="8711" max="8711" width="14" style="3" customWidth="1"/>
    <col min="8712" max="8712" width="7.42578125" style="3" customWidth="1"/>
    <col min="8713" max="8960" width="11.42578125" style="3"/>
    <col min="8961" max="8961" width="15.85546875" style="3" customWidth="1"/>
    <col min="8962" max="8962" width="14.85546875" style="3" customWidth="1"/>
    <col min="8963" max="8963" width="13.28515625" style="3" customWidth="1"/>
    <col min="8964" max="8964" width="11.42578125" style="3"/>
    <col min="8965" max="8965" width="13.42578125" style="3" customWidth="1"/>
    <col min="8966" max="8966" width="12.7109375" style="3" customWidth="1"/>
    <col min="8967" max="8967" width="14" style="3" customWidth="1"/>
    <col min="8968" max="8968" width="7.42578125" style="3" customWidth="1"/>
    <col min="8969" max="9216" width="11.42578125" style="3"/>
    <col min="9217" max="9217" width="15.85546875" style="3" customWidth="1"/>
    <col min="9218" max="9218" width="14.85546875" style="3" customWidth="1"/>
    <col min="9219" max="9219" width="13.28515625" style="3" customWidth="1"/>
    <col min="9220" max="9220" width="11.42578125" style="3"/>
    <col min="9221" max="9221" width="13.42578125" style="3" customWidth="1"/>
    <col min="9222" max="9222" width="12.7109375" style="3" customWidth="1"/>
    <col min="9223" max="9223" width="14" style="3" customWidth="1"/>
    <col min="9224" max="9224" width="7.42578125" style="3" customWidth="1"/>
    <col min="9225" max="9472" width="11.42578125" style="3"/>
    <col min="9473" max="9473" width="15.85546875" style="3" customWidth="1"/>
    <col min="9474" max="9474" width="14.85546875" style="3" customWidth="1"/>
    <col min="9475" max="9475" width="13.28515625" style="3" customWidth="1"/>
    <col min="9476" max="9476" width="11.42578125" style="3"/>
    <col min="9477" max="9477" width="13.42578125" style="3" customWidth="1"/>
    <col min="9478" max="9478" width="12.7109375" style="3" customWidth="1"/>
    <col min="9479" max="9479" width="14" style="3" customWidth="1"/>
    <col min="9480" max="9480" width="7.42578125" style="3" customWidth="1"/>
    <col min="9481" max="9728" width="11.42578125" style="3"/>
    <col min="9729" max="9729" width="15.85546875" style="3" customWidth="1"/>
    <col min="9730" max="9730" width="14.85546875" style="3" customWidth="1"/>
    <col min="9731" max="9731" width="13.28515625" style="3" customWidth="1"/>
    <col min="9732" max="9732" width="11.42578125" style="3"/>
    <col min="9733" max="9733" width="13.42578125" style="3" customWidth="1"/>
    <col min="9734" max="9734" width="12.7109375" style="3" customWidth="1"/>
    <col min="9735" max="9735" width="14" style="3" customWidth="1"/>
    <col min="9736" max="9736" width="7.42578125" style="3" customWidth="1"/>
    <col min="9737" max="9984" width="11.42578125" style="3"/>
    <col min="9985" max="9985" width="15.85546875" style="3" customWidth="1"/>
    <col min="9986" max="9986" width="14.85546875" style="3" customWidth="1"/>
    <col min="9987" max="9987" width="13.28515625" style="3" customWidth="1"/>
    <col min="9988" max="9988" width="11.42578125" style="3"/>
    <col min="9989" max="9989" width="13.42578125" style="3" customWidth="1"/>
    <col min="9990" max="9990" width="12.7109375" style="3" customWidth="1"/>
    <col min="9991" max="9991" width="14" style="3" customWidth="1"/>
    <col min="9992" max="9992" width="7.42578125" style="3" customWidth="1"/>
    <col min="9993" max="10240" width="11.42578125" style="3"/>
    <col min="10241" max="10241" width="15.85546875" style="3" customWidth="1"/>
    <col min="10242" max="10242" width="14.85546875" style="3" customWidth="1"/>
    <col min="10243" max="10243" width="13.28515625" style="3" customWidth="1"/>
    <col min="10244" max="10244" width="11.42578125" style="3"/>
    <col min="10245" max="10245" width="13.42578125" style="3" customWidth="1"/>
    <col min="10246" max="10246" width="12.7109375" style="3" customWidth="1"/>
    <col min="10247" max="10247" width="14" style="3" customWidth="1"/>
    <col min="10248" max="10248" width="7.42578125" style="3" customWidth="1"/>
    <col min="10249" max="10496" width="11.42578125" style="3"/>
    <col min="10497" max="10497" width="15.85546875" style="3" customWidth="1"/>
    <col min="10498" max="10498" width="14.85546875" style="3" customWidth="1"/>
    <col min="10499" max="10499" width="13.28515625" style="3" customWidth="1"/>
    <col min="10500" max="10500" width="11.42578125" style="3"/>
    <col min="10501" max="10501" width="13.42578125" style="3" customWidth="1"/>
    <col min="10502" max="10502" width="12.7109375" style="3" customWidth="1"/>
    <col min="10503" max="10503" width="14" style="3" customWidth="1"/>
    <col min="10504" max="10504" width="7.42578125" style="3" customWidth="1"/>
    <col min="10505" max="10752" width="11.42578125" style="3"/>
    <col min="10753" max="10753" width="15.85546875" style="3" customWidth="1"/>
    <col min="10754" max="10754" width="14.85546875" style="3" customWidth="1"/>
    <col min="10755" max="10755" width="13.28515625" style="3" customWidth="1"/>
    <col min="10756" max="10756" width="11.42578125" style="3"/>
    <col min="10757" max="10757" width="13.42578125" style="3" customWidth="1"/>
    <col min="10758" max="10758" width="12.7109375" style="3" customWidth="1"/>
    <col min="10759" max="10759" width="14" style="3" customWidth="1"/>
    <col min="10760" max="10760" width="7.42578125" style="3" customWidth="1"/>
    <col min="10761" max="11008" width="11.42578125" style="3"/>
    <col min="11009" max="11009" width="15.85546875" style="3" customWidth="1"/>
    <col min="11010" max="11010" width="14.85546875" style="3" customWidth="1"/>
    <col min="11011" max="11011" width="13.28515625" style="3" customWidth="1"/>
    <col min="11012" max="11012" width="11.42578125" style="3"/>
    <col min="11013" max="11013" width="13.42578125" style="3" customWidth="1"/>
    <col min="11014" max="11014" width="12.7109375" style="3" customWidth="1"/>
    <col min="11015" max="11015" width="14" style="3" customWidth="1"/>
    <col min="11016" max="11016" width="7.42578125" style="3" customWidth="1"/>
    <col min="11017" max="11264" width="11.42578125" style="3"/>
    <col min="11265" max="11265" width="15.85546875" style="3" customWidth="1"/>
    <col min="11266" max="11266" width="14.85546875" style="3" customWidth="1"/>
    <col min="11267" max="11267" width="13.28515625" style="3" customWidth="1"/>
    <col min="11268" max="11268" width="11.42578125" style="3"/>
    <col min="11269" max="11269" width="13.42578125" style="3" customWidth="1"/>
    <col min="11270" max="11270" width="12.7109375" style="3" customWidth="1"/>
    <col min="11271" max="11271" width="14" style="3" customWidth="1"/>
    <col min="11272" max="11272" width="7.42578125" style="3" customWidth="1"/>
    <col min="11273" max="11520" width="11.42578125" style="3"/>
    <col min="11521" max="11521" width="15.85546875" style="3" customWidth="1"/>
    <col min="11522" max="11522" width="14.85546875" style="3" customWidth="1"/>
    <col min="11523" max="11523" width="13.28515625" style="3" customWidth="1"/>
    <col min="11524" max="11524" width="11.42578125" style="3"/>
    <col min="11525" max="11525" width="13.42578125" style="3" customWidth="1"/>
    <col min="11526" max="11526" width="12.7109375" style="3" customWidth="1"/>
    <col min="11527" max="11527" width="14" style="3" customWidth="1"/>
    <col min="11528" max="11528" width="7.42578125" style="3" customWidth="1"/>
    <col min="11529" max="11776" width="11.42578125" style="3"/>
    <col min="11777" max="11777" width="15.85546875" style="3" customWidth="1"/>
    <col min="11778" max="11778" width="14.85546875" style="3" customWidth="1"/>
    <col min="11779" max="11779" width="13.28515625" style="3" customWidth="1"/>
    <col min="11780" max="11780" width="11.42578125" style="3"/>
    <col min="11781" max="11781" width="13.42578125" style="3" customWidth="1"/>
    <col min="11782" max="11782" width="12.7109375" style="3" customWidth="1"/>
    <col min="11783" max="11783" width="14" style="3" customWidth="1"/>
    <col min="11784" max="11784" width="7.42578125" style="3" customWidth="1"/>
    <col min="11785" max="12032" width="11.42578125" style="3"/>
    <col min="12033" max="12033" width="15.85546875" style="3" customWidth="1"/>
    <col min="12034" max="12034" width="14.85546875" style="3" customWidth="1"/>
    <col min="12035" max="12035" width="13.28515625" style="3" customWidth="1"/>
    <col min="12036" max="12036" width="11.42578125" style="3"/>
    <col min="12037" max="12037" width="13.42578125" style="3" customWidth="1"/>
    <col min="12038" max="12038" width="12.7109375" style="3" customWidth="1"/>
    <col min="12039" max="12039" width="14" style="3" customWidth="1"/>
    <col min="12040" max="12040" width="7.42578125" style="3" customWidth="1"/>
    <col min="12041" max="12288" width="11.42578125" style="3"/>
    <col min="12289" max="12289" width="15.85546875" style="3" customWidth="1"/>
    <col min="12290" max="12290" width="14.85546875" style="3" customWidth="1"/>
    <col min="12291" max="12291" width="13.28515625" style="3" customWidth="1"/>
    <col min="12292" max="12292" width="11.42578125" style="3"/>
    <col min="12293" max="12293" width="13.42578125" style="3" customWidth="1"/>
    <col min="12294" max="12294" width="12.7109375" style="3" customWidth="1"/>
    <col min="12295" max="12295" width="14" style="3" customWidth="1"/>
    <col min="12296" max="12296" width="7.42578125" style="3" customWidth="1"/>
    <col min="12297" max="12544" width="11.42578125" style="3"/>
    <col min="12545" max="12545" width="15.85546875" style="3" customWidth="1"/>
    <col min="12546" max="12546" width="14.85546875" style="3" customWidth="1"/>
    <col min="12547" max="12547" width="13.28515625" style="3" customWidth="1"/>
    <col min="12548" max="12548" width="11.42578125" style="3"/>
    <col min="12549" max="12549" width="13.42578125" style="3" customWidth="1"/>
    <col min="12550" max="12550" width="12.7109375" style="3" customWidth="1"/>
    <col min="12551" max="12551" width="14" style="3" customWidth="1"/>
    <col min="12552" max="12552" width="7.42578125" style="3" customWidth="1"/>
    <col min="12553" max="12800" width="11.42578125" style="3"/>
    <col min="12801" max="12801" width="15.85546875" style="3" customWidth="1"/>
    <col min="12802" max="12802" width="14.85546875" style="3" customWidth="1"/>
    <col min="12803" max="12803" width="13.28515625" style="3" customWidth="1"/>
    <col min="12804" max="12804" width="11.42578125" style="3"/>
    <col min="12805" max="12805" width="13.42578125" style="3" customWidth="1"/>
    <col min="12806" max="12806" width="12.7109375" style="3" customWidth="1"/>
    <col min="12807" max="12807" width="14" style="3" customWidth="1"/>
    <col min="12808" max="12808" width="7.42578125" style="3" customWidth="1"/>
    <col min="12809" max="13056" width="11.42578125" style="3"/>
    <col min="13057" max="13057" width="15.85546875" style="3" customWidth="1"/>
    <col min="13058" max="13058" width="14.85546875" style="3" customWidth="1"/>
    <col min="13059" max="13059" width="13.28515625" style="3" customWidth="1"/>
    <col min="13060" max="13060" width="11.42578125" style="3"/>
    <col min="13061" max="13061" width="13.42578125" style="3" customWidth="1"/>
    <col min="13062" max="13062" width="12.7109375" style="3" customWidth="1"/>
    <col min="13063" max="13063" width="14" style="3" customWidth="1"/>
    <col min="13064" max="13064" width="7.42578125" style="3" customWidth="1"/>
    <col min="13065" max="13312" width="11.42578125" style="3"/>
    <col min="13313" max="13313" width="15.85546875" style="3" customWidth="1"/>
    <col min="13314" max="13314" width="14.85546875" style="3" customWidth="1"/>
    <col min="13315" max="13315" width="13.28515625" style="3" customWidth="1"/>
    <col min="13316" max="13316" width="11.42578125" style="3"/>
    <col min="13317" max="13317" width="13.42578125" style="3" customWidth="1"/>
    <col min="13318" max="13318" width="12.7109375" style="3" customWidth="1"/>
    <col min="13319" max="13319" width="14" style="3" customWidth="1"/>
    <col min="13320" max="13320" width="7.42578125" style="3" customWidth="1"/>
    <col min="13321" max="13568" width="11.42578125" style="3"/>
    <col min="13569" max="13569" width="15.85546875" style="3" customWidth="1"/>
    <col min="13570" max="13570" width="14.85546875" style="3" customWidth="1"/>
    <col min="13571" max="13571" width="13.28515625" style="3" customWidth="1"/>
    <col min="13572" max="13572" width="11.42578125" style="3"/>
    <col min="13573" max="13573" width="13.42578125" style="3" customWidth="1"/>
    <col min="13574" max="13574" width="12.7109375" style="3" customWidth="1"/>
    <col min="13575" max="13575" width="14" style="3" customWidth="1"/>
    <col min="13576" max="13576" width="7.42578125" style="3" customWidth="1"/>
    <col min="13577" max="13824" width="11.42578125" style="3"/>
    <col min="13825" max="13825" width="15.85546875" style="3" customWidth="1"/>
    <col min="13826" max="13826" width="14.85546875" style="3" customWidth="1"/>
    <col min="13827" max="13827" width="13.28515625" style="3" customWidth="1"/>
    <col min="13828" max="13828" width="11.42578125" style="3"/>
    <col min="13829" max="13829" width="13.42578125" style="3" customWidth="1"/>
    <col min="13830" max="13830" width="12.7109375" style="3" customWidth="1"/>
    <col min="13831" max="13831" width="14" style="3" customWidth="1"/>
    <col min="13832" max="13832" width="7.42578125" style="3" customWidth="1"/>
    <col min="13833" max="14080" width="11.42578125" style="3"/>
    <col min="14081" max="14081" width="15.85546875" style="3" customWidth="1"/>
    <col min="14082" max="14082" width="14.85546875" style="3" customWidth="1"/>
    <col min="14083" max="14083" width="13.28515625" style="3" customWidth="1"/>
    <col min="14084" max="14084" width="11.42578125" style="3"/>
    <col min="14085" max="14085" width="13.42578125" style="3" customWidth="1"/>
    <col min="14086" max="14086" width="12.7109375" style="3" customWidth="1"/>
    <col min="14087" max="14087" width="14" style="3" customWidth="1"/>
    <col min="14088" max="14088" width="7.42578125" style="3" customWidth="1"/>
    <col min="14089" max="14336" width="11.42578125" style="3"/>
    <col min="14337" max="14337" width="15.85546875" style="3" customWidth="1"/>
    <col min="14338" max="14338" width="14.85546875" style="3" customWidth="1"/>
    <col min="14339" max="14339" width="13.28515625" style="3" customWidth="1"/>
    <col min="14340" max="14340" width="11.42578125" style="3"/>
    <col min="14341" max="14341" width="13.42578125" style="3" customWidth="1"/>
    <col min="14342" max="14342" width="12.7109375" style="3" customWidth="1"/>
    <col min="14343" max="14343" width="14" style="3" customWidth="1"/>
    <col min="14344" max="14344" width="7.42578125" style="3" customWidth="1"/>
    <col min="14345" max="14592" width="11.42578125" style="3"/>
    <col min="14593" max="14593" width="15.85546875" style="3" customWidth="1"/>
    <col min="14594" max="14594" width="14.85546875" style="3" customWidth="1"/>
    <col min="14595" max="14595" width="13.28515625" style="3" customWidth="1"/>
    <col min="14596" max="14596" width="11.42578125" style="3"/>
    <col min="14597" max="14597" width="13.42578125" style="3" customWidth="1"/>
    <col min="14598" max="14598" width="12.7109375" style="3" customWidth="1"/>
    <col min="14599" max="14599" width="14" style="3" customWidth="1"/>
    <col min="14600" max="14600" width="7.42578125" style="3" customWidth="1"/>
    <col min="14601" max="14848" width="11.42578125" style="3"/>
    <col min="14849" max="14849" width="15.85546875" style="3" customWidth="1"/>
    <col min="14850" max="14850" width="14.85546875" style="3" customWidth="1"/>
    <col min="14851" max="14851" width="13.28515625" style="3" customWidth="1"/>
    <col min="14852" max="14852" width="11.42578125" style="3"/>
    <col min="14853" max="14853" width="13.42578125" style="3" customWidth="1"/>
    <col min="14854" max="14854" width="12.7109375" style="3" customWidth="1"/>
    <col min="14855" max="14855" width="14" style="3" customWidth="1"/>
    <col min="14856" max="14856" width="7.42578125" style="3" customWidth="1"/>
    <col min="14857" max="15104" width="11.42578125" style="3"/>
    <col min="15105" max="15105" width="15.85546875" style="3" customWidth="1"/>
    <col min="15106" max="15106" width="14.85546875" style="3" customWidth="1"/>
    <col min="15107" max="15107" width="13.28515625" style="3" customWidth="1"/>
    <col min="15108" max="15108" width="11.42578125" style="3"/>
    <col min="15109" max="15109" width="13.42578125" style="3" customWidth="1"/>
    <col min="15110" max="15110" width="12.7109375" style="3" customWidth="1"/>
    <col min="15111" max="15111" width="14" style="3" customWidth="1"/>
    <col min="15112" max="15112" width="7.42578125" style="3" customWidth="1"/>
    <col min="15113" max="15360" width="11.42578125" style="3"/>
    <col min="15361" max="15361" width="15.85546875" style="3" customWidth="1"/>
    <col min="15362" max="15362" width="14.85546875" style="3" customWidth="1"/>
    <col min="15363" max="15363" width="13.28515625" style="3" customWidth="1"/>
    <col min="15364" max="15364" width="11.42578125" style="3"/>
    <col min="15365" max="15365" width="13.42578125" style="3" customWidth="1"/>
    <col min="15366" max="15366" width="12.7109375" style="3" customWidth="1"/>
    <col min="15367" max="15367" width="14" style="3" customWidth="1"/>
    <col min="15368" max="15368" width="7.42578125" style="3" customWidth="1"/>
    <col min="15369" max="15616" width="11.42578125" style="3"/>
    <col min="15617" max="15617" width="15.85546875" style="3" customWidth="1"/>
    <col min="15618" max="15618" width="14.85546875" style="3" customWidth="1"/>
    <col min="15619" max="15619" width="13.28515625" style="3" customWidth="1"/>
    <col min="15620" max="15620" width="11.42578125" style="3"/>
    <col min="15621" max="15621" width="13.42578125" style="3" customWidth="1"/>
    <col min="15622" max="15622" width="12.7109375" style="3" customWidth="1"/>
    <col min="15623" max="15623" width="14" style="3" customWidth="1"/>
    <col min="15624" max="15624" width="7.42578125" style="3" customWidth="1"/>
    <col min="15625" max="15872" width="11.42578125" style="3"/>
    <col min="15873" max="15873" width="15.85546875" style="3" customWidth="1"/>
    <col min="15874" max="15874" width="14.85546875" style="3" customWidth="1"/>
    <col min="15875" max="15875" width="13.28515625" style="3" customWidth="1"/>
    <col min="15876" max="15876" width="11.42578125" style="3"/>
    <col min="15877" max="15877" width="13.42578125" style="3" customWidth="1"/>
    <col min="15878" max="15878" width="12.7109375" style="3" customWidth="1"/>
    <col min="15879" max="15879" width="14" style="3" customWidth="1"/>
    <col min="15880" max="15880" width="7.42578125" style="3" customWidth="1"/>
    <col min="15881" max="16128" width="11.42578125" style="3"/>
    <col min="16129" max="16129" width="15.85546875" style="3" customWidth="1"/>
    <col min="16130" max="16130" width="14.85546875" style="3" customWidth="1"/>
    <col min="16131" max="16131" width="13.28515625" style="3" customWidth="1"/>
    <col min="16132" max="16132" width="11.42578125" style="3"/>
    <col min="16133" max="16133" width="13.42578125" style="3" customWidth="1"/>
    <col min="16134" max="16134" width="12.7109375" style="3" customWidth="1"/>
    <col min="16135" max="16135" width="14" style="3" customWidth="1"/>
    <col min="16136" max="16136" width="7.42578125" style="3" customWidth="1"/>
    <col min="16137" max="16384" width="11.42578125" style="3"/>
  </cols>
  <sheetData>
    <row r="1" spans="1:21" ht="20.25">
      <c r="A1" s="1346" t="str">
        <f>PPTO!D3</f>
        <v>PRESUPUESTO
MUNICIPIO EL BAGRE (ANTIOQUIA).</v>
      </c>
      <c r="B1" s="1347"/>
      <c r="C1" s="1347"/>
      <c r="D1" s="1347"/>
      <c r="E1" s="1347"/>
      <c r="F1" s="1347"/>
      <c r="G1" s="1348"/>
      <c r="H1" s="1"/>
      <c r="I1" s="2"/>
    </row>
    <row r="2" spans="1:21" ht="18" customHeight="1">
      <c r="A2" s="1362" t="s">
        <v>16</v>
      </c>
      <c r="B2" s="1363"/>
      <c r="C2" s="1363"/>
      <c r="D2" s="1363"/>
      <c r="E2" s="1363"/>
      <c r="F2" s="1363"/>
      <c r="G2" s="1364"/>
      <c r="H2" s="1"/>
      <c r="I2" s="2"/>
    </row>
    <row r="3" spans="1:21" ht="27" customHeight="1">
      <c r="A3" s="1367" t="str">
        <f>+PPTO!$D$5</f>
        <v>PROYECTO DE MEJORAMIENTO VIAL, ESPACIO PUBLICO Y OBRAS COMPLEMENTARIAS DE LA AVENIDA LA JUVENTUD Y TRAMOS ADYACENTES Y PRIORITARIOS DEL SECTOR URBANO EN EL MUNICIPIO EL BAGRE ANTIOQUIA.</v>
      </c>
      <c r="B3" s="1368"/>
      <c r="C3" s="1368"/>
      <c r="D3" s="1368"/>
      <c r="E3" s="1368"/>
      <c r="F3" s="1368"/>
      <c r="G3" s="1369"/>
      <c r="H3" s="1"/>
      <c r="I3" s="2"/>
    </row>
    <row r="4" spans="1:21" ht="12.75" customHeight="1">
      <c r="A4" s="1370"/>
      <c r="B4" s="1368"/>
      <c r="C4" s="1368"/>
      <c r="D4" s="1368"/>
      <c r="E4" s="1368"/>
      <c r="F4" s="1368"/>
      <c r="G4" s="1369"/>
      <c r="H4" s="1"/>
      <c r="I4" s="2"/>
    </row>
    <row r="5" spans="1:21" ht="6.75" customHeight="1">
      <c r="A5" s="222"/>
      <c r="B5" s="6"/>
      <c r="C5" s="24"/>
      <c r="D5" s="25"/>
      <c r="E5" s="6"/>
      <c r="F5" s="6"/>
      <c r="G5" s="223"/>
      <c r="H5" s="9"/>
    </row>
    <row r="6" spans="1:21" ht="27.75" customHeight="1">
      <c r="A6" s="368">
        <v>6.52</v>
      </c>
      <c r="B6" s="1349" t="str">
        <f>VLOOKUP(A6,PPTO!D9:I136,2,FALSE)</f>
        <v>KIT SILLA YEE Ø8" x Ø6" (INCLUYE HIDROSELLOS Y LUBRICANTES)</v>
      </c>
      <c r="C6" s="1350"/>
      <c r="D6" s="1350"/>
      <c r="E6" s="1351"/>
      <c r="F6" s="192" t="s">
        <v>118</v>
      </c>
      <c r="G6" s="248" t="str">
        <f>VLOOKUP(A6,PPTO!D9:I136,3,FALSE)</f>
        <v>m</v>
      </c>
      <c r="H6" s="9"/>
    </row>
    <row r="7" spans="1:21" ht="3.75" customHeight="1">
      <c r="A7" s="226"/>
      <c r="B7" s="4"/>
      <c r="C7" s="6"/>
      <c r="D7" s="4"/>
      <c r="E7" s="4"/>
      <c r="F7" s="4"/>
      <c r="G7" s="227"/>
      <c r="H7" s="9"/>
    </row>
    <row r="8" spans="1:21" ht="22.5" customHeight="1">
      <c r="A8" s="1354" t="s">
        <v>69</v>
      </c>
      <c r="B8" s="1355"/>
      <c r="C8" s="1355"/>
      <c r="D8" s="1355"/>
      <c r="E8" s="1355"/>
      <c r="F8" s="1355"/>
      <c r="G8" s="1356"/>
      <c r="H8" s="9"/>
    </row>
    <row r="9" spans="1:21" ht="4.5" customHeight="1">
      <c r="A9" s="226"/>
      <c r="B9" s="4"/>
      <c r="C9" s="6"/>
      <c r="D9" s="4"/>
      <c r="E9" s="4"/>
      <c r="F9" s="4"/>
      <c r="G9" s="227"/>
      <c r="H9" s="9"/>
      <c r="I9" s="5"/>
      <c r="J9" s="5"/>
      <c r="K9" s="5"/>
      <c r="L9" s="26"/>
      <c r="M9" s="5"/>
      <c r="N9" s="5"/>
      <c r="O9" s="5"/>
      <c r="P9" s="5"/>
    </row>
    <row r="10" spans="1:21">
      <c r="A10" s="1373" t="s">
        <v>17</v>
      </c>
      <c r="B10" s="1374"/>
      <c r="C10" s="1374"/>
      <c r="D10" s="353" t="s">
        <v>18</v>
      </c>
      <c r="E10" s="353" t="s">
        <v>19</v>
      </c>
      <c r="F10" s="353" t="s">
        <v>20</v>
      </c>
      <c r="G10" s="228" t="s">
        <v>21</v>
      </c>
      <c r="H10" s="27"/>
      <c r="I10" s="28"/>
      <c r="J10" s="29"/>
      <c r="K10" s="30"/>
      <c r="L10" s="30"/>
      <c r="M10" s="30"/>
      <c r="N10" s="30"/>
      <c r="O10" s="30"/>
      <c r="P10" s="5"/>
    </row>
    <row r="11" spans="1:21">
      <c r="A11" s="1352" t="s">
        <v>47</v>
      </c>
      <c r="B11" s="1353"/>
      <c r="C11" s="1353"/>
      <c r="D11" s="353"/>
      <c r="E11" s="83"/>
      <c r="F11" s="97"/>
      <c r="G11" s="229">
        <f>+G39*10%</f>
        <v>3054</v>
      </c>
      <c r="H11" s="9"/>
      <c r="I11" s="30"/>
      <c r="J11" s="31"/>
      <c r="K11" s="30"/>
      <c r="L11" s="30"/>
      <c r="M11" s="30"/>
      <c r="N11" s="30"/>
      <c r="O11" s="30"/>
      <c r="P11" s="5"/>
    </row>
    <row r="12" spans="1:21">
      <c r="A12" s="1371"/>
      <c r="B12" s="1372"/>
      <c r="C12" s="1372"/>
      <c r="D12" s="83"/>
      <c r="E12" s="83"/>
      <c r="F12" s="93"/>
      <c r="G12" s="229"/>
      <c r="H12" s="9"/>
      <c r="I12" s="16"/>
      <c r="J12" s="13"/>
      <c r="K12" s="8"/>
      <c r="L12" s="8"/>
      <c r="M12" s="8"/>
      <c r="N12" s="8"/>
      <c r="O12" s="8"/>
      <c r="P12" s="5"/>
    </row>
    <row r="13" spans="1:21">
      <c r="A13" s="1371"/>
      <c r="B13" s="1372"/>
      <c r="C13" s="1372"/>
      <c r="D13" s="83"/>
      <c r="E13" s="83"/>
      <c r="F13" s="93"/>
      <c r="G13" s="229"/>
      <c r="H13" s="9"/>
      <c r="I13" s="13"/>
      <c r="J13" s="13"/>
      <c r="K13" s="13"/>
      <c r="L13" s="13"/>
      <c r="M13" s="13"/>
      <c r="N13" s="13"/>
      <c r="O13" s="13"/>
      <c r="P13" s="5"/>
    </row>
    <row r="14" spans="1:21">
      <c r="A14" s="1371"/>
      <c r="B14" s="1372"/>
      <c r="C14" s="1372"/>
      <c r="D14" s="83"/>
      <c r="E14" s="83"/>
      <c r="F14" s="93"/>
      <c r="G14" s="229"/>
      <c r="H14" s="9"/>
      <c r="I14" s="8"/>
      <c r="J14" s="14"/>
      <c r="K14" s="32"/>
      <c r="L14" s="14"/>
      <c r="M14" s="15"/>
      <c r="N14" s="15"/>
      <c r="O14" s="19"/>
      <c r="P14" s="5"/>
    </row>
    <row r="15" spans="1:21">
      <c r="A15" s="1371"/>
      <c r="B15" s="1372"/>
      <c r="C15" s="1372"/>
      <c r="D15" s="83"/>
      <c r="E15" s="83"/>
      <c r="F15" s="98"/>
      <c r="G15" s="229"/>
      <c r="H15" s="9"/>
      <c r="I15" s="8"/>
      <c r="J15" s="33"/>
      <c r="K15" s="32"/>
      <c r="L15" s="14"/>
      <c r="M15" s="15"/>
      <c r="N15" s="15"/>
      <c r="O15" s="19"/>
      <c r="P15" s="5"/>
      <c r="Q15" s="5"/>
      <c r="R15" s="5"/>
      <c r="S15" s="5"/>
      <c r="T15" s="5"/>
      <c r="U15" s="5"/>
    </row>
    <row r="16" spans="1:21">
      <c r="A16" s="1371"/>
      <c r="B16" s="1372"/>
      <c r="C16" s="1372"/>
      <c r="D16" s="85" t="s">
        <v>37</v>
      </c>
      <c r="E16" s="50"/>
      <c r="F16" s="49"/>
      <c r="G16" s="230">
        <f>SUM(G11:G15)</f>
        <v>3054</v>
      </c>
      <c r="H16" s="9"/>
      <c r="I16" s="34"/>
      <c r="J16" s="34"/>
      <c r="K16" s="35"/>
      <c r="L16" s="36"/>
      <c r="M16" s="7"/>
      <c r="N16" s="7"/>
      <c r="O16" s="19"/>
      <c r="P16" s="5"/>
      <c r="Q16" s="5"/>
      <c r="R16" s="5"/>
      <c r="S16" s="5"/>
      <c r="T16" s="5"/>
      <c r="U16" s="5"/>
    </row>
    <row r="17" spans="1:21" ht="4.5" customHeight="1">
      <c r="A17" s="226"/>
      <c r="B17" s="4"/>
      <c r="C17" s="6"/>
      <c r="D17" s="4"/>
      <c r="E17" s="4"/>
      <c r="F17" s="4"/>
      <c r="G17" s="227"/>
      <c r="H17" s="9"/>
      <c r="I17" s="34"/>
      <c r="J17" s="34"/>
      <c r="K17" s="35"/>
      <c r="L17" s="36"/>
      <c r="M17" s="7"/>
      <c r="N17" s="7"/>
      <c r="O17" s="19"/>
      <c r="P17" s="5"/>
      <c r="Q17" s="5"/>
      <c r="R17" s="5"/>
      <c r="S17" s="5"/>
      <c r="T17" s="5"/>
      <c r="U17" s="5"/>
    </row>
    <row r="18" spans="1:21" ht="22.5" customHeight="1">
      <c r="A18" s="1354" t="s">
        <v>70</v>
      </c>
      <c r="B18" s="1355"/>
      <c r="C18" s="1355"/>
      <c r="D18" s="1355"/>
      <c r="E18" s="1355"/>
      <c r="F18" s="1355"/>
      <c r="G18" s="1356"/>
      <c r="H18" s="9"/>
    </row>
    <row r="19" spans="1:21" ht="4.5" customHeight="1">
      <c r="A19" s="226"/>
      <c r="B19" s="4"/>
      <c r="C19" s="6"/>
      <c r="D19" s="4"/>
      <c r="E19" s="4"/>
      <c r="F19" s="38"/>
      <c r="G19" s="227"/>
      <c r="H19" s="9"/>
      <c r="I19" s="34"/>
      <c r="J19" s="34"/>
      <c r="K19" s="35"/>
      <c r="L19" s="39"/>
      <c r="M19" s="7"/>
      <c r="N19" s="7"/>
      <c r="O19" s="8"/>
      <c r="P19" s="5"/>
      <c r="Q19" s="5"/>
      <c r="R19" s="5"/>
      <c r="S19" s="5"/>
      <c r="T19" s="5"/>
      <c r="U19" s="5"/>
    </row>
    <row r="20" spans="1:21">
      <c r="A20" s="1373" t="s">
        <v>17</v>
      </c>
      <c r="B20" s="1374"/>
      <c r="C20" s="1374"/>
      <c r="D20" s="353" t="s">
        <v>3</v>
      </c>
      <c r="E20" s="353" t="s">
        <v>4</v>
      </c>
      <c r="F20" s="353" t="s">
        <v>25</v>
      </c>
      <c r="G20" s="228" t="s">
        <v>21</v>
      </c>
      <c r="H20" s="27"/>
      <c r="I20" s="34"/>
      <c r="J20" s="34"/>
      <c r="K20" s="35"/>
      <c r="L20" s="39"/>
      <c r="M20" s="7"/>
      <c r="N20" s="7"/>
      <c r="O20" s="8"/>
      <c r="P20" s="5"/>
      <c r="Q20" s="5"/>
      <c r="R20" s="5"/>
      <c r="S20" s="5"/>
      <c r="T20" s="5"/>
      <c r="U20" s="5"/>
    </row>
    <row r="21" spans="1:21" ht="31.5" customHeight="1">
      <c r="A21" s="1441" t="str">
        <f>B6</f>
        <v>KIT SILLA YEE Ø8" x Ø6" (INCLUYE HIDROSELLOS Y LUBRICANTES)</v>
      </c>
      <c r="B21" s="1442"/>
      <c r="C21" s="1443"/>
      <c r="D21" s="118" t="s">
        <v>119</v>
      </c>
      <c r="E21" s="119">
        <v>1</v>
      </c>
      <c r="F21" s="87">
        <v>126000</v>
      </c>
      <c r="G21" s="231">
        <f>ROUND(F21*E21,0)</f>
        <v>126000</v>
      </c>
      <c r="H21" s="9"/>
      <c r="I21" s="34"/>
      <c r="J21" s="34"/>
      <c r="K21" s="35"/>
      <c r="L21" s="36"/>
      <c r="M21" s="7"/>
      <c r="N21" s="7"/>
      <c r="O21" s="19"/>
      <c r="P21" s="5"/>
      <c r="Q21" s="5"/>
      <c r="R21" s="5"/>
      <c r="S21" s="5"/>
      <c r="T21" s="5"/>
      <c r="U21" s="5"/>
    </row>
    <row r="22" spans="1:21" ht="27.75" customHeight="1">
      <c r="A22" s="1444"/>
      <c r="B22" s="1403"/>
      <c r="C22" s="1404"/>
      <c r="D22" s="116"/>
      <c r="E22" s="117"/>
      <c r="F22" s="91"/>
      <c r="G22" s="231"/>
      <c r="H22" s="9"/>
      <c r="I22" s="10"/>
      <c r="J22" s="10"/>
      <c r="K22" s="12"/>
      <c r="L22" s="39"/>
      <c r="M22" s="7"/>
      <c r="N22" s="7"/>
      <c r="O22" s="15"/>
      <c r="P22" s="5"/>
      <c r="Q22" s="5"/>
      <c r="R22" s="5"/>
      <c r="S22" s="5"/>
      <c r="T22" s="5"/>
      <c r="U22" s="5"/>
    </row>
    <row r="23" spans="1:21">
      <c r="A23" s="1386" t="s">
        <v>131</v>
      </c>
      <c r="B23" s="1353"/>
      <c r="C23" s="1353"/>
      <c r="D23" s="79"/>
      <c r="E23" s="82">
        <v>1</v>
      </c>
      <c r="F23" s="83">
        <v>5000</v>
      </c>
      <c r="G23" s="67">
        <f>+F23*E23</f>
        <v>5000</v>
      </c>
      <c r="H23" s="9"/>
      <c r="I23" s="10"/>
      <c r="J23" s="10"/>
      <c r="K23" s="12"/>
      <c r="L23" s="39"/>
      <c r="M23" s="7"/>
      <c r="N23" s="7"/>
      <c r="O23" s="15"/>
      <c r="P23" s="5"/>
      <c r="Q23" s="5"/>
      <c r="R23" s="5"/>
      <c r="S23" s="5"/>
      <c r="T23" s="5"/>
      <c r="U23" s="5"/>
    </row>
    <row r="24" spans="1:21">
      <c r="A24" s="1352"/>
      <c r="B24" s="1353"/>
      <c r="C24" s="1353"/>
      <c r="D24" s="81"/>
      <c r="E24" s="88"/>
      <c r="F24" s="78"/>
      <c r="G24" s="231"/>
      <c r="H24" s="9"/>
      <c r="I24" s="10"/>
      <c r="J24" s="40"/>
      <c r="K24" s="12"/>
      <c r="L24" s="13"/>
      <c r="M24" s="14"/>
      <c r="N24" s="14"/>
      <c r="O24" s="15"/>
      <c r="P24" s="5"/>
      <c r="Q24" s="5"/>
      <c r="R24" s="5"/>
      <c r="S24" s="5"/>
      <c r="T24" s="5"/>
      <c r="U24" s="5"/>
    </row>
    <row r="25" spans="1:21">
      <c r="A25" s="1352"/>
      <c r="B25" s="1353"/>
      <c r="C25" s="1353"/>
      <c r="D25" s="81"/>
      <c r="E25" s="82"/>
      <c r="F25" s="78"/>
      <c r="G25" s="231"/>
      <c r="H25" s="9"/>
      <c r="I25" s="10"/>
      <c r="J25" s="11"/>
      <c r="K25" s="12"/>
      <c r="L25" s="13"/>
      <c r="M25" s="14"/>
      <c r="N25" s="14"/>
      <c r="O25" s="15"/>
      <c r="P25" s="5"/>
      <c r="Q25" s="5"/>
      <c r="R25" s="5"/>
      <c r="S25" s="5"/>
      <c r="T25" s="5"/>
      <c r="U25" s="5"/>
    </row>
    <row r="26" spans="1:21">
      <c r="A26" s="1352"/>
      <c r="B26" s="1353"/>
      <c r="C26" s="1353"/>
      <c r="D26" s="79"/>
      <c r="E26" s="82"/>
      <c r="F26" s="78"/>
      <c r="G26" s="231"/>
      <c r="H26" s="9"/>
      <c r="I26" s="10"/>
      <c r="J26" s="11"/>
      <c r="K26" s="12"/>
      <c r="L26" s="13"/>
      <c r="M26" s="14"/>
      <c r="N26" s="14"/>
      <c r="O26" s="15"/>
      <c r="P26" s="5"/>
      <c r="Q26" s="5"/>
      <c r="R26" s="5"/>
      <c r="S26" s="5"/>
      <c r="T26" s="5"/>
      <c r="U26" s="5"/>
    </row>
    <row r="27" spans="1:21">
      <c r="A27" s="1352"/>
      <c r="B27" s="1353"/>
      <c r="C27" s="1353"/>
      <c r="D27" s="79"/>
      <c r="E27" s="82"/>
      <c r="F27" s="78"/>
      <c r="G27" s="231"/>
      <c r="H27" s="9"/>
      <c r="I27" s="10"/>
      <c r="J27" s="11"/>
      <c r="K27" s="12"/>
      <c r="L27" s="13"/>
      <c r="M27" s="14"/>
      <c r="N27" s="14"/>
      <c r="O27" s="15"/>
      <c r="P27" s="5"/>
      <c r="Q27" s="5"/>
      <c r="R27" s="5"/>
      <c r="S27" s="5"/>
      <c r="T27" s="5"/>
      <c r="U27" s="5"/>
    </row>
    <row r="28" spans="1:21">
      <c r="A28" s="1352"/>
      <c r="B28" s="1353"/>
      <c r="C28" s="1353"/>
      <c r="D28" s="79"/>
      <c r="E28" s="82"/>
      <c r="F28" s="83"/>
      <c r="G28" s="231"/>
      <c r="H28" s="9"/>
      <c r="I28" s="41"/>
      <c r="J28" s="41"/>
      <c r="K28" s="12"/>
      <c r="L28" s="13"/>
      <c r="M28" s="14"/>
      <c r="N28" s="14"/>
      <c r="O28" s="15"/>
      <c r="P28" s="5"/>
      <c r="Q28" s="5"/>
      <c r="R28" s="5"/>
      <c r="S28" s="5"/>
      <c r="T28" s="5"/>
      <c r="U28" s="5"/>
    </row>
    <row r="29" spans="1:21">
      <c r="A29" s="1352"/>
      <c r="B29" s="1353"/>
      <c r="C29" s="1353"/>
      <c r="D29" s="84"/>
      <c r="E29" s="84"/>
      <c r="F29" s="83"/>
      <c r="G29" s="231"/>
      <c r="H29" s="9"/>
      <c r="I29" s="42"/>
      <c r="J29" s="42"/>
      <c r="K29" s="42"/>
      <c r="L29" s="13"/>
      <c r="M29" s="14"/>
      <c r="N29" s="14"/>
      <c r="O29" s="15"/>
      <c r="P29" s="5"/>
      <c r="Q29" s="5"/>
      <c r="R29" s="5"/>
      <c r="S29" s="5"/>
      <c r="T29" s="5"/>
      <c r="U29" s="5"/>
    </row>
    <row r="30" spans="1:21">
      <c r="A30" s="1352"/>
      <c r="B30" s="1353"/>
      <c r="C30" s="1353"/>
      <c r="D30" s="85" t="s">
        <v>28</v>
      </c>
      <c r="E30" s="50"/>
      <c r="F30" s="49"/>
      <c r="G30" s="230">
        <f>SUM(G21:G29)</f>
        <v>131000</v>
      </c>
      <c r="H30" s="9"/>
      <c r="I30" s="8"/>
      <c r="J30" s="13"/>
      <c r="K30" s="8"/>
      <c r="L30" s="13"/>
      <c r="M30" s="14"/>
      <c r="N30" s="14"/>
      <c r="O30" s="15"/>
      <c r="P30" s="5"/>
    </row>
    <row r="31" spans="1:21" ht="3.75" customHeight="1">
      <c r="A31" s="226"/>
      <c r="B31" s="4"/>
      <c r="C31" s="6"/>
      <c r="D31" s="4"/>
      <c r="E31" s="4"/>
      <c r="F31" s="4"/>
      <c r="G31" s="227"/>
      <c r="H31" s="9"/>
      <c r="I31" s="8"/>
      <c r="J31" s="13"/>
      <c r="K31" s="18"/>
      <c r="L31" s="13"/>
      <c r="M31" s="33"/>
      <c r="N31" s="33"/>
      <c r="O31" s="15"/>
      <c r="P31" s="5"/>
    </row>
    <row r="32" spans="1:21" ht="22.5" customHeight="1">
      <c r="A32" s="1354" t="s">
        <v>71</v>
      </c>
      <c r="B32" s="1355"/>
      <c r="C32" s="1355"/>
      <c r="D32" s="1355"/>
      <c r="E32" s="1355"/>
      <c r="F32" s="1355"/>
      <c r="G32" s="1356"/>
      <c r="H32" s="9"/>
    </row>
    <row r="33" spans="1:16" ht="3.75" customHeight="1">
      <c r="A33" s="226"/>
      <c r="B33" s="4"/>
      <c r="C33" s="6"/>
      <c r="D33" s="4"/>
      <c r="E33" s="4"/>
      <c r="F33" s="4"/>
      <c r="G33" s="227"/>
      <c r="H33" s="9"/>
      <c r="I33" s="8"/>
      <c r="J33" s="13"/>
      <c r="K33" s="8"/>
      <c r="L33" s="8"/>
      <c r="M33" s="8"/>
      <c r="N33" s="8"/>
      <c r="O33" s="15"/>
      <c r="P33" s="5"/>
    </row>
    <row r="34" spans="1:16">
      <c r="A34" s="232" t="s">
        <v>5</v>
      </c>
      <c r="B34" s="60" t="s">
        <v>29</v>
      </c>
      <c r="C34" s="60" t="s">
        <v>30</v>
      </c>
      <c r="D34" s="60" t="s">
        <v>31</v>
      </c>
      <c r="E34" s="60" t="s">
        <v>32</v>
      </c>
      <c r="F34" s="60" t="s">
        <v>20</v>
      </c>
      <c r="G34" s="228" t="s">
        <v>33</v>
      </c>
      <c r="H34" s="27"/>
      <c r="I34" s="8"/>
      <c r="J34" s="13"/>
      <c r="K34" s="8"/>
      <c r="L34" s="8"/>
      <c r="M34" s="8"/>
      <c r="N34" s="8"/>
      <c r="O34" s="15"/>
      <c r="P34" s="5"/>
    </row>
    <row r="35" spans="1:16">
      <c r="A35" s="233" t="s">
        <v>41</v>
      </c>
      <c r="B35" s="63">
        <f>BOF</f>
        <v>51749</v>
      </c>
      <c r="C35" s="68">
        <f>ffpp</f>
        <v>0.64539999999999997</v>
      </c>
      <c r="D35" s="72">
        <v>1</v>
      </c>
      <c r="E35" s="66">
        <f>OF</f>
        <v>88696</v>
      </c>
      <c r="F35" s="65">
        <v>10</v>
      </c>
      <c r="G35" s="231">
        <f>ROUND(+D35*E35/F35,0)</f>
        <v>8870</v>
      </c>
      <c r="H35" s="9"/>
      <c r="I35" s="16"/>
      <c r="J35" s="13"/>
      <c r="K35" s="8"/>
      <c r="L35" s="8"/>
      <c r="M35" s="8"/>
      <c r="N35" s="8"/>
      <c r="O35" s="15"/>
      <c r="P35" s="5"/>
    </row>
    <row r="36" spans="1:16">
      <c r="A36" s="233" t="s">
        <v>38</v>
      </c>
      <c r="B36" s="63">
        <f>BOB</f>
        <v>41749</v>
      </c>
      <c r="C36" s="68">
        <f>ffpp</f>
        <v>0.64539999999999997</v>
      </c>
      <c r="D36" s="72">
        <v>3</v>
      </c>
      <c r="E36" s="66">
        <f>OB</f>
        <v>72242</v>
      </c>
      <c r="F36" s="65">
        <f>F35</f>
        <v>10</v>
      </c>
      <c r="G36" s="231">
        <f>ROUND(+D36*E36/F36,0)</f>
        <v>21673</v>
      </c>
      <c r="H36" s="9"/>
      <c r="I36" s="8"/>
      <c r="J36" s="8"/>
      <c r="K36" s="13"/>
      <c r="L36" s="13"/>
      <c r="M36" s="13"/>
      <c r="N36" s="13"/>
      <c r="O36" s="13"/>
      <c r="P36" s="5"/>
    </row>
    <row r="37" spans="1:16">
      <c r="A37" s="234"/>
      <c r="B37" s="50"/>
      <c r="C37" s="961"/>
      <c r="D37" s="50"/>
      <c r="E37" s="66"/>
      <c r="F37" s="65"/>
      <c r="G37" s="231"/>
      <c r="H37" s="9"/>
      <c r="I37" s="8"/>
      <c r="J37" s="13"/>
      <c r="K37" s="13"/>
      <c r="L37" s="13"/>
      <c r="M37" s="33"/>
      <c r="N37" s="33"/>
      <c r="O37" s="43"/>
      <c r="P37" s="5"/>
    </row>
    <row r="38" spans="1:16">
      <c r="A38" s="233"/>
      <c r="B38" s="65"/>
      <c r="C38" s="68"/>
      <c r="D38" s="65"/>
      <c r="E38" s="69"/>
      <c r="F38" s="69"/>
      <c r="G38" s="236"/>
      <c r="H38" s="9"/>
      <c r="I38" s="8"/>
      <c r="J38" s="13"/>
      <c r="K38" s="13"/>
      <c r="L38" s="13"/>
      <c r="M38" s="33"/>
      <c r="N38" s="33"/>
      <c r="O38" s="43"/>
      <c r="P38" s="5"/>
    </row>
    <row r="39" spans="1:16">
      <c r="A39" s="249"/>
      <c r="B39" s="71"/>
      <c r="C39" s="71"/>
      <c r="D39" s="71" t="s">
        <v>34</v>
      </c>
      <c r="E39" s="71"/>
      <c r="F39" s="71"/>
      <c r="G39" s="250">
        <f>SUM(G35:G38)</f>
        <v>30543</v>
      </c>
      <c r="H39" s="9"/>
      <c r="I39" s="8"/>
      <c r="J39" s="13"/>
      <c r="K39" s="13"/>
      <c r="L39" s="13"/>
      <c r="M39" s="14"/>
      <c r="N39" s="14"/>
      <c r="O39" s="15"/>
      <c r="P39" s="5"/>
    </row>
    <row r="40" spans="1:16">
      <c r="A40" s="226"/>
      <c r="B40" s="4"/>
      <c r="C40" s="6"/>
      <c r="D40" s="4"/>
      <c r="E40" s="4"/>
      <c r="F40" s="4"/>
      <c r="G40" s="227"/>
      <c r="H40" s="9"/>
      <c r="I40" s="8"/>
      <c r="J40" s="13"/>
      <c r="K40" s="13"/>
      <c r="L40" s="13"/>
      <c r="M40" s="14"/>
      <c r="N40" s="14"/>
      <c r="O40" s="19"/>
      <c r="P40" s="5"/>
    </row>
    <row r="41" spans="1:16">
      <c r="A41" s="226"/>
      <c r="B41" s="4"/>
      <c r="C41" s="6"/>
      <c r="D41" s="4"/>
      <c r="E41" s="4"/>
      <c r="F41" s="4"/>
      <c r="G41" s="227"/>
      <c r="H41" s="9"/>
      <c r="I41" s="8"/>
      <c r="J41" s="13"/>
      <c r="K41" s="13"/>
      <c r="L41" s="13"/>
      <c r="M41" s="17"/>
      <c r="N41" s="17"/>
      <c r="O41" s="37"/>
      <c r="P41" s="5"/>
    </row>
    <row r="42" spans="1:16" ht="14.25">
      <c r="A42" s="226"/>
      <c r="B42" s="4"/>
      <c r="C42" s="6"/>
      <c r="D42" s="1357" t="s">
        <v>35</v>
      </c>
      <c r="E42" s="1358"/>
      <c r="F42" s="1359"/>
      <c r="G42" s="239">
        <f>+G39+G30+G16</f>
        <v>164597</v>
      </c>
      <c r="H42" s="9"/>
      <c r="I42" s="48"/>
      <c r="J42" s="20"/>
      <c r="K42" s="8"/>
      <c r="L42" s="8"/>
      <c r="M42" s="8"/>
      <c r="N42" s="8"/>
      <c r="O42" s="8"/>
      <c r="P42" s="5"/>
    </row>
    <row r="43" spans="1:16" ht="14.25">
      <c r="A43" s="240"/>
      <c r="B43" s="57"/>
      <c r="C43" s="58"/>
      <c r="D43" s="99"/>
      <c r="E43" s="99"/>
      <c r="F43" s="99"/>
      <c r="G43" s="251"/>
      <c r="H43" s="9"/>
      <c r="I43" s="48"/>
      <c r="J43" s="20"/>
      <c r="K43" s="8"/>
      <c r="L43" s="8"/>
      <c r="M43" s="8"/>
      <c r="N43" s="8"/>
      <c r="O43" s="8"/>
      <c r="P43" s="5"/>
    </row>
    <row r="44" spans="1:16" ht="14.25">
      <c r="A44" s="374"/>
      <c r="B44" s="375"/>
      <c r="C44" s="375"/>
      <c r="D44" s="99"/>
      <c r="E44" s="99"/>
      <c r="F44" s="99"/>
      <c r="G44" s="251"/>
      <c r="H44" s="9"/>
      <c r="I44" s="48"/>
      <c r="J44" s="20"/>
      <c r="K44" s="8"/>
      <c r="L44" s="8"/>
      <c r="M44" s="8"/>
      <c r="N44" s="8"/>
      <c r="O44" s="8"/>
      <c r="P44" s="5"/>
    </row>
    <row r="45" spans="1:16" ht="14.25">
      <c r="A45" s="373"/>
      <c r="B45" s="376"/>
      <c r="C45" s="376"/>
      <c r="D45" s="99"/>
      <c r="E45" s="99"/>
      <c r="F45" s="99"/>
      <c r="G45" s="251"/>
      <c r="H45" s="9"/>
      <c r="I45" s="48"/>
      <c r="J45" s="20"/>
      <c r="K45" s="8"/>
      <c r="L45" s="8"/>
      <c r="M45" s="8"/>
      <c r="N45" s="8"/>
      <c r="O45" s="8"/>
      <c r="P45" s="5"/>
    </row>
    <row r="46" spans="1:16" ht="14.25">
      <c r="A46" s="373"/>
      <c r="B46" s="376"/>
      <c r="C46" s="376"/>
      <c r="D46" s="44"/>
      <c r="E46" s="45"/>
      <c r="F46" s="45"/>
      <c r="G46" s="251"/>
      <c r="H46" s="9"/>
      <c r="I46" s="8"/>
      <c r="J46" s="13"/>
      <c r="K46" s="8"/>
      <c r="L46" s="8"/>
      <c r="M46" s="8"/>
      <c r="N46" s="8"/>
      <c r="O46" s="8"/>
      <c r="P46" s="5"/>
    </row>
    <row r="47" spans="1:16" ht="15" thickBot="1">
      <c r="A47" s="242"/>
      <c r="B47" s="243"/>
      <c r="C47" s="244"/>
      <c r="D47" s="245"/>
      <c r="E47" s="246"/>
      <c r="F47" s="246"/>
      <c r="G47" s="247"/>
      <c r="H47" s="9"/>
      <c r="I47" s="8"/>
      <c r="J47" s="13"/>
      <c r="K47" s="8"/>
      <c r="L47" s="8"/>
      <c r="M47" s="8"/>
      <c r="N47" s="8"/>
      <c r="O47" s="8"/>
      <c r="P47" s="5"/>
    </row>
    <row r="48" spans="1:16">
      <c r="I48" s="5"/>
      <c r="J48" s="5"/>
      <c r="K48" s="5"/>
      <c r="L48" s="5"/>
      <c r="M48" s="5"/>
      <c r="N48" s="5"/>
      <c r="O48" s="5"/>
      <c r="P48" s="5"/>
    </row>
    <row r="49" spans="9:16">
      <c r="I49" s="5"/>
      <c r="J49" s="5"/>
      <c r="K49" s="5"/>
      <c r="L49" s="5"/>
      <c r="M49" s="5"/>
      <c r="N49" s="5"/>
      <c r="O49" s="5"/>
      <c r="P49" s="5"/>
    </row>
  </sheetData>
  <mergeCells count="26">
    <mergeCell ref="A10:C10"/>
    <mergeCell ref="A1:G1"/>
    <mergeCell ref="A2:G2"/>
    <mergeCell ref="A3:G4"/>
    <mergeCell ref="B6:E6"/>
    <mergeCell ref="A8:G8"/>
    <mergeCell ref="A24:C24"/>
    <mergeCell ref="A11:C11"/>
    <mergeCell ref="A12:C12"/>
    <mergeCell ref="A13:C13"/>
    <mergeCell ref="A14:C14"/>
    <mergeCell ref="A15:C15"/>
    <mergeCell ref="A16:C16"/>
    <mergeCell ref="A18:G18"/>
    <mergeCell ref="A20:C20"/>
    <mergeCell ref="A21:C21"/>
    <mergeCell ref="A22:C22"/>
    <mergeCell ref="A23:C23"/>
    <mergeCell ref="A32:G32"/>
    <mergeCell ref="D42:F42"/>
    <mergeCell ref="A25:C25"/>
    <mergeCell ref="A26:C26"/>
    <mergeCell ref="A27:C27"/>
    <mergeCell ref="A28:C28"/>
    <mergeCell ref="A29:C29"/>
    <mergeCell ref="A30:C30"/>
  </mergeCells>
  <printOptions horizontalCentered="1" verticalCentered="1"/>
  <pageMargins left="0.74803149606299213" right="0.74803149606299213" top="0" bottom="0.98425196850393704" header="0" footer="0"/>
  <pageSetup scale="90" orientation="portrait" r:id="rId1"/>
  <headerFooter alignWithMargins="0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97"/>
  <dimension ref="A1:U49"/>
  <sheetViews>
    <sheetView view="pageBreakPreview" zoomScaleNormal="100" zoomScaleSheetLayoutView="100" workbookViewId="0">
      <selection activeCell="I7" sqref="I7"/>
    </sheetView>
  </sheetViews>
  <sheetFormatPr baseColWidth="10" defaultColWidth="10.7109375" defaultRowHeight="12.75"/>
  <cols>
    <col min="1" max="1" width="15.85546875" style="3" customWidth="1"/>
    <col min="2" max="2" width="14.85546875" style="3" customWidth="1"/>
    <col min="3" max="3" width="13.28515625" style="3" customWidth="1"/>
    <col min="4" max="4" width="11.42578125" style="3"/>
    <col min="5" max="5" width="13.42578125" style="3" customWidth="1"/>
    <col min="6" max="6" width="12.7109375" style="3" customWidth="1"/>
    <col min="7" max="7" width="14" style="3" customWidth="1"/>
    <col min="8" max="8" width="7.42578125" style="3" customWidth="1"/>
    <col min="9" max="256" width="11.42578125" style="3"/>
    <col min="257" max="257" width="15.85546875" style="3" customWidth="1"/>
    <col min="258" max="258" width="14.85546875" style="3" customWidth="1"/>
    <col min="259" max="259" width="13.28515625" style="3" customWidth="1"/>
    <col min="260" max="260" width="11.42578125" style="3"/>
    <col min="261" max="261" width="13.42578125" style="3" customWidth="1"/>
    <col min="262" max="262" width="12.7109375" style="3" customWidth="1"/>
    <col min="263" max="263" width="14" style="3" customWidth="1"/>
    <col min="264" max="264" width="7.42578125" style="3" customWidth="1"/>
    <col min="265" max="512" width="11.42578125" style="3"/>
    <col min="513" max="513" width="15.85546875" style="3" customWidth="1"/>
    <col min="514" max="514" width="14.85546875" style="3" customWidth="1"/>
    <col min="515" max="515" width="13.28515625" style="3" customWidth="1"/>
    <col min="516" max="516" width="11.42578125" style="3"/>
    <col min="517" max="517" width="13.42578125" style="3" customWidth="1"/>
    <col min="518" max="518" width="12.7109375" style="3" customWidth="1"/>
    <col min="519" max="519" width="14" style="3" customWidth="1"/>
    <col min="520" max="520" width="7.42578125" style="3" customWidth="1"/>
    <col min="521" max="768" width="11.42578125" style="3"/>
    <col min="769" max="769" width="15.85546875" style="3" customWidth="1"/>
    <col min="770" max="770" width="14.85546875" style="3" customWidth="1"/>
    <col min="771" max="771" width="13.28515625" style="3" customWidth="1"/>
    <col min="772" max="772" width="11.42578125" style="3"/>
    <col min="773" max="773" width="13.42578125" style="3" customWidth="1"/>
    <col min="774" max="774" width="12.7109375" style="3" customWidth="1"/>
    <col min="775" max="775" width="14" style="3" customWidth="1"/>
    <col min="776" max="776" width="7.42578125" style="3" customWidth="1"/>
    <col min="777" max="1024" width="11.42578125" style="3"/>
    <col min="1025" max="1025" width="15.85546875" style="3" customWidth="1"/>
    <col min="1026" max="1026" width="14.85546875" style="3" customWidth="1"/>
    <col min="1027" max="1027" width="13.28515625" style="3" customWidth="1"/>
    <col min="1028" max="1028" width="11.42578125" style="3"/>
    <col min="1029" max="1029" width="13.42578125" style="3" customWidth="1"/>
    <col min="1030" max="1030" width="12.7109375" style="3" customWidth="1"/>
    <col min="1031" max="1031" width="14" style="3" customWidth="1"/>
    <col min="1032" max="1032" width="7.42578125" style="3" customWidth="1"/>
    <col min="1033" max="1280" width="11.42578125" style="3"/>
    <col min="1281" max="1281" width="15.85546875" style="3" customWidth="1"/>
    <col min="1282" max="1282" width="14.85546875" style="3" customWidth="1"/>
    <col min="1283" max="1283" width="13.28515625" style="3" customWidth="1"/>
    <col min="1284" max="1284" width="11.42578125" style="3"/>
    <col min="1285" max="1285" width="13.42578125" style="3" customWidth="1"/>
    <col min="1286" max="1286" width="12.7109375" style="3" customWidth="1"/>
    <col min="1287" max="1287" width="14" style="3" customWidth="1"/>
    <col min="1288" max="1288" width="7.42578125" style="3" customWidth="1"/>
    <col min="1289" max="1536" width="11.42578125" style="3"/>
    <col min="1537" max="1537" width="15.85546875" style="3" customWidth="1"/>
    <col min="1538" max="1538" width="14.85546875" style="3" customWidth="1"/>
    <col min="1539" max="1539" width="13.28515625" style="3" customWidth="1"/>
    <col min="1540" max="1540" width="11.42578125" style="3"/>
    <col min="1541" max="1541" width="13.42578125" style="3" customWidth="1"/>
    <col min="1542" max="1542" width="12.7109375" style="3" customWidth="1"/>
    <col min="1543" max="1543" width="14" style="3" customWidth="1"/>
    <col min="1544" max="1544" width="7.42578125" style="3" customWidth="1"/>
    <col min="1545" max="1792" width="11.42578125" style="3"/>
    <col min="1793" max="1793" width="15.85546875" style="3" customWidth="1"/>
    <col min="1794" max="1794" width="14.85546875" style="3" customWidth="1"/>
    <col min="1795" max="1795" width="13.28515625" style="3" customWidth="1"/>
    <col min="1796" max="1796" width="11.42578125" style="3"/>
    <col min="1797" max="1797" width="13.42578125" style="3" customWidth="1"/>
    <col min="1798" max="1798" width="12.7109375" style="3" customWidth="1"/>
    <col min="1799" max="1799" width="14" style="3" customWidth="1"/>
    <col min="1800" max="1800" width="7.42578125" style="3" customWidth="1"/>
    <col min="1801" max="2048" width="11.42578125" style="3"/>
    <col min="2049" max="2049" width="15.85546875" style="3" customWidth="1"/>
    <col min="2050" max="2050" width="14.85546875" style="3" customWidth="1"/>
    <col min="2051" max="2051" width="13.28515625" style="3" customWidth="1"/>
    <col min="2052" max="2052" width="11.42578125" style="3"/>
    <col min="2053" max="2053" width="13.42578125" style="3" customWidth="1"/>
    <col min="2054" max="2054" width="12.7109375" style="3" customWidth="1"/>
    <col min="2055" max="2055" width="14" style="3" customWidth="1"/>
    <col min="2056" max="2056" width="7.42578125" style="3" customWidth="1"/>
    <col min="2057" max="2304" width="11.42578125" style="3"/>
    <col min="2305" max="2305" width="15.85546875" style="3" customWidth="1"/>
    <col min="2306" max="2306" width="14.85546875" style="3" customWidth="1"/>
    <col min="2307" max="2307" width="13.28515625" style="3" customWidth="1"/>
    <col min="2308" max="2308" width="11.42578125" style="3"/>
    <col min="2309" max="2309" width="13.42578125" style="3" customWidth="1"/>
    <col min="2310" max="2310" width="12.7109375" style="3" customWidth="1"/>
    <col min="2311" max="2311" width="14" style="3" customWidth="1"/>
    <col min="2312" max="2312" width="7.42578125" style="3" customWidth="1"/>
    <col min="2313" max="2560" width="11.42578125" style="3"/>
    <col min="2561" max="2561" width="15.85546875" style="3" customWidth="1"/>
    <col min="2562" max="2562" width="14.85546875" style="3" customWidth="1"/>
    <col min="2563" max="2563" width="13.28515625" style="3" customWidth="1"/>
    <col min="2564" max="2564" width="11.42578125" style="3"/>
    <col min="2565" max="2565" width="13.42578125" style="3" customWidth="1"/>
    <col min="2566" max="2566" width="12.7109375" style="3" customWidth="1"/>
    <col min="2567" max="2567" width="14" style="3" customWidth="1"/>
    <col min="2568" max="2568" width="7.42578125" style="3" customWidth="1"/>
    <col min="2569" max="2816" width="11.42578125" style="3"/>
    <col min="2817" max="2817" width="15.85546875" style="3" customWidth="1"/>
    <col min="2818" max="2818" width="14.85546875" style="3" customWidth="1"/>
    <col min="2819" max="2819" width="13.28515625" style="3" customWidth="1"/>
    <col min="2820" max="2820" width="11.42578125" style="3"/>
    <col min="2821" max="2821" width="13.42578125" style="3" customWidth="1"/>
    <col min="2822" max="2822" width="12.7109375" style="3" customWidth="1"/>
    <col min="2823" max="2823" width="14" style="3" customWidth="1"/>
    <col min="2824" max="2824" width="7.42578125" style="3" customWidth="1"/>
    <col min="2825" max="3072" width="11.42578125" style="3"/>
    <col min="3073" max="3073" width="15.85546875" style="3" customWidth="1"/>
    <col min="3074" max="3074" width="14.85546875" style="3" customWidth="1"/>
    <col min="3075" max="3075" width="13.28515625" style="3" customWidth="1"/>
    <col min="3076" max="3076" width="11.42578125" style="3"/>
    <col min="3077" max="3077" width="13.42578125" style="3" customWidth="1"/>
    <col min="3078" max="3078" width="12.7109375" style="3" customWidth="1"/>
    <col min="3079" max="3079" width="14" style="3" customWidth="1"/>
    <col min="3080" max="3080" width="7.42578125" style="3" customWidth="1"/>
    <col min="3081" max="3328" width="11.42578125" style="3"/>
    <col min="3329" max="3329" width="15.85546875" style="3" customWidth="1"/>
    <col min="3330" max="3330" width="14.85546875" style="3" customWidth="1"/>
    <col min="3331" max="3331" width="13.28515625" style="3" customWidth="1"/>
    <col min="3332" max="3332" width="11.42578125" style="3"/>
    <col min="3333" max="3333" width="13.42578125" style="3" customWidth="1"/>
    <col min="3334" max="3334" width="12.7109375" style="3" customWidth="1"/>
    <col min="3335" max="3335" width="14" style="3" customWidth="1"/>
    <col min="3336" max="3336" width="7.42578125" style="3" customWidth="1"/>
    <col min="3337" max="3584" width="11.42578125" style="3"/>
    <col min="3585" max="3585" width="15.85546875" style="3" customWidth="1"/>
    <col min="3586" max="3586" width="14.85546875" style="3" customWidth="1"/>
    <col min="3587" max="3587" width="13.28515625" style="3" customWidth="1"/>
    <col min="3588" max="3588" width="11.42578125" style="3"/>
    <col min="3589" max="3589" width="13.42578125" style="3" customWidth="1"/>
    <col min="3590" max="3590" width="12.7109375" style="3" customWidth="1"/>
    <col min="3591" max="3591" width="14" style="3" customWidth="1"/>
    <col min="3592" max="3592" width="7.42578125" style="3" customWidth="1"/>
    <col min="3593" max="3840" width="11.42578125" style="3"/>
    <col min="3841" max="3841" width="15.85546875" style="3" customWidth="1"/>
    <col min="3842" max="3842" width="14.85546875" style="3" customWidth="1"/>
    <col min="3843" max="3843" width="13.28515625" style="3" customWidth="1"/>
    <col min="3844" max="3844" width="11.42578125" style="3"/>
    <col min="3845" max="3845" width="13.42578125" style="3" customWidth="1"/>
    <col min="3846" max="3846" width="12.7109375" style="3" customWidth="1"/>
    <col min="3847" max="3847" width="14" style="3" customWidth="1"/>
    <col min="3848" max="3848" width="7.42578125" style="3" customWidth="1"/>
    <col min="3849" max="4096" width="11.42578125" style="3"/>
    <col min="4097" max="4097" width="15.85546875" style="3" customWidth="1"/>
    <col min="4098" max="4098" width="14.85546875" style="3" customWidth="1"/>
    <col min="4099" max="4099" width="13.28515625" style="3" customWidth="1"/>
    <col min="4100" max="4100" width="11.42578125" style="3"/>
    <col min="4101" max="4101" width="13.42578125" style="3" customWidth="1"/>
    <col min="4102" max="4102" width="12.7109375" style="3" customWidth="1"/>
    <col min="4103" max="4103" width="14" style="3" customWidth="1"/>
    <col min="4104" max="4104" width="7.42578125" style="3" customWidth="1"/>
    <col min="4105" max="4352" width="11.42578125" style="3"/>
    <col min="4353" max="4353" width="15.85546875" style="3" customWidth="1"/>
    <col min="4354" max="4354" width="14.85546875" style="3" customWidth="1"/>
    <col min="4355" max="4355" width="13.28515625" style="3" customWidth="1"/>
    <col min="4356" max="4356" width="11.42578125" style="3"/>
    <col min="4357" max="4357" width="13.42578125" style="3" customWidth="1"/>
    <col min="4358" max="4358" width="12.7109375" style="3" customWidth="1"/>
    <col min="4359" max="4359" width="14" style="3" customWidth="1"/>
    <col min="4360" max="4360" width="7.42578125" style="3" customWidth="1"/>
    <col min="4361" max="4608" width="11.42578125" style="3"/>
    <col min="4609" max="4609" width="15.85546875" style="3" customWidth="1"/>
    <col min="4610" max="4610" width="14.85546875" style="3" customWidth="1"/>
    <col min="4611" max="4611" width="13.28515625" style="3" customWidth="1"/>
    <col min="4612" max="4612" width="11.42578125" style="3"/>
    <col min="4613" max="4613" width="13.42578125" style="3" customWidth="1"/>
    <col min="4614" max="4614" width="12.7109375" style="3" customWidth="1"/>
    <col min="4615" max="4615" width="14" style="3" customWidth="1"/>
    <col min="4616" max="4616" width="7.42578125" style="3" customWidth="1"/>
    <col min="4617" max="4864" width="11.42578125" style="3"/>
    <col min="4865" max="4865" width="15.85546875" style="3" customWidth="1"/>
    <col min="4866" max="4866" width="14.85546875" style="3" customWidth="1"/>
    <col min="4867" max="4867" width="13.28515625" style="3" customWidth="1"/>
    <col min="4868" max="4868" width="11.42578125" style="3"/>
    <col min="4869" max="4869" width="13.42578125" style="3" customWidth="1"/>
    <col min="4870" max="4870" width="12.7109375" style="3" customWidth="1"/>
    <col min="4871" max="4871" width="14" style="3" customWidth="1"/>
    <col min="4872" max="4872" width="7.42578125" style="3" customWidth="1"/>
    <col min="4873" max="5120" width="11.42578125" style="3"/>
    <col min="5121" max="5121" width="15.85546875" style="3" customWidth="1"/>
    <col min="5122" max="5122" width="14.85546875" style="3" customWidth="1"/>
    <col min="5123" max="5123" width="13.28515625" style="3" customWidth="1"/>
    <col min="5124" max="5124" width="11.42578125" style="3"/>
    <col min="5125" max="5125" width="13.42578125" style="3" customWidth="1"/>
    <col min="5126" max="5126" width="12.7109375" style="3" customWidth="1"/>
    <col min="5127" max="5127" width="14" style="3" customWidth="1"/>
    <col min="5128" max="5128" width="7.42578125" style="3" customWidth="1"/>
    <col min="5129" max="5376" width="11.42578125" style="3"/>
    <col min="5377" max="5377" width="15.85546875" style="3" customWidth="1"/>
    <col min="5378" max="5378" width="14.85546875" style="3" customWidth="1"/>
    <col min="5379" max="5379" width="13.28515625" style="3" customWidth="1"/>
    <col min="5380" max="5380" width="11.42578125" style="3"/>
    <col min="5381" max="5381" width="13.42578125" style="3" customWidth="1"/>
    <col min="5382" max="5382" width="12.7109375" style="3" customWidth="1"/>
    <col min="5383" max="5383" width="14" style="3" customWidth="1"/>
    <col min="5384" max="5384" width="7.42578125" style="3" customWidth="1"/>
    <col min="5385" max="5632" width="11.42578125" style="3"/>
    <col min="5633" max="5633" width="15.85546875" style="3" customWidth="1"/>
    <col min="5634" max="5634" width="14.85546875" style="3" customWidth="1"/>
    <col min="5635" max="5635" width="13.28515625" style="3" customWidth="1"/>
    <col min="5636" max="5636" width="11.42578125" style="3"/>
    <col min="5637" max="5637" width="13.42578125" style="3" customWidth="1"/>
    <col min="5638" max="5638" width="12.7109375" style="3" customWidth="1"/>
    <col min="5639" max="5639" width="14" style="3" customWidth="1"/>
    <col min="5640" max="5640" width="7.42578125" style="3" customWidth="1"/>
    <col min="5641" max="5888" width="11.42578125" style="3"/>
    <col min="5889" max="5889" width="15.85546875" style="3" customWidth="1"/>
    <col min="5890" max="5890" width="14.85546875" style="3" customWidth="1"/>
    <col min="5891" max="5891" width="13.28515625" style="3" customWidth="1"/>
    <col min="5892" max="5892" width="11.42578125" style="3"/>
    <col min="5893" max="5893" width="13.42578125" style="3" customWidth="1"/>
    <col min="5894" max="5894" width="12.7109375" style="3" customWidth="1"/>
    <col min="5895" max="5895" width="14" style="3" customWidth="1"/>
    <col min="5896" max="5896" width="7.42578125" style="3" customWidth="1"/>
    <col min="5897" max="6144" width="11.42578125" style="3"/>
    <col min="6145" max="6145" width="15.85546875" style="3" customWidth="1"/>
    <col min="6146" max="6146" width="14.85546875" style="3" customWidth="1"/>
    <col min="6147" max="6147" width="13.28515625" style="3" customWidth="1"/>
    <col min="6148" max="6148" width="11.42578125" style="3"/>
    <col min="6149" max="6149" width="13.42578125" style="3" customWidth="1"/>
    <col min="6150" max="6150" width="12.7109375" style="3" customWidth="1"/>
    <col min="6151" max="6151" width="14" style="3" customWidth="1"/>
    <col min="6152" max="6152" width="7.42578125" style="3" customWidth="1"/>
    <col min="6153" max="6400" width="11.42578125" style="3"/>
    <col min="6401" max="6401" width="15.85546875" style="3" customWidth="1"/>
    <col min="6402" max="6402" width="14.85546875" style="3" customWidth="1"/>
    <col min="6403" max="6403" width="13.28515625" style="3" customWidth="1"/>
    <col min="6404" max="6404" width="11.42578125" style="3"/>
    <col min="6405" max="6405" width="13.42578125" style="3" customWidth="1"/>
    <col min="6406" max="6406" width="12.7109375" style="3" customWidth="1"/>
    <col min="6407" max="6407" width="14" style="3" customWidth="1"/>
    <col min="6408" max="6408" width="7.42578125" style="3" customWidth="1"/>
    <col min="6409" max="6656" width="11.42578125" style="3"/>
    <col min="6657" max="6657" width="15.85546875" style="3" customWidth="1"/>
    <col min="6658" max="6658" width="14.85546875" style="3" customWidth="1"/>
    <col min="6659" max="6659" width="13.28515625" style="3" customWidth="1"/>
    <col min="6660" max="6660" width="11.42578125" style="3"/>
    <col min="6661" max="6661" width="13.42578125" style="3" customWidth="1"/>
    <col min="6662" max="6662" width="12.7109375" style="3" customWidth="1"/>
    <col min="6663" max="6663" width="14" style="3" customWidth="1"/>
    <col min="6664" max="6664" width="7.42578125" style="3" customWidth="1"/>
    <col min="6665" max="6912" width="11.42578125" style="3"/>
    <col min="6913" max="6913" width="15.85546875" style="3" customWidth="1"/>
    <col min="6914" max="6914" width="14.85546875" style="3" customWidth="1"/>
    <col min="6915" max="6915" width="13.28515625" style="3" customWidth="1"/>
    <col min="6916" max="6916" width="11.42578125" style="3"/>
    <col min="6917" max="6917" width="13.42578125" style="3" customWidth="1"/>
    <col min="6918" max="6918" width="12.7109375" style="3" customWidth="1"/>
    <col min="6919" max="6919" width="14" style="3" customWidth="1"/>
    <col min="6920" max="6920" width="7.42578125" style="3" customWidth="1"/>
    <col min="6921" max="7168" width="11.42578125" style="3"/>
    <col min="7169" max="7169" width="15.85546875" style="3" customWidth="1"/>
    <col min="7170" max="7170" width="14.85546875" style="3" customWidth="1"/>
    <col min="7171" max="7171" width="13.28515625" style="3" customWidth="1"/>
    <col min="7172" max="7172" width="11.42578125" style="3"/>
    <col min="7173" max="7173" width="13.42578125" style="3" customWidth="1"/>
    <col min="7174" max="7174" width="12.7109375" style="3" customWidth="1"/>
    <col min="7175" max="7175" width="14" style="3" customWidth="1"/>
    <col min="7176" max="7176" width="7.42578125" style="3" customWidth="1"/>
    <col min="7177" max="7424" width="11.42578125" style="3"/>
    <col min="7425" max="7425" width="15.85546875" style="3" customWidth="1"/>
    <col min="7426" max="7426" width="14.85546875" style="3" customWidth="1"/>
    <col min="7427" max="7427" width="13.28515625" style="3" customWidth="1"/>
    <col min="7428" max="7428" width="11.42578125" style="3"/>
    <col min="7429" max="7429" width="13.42578125" style="3" customWidth="1"/>
    <col min="7430" max="7430" width="12.7109375" style="3" customWidth="1"/>
    <col min="7431" max="7431" width="14" style="3" customWidth="1"/>
    <col min="7432" max="7432" width="7.42578125" style="3" customWidth="1"/>
    <col min="7433" max="7680" width="11.42578125" style="3"/>
    <col min="7681" max="7681" width="15.85546875" style="3" customWidth="1"/>
    <col min="7682" max="7682" width="14.85546875" style="3" customWidth="1"/>
    <col min="7683" max="7683" width="13.28515625" style="3" customWidth="1"/>
    <col min="7684" max="7684" width="11.42578125" style="3"/>
    <col min="7685" max="7685" width="13.42578125" style="3" customWidth="1"/>
    <col min="7686" max="7686" width="12.7109375" style="3" customWidth="1"/>
    <col min="7687" max="7687" width="14" style="3" customWidth="1"/>
    <col min="7688" max="7688" width="7.42578125" style="3" customWidth="1"/>
    <col min="7689" max="7936" width="11.42578125" style="3"/>
    <col min="7937" max="7937" width="15.85546875" style="3" customWidth="1"/>
    <col min="7938" max="7938" width="14.85546875" style="3" customWidth="1"/>
    <col min="7939" max="7939" width="13.28515625" style="3" customWidth="1"/>
    <col min="7940" max="7940" width="11.42578125" style="3"/>
    <col min="7941" max="7941" width="13.42578125" style="3" customWidth="1"/>
    <col min="7942" max="7942" width="12.7109375" style="3" customWidth="1"/>
    <col min="7943" max="7943" width="14" style="3" customWidth="1"/>
    <col min="7944" max="7944" width="7.42578125" style="3" customWidth="1"/>
    <col min="7945" max="8192" width="11.42578125" style="3"/>
    <col min="8193" max="8193" width="15.85546875" style="3" customWidth="1"/>
    <col min="8194" max="8194" width="14.85546875" style="3" customWidth="1"/>
    <col min="8195" max="8195" width="13.28515625" style="3" customWidth="1"/>
    <col min="8196" max="8196" width="11.42578125" style="3"/>
    <col min="8197" max="8197" width="13.42578125" style="3" customWidth="1"/>
    <col min="8198" max="8198" width="12.7109375" style="3" customWidth="1"/>
    <col min="8199" max="8199" width="14" style="3" customWidth="1"/>
    <col min="8200" max="8200" width="7.42578125" style="3" customWidth="1"/>
    <col min="8201" max="8448" width="11.42578125" style="3"/>
    <col min="8449" max="8449" width="15.85546875" style="3" customWidth="1"/>
    <col min="8450" max="8450" width="14.85546875" style="3" customWidth="1"/>
    <col min="8451" max="8451" width="13.28515625" style="3" customWidth="1"/>
    <col min="8452" max="8452" width="11.42578125" style="3"/>
    <col min="8453" max="8453" width="13.42578125" style="3" customWidth="1"/>
    <col min="8454" max="8454" width="12.7109375" style="3" customWidth="1"/>
    <col min="8455" max="8455" width="14" style="3" customWidth="1"/>
    <col min="8456" max="8456" width="7.42578125" style="3" customWidth="1"/>
    <col min="8457" max="8704" width="11.42578125" style="3"/>
    <col min="8705" max="8705" width="15.85546875" style="3" customWidth="1"/>
    <col min="8706" max="8706" width="14.85546875" style="3" customWidth="1"/>
    <col min="8707" max="8707" width="13.28515625" style="3" customWidth="1"/>
    <col min="8708" max="8708" width="11.42578125" style="3"/>
    <col min="8709" max="8709" width="13.42578125" style="3" customWidth="1"/>
    <col min="8710" max="8710" width="12.7109375" style="3" customWidth="1"/>
    <col min="8711" max="8711" width="14" style="3" customWidth="1"/>
    <col min="8712" max="8712" width="7.42578125" style="3" customWidth="1"/>
    <col min="8713" max="8960" width="11.42578125" style="3"/>
    <col min="8961" max="8961" width="15.85546875" style="3" customWidth="1"/>
    <col min="8962" max="8962" width="14.85546875" style="3" customWidth="1"/>
    <col min="8963" max="8963" width="13.28515625" style="3" customWidth="1"/>
    <col min="8964" max="8964" width="11.42578125" style="3"/>
    <col min="8965" max="8965" width="13.42578125" style="3" customWidth="1"/>
    <col min="8966" max="8966" width="12.7109375" style="3" customWidth="1"/>
    <col min="8967" max="8967" width="14" style="3" customWidth="1"/>
    <col min="8968" max="8968" width="7.42578125" style="3" customWidth="1"/>
    <col min="8969" max="9216" width="11.42578125" style="3"/>
    <col min="9217" max="9217" width="15.85546875" style="3" customWidth="1"/>
    <col min="9218" max="9218" width="14.85546875" style="3" customWidth="1"/>
    <col min="9219" max="9219" width="13.28515625" style="3" customWidth="1"/>
    <col min="9220" max="9220" width="11.42578125" style="3"/>
    <col min="9221" max="9221" width="13.42578125" style="3" customWidth="1"/>
    <col min="9222" max="9222" width="12.7109375" style="3" customWidth="1"/>
    <col min="9223" max="9223" width="14" style="3" customWidth="1"/>
    <col min="9224" max="9224" width="7.42578125" style="3" customWidth="1"/>
    <col min="9225" max="9472" width="11.42578125" style="3"/>
    <col min="9473" max="9473" width="15.85546875" style="3" customWidth="1"/>
    <col min="9474" max="9474" width="14.85546875" style="3" customWidth="1"/>
    <col min="9475" max="9475" width="13.28515625" style="3" customWidth="1"/>
    <col min="9476" max="9476" width="11.42578125" style="3"/>
    <col min="9477" max="9477" width="13.42578125" style="3" customWidth="1"/>
    <col min="9478" max="9478" width="12.7109375" style="3" customWidth="1"/>
    <col min="9479" max="9479" width="14" style="3" customWidth="1"/>
    <col min="9480" max="9480" width="7.42578125" style="3" customWidth="1"/>
    <col min="9481" max="9728" width="11.42578125" style="3"/>
    <col min="9729" max="9729" width="15.85546875" style="3" customWidth="1"/>
    <col min="9730" max="9730" width="14.85546875" style="3" customWidth="1"/>
    <col min="9731" max="9731" width="13.28515625" style="3" customWidth="1"/>
    <col min="9732" max="9732" width="11.42578125" style="3"/>
    <col min="9733" max="9733" width="13.42578125" style="3" customWidth="1"/>
    <col min="9734" max="9734" width="12.7109375" style="3" customWidth="1"/>
    <col min="9735" max="9735" width="14" style="3" customWidth="1"/>
    <col min="9736" max="9736" width="7.42578125" style="3" customWidth="1"/>
    <col min="9737" max="9984" width="11.42578125" style="3"/>
    <col min="9985" max="9985" width="15.85546875" style="3" customWidth="1"/>
    <col min="9986" max="9986" width="14.85546875" style="3" customWidth="1"/>
    <col min="9987" max="9987" width="13.28515625" style="3" customWidth="1"/>
    <col min="9988" max="9988" width="11.42578125" style="3"/>
    <col min="9989" max="9989" width="13.42578125" style="3" customWidth="1"/>
    <col min="9990" max="9990" width="12.7109375" style="3" customWidth="1"/>
    <col min="9991" max="9991" width="14" style="3" customWidth="1"/>
    <col min="9992" max="9992" width="7.42578125" style="3" customWidth="1"/>
    <col min="9993" max="10240" width="11.42578125" style="3"/>
    <col min="10241" max="10241" width="15.85546875" style="3" customWidth="1"/>
    <col min="10242" max="10242" width="14.85546875" style="3" customWidth="1"/>
    <col min="10243" max="10243" width="13.28515625" style="3" customWidth="1"/>
    <col min="10244" max="10244" width="11.42578125" style="3"/>
    <col min="10245" max="10245" width="13.42578125" style="3" customWidth="1"/>
    <col min="10246" max="10246" width="12.7109375" style="3" customWidth="1"/>
    <col min="10247" max="10247" width="14" style="3" customWidth="1"/>
    <col min="10248" max="10248" width="7.42578125" style="3" customWidth="1"/>
    <col min="10249" max="10496" width="11.42578125" style="3"/>
    <col min="10497" max="10497" width="15.85546875" style="3" customWidth="1"/>
    <col min="10498" max="10498" width="14.85546875" style="3" customWidth="1"/>
    <col min="10499" max="10499" width="13.28515625" style="3" customWidth="1"/>
    <col min="10500" max="10500" width="11.42578125" style="3"/>
    <col min="10501" max="10501" width="13.42578125" style="3" customWidth="1"/>
    <col min="10502" max="10502" width="12.7109375" style="3" customWidth="1"/>
    <col min="10503" max="10503" width="14" style="3" customWidth="1"/>
    <col min="10504" max="10504" width="7.42578125" style="3" customWidth="1"/>
    <col min="10505" max="10752" width="11.42578125" style="3"/>
    <col min="10753" max="10753" width="15.85546875" style="3" customWidth="1"/>
    <col min="10754" max="10754" width="14.85546875" style="3" customWidth="1"/>
    <col min="10755" max="10755" width="13.28515625" style="3" customWidth="1"/>
    <col min="10756" max="10756" width="11.42578125" style="3"/>
    <col min="10757" max="10757" width="13.42578125" style="3" customWidth="1"/>
    <col min="10758" max="10758" width="12.7109375" style="3" customWidth="1"/>
    <col min="10759" max="10759" width="14" style="3" customWidth="1"/>
    <col min="10760" max="10760" width="7.42578125" style="3" customWidth="1"/>
    <col min="10761" max="11008" width="11.42578125" style="3"/>
    <col min="11009" max="11009" width="15.85546875" style="3" customWidth="1"/>
    <col min="11010" max="11010" width="14.85546875" style="3" customWidth="1"/>
    <col min="11011" max="11011" width="13.28515625" style="3" customWidth="1"/>
    <col min="11012" max="11012" width="11.42578125" style="3"/>
    <col min="11013" max="11013" width="13.42578125" style="3" customWidth="1"/>
    <col min="11014" max="11014" width="12.7109375" style="3" customWidth="1"/>
    <col min="11015" max="11015" width="14" style="3" customWidth="1"/>
    <col min="11016" max="11016" width="7.42578125" style="3" customWidth="1"/>
    <col min="11017" max="11264" width="11.42578125" style="3"/>
    <col min="11265" max="11265" width="15.85546875" style="3" customWidth="1"/>
    <col min="11266" max="11266" width="14.85546875" style="3" customWidth="1"/>
    <col min="11267" max="11267" width="13.28515625" style="3" customWidth="1"/>
    <col min="11268" max="11268" width="11.42578125" style="3"/>
    <col min="11269" max="11269" width="13.42578125" style="3" customWidth="1"/>
    <col min="11270" max="11270" width="12.7109375" style="3" customWidth="1"/>
    <col min="11271" max="11271" width="14" style="3" customWidth="1"/>
    <col min="11272" max="11272" width="7.42578125" style="3" customWidth="1"/>
    <col min="11273" max="11520" width="11.42578125" style="3"/>
    <col min="11521" max="11521" width="15.85546875" style="3" customWidth="1"/>
    <col min="11522" max="11522" width="14.85546875" style="3" customWidth="1"/>
    <col min="11523" max="11523" width="13.28515625" style="3" customWidth="1"/>
    <col min="11524" max="11524" width="11.42578125" style="3"/>
    <col min="11525" max="11525" width="13.42578125" style="3" customWidth="1"/>
    <col min="11526" max="11526" width="12.7109375" style="3" customWidth="1"/>
    <col min="11527" max="11527" width="14" style="3" customWidth="1"/>
    <col min="11528" max="11528" width="7.42578125" style="3" customWidth="1"/>
    <col min="11529" max="11776" width="11.42578125" style="3"/>
    <col min="11777" max="11777" width="15.85546875" style="3" customWidth="1"/>
    <col min="11778" max="11778" width="14.85546875" style="3" customWidth="1"/>
    <col min="11779" max="11779" width="13.28515625" style="3" customWidth="1"/>
    <col min="11780" max="11780" width="11.42578125" style="3"/>
    <col min="11781" max="11781" width="13.42578125" style="3" customWidth="1"/>
    <col min="11782" max="11782" width="12.7109375" style="3" customWidth="1"/>
    <col min="11783" max="11783" width="14" style="3" customWidth="1"/>
    <col min="11784" max="11784" width="7.42578125" style="3" customWidth="1"/>
    <col min="11785" max="12032" width="11.42578125" style="3"/>
    <col min="12033" max="12033" width="15.85546875" style="3" customWidth="1"/>
    <col min="12034" max="12034" width="14.85546875" style="3" customWidth="1"/>
    <col min="12035" max="12035" width="13.28515625" style="3" customWidth="1"/>
    <col min="12036" max="12036" width="11.42578125" style="3"/>
    <col min="12037" max="12037" width="13.42578125" style="3" customWidth="1"/>
    <col min="12038" max="12038" width="12.7109375" style="3" customWidth="1"/>
    <col min="12039" max="12039" width="14" style="3" customWidth="1"/>
    <col min="12040" max="12040" width="7.42578125" style="3" customWidth="1"/>
    <col min="12041" max="12288" width="11.42578125" style="3"/>
    <col min="12289" max="12289" width="15.85546875" style="3" customWidth="1"/>
    <col min="12290" max="12290" width="14.85546875" style="3" customWidth="1"/>
    <col min="12291" max="12291" width="13.28515625" style="3" customWidth="1"/>
    <col min="12292" max="12292" width="11.42578125" style="3"/>
    <col min="12293" max="12293" width="13.42578125" style="3" customWidth="1"/>
    <col min="12294" max="12294" width="12.7109375" style="3" customWidth="1"/>
    <col min="12295" max="12295" width="14" style="3" customWidth="1"/>
    <col min="12296" max="12296" width="7.42578125" style="3" customWidth="1"/>
    <col min="12297" max="12544" width="11.42578125" style="3"/>
    <col min="12545" max="12545" width="15.85546875" style="3" customWidth="1"/>
    <col min="12546" max="12546" width="14.85546875" style="3" customWidth="1"/>
    <col min="12547" max="12547" width="13.28515625" style="3" customWidth="1"/>
    <col min="12548" max="12548" width="11.42578125" style="3"/>
    <col min="12549" max="12549" width="13.42578125" style="3" customWidth="1"/>
    <col min="12550" max="12550" width="12.7109375" style="3" customWidth="1"/>
    <col min="12551" max="12551" width="14" style="3" customWidth="1"/>
    <col min="12552" max="12552" width="7.42578125" style="3" customWidth="1"/>
    <col min="12553" max="12800" width="11.42578125" style="3"/>
    <col min="12801" max="12801" width="15.85546875" style="3" customWidth="1"/>
    <col min="12802" max="12802" width="14.85546875" style="3" customWidth="1"/>
    <col min="12803" max="12803" width="13.28515625" style="3" customWidth="1"/>
    <col min="12804" max="12804" width="11.42578125" style="3"/>
    <col min="12805" max="12805" width="13.42578125" style="3" customWidth="1"/>
    <col min="12806" max="12806" width="12.7109375" style="3" customWidth="1"/>
    <col min="12807" max="12807" width="14" style="3" customWidth="1"/>
    <col min="12808" max="12808" width="7.42578125" style="3" customWidth="1"/>
    <col min="12809" max="13056" width="11.42578125" style="3"/>
    <col min="13057" max="13057" width="15.85546875" style="3" customWidth="1"/>
    <col min="13058" max="13058" width="14.85546875" style="3" customWidth="1"/>
    <col min="13059" max="13059" width="13.28515625" style="3" customWidth="1"/>
    <col min="13060" max="13060" width="11.42578125" style="3"/>
    <col min="13061" max="13061" width="13.42578125" style="3" customWidth="1"/>
    <col min="13062" max="13062" width="12.7109375" style="3" customWidth="1"/>
    <col min="13063" max="13063" width="14" style="3" customWidth="1"/>
    <col min="13064" max="13064" width="7.42578125" style="3" customWidth="1"/>
    <col min="13065" max="13312" width="11.42578125" style="3"/>
    <col min="13313" max="13313" width="15.85546875" style="3" customWidth="1"/>
    <col min="13314" max="13314" width="14.85546875" style="3" customWidth="1"/>
    <col min="13315" max="13315" width="13.28515625" style="3" customWidth="1"/>
    <col min="13316" max="13316" width="11.42578125" style="3"/>
    <col min="13317" max="13317" width="13.42578125" style="3" customWidth="1"/>
    <col min="13318" max="13318" width="12.7109375" style="3" customWidth="1"/>
    <col min="13319" max="13319" width="14" style="3" customWidth="1"/>
    <col min="13320" max="13320" width="7.42578125" style="3" customWidth="1"/>
    <col min="13321" max="13568" width="11.42578125" style="3"/>
    <col min="13569" max="13569" width="15.85546875" style="3" customWidth="1"/>
    <col min="13570" max="13570" width="14.85546875" style="3" customWidth="1"/>
    <col min="13571" max="13571" width="13.28515625" style="3" customWidth="1"/>
    <col min="13572" max="13572" width="11.42578125" style="3"/>
    <col min="13573" max="13573" width="13.42578125" style="3" customWidth="1"/>
    <col min="13574" max="13574" width="12.7109375" style="3" customWidth="1"/>
    <col min="13575" max="13575" width="14" style="3" customWidth="1"/>
    <col min="13576" max="13576" width="7.42578125" style="3" customWidth="1"/>
    <col min="13577" max="13824" width="11.42578125" style="3"/>
    <col min="13825" max="13825" width="15.85546875" style="3" customWidth="1"/>
    <col min="13826" max="13826" width="14.85546875" style="3" customWidth="1"/>
    <col min="13827" max="13827" width="13.28515625" style="3" customWidth="1"/>
    <col min="13828" max="13828" width="11.42578125" style="3"/>
    <col min="13829" max="13829" width="13.42578125" style="3" customWidth="1"/>
    <col min="13830" max="13830" width="12.7109375" style="3" customWidth="1"/>
    <col min="13831" max="13831" width="14" style="3" customWidth="1"/>
    <col min="13832" max="13832" width="7.42578125" style="3" customWidth="1"/>
    <col min="13833" max="14080" width="11.42578125" style="3"/>
    <col min="14081" max="14081" width="15.85546875" style="3" customWidth="1"/>
    <col min="14082" max="14082" width="14.85546875" style="3" customWidth="1"/>
    <col min="14083" max="14083" width="13.28515625" style="3" customWidth="1"/>
    <col min="14084" max="14084" width="11.42578125" style="3"/>
    <col min="14085" max="14085" width="13.42578125" style="3" customWidth="1"/>
    <col min="14086" max="14086" width="12.7109375" style="3" customWidth="1"/>
    <col min="14087" max="14087" width="14" style="3" customWidth="1"/>
    <col min="14088" max="14088" width="7.42578125" style="3" customWidth="1"/>
    <col min="14089" max="14336" width="11.42578125" style="3"/>
    <col min="14337" max="14337" width="15.85546875" style="3" customWidth="1"/>
    <col min="14338" max="14338" width="14.85546875" style="3" customWidth="1"/>
    <col min="14339" max="14339" width="13.28515625" style="3" customWidth="1"/>
    <col min="14340" max="14340" width="11.42578125" style="3"/>
    <col min="14341" max="14341" width="13.42578125" style="3" customWidth="1"/>
    <col min="14342" max="14342" width="12.7109375" style="3" customWidth="1"/>
    <col min="14343" max="14343" width="14" style="3" customWidth="1"/>
    <col min="14344" max="14344" width="7.42578125" style="3" customWidth="1"/>
    <col min="14345" max="14592" width="11.42578125" style="3"/>
    <col min="14593" max="14593" width="15.85546875" style="3" customWidth="1"/>
    <col min="14594" max="14594" width="14.85546875" style="3" customWidth="1"/>
    <col min="14595" max="14595" width="13.28515625" style="3" customWidth="1"/>
    <col min="14596" max="14596" width="11.42578125" style="3"/>
    <col min="14597" max="14597" width="13.42578125" style="3" customWidth="1"/>
    <col min="14598" max="14598" width="12.7109375" style="3" customWidth="1"/>
    <col min="14599" max="14599" width="14" style="3" customWidth="1"/>
    <col min="14600" max="14600" width="7.42578125" style="3" customWidth="1"/>
    <col min="14601" max="14848" width="11.42578125" style="3"/>
    <col min="14849" max="14849" width="15.85546875" style="3" customWidth="1"/>
    <col min="14850" max="14850" width="14.85546875" style="3" customWidth="1"/>
    <col min="14851" max="14851" width="13.28515625" style="3" customWidth="1"/>
    <col min="14852" max="14852" width="11.42578125" style="3"/>
    <col min="14853" max="14853" width="13.42578125" style="3" customWidth="1"/>
    <col min="14854" max="14854" width="12.7109375" style="3" customWidth="1"/>
    <col min="14855" max="14855" width="14" style="3" customWidth="1"/>
    <col min="14856" max="14856" width="7.42578125" style="3" customWidth="1"/>
    <col min="14857" max="15104" width="11.42578125" style="3"/>
    <col min="15105" max="15105" width="15.85546875" style="3" customWidth="1"/>
    <col min="15106" max="15106" width="14.85546875" style="3" customWidth="1"/>
    <col min="15107" max="15107" width="13.28515625" style="3" customWidth="1"/>
    <col min="15108" max="15108" width="11.42578125" style="3"/>
    <col min="15109" max="15109" width="13.42578125" style="3" customWidth="1"/>
    <col min="15110" max="15110" width="12.7109375" style="3" customWidth="1"/>
    <col min="15111" max="15111" width="14" style="3" customWidth="1"/>
    <col min="15112" max="15112" width="7.42578125" style="3" customWidth="1"/>
    <col min="15113" max="15360" width="11.42578125" style="3"/>
    <col min="15361" max="15361" width="15.85546875" style="3" customWidth="1"/>
    <col min="15362" max="15362" width="14.85546875" style="3" customWidth="1"/>
    <col min="15363" max="15363" width="13.28515625" style="3" customWidth="1"/>
    <col min="15364" max="15364" width="11.42578125" style="3"/>
    <col min="15365" max="15365" width="13.42578125" style="3" customWidth="1"/>
    <col min="15366" max="15366" width="12.7109375" style="3" customWidth="1"/>
    <col min="15367" max="15367" width="14" style="3" customWidth="1"/>
    <col min="15368" max="15368" width="7.42578125" style="3" customWidth="1"/>
    <col min="15369" max="15616" width="11.42578125" style="3"/>
    <col min="15617" max="15617" width="15.85546875" style="3" customWidth="1"/>
    <col min="15618" max="15618" width="14.85546875" style="3" customWidth="1"/>
    <col min="15619" max="15619" width="13.28515625" style="3" customWidth="1"/>
    <col min="15620" max="15620" width="11.42578125" style="3"/>
    <col min="15621" max="15621" width="13.42578125" style="3" customWidth="1"/>
    <col min="15622" max="15622" width="12.7109375" style="3" customWidth="1"/>
    <col min="15623" max="15623" width="14" style="3" customWidth="1"/>
    <col min="15624" max="15624" width="7.42578125" style="3" customWidth="1"/>
    <col min="15625" max="15872" width="11.42578125" style="3"/>
    <col min="15873" max="15873" width="15.85546875" style="3" customWidth="1"/>
    <col min="15874" max="15874" width="14.85546875" style="3" customWidth="1"/>
    <col min="15875" max="15875" width="13.28515625" style="3" customWidth="1"/>
    <col min="15876" max="15876" width="11.42578125" style="3"/>
    <col min="15877" max="15877" width="13.42578125" style="3" customWidth="1"/>
    <col min="15878" max="15878" width="12.7109375" style="3" customWidth="1"/>
    <col min="15879" max="15879" width="14" style="3" customWidth="1"/>
    <col min="15880" max="15880" width="7.42578125" style="3" customWidth="1"/>
    <col min="15881" max="16128" width="11.42578125" style="3"/>
    <col min="16129" max="16129" width="15.85546875" style="3" customWidth="1"/>
    <col min="16130" max="16130" width="14.85546875" style="3" customWidth="1"/>
    <col min="16131" max="16131" width="13.28515625" style="3" customWidth="1"/>
    <col min="16132" max="16132" width="11.42578125" style="3"/>
    <col min="16133" max="16133" width="13.42578125" style="3" customWidth="1"/>
    <col min="16134" max="16134" width="12.7109375" style="3" customWidth="1"/>
    <col min="16135" max="16135" width="14" style="3" customWidth="1"/>
    <col min="16136" max="16136" width="7.42578125" style="3" customWidth="1"/>
    <col min="16137" max="16384" width="11.42578125" style="3"/>
  </cols>
  <sheetData>
    <row r="1" spans="1:21" ht="20.25">
      <c r="A1" s="1346" t="str">
        <f>PPTO!D3</f>
        <v>PRESUPUESTO
MUNICIPIO EL BAGRE (ANTIOQUIA).</v>
      </c>
      <c r="B1" s="1347"/>
      <c r="C1" s="1347"/>
      <c r="D1" s="1347"/>
      <c r="E1" s="1347"/>
      <c r="F1" s="1347"/>
      <c r="G1" s="1348"/>
      <c r="H1" s="1"/>
      <c r="I1" s="2"/>
    </row>
    <row r="2" spans="1:21" ht="18" customHeight="1">
      <c r="A2" s="1362" t="s">
        <v>16</v>
      </c>
      <c r="B2" s="1363"/>
      <c r="C2" s="1363"/>
      <c r="D2" s="1363"/>
      <c r="E2" s="1363"/>
      <c r="F2" s="1363"/>
      <c r="G2" s="1364"/>
      <c r="H2" s="1"/>
      <c r="I2" s="2"/>
    </row>
    <row r="3" spans="1:21" ht="27" customHeight="1">
      <c r="A3" s="1367" t="str">
        <f>+PPTO!$D$5</f>
        <v>PROYECTO DE MEJORAMIENTO VIAL, ESPACIO PUBLICO Y OBRAS COMPLEMENTARIAS DE LA AVENIDA LA JUVENTUD Y TRAMOS ADYACENTES Y PRIORITARIOS DEL SECTOR URBANO EN EL MUNICIPIO EL BAGRE ANTIOQUIA.</v>
      </c>
      <c r="B3" s="1368"/>
      <c r="C3" s="1368"/>
      <c r="D3" s="1368"/>
      <c r="E3" s="1368"/>
      <c r="F3" s="1368"/>
      <c r="G3" s="1369"/>
      <c r="H3" s="1"/>
      <c r="I3" s="2"/>
    </row>
    <row r="4" spans="1:21" ht="12.75" customHeight="1">
      <c r="A4" s="1370"/>
      <c r="B4" s="1368"/>
      <c r="C4" s="1368"/>
      <c r="D4" s="1368"/>
      <c r="E4" s="1368"/>
      <c r="F4" s="1368"/>
      <c r="G4" s="1369"/>
      <c r="H4" s="1"/>
      <c r="I4" s="2"/>
    </row>
    <row r="5" spans="1:21" ht="6.75" customHeight="1">
      <c r="A5" s="222"/>
      <c r="B5" s="6"/>
      <c r="C5" s="24"/>
      <c r="D5" s="25"/>
      <c r="E5" s="6"/>
      <c r="F5" s="6"/>
      <c r="G5" s="223"/>
      <c r="H5" s="9"/>
    </row>
    <row r="6" spans="1:21" ht="28.5" customHeight="1">
      <c r="A6" s="368">
        <v>6.53</v>
      </c>
      <c r="B6" s="1349" t="str">
        <f>VLOOKUP(A6,PPTO!D9:I136,2,FALSE)</f>
        <v>KIT SILLA YEE Ø10" x Ø6" (INCLUYE HIDROSELLOS Y LUBRICANTES)</v>
      </c>
      <c r="C6" s="1350"/>
      <c r="D6" s="1350"/>
      <c r="E6" s="1351"/>
      <c r="F6" s="192" t="s">
        <v>118</v>
      </c>
      <c r="G6" s="248" t="str">
        <f>VLOOKUP(A6,PPTO!D9:I136,3,FALSE)</f>
        <v>m</v>
      </c>
      <c r="H6" s="9"/>
    </row>
    <row r="7" spans="1:21" ht="3.75" customHeight="1">
      <c r="A7" s="226"/>
      <c r="B7" s="4"/>
      <c r="C7" s="6"/>
      <c r="D7" s="4"/>
      <c r="E7" s="4"/>
      <c r="F7" s="4"/>
      <c r="G7" s="227"/>
      <c r="H7" s="9"/>
    </row>
    <row r="8" spans="1:21" ht="22.5" customHeight="1">
      <c r="A8" s="1354" t="s">
        <v>69</v>
      </c>
      <c r="B8" s="1355"/>
      <c r="C8" s="1355"/>
      <c r="D8" s="1355"/>
      <c r="E8" s="1355"/>
      <c r="F8" s="1355"/>
      <c r="G8" s="1356"/>
      <c r="H8" s="9"/>
    </row>
    <row r="9" spans="1:21" ht="4.5" customHeight="1">
      <c r="A9" s="226"/>
      <c r="B9" s="4"/>
      <c r="C9" s="6"/>
      <c r="D9" s="4"/>
      <c r="E9" s="4"/>
      <c r="F9" s="4"/>
      <c r="G9" s="227"/>
      <c r="H9" s="9"/>
      <c r="I9" s="5"/>
      <c r="J9" s="5"/>
      <c r="K9" s="5"/>
      <c r="L9" s="26"/>
      <c r="M9" s="5"/>
      <c r="N9" s="5"/>
      <c r="O9" s="5"/>
      <c r="P9" s="5"/>
    </row>
    <row r="10" spans="1:21">
      <c r="A10" s="1373" t="s">
        <v>17</v>
      </c>
      <c r="B10" s="1374"/>
      <c r="C10" s="1374"/>
      <c r="D10" s="353" t="s">
        <v>18</v>
      </c>
      <c r="E10" s="353" t="s">
        <v>19</v>
      </c>
      <c r="F10" s="353" t="s">
        <v>20</v>
      </c>
      <c r="G10" s="228" t="s">
        <v>21</v>
      </c>
      <c r="H10" s="27"/>
      <c r="I10" s="28"/>
      <c r="J10" s="29"/>
      <c r="K10" s="30"/>
      <c r="L10" s="30"/>
      <c r="M10" s="30"/>
      <c r="N10" s="30"/>
      <c r="O10" s="30"/>
      <c r="P10" s="5"/>
    </row>
    <row r="11" spans="1:21">
      <c r="A11" s="1352" t="s">
        <v>47</v>
      </c>
      <c r="B11" s="1353"/>
      <c r="C11" s="1353"/>
      <c r="D11" s="353"/>
      <c r="E11" s="83"/>
      <c r="F11" s="97"/>
      <c r="G11" s="229">
        <f>+G39*10%</f>
        <v>3054</v>
      </c>
      <c r="H11" s="9"/>
      <c r="I11" s="30"/>
      <c r="J11" s="31"/>
      <c r="K11" s="30"/>
      <c r="L11" s="30"/>
      <c r="M11" s="30"/>
      <c r="N11" s="30"/>
      <c r="O11" s="30"/>
      <c r="P11" s="5"/>
    </row>
    <row r="12" spans="1:21">
      <c r="A12" s="1371"/>
      <c r="B12" s="1372"/>
      <c r="C12" s="1372"/>
      <c r="D12" s="83"/>
      <c r="E12" s="83"/>
      <c r="F12" s="93"/>
      <c r="G12" s="229"/>
      <c r="H12" s="9"/>
      <c r="I12" s="16"/>
      <c r="J12" s="13"/>
      <c r="K12" s="8"/>
      <c r="L12" s="8"/>
      <c r="M12" s="8"/>
      <c r="N12" s="8"/>
      <c r="O12" s="8"/>
      <c r="P12" s="5"/>
    </row>
    <row r="13" spans="1:21">
      <c r="A13" s="1371"/>
      <c r="B13" s="1372"/>
      <c r="C13" s="1372"/>
      <c r="D13" s="83"/>
      <c r="E13" s="83"/>
      <c r="F13" s="93"/>
      <c r="G13" s="229"/>
      <c r="H13" s="9"/>
      <c r="I13" s="13"/>
      <c r="J13" s="13"/>
      <c r="K13" s="13"/>
      <c r="L13" s="13"/>
      <c r="M13" s="13"/>
      <c r="N13" s="13"/>
      <c r="O13" s="13"/>
      <c r="P13" s="5"/>
    </row>
    <row r="14" spans="1:21">
      <c r="A14" s="1371"/>
      <c r="B14" s="1372"/>
      <c r="C14" s="1372"/>
      <c r="D14" s="83"/>
      <c r="E14" s="83"/>
      <c r="F14" s="93"/>
      <c r="G14" s="229"/>
      <c r="H14" s="9"/>
      <c r="I14" s="8"/>
      <c r="J14" s="14"/>
      <c r="K14" s="32"/>
      <c r="L14" s="14"/>
      <c r="M14" s="15"/>
      <c r="N14" s="15"/>
      <c r="O14" s="19"/>
      <c r="P14" s="5"/>
    </row>
    <row r="15" spans="1:21">
      <c r="A15" s="1371"/>
      <c r="B15" s="1372"/>
      <c r="C15" s="1372"/>
      <c r="D15" s="83"/>
      <c r="E15" s="83"/>
      <c r="F15" s="98"/>
      <c r="G15" s="229"/>
      <c r="H15" s="9"/>
      <c r="I15" s="8"/>
      <c r="J15" s="33"/>
      <c r="K15" s="32"/>
      <c r="L15" s="14"/>
      <c r="M15" s="15"/>
      <c r="N15" s="15"/>
      <c r="O15" s="19"/>
      <c r="P15" s="5"/>
      <c r="Q15" s="5"/>
      <c r="R15" s="5"/>
      <c r="S15" s="5"/>
      <c r="T15" s="5"/>
      <c r="U15" s="5"/>
    </row>
    <row r="16" spans="1:21">
      <c r="A16" s="1371"/>
      <c r="B16" s="1372"/>
      <c r="C16" s="1372"/>
      <c r="D16" s="85" t="s">
        <v>37</v>
      </c>
      <c r="E16" s="50"/>
      <c r="F16" s="49"/>
      <c r="G16" s="230">
        <f>SUM(G11:G15)</f>
        <v>3054</v>
      </c>
      <c r="H16" s="9"/>
      <c r="I16" s="34"/>
      <c r="J16" s="34"/>
      <c r="K16" s="35"/>
      <c r="L16" s="36"/>
      <c r="M16" s="7"/>
      <c r="N16" s="7"/>
      <c r="O16" s="19"/>
      <c r="P16" s="5"/>
      <c r="Q16" s="5"/>
      <c r="R16" s="5"/>
      <c r="S16" s="5"/>
      <c r="T16" s="5"/>
      <c r="U16" s="5"/>
    </row>
    <row r="17" spans="1:21" ht="4.5" customHeight="1">
      <c r="A17" s="226"/>
      <c r="B17" s="4"/>
      <c r="C17" s="6"/>
      <c r="D17" s="4"/>
      <c r="E17" s="4"/>
      <c r="F17" s="4"/>
      <c r="G17" s="227"/>
      <c r="H17" s="9"/>
      <c r="I17" s="34"/>
      <c r="J17" s="34"/>
      <c r="K17" s="35"/>
      <c r="L17" s="36"/>
      <c r="M17" s="7"/>
      <c r="N17" s="7"/>
      <c r="O17" s="19"/>
      <c r="P17" s="5"/>
      <c r="Q17" s="5"/>
      <c r="R17" s="5"/>
      <c r="S17" s="5"/>
      <c r="T17" s="5"/>
      <c r="U17" s="5"/>
    </row>
    <row r="18" spans="1:21" ht="22.5" customHeight="1">
      <c r="A18" s="1354" t="s">
        <v>70</v>
      </c>
      <c r="B18" s="1355"/>
      <c r="C18" s="1355"/>
      <c r="D18" s="1355"/>
      <c r="E18" s="1355"/>
      <c r="F18" s="1355"/>
      <c r="G18" s="1356"/>
      <c r="H18" s="9"/>
    </row>
    <row r="19" spans="1:21" ht="4.5" customHeight="1">
      <c r="A19" s="226"/>
      <c r="B19" s="4"/>
      <c r="C19" s="6"/>
      <c r="D19" s="4"/>
      <c r="E19" s="4"/>
      <c r="F19" s="38"/>
      <c r="G19" s="227"/>
      <c r="H19" s="9"/>
      <c r="I19" s="34"/>
      <c r="J19" s="34"/>
      <c r="K19" s="35"/>
      <c r="L19" s="39"/>
      <c r="M19" s="7"/>
      <c r="N19" s="7"/>
      <c r="O19" s="8"/>
      <c r="P19" s="5"/>
      <c r="Q19" s="5"/>
      <c r="R19" s="5"/>
      <c r="S19" s="5"/>
      <c r="T19" s="5"/>
      <c r="U19" s="5"/>
    </row>
    <row r="20" spans="1:21">
      <c r="A20" s="1373" t="s">
        <v>17</v>
      </c>
      <c r="B20" s="1374"/>
      <c r="C20" s="1374"/>
      <c r="D20" s="353" t="s">
        <v>3</v>
      </c>
      <c r="E20" s="353" t="s">
        <v>4</v>
      </c>
      <c r="F20" s="353" t="s">
        <v>25</v>
      </c>
      <c r="G20" s="228" t="s">
        <v>21</v>
      </c>
      <c r="H20" s="27"/>
      <c r="I20" s="34"/>
      <c r="J20" s="34"/>
      <c r="K20" s="35"/>
      <c r="L20" s="39"/>
      <c r="M20" s="7"/>
      <c r="N20" s="7"/>
      <c r="O20" s="8"/>
      <c r="P20" s="5"/>
      <c r="Q20" s="5"/>
      <c r="R20" s="5"/>
      <c r="S20" s="5"/>
      <c r="T20" s="5"/>
      <c r="U20" s="5"/>
    </row>
    <row r="21" spans="1:21" ht="31.5" customHeight="1">
      <c r="A21" s="1441" t="str">
        <f>B6</f>
        <v>KIT SILLA YEE Ø10" x Ø6" (INCLUYE HIDROSELLOS Y LUBRICANTES)</v>
      </c>
      <c r="B21" s="1442"/>
      <c r="C21" s="1443"/>
      <c r="D21" s="118" t="s">
        <v>119</v>
      </c>
      <c r="E21" s="119">
        <v>1</v>
      </c>
      <c r="F21" s="87">
        <v>137500</v>
      </c>
      <c r="G21" s="231">
        <f>ROUND(F21*E21,0)</f>
        <v>137500</v>
      </c>
      <c r="H21" s="9"/>
      <c r="I21" s="34"/>
      <c r="J21" s="34"/>
      <c r="K21" s="35"/>
      <c r="L21" s="36"/>
      <c r="M21" s="7"/>
      <c r="N21" s="7"/>
      <c r="O21" s="19"/>
      <c r="P21" s="5"/>
      <c r="Q21" s="5"/>
      <c r="R21" s="5"/>
      <c r="S21" s="5"/>
      <c r="T21" s="5"/>
      <c r="U21" s="5"/>
    </row>
    <row r="22" spans="1:21" ht="27.75" customHeight="1">
      <c r="A22" s="1444"/>
      <c r="B22" s="1403"/>
      <c r="C22" s="1404"/>
      <c r="D22" s="116"/>
      <c r="E22" s="117"/>
      <c r="F22" s="91"/>
      <c r="G22" s="231"/>
      <c r="H22" s="9"/>
      <c r="I22" s="10"/>
      <c r="J22" s="10"/>
      <c r="K22" s="12"/>
      <c r="L22" s="39"/>
      <c r="M22" s="7"/>
      <c r="N22" s="7"/>
      <c r="O22" s="15"/>
      <c r="P22" s="5"/>
      <c r="Q22" s="5"/>
      <c r="R22" s="5"/>
      <c r="S22" s="5"/>
      <c r="T22" s="5"/>
      <c r="U22" s="5"/>
    </row>
    <row r="23" spans="1:21">
      <c r="A23" s="1386" t="s">
        <v>131</v>
      </c>
      <c r="B23" s="1353"/>
      <c r="C23" s="1353"/>
      <c r="D23" s="79"/>
      <c r="E23" s="82">
        <v>1</v>
      </c>
      <c r="F23" s="83">
        <v>5000</v>
      </c>
      <c r="G23" s="67">
        <f>+F23*E23</f>
        <v>5000</v>
      </c>
      <c r="H23" s="9"/>
      <c r="I23" s="10"/>
      <c r="J23" s="10"/>
      <c r="K23" s="12"/>
      <c r="L23" s="39"/>
      <c r="M23" s="7"/>
      <c r="N23" s="7"/>
      <c r="O23" s="15"/>
      <c r="P23" s="5"/>
      <c r="Q23" s="5"/>
      <c r="R23" s="5"/>
      <c r="S23" s="5"/>
      <c r="T23" s="5"/>
      <c r="U23" s="5"/>
    </row>
    <row r="24" spans="1:21">
      <c r="A24" s="1352"/>
      <c r="B24" s="1353"/>
      <c r="C24" s="1353"/>
      <c r="D24" s="81"/>
      <c r="E24" s="88"/>
      <c r="F24" s="78"/>
      <c r="G24" s="231"/>
      <c r="H24" s="9"/>
      <c r="I24" s="10"/>
      <c r="J24" s="40"/>
      <c r="K24" s="12"/>
      <c r="L24" s="13"/>
      <c r="M24" s="14"/>
      <c r="N24" s="14"/>
      <c r="O24" s="15"/>
      <c r="P24" s="5"/>
      <c r="Q24" s="5"/>
      <c r="R24" s="5"/>
      <c r="S24" s="5"/>
      <c r="T24" s="5"/>
      <c r="U24" s="5"/>
    </row>
    <row r="25" spans="1:21">
      <c r="A25" s="1352"/>
      <c r="B25" s="1353"/>
      <c r="C25" s="1353"/>
      <c r="D25" s="81"/>
      <c r="E25" s="82"/>
      <c r="F25" s="78"/>
      <c r="G25" s="231"/>
      <c r="H25" s="9"/>
      <c r="I25" s="10"/>
      <c r="J25" s="11"/>
      <c r="K25" s="12"/>
      <c r="L25" s="13"/>
      <c r="M25" s="14"/>
      <c r="N25" s="14"/>
      <c r="O25" s="15"/>
      <c r="P25" s="5"/>
      <c r="Q25" s="5"/>
      <c r="R25" s="5"/>
      <c r="S25" s="5"/>
      <c r="T25" s="5"/>
      <c r="U25" s="5"/>
    </row>
    <row r="26" spans="1:21">
      <c r="A26" s="1352"/>
      <c r="B26" s="1353"/>
      <c r="C26" s="1353"/>
      <c r="D26" s="79"/>
      <c r="E26" s="82"/>
      <c r="F26" s="78"/>
      <c r="G26" s="231"/>
      <c r="H26" s="9"/>
      <c r="I26" s="10"/>
      <c r="J26" s="11"/>
      <c r="K26" s="12"/>
      <c r="L26" s="13"/>
      <c r="M26" s="14"/>
      <c r="N26" s="14"/>
      <c r="O26" s="15"/>
      <c r="P26" s="5"/>
      <c r="Q26" s="5"/>
      <c r="R26" s="5"/>
      <c r="S26" s="5"/>
      <c r="T26" s="5"/>
      <c r="U26" s="5"/>
    </row>
    <row r="27" spans="1:21">
      <c r="A27" s="1352"/>
      <c r="B27" s="1353"/>
      <c r="C27" s="1353"/>
      <c r="D27" s="79"/>
      <c r="E27" s="82"/>
      <c r="F27" s="78"/>
      <c r="G27" s="231"/>
      <c r="H27" s="9"/>
      <c r="I27" s="10"/>
      <c r="J27" s="11"/>
      <c r="K27" s="12"/>
      <c r="L27" s="13"/>
      <c r="M27" s="14"/>
      <c r="N27" s="14"/>
      <c r="O27" s="15"/>
      <c r="P27" s="5"/>
      <c r="Q27" s="5"/>
      <c r="R27" s="5"/>
      <c r="S27" s="5"/>
      <c r="T27" s="5"/>
      <c r="U27" s="5"/>
    </row>
    <row r="28" spans="1:21">
      <c r="A28" s="1352"/>
      <c r="B28" s="1353"/>
      <c r="C28" s="1353"/>
      <c r="D28" s="79"/>
      <c r="E28" s="82"/>
      <c r="F28" s="83"/>
      <c r="G28" s="231"/>
      <c r="H28" s="9"/>
      <c r="I28" s="41"/>
      <c r="J28" s="41"/>
      <c r="K28" s="12"/>
      <c r="L28" s="13"/>
      <c r="M28" s="14"/>
      <c r="N28" s="14"/>
      <c r="O28" s="15"/>
      <c r="P28" s="5"/>
      <c r="Q28" s="5"/>
      <c r="R28" s="5"/>
      <c r="S28" s="5"/>
      <c r="T28" s="5"/>
      <c r="U28" s="5"/>
    </row>
    <row r="29" spans="1:21">
      <c r="A29" s="1352"/>
      <c r="B29" s="1353"/>
      <c r="C29" s="1353"/>
      <c r="D29" s="84"/>
      <c r="E29" s="84"/>
      <c r="F29" s="83"/>
      <c r="G29" s="231"/>
      <c r="H29" s="9"/>
      <c r="I29" s="42"/>
      <c r="J29" s="42"/>
      <c r="K29" s="42"/>
      <c r="L29" s="13"/>
      <c r="M29" s="14"/>
      <c r="N29" s="14"/>
      <c r="O29" s="15"/>
      <c r="P29" s="5"/>
      <c r="Q29" s="5"/>
      <c r="R29" s="5"/>
      <c r="S29" s="5"/>
      <c r="T29" s="5"/>
      <c r="U29" s="5"/>
    </row>
    <row r="30" spans="1:21">
      <c r="A30" s="1352"/>
      <c r="B30" s="1353"/>
      <c r="C30" s="1353"/>
      <c r="D30" s="85" t="s">
        <v>28</v>
      </c>
      <c r="E30" s="50"/>
      <c r="F30" s="49"/>
      <c r="G30" s="230">
        <f>SUM(G21:G29)</f>
        <v>142500</v>
      </c>
      <c r="H30" s="9"/>
      <c r="I30" s="8"/>
      <c r="J30" s="13"/>
      <c r="K30" s="8"/>
      <c r="L30" s="13"/>
      <c r="M30" s="14"/>
      <c r="N30" s="14"/>
      <c r="O30" s="15"/>
      <c r="P30" s="5"/>
    </row>
    <row r="31" spans="1:21" ht="3.75" customHeight="1">
      <c r="A31" s="226"/>
      <c r="B31" s="4"/>
      <c r="C31" s="6"/>
      <c r="D31" s="4"/>
      <c r="E31" s="4"/>
      <c r="F31" s="4"/>
      <c r="G31" s="227"/>
      <c r="H31" s="9"/>
      <c r="I31" s="8"/>
      <c r="J31" s="13"/>
      <c r="K31" s="18"/>
      <c r="L31" s="13"/>
      <c r="M31" s="33"/>
      <c r="N31" s="33"/>
      <c r="O31" s="15"/>
      <c r="P31" s="5"/>
    </row>
    <row r="32" spans="1:21" ht="22.5" customHeight="1">
      <c r="A32" s="1354" t="s">
        <v>71</v>
      </c>
      <c r="B32" s="1355"/>
      <c r="C32" s="1355"/>
      <c r="D32" s="1355"/>
      <c r="E32" s="1355"/>
      <c r="F32" s="1355"/>
      <c r="G32" s="1356"/>
      <c r="H32" s="9"/>
    </row>
    <row r="33" spans="1:16" ht="3.75" customHeight="1">
      <c r="A33" s="226"/>
      <c r="B33" s="4"/>
      <c r="C33" s="6"/>
      <c r="D33" s="4"/>
      <c r="E33" s="4"/>
      <c r="F33" s="4"/>
      <c r="G33" s="227"/>
      <c r="H33" s="9"/>
      <c r="I33" s="8"/>
      <c r="J33" s="13"/>
      <c r="K33" s="8"/>
      <c r="L33" s="8"/>
      <c r="M33" s="8"/>
      <c r="N33" s="8"/>
      <c r="O33" s="15"/>
      <c r="P33" s="5"/>
    </row>
    <row r="34" spans="1:16">
      <c r="A34" s="232" t="s">
        <v>5</v>
      </c>
      <c r="B34" s="60" t="s">
        <v>29</v>
      </c>
      <c r="C34" s="60" t="s">
        <v>30</v>
      </c>
      <c r="D34" s="60" t="s">
        <v>31</v>
      </c>
      <c r="E34" s="60" t="s">
        <v>32</v>
      </c>
      <c r="F34" s="60" t="s">
        <v>20</v>
      </c>
      <c r="G34" s="228" t="s">
        <v>33</v>
      </c>
      <c r="H34" s="27"/>
      <c r="I34" s="8"/>
      <c r="J34" s="13"/>
      <c r="K34" s="8"/>
      <c r="L34" s="8"/>
      <c r="M34" s="8"/>
      <c r="N34" s="8"/>
      <c r="O34" s="15"/>
      <c r="P34" s="5"/>
    </row>
    <row r="35" spans="1:16">
      <c r="A35" s="233" t="s">
        <v>41</v>
      </c>
      <c r="B35" s="63">
        <f>BOF</f>
        <v>51749</v>
      </c>
      <c r="C35" s="68">
        <f>ffpp</f>
        <v>0.64539999999999997</v>
      </c>
      <c r="D35" s="72">
        <v>1</v>
      </c>
      <c r="E35" s="66">
        <f>OF</f>
        <v>88696</v>
      </c>
      <c r="F35" s="65">
        <v>10</v>
      </c>
      <c r="G35" s="231">
        <f>ROUND(+D35*E35/F35,0)</f>
        <v>8870</v>
      </c>
      <c r="H35" s="9"/>
      <c r="I35" s="16"/>
      <c r="J35" s="13"/>
      <c r="K35" s="8"/>
      <c r="L35" s="8"/>
      <c r="M35" s="8"/>
      <c r="N35" s="8"/>
      <c r="O35" s="15"/>
      <c r="P35" s="5"/>
    </row>
    <row r="36" spans="1:16">
      <c r="A36" s="233" t="s">
        <v>38</v>
      </c>
      <c r="B36" s="63">
        <f>BOB</f>
        <v>41749</v>
      </c>
      <c r="C36" s="68">
        <f>ffpp</f>
        <v>0.64539999999999997</v>
      </c>
      <c r="D36" s="72">
        <v>3</v>
      </c>
      <c r="E36" s="66">
        <f>OB</f>
        <v>72242</v>
      </c>
      <c r="F36" s="65">
        <f>F35</f>
        <v>10</v>
      </c>
      <c r="G36" s="231">
        <f>ROUND(+D36*E36/F36,0)</f>
        <v>21673</v>
      </c>
      <c r="H36" s="9"/>
      <c r="I36" s="8"/>
      <c r="J36" s="8"/>
      <c r="K36" s="13"/>
      <c r="L36" s="13"/>
      <c r="M36" s="13"/>
      <c r="N36" s="13"/>
      <c r="O36" s="13"/>
      <c r="P36" s="5"/>
    </row>
    <row r="37" spans="1:16">
      <c r="A37" s="234"/>
      <c r="B37" s="50"/>
      <c r="C37" s="961"/>
      <c r="D37" s="50"/>
      <c r="E37" s="66"/>
      <c r="F37" s="65"/>
      <c r="G37" s="231"/>
      <c r="H37" s="9"/>
      <c r="I37" s="8"/>
      <c r="J37" s="13"/>
      <c r="K37" s="13"/>
      <c r="L37" s="13"/>
      <c r="M37" s="33"/>
      <c r="N37" s="33"/>
      <c r="O37" s="43"/>
      <c r="P37" s="5"/>
    </row>
    <row r="38" spans="1:16">
      <c r="A38" s="233"/>
      <c r="B38" s="65"/>
      <c r="C38" s="68"/>
      <c r="D38" s="65"/>
      <c r="E38" s="69"/>
      <c r="F38" s="69"/>
      <c r="G38" s="236"/>
      <c r="H38" s="9"/>
      <c r="I38" s="8"/>
      <c r="J38" s="13"/>
      <c r="K38" s="13"/>
      <c r="L38" s="13"/>
      <c r="M38" s="33"/>
      <c r="N38" s="33"/>
      <c r="O38" s="43"/>
      <c r="P38" s="5"/>
    </row>
    <row r="39" spans="1:16">
      <c r="A39" s="249"/>
      <c r="B39" s="71"/>
      <c r="C39" s="71"/>
      <c r="D39" s="71" t="s">
        <v>34</v>
      </c>
      <c r="E39" s="71"/>
      <c r="F39" s="71"/>
      <c r="G39" s="250">
        <f>SUM(G35:G38)</f>
        <v>30543</v>
      </c>
      <c r="H39" s="9"/>
      <c r="I39" s="8"/>
      <c r="J39" s="13"/>
      <c r="K39" s="13"/>
      <c r="L39" s="13"/>
      <c r="M39" s="14"/>
      <c r="N39" s="14"/>
      <c r="O39" s="15"/>
      <c r="P39" s="5"/>
    </row>
    <row r="40" spans="1:16">
      <c r="A40" s="226"/>
      <c r="B40" s="4"/>
      <c r="C40" s="6"/>
      <c r="D40" s="4"/>
      <c r="E40" s="4"/>
      <c r="F40" s="4"/>
      <c r="G40" s="227"/>
      <c r="H40" s="9"/>
      <c r="I40" s="8"/>
      <c r="J40" s="13"/>
      <c r="K40" s="13"/>
      <c r="L40" s="13"/>
      <c r="M40" s="14"/>
      <c r="N40" s="14"/>
      <c r="O40" s="19"/>
      <c r="P40" s="5"/>
    </row>
    <row r="41" spans="1:16">
      <c r="A41" s="226"/>
      <c r="B41" s="4"/>
      <c r="C41" s="6"/>
      <c r="D41" s="4"/>
      <c r="E41" s="4"/>
      <c r="F41" s="4"/>
      <c r="G41" s="227"/>
      <c r="H41" s="9"/>
      <c r="I41" s="8"/>
      <c r="J41" s="13"/>
      <c r="K41" s="13"/>
      <c r="L41" s="13"/>
      <c r="M41" s="17"/>
      <c r="N41" s="17"/>
      <c r="O41" s="37"/>
      <c r="P41" s="5"/>
    </row>
    <row r="42" spans="1:16" ht="14.25">
      <c r="A42" s="226"/>
      <c r="B42" s="4"/>
      <c r="C42" s="6"/>
      <c r="D42" s="1357" t="s">
        <v>35</v>
      </c>
      <c r="E42" s="1358"/>
      <c r="F42" s="1359"/>
      <c r="G42" s="239">
        <f>+G39+G30+G16</f>
        <v>176097</v>
      </c>
      <c r="H42" s="9"/>
      <c r="I42" s="48"/>
      <c r="J42" s="20"/>
      <c r="K42" s="8"/>
      <c r="L42" s="8"/>
      <c r="M42" s="8"/>
      <c r="N42" s="8"/>
      <c r="O42" s="8"/>
      <c r="P42" s="5"/>
    </row>
    <row r="43" spans="1:16" ht="14.25">
      <c r="A43" s="240"/>
      <c r="B43" s="57"/>
      <c r="C43" s="58"/>
      <c r="D43" s="99"/>
      <c r="E43" s="99"/>
      <c r="F43" s="99"/>
      <c r="G43" s="251"/>
      <c r="H43" s="9"/>
      <c r="I43" s="48"/>
      <c r="J43" s="20"/>
      <c r="K43" s="8"/>
      <c r="L43" s="8"/>
      <c r="M43" s="8"/>
      <c r="N43" s="8"/>
      <c r="O43" s="8"/>
      <c r="P43" s="5"/>
    </row>
    <row r="44" spans="1:16" ht="14.25">
      <c r="A44" s="374"/>
      <c r="B44" s="375"/>
      <c r="C44" s="375"/>
      <c r="D44" s="99"/>
      <c r="E44" s="99"/>
      <c r="F44" s="99"/>
      <c r="G44" s="251"/>
      <c r="H44" s="9"/>
      <c r="I44" s="48"/>
      <c r="J44" s="20"/>
      <c r="K44" s="8"/>
      <c r="L44" s="8"/>
      <c r="M44" s="8"/>
      <c r="N44" s="8"/>
      <c r="O44" s="8"/>
      <c r="P44" s="5"/>
    </row>
    <row r="45" spans="1:16" ht="14.25">
      <c r="A45" s="373"/>
      <c r="B45" s="376"/>
      <c r="C45" s="376"/>
      <c r="D45" s="99"/>
      <c r="E45" s="99"/>
      <c r="F45" s="99"/>
      <c r="G45" s="251"/>
      <c r="H45" s="9"/>
      <c r="I45" s="48"/>
      <c r="J45" s="20"/>
      <c r="K45" s="8"/>
      <c r="L45" s="8"/>
      <c r="M45" s="8"/>
      <c r="N45" s="8"/>
      <c r="O45" s="8"/>
      <c r="P45" s="5"/>
    </row>
    <row r="46" spans="1:16" ht="14.25">
      <c r="A46" s="373"/>
      <c r="B46" s="376"/>
      <c r="C46" s="376"/>
      <c r="D46" s="44"/>
      <c r="E46" s="45"/>
      <c r="F46" s="45"/>
      <c r="G46" s="251"/>
      <c r="H46" s="9"/>
      <c r="I46" s="8"/>
      <c r="J46" s="13"/>
      <c r="K46" s="8"/>
      <c r="L46" s="8"/>
      <c r="M46" s="8"/>
      <c r="N46" s="8"/>
      <c r="O46" s="8"/>
      <c r="P46" s="5"/>
    </row>
    <row r="47" spans="1:16" ht="15" thickBot="1">
      <c r="A47" s="242"/>
      <c r="B47" s="243"/>
      <c r="C47" s="244"/>
      <c r="D47" s="245"/>
      <c r="E47" s="246"/>
      <c r="F47" s="246"/>
      <c r="G47" s="247"/>
      <c r="H47" s="9"/>
      <c r="I47" s="8"/>
      <c r="J47" s="13"/>
      <c r="K47" s="8"/>
      <c r="L47" s="8"/>
      <c r="M47" s="8"/>
      <c r="N47" s="8"/>
      <c r="O47" s="8"/>
      <c r="P47" s="5"/>
    </row>
    <row r="48" spans="1:16">
      <c r="I48" s="5"/>
      <c r="J48" s="5"/>
      <c r="K48" s="5"/>
      <c r="L48" s="5"/>
      <c r="M48" s="5"/>
      <c r="N48" s="5"/>
      <c r="O48" s="5"/>
      <c r="P48" s="5"/>
    </row>
    <row r="49" spans="9:16">
      <c r="I49" s="5"/>
      <c r="J49" s="5"/>
      <c r="K49" s="5"/>
      <c r="L49" s="5"/>
      <c r="M49" s="5"/>
      <c r="N49" s="5"/>
      <c r="O49" s="5"/>
      <c r="P49" s="5"/>
    </row>
  </sheetData>
  <mergeCells count="26">
    <mergeCell ref="A10:C10"/>
    <mergeCell ref="A1:G1"/>
    <mergeCell ref="A2:G2"/>
    <mergeCell ref="A3:G4"/>
    <mergeCell ref="B6:E6"/>
    <mergeCell ref="A8:G8"/>
    <mergeCell ref="A24:C24"/>
    <mergeCell ref="A11:C11"/>
    <mergeCell ref="A12:C12"/>
    <mergeCell ref="A13:C13"/>
    <mergeCell ref="A14:C14"/>
    <mergeCell ref="A15:C15"/>
    <mergeCell ref="A16:C16"/>
    <mergeCell ref="A18:G18"/>
    <mergeCell ref="A20:C20"/>
    <mergeCell ref="A21:C21"/>
    <mergeCell ref="A22:C22"/>
    <mergeCell ref="A23:C23"/>
    <mergeCell ref="A32:G32"/>
    <mergeCell ref="D42:F42"/>
    <mergeCell ref="A25:C25"/>
    <mergeCell ref="A26:C26"/>
    <mergeCell ref="A27:C27"/>
    <mergeCell ref="A28:C28"/>
    <mergeCell ref="A29:C29"/>
    <mergeCell ref="A30:C30"/>
  </mergeCells>
  <printOptions horizontalCentered="1" verticalCentered="1"/>
  <pageMargins left="0.74803149606299213" right="0.74803149606299213" top="0" bottom="0.98425196850393704" header="0" footer="0"/>
  <pageSetup scale="90" orientation="portrait" r:id="rId1"/>
  <headerFooter alignWithMargins="0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9"/>
  <sheetViews>
    <sheetView view="pageBreakPreview" zoomScaleNormal="100" zoomScaleSheetLayoutView="100" workbookViewId="0">
      <selection activeCell="I7" sqref="I7"/>
    </sheetView>
  </sheetViews>
  <sheetFormatPr baseColWidth="10" defaultColWidth="10.7109375" defaultRowHeight="12.75"/>
  <cols>
    <col min="1" max="1" width="15.85546875" style="3" customWidth="1"/>
    <col min="2" max="2" width="14.85546875" style="3" customWidth="1"/>
    <col min="3" max="3" width="13.28515625" style="3" customWidth="1"/>
    <col min="4" max="4" width="11.42578125" style="3"/>
    <col min="5" max="5" width="13.42578125" style="3" customWidth="1"/>
    <col min="6" max="6" width="12.7109375" style="3" customWidth="1"/>
    <col min="7" max="7" width="14" style="3" customWidth="1"/>
    <col min="8" max="8" width="7.42578125" style="3" customWidth="1"/>
    <col min="9" max="256" width="11.42578125" style="3"/>
    <col min="257" max="257" width="15.85546875" style="3" customWidth="1"/>
    <col min="258" max="258" width="14.85546875" style="3" customWidth="1"/>
    <col min="259" max="259" width="13.28515625" style="3" customWidth="1"/>
    <col min="260" max="260" width="11.42578125" style="3"/>
    <col min="261" max="261" width="13.42578125" style="3" customWidth="1"/>
    <col min="262" max="262" width="12.7109375" style="3" customWidth="1"/>
    <col min="263" max="263" width="14" style="3" customWidth="1"/>
    <col min="264" max="264" width="7.42578125" style="3" customWidth="1"/>
    <col min="265" max="512" width="11.42578125" style="3"/>
    <col min="513" max="513" width="15.85546875" style="3" customWidth="1"/>
    <col min="514" max="514" width="14.85546875" style="3" customWidth="1"/>
    <col min="515" max="515" width="13.28515625" style="3" customWidth="1"/>
    <col min="516" max="516" width="11.42578125" style="3"/>
    <col min="517" max="517" width="13.42578125" style="3" customWidth="1"/>
    <col min="518" max="518" width="12.7109375" style="3" customWidth="1"/>
    <col min="519" max="519" width="14" style="3" customWidth="1"/>
    <col min="520" max="520" width="7.42578125" style="3" customWidth="1"/>
    <col min="521" max="768" width="11.42578125" style="3"/>
    <col min="769" max="769" width="15.85546875" style="3" customWidth="1"/>
    <col min="770" max="770" width="14.85546875" style="3" customWidth="1"/>
    <col min="771" max="771" width="13.28515625" style="3" customWidth="1"/>
    <col min="772" max="772" width="11.42578125" style="3"/>
    <col min="773" max="773" width="13.42578125" style="3" customWidth="1"/>
    <col min="774" max="774" width="12.7109375" style="3" customWidth="1"/>
    <col min="775" max="775" width="14" style="3" customWidth="1"/>
    <col min="776" max="776" width="7.42578125" style="3" customWidth="1"/>
    <col min="777" max="1024" width="11.42578125" style="3"/>
    <col min="1025" max="1025" width="15.85546875" style="3" customWidth="1"/>
    <col min="1026" max="1026" width="14.85546875" style="3" customWidth="1"/>
    <col min="1027" max="1027" width="13.28515625" style="3" customWidth="1"/>
    <col min="1028" max="1028" width="11.42578125" style="3"/>
    <col min="1029" max="1029" width="13.42578125" style="3" customWidth="1"/>
    <col min="1030" max="1030" width="12.7109375" style="3" customWidth="1"/>
    <col min="1031" max="1031" width="14" style="3" customWidth="1"/>
    <col min="1032" max="1032" width="7.42578125" style="3" customWidth="1"/>
    <col min="1033" max="1280" width="11.42578125" style="3"/>
    <col min="1281" max="1281" width="15.85546875" style="3" customWidth="1"/>
    <col min="1282" max="1282" width="14.85546875" style="3" customWidth="1"/>
    <col min="1283" max="1283" width="13.28515625" style="3" customWidth="1"/>
    <col min="1284" max="1284" width="11.42578125" style="3"/>
    <col min="1285" max="1285" width="13.42578125" style="3" customWidth="1"/>
    <col min="1286" max="1286" width="12.7109375" style="3" customWidth="1"/>
    <col min="1287" max="1287" width="14" style="3" customWidth="1"/>
    <col min="1288" max="1288" width="7.42578125" style="3" customWidth="1"/>
    <col min="1289" max="1536" width="11.42578125" style="3"/>
    <col min="1537" max="1537" width="15.85546875" style="3" customWidth="1"/>
    <col min="1538" max="1538" width="14.85546875" style="3" customWidth="1"/>
    <col min="1539" max="1539" width="13.28515625" style="3" customWidth="1"/>
    <col min="1540" max="1540" width="11.42578125" style="3"/>
    <col min="1541" max="1541" width="13.42578125" style="3" customWidth="1"/>
    <col min="1542" max="1542" width="12.7109375" style="3" customWidth="1"/>
    <col min="1543" max="1543" width="14" style="3" customWidth="1"/>
    <col min="1544" max="1544" width="7.42578125" style="3" customWidth="1"/>
    <col min="1545" max="1792" width="11.42578125" style="3"/>
    <col min="1793" max="1793" width="15.85546875" style="3" customWidth="1"/>
    <col min="1794" max="1794" width="14.85546875" style="3" customWidth="1"/>
    <col min="1795" max="1795" width="13.28515625" style="3" customWidth="1"/>
    <col min="1796" max="1796" width="11.42578125" style="3"/>
    <col min="1797" max="1797" width="13.42578125" style="3" customWidth="1"/>
    <col min="1798" max="1798" width="12.7109375" style="3" customWidth="1"/>
    <col min="1799" max="1799" width="14" style="3" customWidth="1"/>
    <col min="1800" max="1800" width="7.42578125" style="3" customWidth="1"/>
    <col min="1801" max="2048" width="11.42578125" style="3"/>
    <col min="2049" max="2049" width="15.85546875" style="3" customWidth="1"/>
    <col min="2050" max="2050" width="14.85546875" style="3" customWidth="1"/>
    <col min="2051" max="2051" width="13.28515625" style="3" customWidth="1"/>
    <col min="2052" max="2052" width="11.42578125" style="3"/>
    <col min="2053" max="2053" width="13.42578125" style="3" customWidth="1"/>
    <col min="2054" max="2054" width="12.7109375" style="3" customWidth="1"/>
    <col min="2055" max="2055" width="14" style="3" customWidth="1"/>
    <col min="2056" max="2056" width="7.42578125" style="3" customWidth="1"/>
    <col min="2057" max="2304" width="11.42578125" style="3"/>
    <col min="2305" max="2305" width="15.85546875" style="3" customWidth="1"/>
    <col min="2306" max="2306" width="14.85546875" style="3" customWidth="1"/>
    <col min="2307" max="2307" width="13.28515625" style="3" customWidth="1"/>
    <col min="2308" max="2308" width="11.42578125" style="3"/>
    <col min="2309" max="2309" width="13.42578125" style="3" customWidth="1"/>
    <col min="2310" max="2310" width="12.7109375" style="3" customWidth="1"/>
    <col min="2311" max="2311" width="14" style="3" customWidth="1"/>
    <col min="2312" max="2312" width="7.42578125" style="3" customWidth="1"/>
    <col min="2313" max="2560" width="11.42578125" style="3"/>
    <col min="2561" max="2561" width="15.85546875" style="3" customWidth="1"/>
    <col min="2562" max="2562" width="14.85546875" style="3" customWidth="1"/>
    <col min="2563" max="2563" width="13.28515625" style="3" customWidth="1"/>
    <col min="2564" max="2564" width="11.42578125" style="3"/>
    <col min="2565" max="2565" width="13.42578125" style="3" customWidth="1"/>
    <col min="2566" max="2566" width="12.7109375" style="3" customWidth="1"/>
    <col min="2567" max="2567" width="14" style="3" customWidth="1"/>
    <col min="2568" max="2568" width="7.42578125" style="3" customWidth="1"/>
    <col min="2569" max="2816" width="11.42578125" style="3"/>
    <col min="2817" max="2817" width="15.85546875" style="3" customWidth="1"/>
    <col min="2818" max="2818" width="14.85546875" style="3" customWidth="1"/>
    <col min="2819" max="2819" width="13.28515625" style="3" customWidth="1"/>
    <col min="2820" max="2820" width="11.42578125" style="3"/>
    <col min="2821" max="2821" width="13.42578125" style="3" customWidth="1"/>
    <col min="2822" max="2822" width="12.7109375" style="3" customWidth="1"/>
    <col min="2823" max="2823" width="14" style="3" customWidth="1"/>
    <col min="2824" max="2824" width="7.42578125" style="3" customWidth="1"/>
    <col min="2825" max="3072" width="11.42578125" style="3"/>
    <col min="3073" max="3073" width="15.85546875" style="3" customWidth="1"/>
    <col min="3074" max="3074" width="14.85546875" style="3" customWidth="1"/>
    <col min="3075" max="3075" width="13.28515625" style="3" customWidth="1"/>
    <col min="3076" max="3076" width="11.42578125" style="3"/>
    <col min="3077" max="3077" width="13.42578125" style="3" customWidth="1"/>
    <col min="3078" max="3078" width="12.7109375" style="3" customWidth="1"/>
    <col min="3079" max="3079" width="14" style="3" customWidth="1"/>
    <col min="3080" max="3080" width="7.42578125" style="3" customWidth="1"/>
    <col min="3081" max="3328" width="11.42578125" style="3"/>
    <col min="3329" max="3329" width="15.85546875" style="3" customWidth="1"/>
    <col min="3330" max="3330" width="14.85546875" style="3" customWidth="1"/>
    <col min="3331" max="3331" width="13.28515625" style="3" customWidth="1"/>
    <col min="3332" max="3332" width="11.42578125" style="3"/>
    <col min="3333" max="3333" width="13.42578125" style="3" customWidth="1"/>
    <col min="3334" max="3334" width="12.7109375" style="3" customWidth="1"/>
    <col min="3335" max="3335" width="14" style="3" customWidth="1"/>
    <col min="3336" max="3336" width="7.42578125" style="3" customWidth="1"/>
    <col min="3337" max="3584" width="11.42578125" style="3"/>
    <col min="3585" max="3585" width="15.85546875" style="3" customWidth="1"/>
    <col min="3586" max="3586" width="14.85546875" style="3" customWidth="1"/>
    <col min="3587" max="3587" width="13.28515625" style="3" customWidth="1"/>
    <col min="3588" max="3588" width="11.42578125" style="3"/>
    <col min="3589" max="3589" width="13.42578125" style="3" customWidth="1"/>
    <col min="3590" max="3590" width="12.7109375" style="3" customWidth="1"/>
    <col min="3591" max="3591" width="14" style="3" customWidth="1"/>
    <col min="3592" max="3592" width="7.42578125" style="3" customWidth="1"/>
    <col min="3593" max="3840" width="11.42578125" style="3"/>
    <col min="3841" max="3841" width="15.85546875" style="3" customWidth="1"/>
    <col min="3842" max="3842" width="14.85546875" style="3" customWidth="1"/>
    <col min="3843" max="3843" width="13.28515625" style="3" customWidth="1"/>
    <col min="3844" max="3844" width="11.42578125" style="3"/>
    <col min="3845" max="3845" width="13.42578125" style="3" customWidth="1"/>
    <col min="3846" max="3846" width="12.7109375" style="3" customWidth="1"/>
    <col min="3847" max="3847" width="14" style="3" customWidth="1"/>
    <col min="3848" max="3848" width="7.42578125" style="3" customWidth="1"/>
    <col min="3849" max="4096" width="11.42578125" style="3"/>
    <col min="4097" max="4097" width="15.85546875" style="3" customWidth="1"/>
    <col min="4098" max="4098" width="14.85546875" style="3" customWidth="1"/>
    <col min="4099" max="4099" width="13.28515625" style="3" customWidth="1"/>
    <col min="4100" max="4100" width="11.42578125" style="3"/>
    <col min="4101" max="4101" width="13.42578125" style="3" customWidth="1"/>
    <col min="4102" max="4102" width="12.7109375" style="3" customWidth="1"/>
    <col min="4103" max="4103" width="14" style="3" customWidth="1"/>
    <col min="4104" max="4104" width="7.42578125" style="3" customWidth="1"/>
    <col min="4105" max="4352" width="11.42578125" style="3"/>
    <col min="4353" max="4353" width="15.85546875" style="3" customWidth="1"/>
    <col min="4354" max="4354" width="14.85546875" style="3" customWidth="1"/>
    <col min="4355" max="4355" width="13.28515625" style="3" customWidth="1"/>
    <col min="4356" max="4356" width="11.42578125" style="3"/>
    <col min="4357" max="4357" width="13.42578125" style="3" customWidth="1"/>
    <col min="4358" max="4358" width="12.7109375" style="3" customWidth="1"/>
    <col min="4359" max="4359" width="14" style="3" customWidth="1"/>
    <col min="4360" max="4360" width="7.42578125" style="3" customWidth="1"/>
    <col min="4361" max="4608" width="11.42578125" style="3"/>
    <col min="4609" max="4609" width="15.85546875" style="3" customWidth="1"/>
    <col min="4610" max="4610" width="14.85546875" style="3" customWidth="1"/>
    <col min="4611" max="4611" width="13.28515625" style="3" customWidth="1"/>
    <col min="4612" max="4612" width="11.42578125" style="3"/>
    <col min="4613" max="4613" width="13.42578125" style="3" customWidth="1"/>
    <col min="4614" max="4614" width="12.7109375" style="3" customWidth="1"/>
    <col min="4615" max="4615" width="14" style="3" customWidth="1"/>
    <col min="4616" max="4616" width="7.42578125" style="3" customWidth="1"/>
    <col min="4617" max="4864" width="11.42578125" style="3"/>
    <col min="4865" max="4865" width="15.85546875" style="3" customWidth="1"/>
    <col min="4866" max="4866" width="14.85546875" style="3" customWidth="1"/>
    <col min="4867" max="4867" width="13.28515625" style="3" customWidth="1"/>
    <col min="4868" max="4868" width="11.42578125" style="3"/>
    <col min="4869" max="4869" width="13.42578125" style="3" customWidth="1"/>
    <col min="4870" max="4870" width="12.7109375" style="3" customWidth="1"/>
    <col min="4871" max="4871" width="14" style="3" customWidth="1"/>
    <col min="4872" max="4872" width="7.42578125" style="3" customWidth="1"/>
    <col min="4873" max="5120" width="11.42578125" style="3"/>
    <col min="5121" max="5121" width="15.85546875" style="3" customWidth="1"/>
    <col min="5122" max="5122" width="14.85546875" style="3" customWidth="1"/>
    <col min="5123" max="5123" width="13.28515625" style="3" customWidth="1"/>
    <col min="5124" max="5124" width="11.42578125" style="3"/>
    <col min="5125" max="5125" width="13.42578125" style="3" customWidth="1"/>
    <col min="5126" max="5126" width="12.7109375" style="3" customWidth="1"/>
    <col min="5127" max="5127" width="14" style="3" customWidth="1"/>
    <col min="5128" max="5128" width="7.42578125" style="3" customWidth="1"/>
    <col min="5129" max="5376" width="11.42578125" style="3"/>
    <col min="5377" max="5377" width="15.85546875" style="3" customWidth="1"/>
    <col min="5378" max="5378" width="14.85546875" style="3" customWidth="1"/>
    <col min="5379" max="5379" width="13.28515625" style="3" customWidth="1"/>
    <col min="5380" max="5380" width="11.42578125" style="3"/>
    <col min="5381" max="5381" width="13.42578125" style="3" customWidth="1"/>
    <col min="5382" max="5382" width="12.7109375" style="3" customWidth="1"/>
    <col min="5383" max="5383" width="14" style="3" customWidth="1"/>
    <col min="5384" max="5384" width="7.42578125" style="3" customWidth="1"/>
    <col min="5385" max="5632" width="11.42578125" style="3"/>
    <col min="5633" max="5633" width="15.85546875" style="3" customWidth="1"/>
    <col min="5634" max="5634" width="14.85546875" style="3" customWidth="1"/>
    <col min="5635" max="5635" width="13.28515625" style="3" customWidth="1"/>
    <col min="5636" max="5636" width="11.42578125" style="3"/>
    <col min="5637" max="5637" width="13.42578125" style="3" customWidth="1"/>
    <col min="5638" max="5638" width="12.7109375" style="3" customWidth="1"/>
    <col min="5639" max="5639" width="14" style="3" customWidth="1"/>
    <col min="5640" max="5640" width="7.42578125" style="3" customWidth="1"/>
    <col min="5641" max="5888" width="11.42578125" style="3"/>
    <col min="5889" max="5889" width="15.85546875" style="3" customWidth="1"/>
    <col min="5890" max="5890" width="14.85546875" style="3" customWidth="1"/>
    <col min="5891" max="5891" width="13.28515625" style="3" customWidth="1"/>
    <col min="5892" max="5892" width="11.42578125" style="3"/>
    <col min="5893" max="5893" width="13.42578125" style="3" customWidth="1"/>
    <col min="5894" max="5894" width="12.7109375" style="3" customWidth="1"/>
    <col min="5895" max="5895" width="14" style="3" customWidth="1"/>
    <col min="5896" max="5896" width="7.42578125" style="3" customWidth="1"/>
    <col min="5897" max="6144" width="11.42578125" style="3"/>
    <col min="6145" max="6145" width="15.85546875" style="3" customWidth="1"/>
    <col min="6146" max="6146" width="14.85546875" style="3" customWidth="1"/>
    <col min="6147" max="6147" width="13.28515625" style="3" customWidth="1"/>
    <col min="6148" max="6148" width="11.42578125" style="3"/>
    <col min="6149" max="6149" width="13.42578125" style="3" customWidth="1"/>
    <col min="6150" max="6150" width="12.7109375" style="3" customWidth="1"/>
    <col min="6151" max="6151" width="14" style="3" customWidth="1"/>
    <col min="6152" max="6152" width="7.42578125" style="3" customWidth="1"/>
    <col min="6153" max="6400" width="11.42578125" style="3"/>
    <col min="6401" max="6401" width="15.85546875" style="3" customWidth="1"/>
    <col min="6402" max="6402" width="14.85546875" style="3" customWidth="1"/>
    <col min="6403" max="6403" width="13.28515625" style="3" customWidth="1"/>
    <col min="6404" max="6404" width="11.42578125" style="3"/>
    <col min="6405" max="6405" width="13.42578125" style="3" customWidth="1"/>
    <col min="6406" max="6406" width="12.7109375" style="3" customWidth="1"/>
    <col min="6407" max="6407" width="14" style="3" customWidth="1"/>
    <col min="6408" max="6408" width="7.42578125" style="3" customWidth="1"/>
    <col min="6409" max="6656" width="11.42578125" style="3"/>
    <col min="6657" max="6657" width="15.85546875" style="3" customWidth="1"/>
    <col min="6658" max="6658" width="14.85546875" style="3" customWidth="1"/>
    <col min="6659" max="6659" width="13.28515625" style="3" customWidth="1"/>
    <col min="6660" max="6660" width="11.42578125" style="3"/>
    <col min="6661" max="6661" width="13.42578125" style="3" customWidth="1"/>
    <col min="6662" max="6662" width="12.7109375" style="3" customWidth="1"/>
    <col min="6663" max="6663" width="14" style="3" customWidth="1"/>
    <col min="6664" max="6664" width="7.42578125" style="3" customWidth="1"/>
    <col min="6665" max="6912" width="11.42578125" style="3"/>
    <col min="6913" max="6913" width="15.85546875" style="3" customWidth="1"/>
    <col min="6914" max="6914" width="14.85546875" style="3" customWidth="1"/>
    <col min="6915" max="6915" width="13.28515625" style="3" customWidth="1"/>
    <col min="6916" max="6916" width="11.42578125" style="3"/>
    <col min="6917" max="6917" width="13.42578125" style="3" customWidth="1"/>
    <col min="6918" max="6918" width="12.7109375" style="3" customWidth="1"/>
    <col min="6919" max="6919" width="14" style="3" customWidth="1"/>
    <col min="6920" max="6920" width="7.42578125" style="3" customWidth="1"/>
    <col min="6921" max="7168" width="11.42578125" style="3"/>
    <col min="7169" max="7169" width="15.85546875" style="3" customWidth="1"/>
    <col min="7170" max="7170" width="14.85546875" style="3" customWidth="1"/>
    <col min="7171" max="7171" width="13.28515625" style="3" customWidth="1"/>
    <col min="7172" max="7172" width="11.42578125" style="3"/>
    <col min="7173" max="7173" width="13.42578125" style="3" customWidth="1"/>
    <col min="7174" max="7174" width="12.7109375" style="3" customWidth="1"/>
    <col min="7175" max="7175" width="14" style="3" customWidth="1"/>
    <col min="7176" max="7176" width="7.42578125" style="3" customWidth="1"/>
    <col min="7177" max="7424" width="11.42578125" style="3"/>
    <col min="7425" max="7425" width="15.85546875" style="3" customWidth="1"/>
    <col min="7426" max="7426" width="14.85546875" style="3" customWidth="1"/>
    <col min="7427" max="7427" width="13.28515625" style="3" customWidth="1"/>
    <col min="7428" max="7428" width="11.42578125" style="3"/>
    <col min="7429" max="7429" width="13.42578125" style="3" customWidth="1"/>
    <col min="7430" max="7430" width="12.7109375" style="3" customWidth="1"/>
    <col min="7431" max="7431" width="14" style="3" customWidth="1"/>
    <col min="7432" max="7432" width="7.42578125" style="3" customWidth="1"/>
    <col min="7433" max="7680" width="11.42578125" style="3"/>
    <col min="7681" max="7681" width="15.85546875" style="3" customWidth="1"/>
    <col min="7682" max="7682" width="14.85546875" style="3" customWidth="1"/>
    <col min="7683" max="7683" width="13.28515625" style="3" customWidth="1"/>
    <col min="7684" max="7684" width="11.42578125" style="3"/>
    <col min="7685" max="7685" width="13.42578125" style="3" customWidth="1"/>
    <col min="7686" max="7686" width="12.7109375" style="3" customWidth="1"/>
    <col min="7687" max="7687" width="14" style="3" customWidth="1"/>
    <col min="7688" max="7688" width="7.42578125" style="3" customWidth="1"/>
    <col min="7689" max="7936" width="11.42578125" style="3"/>
    <col min="7937" max="7937" width="15.85546875" style="3" customWidth="1"/>
    <col min="7938" max="7938" width="14.85546875" style="3" customWidth="1"/>
    <col min="7939" max="7939" width="13.28515625" style="3" customWidth="1"/>
    <col min="7940" max="7940" width="11.42578125" style="3"/>
    <col min="7941" max="7941" width="13.42578125" style="3" customWidth="1"/>
    <col min="7942" max="7942" width="12.7109375" style="3" customWidth="1"/>
    <col min="7943" max="7943" width="14" style="3" customWidth="1"/>
    <col min="7944" max="7944" width="7.42578125" style="3" customWidth="1"/>
    <col min="7945" max="8192" width="11.42578125" style="3"/>
    <col min="8193" max="8193" width="15.85546875" style="3" customWidth="1"/>
    <col min="8194" max="8194" width="14.85546875" style="3" customWidth="1"/>
    <col min="8195" max="8195" width="13.28515625" style="3" customWidth="1"/>
    <col min="8196" max="8196" width="11.42578125" style="3"/>
    <col min="8197" max="8197" width="13.42578125" style="3" customWidth="1"/>
    <col min="8198" max="8198" width="12.7109375" style="3" customWidth="1"/>
    <col min="8199" max="8199" width="14" style="3" customWidth="1"/>
    <col min="8200" max="8200" width="7.42578125" style="3" customWidth="1"/>
    <col min="8201" max="8448" width="11.42578125" style="3"/>
    <col min="8449" max="8449" width="15.85546875" style="3" customWidth="1"/>
    <col min="8450" max="8450" width="14.85546875" style="3" customWidth="1"/>
    <col min="8451" max="8451" width="13.28515625" style="3" customWidth="1"/>
    <col min="8452" max="8452" width="11.42578125" style="3"/>
    <col min="8453" max="8453" width="13.42578125" style="3" customWidth="1"/>
    <col min="8454" max="8454" width="12.7109375" style="3" customWidth="1"/>
    <col min="8455" max="8455" width="14" style="3" customWidth="1"/>
    <col min="8456" max="8456" width="7.42578125" style="3" customWidth="1"/>
    <col min="8457" max="8704" width="11.42578125" style="3"/>
    <col min="8705" max="8705" width="15.85546875" style="3" customWidth="1"/>
    <col min="8706" max="8706" width="14.85546875" style="3" customWidth="1"/>
    <col min="8707" max="8707" width="13.28515625" style="3" customWidth="1"/>
    <col min="8708" max="8708" width="11.42578125" style="3"/>
    <col min="8709" max="8709" width="13.42578125" style="3" customWidth="1"/>
    <col min="8710" max="8710" width="12.7109375" style="3" customWidth="1"/>
    <col min="8711" max="8711" width="14" style="3" customWidth="1"/>
    <col min="8712" max="8712" width="7.42578125" style="3" customWidth="1"/>
    <col min="8713" max="8960" width="11.42578125" style="3"/>
    <col min="8961" max="8961" width="15.85546875" style="3" customWidth="1"/>
    <col min="8962" max="8962" width="14.85546875" style="3" customWidth="1"/>
    <col min="8963" max="8963" width="13.28515625" style="3" customWidth="1"/>
    <col min="8964" max="8964" width="11.42578125" style="3"/>
    <col min="8965" max="8965" width="13.42578125" style="3" customWidth="1"/>
    <col min="8966" max="8966" width="12.7109375" style="3" customWidth="1"/>
    <col min="8967" max="8967" width="14" style="3" customWidth="1"/>
    <col min="8968" max="8968" width="7.42578125" style="3" customWidth="1"/>
    <col min="8969" max="9216" width="11.42578125" style="3"/>
    <col min="9217" max="9217" width="15.85546875" style="3" customWidth="1"/>
    <col min="9218" max="9218" width="14.85546875" style="3" customWidth="1"/>
    <col min="9219" max="9219" width="13.28515625" style="3" customWidth="1"/>
    <col min="9220" max="9220" width="11.42578125" style="3"/>
    <col min="9221" max="9221" width="13.42578125" style="3" customWidth="1"/>
    <col min="9222" max="9222" width="12.7109375" style="3" customWidth="1"/>
    <col min="9223" max="9223" width="14" style="3" customWidth="1"/>
    <col min="9224" max="9224" width="7.42578125" style="3" customWidth="1"/>
    <col min="9225" max="9472" width="11.42578125" style="3"/>
    <col min="9473" max="9473" width="15.85546875" style="3" customWidth="1"/>
    <col min="9474" max="9474" width="14.85546875" style="3" customWidth="1"/>
    <col min="9475" max="9475" width="13.28515625" style="3" customWidth="1"/>
    <col min="9476" max="9476" width="11.42578125" style="3"/>
    <col min="9477" max="9477" width="13.42578125" style="3" customWidth="1"/>
    <col min="9478" max="9478" width="12.7109375" style="3" customWidth="1"/>
    <col min="9479" max="9479" width="14" style="3" customWidth="1"/>
    <col min="9480" max="9480" width="7.42578125" style="3" customWidth="1"/>
    <col min="9481" max="9728" width="11.42578125" style="3"/>
    <col min="9729" max="9729" width="15.85546875" style="3" customWidth="1"/>
    <col min="9730" max="9730" width="14.85546875" style="3" customWidth="1"/>
    <col min="9731" max="9731" width="13.28515625" style="3" customWidth="1"/>
    <col min="9732" max="9732" width="11.42578125" style="3"/>
    <col min="9733" max="9733" width="13.42578125" style="3" customWidth="1"/>
    <col min="9734" max="9734" width="12.7109375" style="3" customWidth="1"/>
    <col min="9735" max="9735" width="14" style="3" customWidth="1"/>
    <col min="9736" max="9736" width="7.42578125" style="3" customWidth="1"/>
    <col min="9737" max="9984" width="11.42578125" style="3"/>
    <col min="9985" max="9985" width="15.85546875" style="3" customWidth="1"/>
    <col min="9986" max="9986" width="14.85546875" style="3" customWidth="1"/>
    <col min="9987" max="9987" width="13.28515625" style="3" customWidth="1"/>
    <col min="9988" max="9988" width="11.42578125" style="3"/>
    <col min="9989" max="9989" width="13.42578125" style="3" customWidth="1"/>
    <col min="9990" max="9990" width="12.7109375" style="3" customWidth="1"/>
    <col min="9991" max="9991" width="14" style="3" customWidth="1"/>
    <col min="9992" max="9992" width="7.42578125" style="3" customWidth="1"/>
    <col min="9993" max="10240" width="11.42578125" style="3"/>
    <col min="10241" max="10241" width="15.85546875" style="3" customWidth="1"/>
    <col min="10242" max="10242" width="14.85546875" style="3" customWidth="1"/>
    <col min="10243" max="10243" width="13.28515625" style="3" customWidth="1"/>
    <col min="10244" max="10244" width="11.42578125" style="3"/>
    <col min="10245" max="10245" width="13.42578125" style="3" customWidth="1"/>
    <col min="10246" max="10246" width="12.7109375" style="3" customWidth="1"/>
    <col min="10247" max="10247" width="14" style="3" customWidth="1"/>
    <col min="10248" max="10248" width="7.42578125" style="3" customWidth="1"/>
    <col min="10249" max="10496" width="11.42578125" style="3"/>
    <col min="10497" max="10497" width="15.85546875" style="3" customWidth="1"/>
    <col min="10498" max="10498" width="14.85546875" style="3" customWidth="1"/>
    <col min="10499" max="10499" width="13.28515625" style="3" customWidth="1"/>
    <col min="10500" max="10500" width="11.42578125" style="3"/>
    <col min="10501" max="10501" width="13.42578125" style="3" customWidth="1"/>
    <col min="10502" max="10502" width="12.7109375" style="3" customWidth="1"/>
    <col min="10503" max="10503" width="14" style="3" customWidth="1"/>
    <col min="10504" max="10504" width="7.42578125" style="3" customWidth="1"/>
    <col min="10505" max="10752" width="11.42578125" style="3"/>
    <col min="10753" max="10753" width="15.85546875" style="3" customWidth="1"/>
    <col min="10754" max="10754" width="14.85546875" style="3" customWidth="1"/>
    <col min="10755" max="10755" width="13.28515625" style="3" customWidth="1"/>
    <col min="10756" max="10756" width="11.42578125" style="3"/>
    <col min="10757" max="10757" width="13.42578125" style="3" customWidth="1"/>
    <col min="10758" max="10758" width="12.7109375" style="3" customWidth="1"/>
    <col min="10759" max="10759" width="14" style="3" customWidth="1"/>
    <col min="10760" max="10760" width="7.42578125" style="3" customWidth="1"/>
    <col min="10761" max="11008" width="11.42578125" style="3"/>
    <col min="11009" max="11009" width="15.85546875" style="3" customWidth="1"/>
    <col min="11010" max="11010" width="14.85546875" style="3" customWidth="1"/>
    <col min="11011" max="11011" width="13.28515625" style="3" customWidth="1"/>
    <col min="11012" max="11012" width="11.42578125" style="3"/>
    <col min="11013" max="11013" width="13.42578125" style="3" customWidth="1"/>
    <col min="11014" max="11014" width="12.7109375" style="3" customWidth="1"/>
    <col min="11015" max="11015" width="14" style="3" customWidth="1"/>
    <col min="11016" max="11016" width="7.42578125" style="3" customWidth="1"/>
    <col min="11017" max="11264" width="11.42578125" style="3"/>
    <col min="11265" max="11265" width="15.85546875" style="3" customWidth="1"/>
    <col min="11266" max="11266" width="14.85546875" style="3" customWidth="1"/>
    <col min="11267" max="11267" width="13.28515625" style="3" customWidth="1"/>
    <col min="11268" max="11268" width="11.42578125" style="3"/>
    <col min="11269" max="11269" width="13.42578125" style="3" customWidth="1"/>
    <col min="11270" max="11270" width="12.7109375" style="3" customWidth="1"/>
    <col min="11271" max="11271" width="14" style="3" customWidth="1"/>
    <col min="11272" max="11272" width="7.42578125" style="3" customWidth="1"/>
    <col min="11273" max="11520" width="11.42578125" style="3"/>
    <col min="11521" max="11521" width="15.85546875" style="3" customWidth="1"/>
    <col min="11522" max="11522" width="14.85546875" style="3" customWidth="1"/>
    <col min="11523" max="11523" width="13.28515625" style="3" customWidth="1"/>
    <col min="11524" max="11524" width="11.42578125" style="3"/>
    <col min="11525" max="11525" width="13.42578125" style="3" customWidth="1"/>
    <col min="11526" max="11526" width="12.7109375" style="3" customWidth="1"/>
    <col min="11527" max="11527" width="14" style="3" customWidth="1"/>
    <col min="11528" max="11528" width="7.42578125" style="3" customWidth="1"/>
    <col min="11529" max="11776" width="11.42578125" style="3"/>
    <col min="11777" max="11777" width="15.85546875" style="3" customWidth="1"/>
    <col min="11778" max="11778" width="14.85546875" style="3" customWidth="1"/>
    <col min="11779" max="11779" width="13.28515625" style="3" customWidth="1"/>
    <col min="11780" max="11780" width="11.42578125" style="3"/>
    <col min="11781" max="11781" width="13.42578125" style="3" customWidth="1"/>
    <col min="11782" max="11782" width="12.7109375" style="3" customWidth="1"/>
    <col min="11783" max="11783" width="14" style="3" customWidth="1"/>
    <col min="11784" max="11784" width="7.42578125" style="3" customWidth="1"/>
    <col min="11785" max="12032" width="11.42578125" style="3"/>
    <col min="12033" max="12033" width="15.85546875" style="3" customWidth="1"/>
    <col min="12034" max="12034" width="14.85546875" style="3" customWidth="1"/>
    <col min="12035" max="12035" width="13.28515625" style="3" customWidth="1"/>
    <col min="12036" max="12036" width="11.42578125" style="3"/>
    <col min="12037" max="12037" width="13.42578125" style="3" customWidth="1"/>
    <col min="12038" max="12038" width="12.7109375" style="3" customWidth="1"/>
    <col min="12039" max="12039" width="14" style="3" customWidth="1"/>
    <col min="12040" max="12040" width="7.42578125" style="3" customWidth="1"/>
    <col min="12041" max="12288" width="11.42578125" style="3"/>
    <col min="12289" max="12289" width="15.85546875" style="3" customWidth="1"/>
    <col min="12290" max="12290" width="14.85546875" style="3" customWidth="1"/>
    <col min="12291" max="12291" width="13.28515625" style="3" customWidth="1"/>
    <col min="12292" max="12292" width="11.42578125" style="3"/>
    <col min="12293" max="12293" width="13.42578125" style="3" customWidth="1"/>
    <col min="12294" max="12294" width="12.7109375" style="3" customWidth="1"/>
    <col min="12295" max="12295" width="14" style="3" customWidth="1"/>
    <col min="12296" max="12296" width="7.42578125" style="3" customWidth="1"/>
    <col min="12297" max="12544" width="11.42578125" style="3"/>
    <col min="12545" max="12545" width="15.85546875" style="3" customWidth="1"/>
    <col min="12546" max="12546" width="14.85546875" style="3" customWidth="1"/>
    <col min="12547" max="12547" width="13.28515625" style="3" customWidth="1"/>
    <col min="12548" max="12548" width="11.42578125" style="3"/>
    <col min="12549" max="12549" width="13.42578125" style="3" customWidth="1"/>
    <col min="12550" max="12550" width="12.7109375" style="3" customWidth="1"/>
    <col min="12551" max="12551" width="14" style="3" customWidth="1"/>
    <col min="12552" max="12552" width="7.42578125" style="3" customWidth="1"/>
    <col min="12553" max="12800" width="11.42578125" style="3"/>
    <col min="12801" max="12801" width="15.85546875" style="3" customWidth="1"/>
    <col min="12802" max="12802" width="14.85546875" style="3" customWidth="1"/>
    <col min="12803" max="12803" width="13.28515625" style="3" customWidth="1"/>
    <col min="12804" max="12804" width="11.42578125" style="3"/>
    <col min="12805" max="12805" width="13.42578125" style="3" customWidth="1"/>
    <col min="12806" max="12806" width="12.7109375" style="3" customWidth="1"/>
    <col min="12807" max="12807" width="14" style="3" customWidth="1"/>
    <col min="12808" max="12808" width="7.42578125" style="3" customWidth="1"/>
    <col min="12809" max="13056" width="11.42578125" style="3"/>
    <col min="13057" max="13057" width="15.85546875" style="3" customWidth="1"/>
    <col min="13058" max="13058" width="14.85546875" style="3" customWidth="1"/>
    <col min="13059" max="13059" width="13.28515625" style="3" customWidth="1"/>
    <col min="13060" max="13060" width="11.42578125" style="3"/>
    <col min="13061" max="13061" width="13.42578125" style="3" customWidth="1"/>
    <col min="13062" max="13062" width="12.7109375" style="3" customWidth="1"/>
    <col min="13063" max="13063" width="14" style="3" customWidth="1"/>
    <col min="13064" max="13064" width="7.42578125" style="3" customWidth="1"/>
    <col min="13065" max="13312" width="11.42578125" style="3"/>
    <col min="13313" max="13313" width="15.85546875" style="3" customWidth="1"/>
    <col min="13314" max="13314" width="14.85546875" style="3" customWidth="1"/>
    <col min="13315" max="13315" width="13.28515625" style="3" customWidth="1"/>
    <col min="13316" max="13316" width="11.42578125" style="3"/>
    <col min="13317" max="13317" width="13.42578125" style="3" customWidth="1"/>
    <col min="13318" max="13318" width="12.7109375" style="3" customWidth="1"/>
    <col min="13319" max="13319" width="14" style="3" customWidth="1"/>
    <col min="13320" max="13320" width="7.42578125" style="3" customWidth="1"/>
    <col min="13321" max="13568" width="11.42578125" style="3"/>
    <col min="13569" max="13569" width="15.85546875" style="3" customWidth="1"/>
    <col min="13570" max="13570" width="14.85546875" style="3" customWidth="1"/>
    <col min="13571" max="13571" width="13.28515625" style="3" customWidth="1"/>
    <col min="13572" max="13572" width="11.42578125" style="3"/>
    <col min="13573" max="13573" width="13.42578125" style="3" customWidth="1"/>
    <col min="13574" max="13574" width="12.7109375" style="3" customWidth="1"/>
    <col min="13575" max="13575" width="14" style="3" customWidth="1"/>
    <col min="13576" max="13576" width="7.42578125" style="3" customWidth="1"/>
    <col min="13577" max="13824" width="11.42578125" style="3"/>
    <col min="13825" max="13825" width="15.85546875" style="3" customWidth="1"/>
    <col min="13826" max="13826" width="14.85546875" style="3" customWidth="1"/>
    <col min="13827" max="13827" width="13.28515625" style="3" customWidth="1"/>
    <col min="13828" max="13828" width="11.42578125" style="3"/>
    <col min="13829" max="13829" width="13.42578125" style="3" customWidth="1"/>
    <col min="13830" max="13830" width="12.7109375" style="3" customWidth="1"/>
    <col min="13831" max="13831" width="14" style="3" customWidth="1"/>
    <col min="13832" max="13832" width="7.42578125" style="3" customWidth="1"/>
    <col min="13833" max="14080" width="11.42578125" style="3"/>
    <col min="14081" max="14081" width="15.85546875" style="3" customWidth="1"/>
    <col min="14082" max="14082" width="14.85546875" style="3" customWidth="1"/>
    <col min="14083" max="14083" width="13.28515625" style="3" customWidth="1"/>
    <col min="14084" max="14084" width="11.42578125" style="3"/>
    <col min="14085" max="14085" width="13.42578125" style="3" customWidth="1"/>
    <col min="14086" max="14086" width="12.7109375" style="3" customWidth="1"/>
    <col min="14087" max="14087" width="14" style="3" customWidth="1"/>
    <col min="14088" max="14088" width="7.42578125" style="3" customWidth="1"/>
    <col min="14089" max="14336" width="11.42578125" style="3"/>
    <col min="14337" max="14337" width="15.85546875" style="3" customWidth="1"/>
    <col min="14338" max="14338" width="14.85546875" style="3" customWidth="1"/>
    <col min="14339" max="14339" width="13.28515625" style="3" customWidth="1"/>
    <col min="14340" max="14340" width="11.42578125" style="3"/>
    <col min="14341" max="14341" width="13.42578125" style="3" customWidth="1"/>
    <col min="14342" max="14342" width="12.7109375" style="3" customWidth="1"/>
    <col min="14343" max="14343" width="14" style="3" customWidth="1"/>
    <col min="14344" max="14344" width="7.42578125" style="3" customWidth="1"/>
    <col min="14345" max="14592" width="11.42578125" style="3"/>
    <col min="14593" max="14593" width="15.85546875" style="3" customWidth="1"/>
    <col min="14594" max="14594" width="14.85546875" style="3" customWidth="1"/>
    <col min="14595" max="14595" width="13.28515625" style="3" customWidth="1"/>
    <col min="14596" max="14596" width="11.42578125" style="3"/>
    <col min="14597" max="14597" width="13.42578125" style="3" customWidth="1"/>
    <col min="14598" max="14598" width="12.7109375" style="3" customWidth="1"/>
    <col min="14599" max="14599" width="14" style="3" customWidth="1"/>
    <col min="14600" max="14600" width="7.42578125" style="3" customWidth="1"/>
    <col min="14601" max="14848" width="11.42578125" style="3"/>
    <col min="14849" max="14849" width="15.85546875" style="3" customWidth="1"/>
    <col min="14850" max="14850" width="14.85546875" style="3" customWidth="1"/>
    <col min="14851" max="14851" width="13.28515625" style="3" customWidth="1"/>
    <col min="14852" max="14852" width="11.42578125" style="3"/>
    <col min="14853" max="14853" width="13.42578125" style="3" customWidth="1"/>
    <col min="14854" max="14854" width="12.7109375" style="3" customWidth="1"/>
    <col min="14855" max="14855" width="14" style="3" customWidth="1"/>
    <col min="14856" max="14856" width="7.42578125" style="3" customWidth="1"/>
    <col min="14857" max="15104" width="11.42578125" style="3"/>
    <col min="15105" max="15105" width="15.85546875" style="3" customWidth="1"/>
    <col min="15106" max="15106" width="14.85546875" style="3" customWidth="1"/>
    <col min="15107" max="15107" width="13.28515625" style="3" customWidth="1"/>
    <col min="15108" max="15108" width="11.42578125" style="3"/>
    <col min="15109" max="15109" width="13.42578125" style="3" customWidth="1"/>
    <col min="15110" max="15110" width="12.7109375" style="3" customWidth="1"/>
    <col min="15111" max="15111" width="14" style="3" customWidth="1"/>
    <col min="15112" max="15112" width="7.42578125" style="3" customWidth="1"/>
    <col min="15113" max="15360" width="11.42578125" style="3"/>
    <col min="15361" max="15361" width="15.85546875" style="3" customWidth="1"/>
    <col min="15362" max="15362" width="14.85546875" style="3" customWidth="1"/>
    <col min="15363" max="15363" width="13.28515625" style="3" customWidth="1"/>
    <col min="15364" max="15364" width="11.42578125" style="3"/>
    <col min="15365" max="15365" width="13.42578125" style="3" customWidth="1"/>
    <col min="15366" max="15366" width="12.7109375" style="3" customWidth="1"/>
    <col min="15367" max="15367" width="14" style="3" customWidth="1"/>
    <col min="15368" max="15368" width="7.42578125" style="3" customWidth="1"/>
    <col min="15369" max="15616" width="11.42578125" style="3"/>
    <col min="15617" max="15617" width="15.85546875" style="3" customWidth="1"/>
    <col min="15618" max="15618" width="14.85546875" style="3" customWidth="1"/>
    <col min="15619" max="15619" width="13.28515625" style="3" customWidth="1"/>
    <col min="15620" max="15620" width="11.42578125" style="3"/>
    <col min="15621" max="15621" width="13.42578125" style="3" customWidth="1"/>
    <col min="15622" max="15622" width="12.7109375" style="3" customWidth="1"/>
    <col min="15623" max="15623" width="14" style="3" customWidth="1"/>
    <col min="15624" max="15624" width="7.42578125" style="3" customWidth="1"/>
    <col min="15625" max="15872" width="11.42578125" style="3"/>
    <col min="15873" max="15873" width="15.85546875" style="3" customWidth="1"/>
    <col min="15874" max="15874" width="14.85546875" style="3" customWidth="1"/>
    <col min="15875" max="15875" width="13.28515625" style="3" customWidth="1"/>
    <col min="15876" max="15876" width="11.42578125" style="3"/>
    <col min="15877" max="15877" width="13.42578125" style="3" customWidth="1"/>
    <col min="15878" max="15878" width="12.7109375" style="3" customWidth="1"/>
    <col min="15879" max="15879" width="14" style="3" customWidth="1"/>
    <col min="15880" max="15880" width="7.42578125" style="3" customWidth="1"/>
    <col min="15881" max="16128" width="11.42578125" style="3"/>
    <col min="16129" max="16129" width="15.85546875" style="3" customWidth="1"/>
    <col min="16130" max="16130" width="14.85546875" style="3" customWidth="1"/>
    <col min="16131" max="16131" width="13.28515625" style="3" customWidth="1"/>
    <col min="16132" max="16132" width="11.42578125" style="3"/>
    <col min="16133" max="16133" width="13.42578125" style="3" customWidth="1"/>
    <col min="16134" max="16134" width="12.7109375" style="3" customWidth="1"/>
    <col min="16135" max="16135" width="14" style="3" customWidth="1"/>
    <col min="16136" max="16136" width="7.42578125" style="3" customWidth="1"/>
    <col min="16137" max="16384" width="11.42578125" style="3"/>
  </cols>
  <sheetData>
    <row r="1" spans="1:21" ht="20.25">
      <c r="A1" s="1346" t="str">
        <f>PPTO!D3</f>
        <v>PRESUPUESTO
MUNICIPIO EL BAGRE (ANTIOQUIA).</v>
      </c>
      <c r="B1" s="1347"/>
      <c r="C1" s="1347"/>
      <c r="D1" s="1347"/>
      <c r="E1" s="1347"/>
      <c r="F1" s="1347"/>
      <c r="G1" s="1348"/>
      <c r="H1" s="1"/>
      <c r="I1" s="2"/>
    </row>
    <row r="2" spans="1:21" ht="18" customHeight="1">
      <c r="A2" s="1362" t="s">
        <v>16</v>
      </c>
      <c r="B2" s="1363"/>
      <c r="C2" s="1363"/>
      <c r="D2" s="1363"/>
      <c r="E2" s="1363"/>
      <c r="F2" s="1363"/>
      <c r="G2" s="1364"/>
      <c r="H2" s="1"/>
      <c r="I2" s="2"/>
    </row>
    <row r="3" spans="1:21" ht="27" customHeight="1">
      <c r="A3" s="1367" t="str">
        <f>+PPTO!$D$5</f>
        <v>PROYECTO DE MEJORAMIENTO VIAL, ESPACIO PUBLICO Y OBRAS COMPLEMENTARIAS DE LA AVENIDA LA JUVENTUD Y TRAMOS ADYACENTES Y PRIORITARIOS DEL SECTOR URBANO EN EL MUNICIPIO EL BAGRE ANTIOQUIA.</v>
      </c>
      <c r="B3" s="1368"/>
      <c r="C3" s="1368"/>
      <c r="D3" s="1368"/>
      <c r="E3" s="1368"/>
      <c r="F3" s="1368"/>
      <c r="G3" s="1369"/>
      <c r="H3" s="1"/>
      <c r="I3" s="2"/>
    </row>
    <row r="4" spans="1:21" ht="12" customHeight="1">
      <c r="A4" s="1370"/>
      <c r="B4" s="1368"/>
      <c r="C4" s="1368"/>
      <c r="D4" s="1368"/>
      <c r="E4" s="1368"/>
      <c r="F4" s="1368"/>
      <c r="G4" s="1369"/>
      <c r="H4" s="1"/>
      <c r="I4" s="2"/>
    </row>
    <row r="5" spans="1:21" ht="6.75" customHeight="1">
      <c r="A5" s="222"/>
      <c r="B5" s="6"/>
      <c r="C5" s="24"/>
      <c r="D5" s="25"/>
      <c r="E5" s="6"/>
      <c r="F5" s="6"/>
      <c r="G5" s="223"/>
      <c r="H5" s="9"/>
    </row>
    <row r="6" spans="1:21" ht="22.5" customHeight="1">
      <c r="A6" s="886">
        <v>6.54</v>
      </c>
      <c r="B6" s="1349" t="str">
        <f>VLOOKUP(A6,PPTO!D9:I136,2,FALSE)</f>
        <v>KIT SILLA YEE Ø12" x Ø6" (INCLUYE HIDROSELLOS Y LUBRICANTES)</v>
      </c>
      <c r="C6" s="1350"/>
      <c r="D6" s="1350"/>
      <c r="E6" s="1351"/>
      <c r="F6" s="192" t="s">
        <v>118</v>
      </c>
      <c r="G6" s="248" t="str">
        <f>VLOOKUP(A6,PPTO!D9:I136,3,FALSE)</f>
        <v>m</v>
      </c>
      <c r="H6" s="9"/>
    </row>
    <row r="7" spans="1:21" ht="3.75" customHeight="1">
      <c r="A7" s="226"/>
      <c r="B7" s="4"/>
      <c r="C7" s="6"/>
      <c r="D7" s="4"/>
      <c r="E7" s="4"/>
      <c r="F7" s="4"/>
      <c r="G7" s="227"/>
      <c r="H7" s="9"/>
    </row>
    <row r="8" spans="1:21" ht="22.5" customHeight="1">
      <c r="A8" s="1354" t="s">
        <v>69</v>
      </c>
      <c r="B8" s="1355"/>
      <c r="C8" s="1355"/>
      <c r="D8" s="1355"/>
      <c r="E8" s="1355"/>
      <c r="F8" s="1355"/>
      <c r="G8" s="1356"/>
      <c r="H8" s="9"/>
    </row>
    <row r="9" spans="1:21" ht="4.5" customHeight="1">
      <c r="A9" s="226"/>
      <c r="B9" s="4"/>
      <c r="C9" s="6"/>
      <c r="D9" s="4"/>
      <c r="E9" s="4"/>
      <c r="F9" s="4"/>
      <c r="G9" s="227"/>
      <c r="H9" s="9"/>
      <c r="I9" s="5"/>
      <c r="J9" s="5"/>
      <c r="K9" s="5"/>
      <c r="L9" s="26"/>
      <c r="M9" s="5"/>
      <c r="N9" s="5"/>
      <c r="O9" s="5"/>
      <c r="P9" s="5"/>
    </row>
    <row r="10" spans="1:21">
      <c r="A10" s="1373" t="s">
        <v>17</v>
      </c>
      <c r="B10" s="1374"/>
      <c r="C10" s="1374"/>
      <c r="D10" s="788" t="s">
        <v>18</v>
      </c>
      <c r="E10" s="788" t="s">
        <v>19</v>
      </c>
      <c r="F10" s="788" t="s">
        <v>20</v>
      </c>
      <c r="G10" s="228" t="s">
        <v>21</v>
      </c>
      <c r="H10" s="27"/>
      <c r="I10" s="28"/>
      <c r="J10" s="29"/>
      <c r="K10" s="30"/>
      <c r="L10" s="30"/>
      <c r="M10" s="30"/>
      <c r="N10" s="30"/>
      <c r="O10" s="30"/>
      <c r="P10" s="5"/>
    </row>
    <row r="11" spans="1:21">
      <c r="A11" s="1352" t="s">
        <v>47</v>
      </c>
      <c r="B11" s="1353"/>
      <c r="C11" s="1353"/>
      <c r="D11" s="788"/>
      <c r="E11" s="83"/>
      <c r="F11" s="97"/>
      <c r="G11" s="229">
        <f>+G39*10%</f>
        <v>3054</v>
      </c>
      <c r="H11" s="9"/>
      <c r="I11" s="30"/>
      <c r="J11" s="31"/>
      <c r="K11" s="30"/>
      <c r="L11" s="30"/>
      <c r="M11" s="30"/>
      <c r="N11" s="30"/>
      <c r="O11" s="30"/>
      <c r="P11" s="5"/>
    </row>
    <row r="12" spans="1:21">
      <c r="A12" s="1371"/>
      <c r="B12" s="1372"/>
      <c r="C12" s="1372"/>
      <c r="D12" s="83"/>
      <c r="E12" s="83"/>
      <c r="F12" s="93"/>
      <c r="G12" s="229"/>
      <c r="H12" s="9"/>
      <c r="I12" s="16"/>
      <c r="J12" s="13"/>
      <c r="K12" s="8"/>
      <c r="L12" s="8"/>
      <c r="M12" s="8"/>
      <c r="N12" s="8"/>
      <c r="O12" s="8"/>
      <c r="P12" s="5"/>
    </row>
    <row r="13" spans="1:21">
      <c r="A13" s="1371"/>
      <c r="B13" s="1372"/>
      <c r="C13" s="1372"/>
      <c r="D13" s="83"/>
      <c r="E13" s="83"/>
      <c r="F13" s="93"/>
      <c r="G13" s="229"/>
      <c r="H13" s="9"/>
      <c r="I13" s="13"/>
      <c r="J13" s="13"/>
      <c r="K13" s="13"/>
      <c r="L13" s="13"/>
      <c r="M13" s="13"/>
      <c r="N13" s="13"/>
      <c r="O13" s="13"/>
      <c r="P13" s="5"/>
    </row>
    <row r="14" spans="1:21">
      <c r="A14" s="1371"/>
      <c r="B14" s="1372"/>
      <c r="C14" s="1372"/>
      <c r="D14" s="83"/>
      <c r="E14" s="83"/>
      <c r="F14" s="93"/>
      <c r="G14" s="229"/>
      <c r="H14" s="9"/>
      <c r="I14" s="8"/>
      <c r="J14" s="14"/>
      <c r="K14" s="32"/>
      <c r="L14" s="14"/>
      <c r="M14" s="15"/>
      <c r="N14" s="15"/>
      <c r="O14" s="19"/>
      <c r="P14" s="5"/>
    </row>
    <row r="15" spans="1:21">
      <c r="A15" s="1371"/>
      <c r="B15" s="1372"/>
      <c r="C15" s="1372"/>
      <c r="D15" s="83"/>
      <c r="E15" s="83"/>
      <c r="F15" s="98"/>
      <c r="G15" s="229"/>
      <c r="H15" s="9"/>
      <c r="I15" s="8"/>
      <c r="J15" s="33"/>
      <c r="K15" s="32"/>
      <c r="L15" s="14"/>
      <c r="M15" s="15"/>
      <c r="N15" s="15"/>
      <c r="O15" s="19"/>
      <c r="P15" s="5"/>
      <c r="Q15" s="5"/>
      <c r="R15" s="5"/>
      <c r="S15" s="5"/>
      <c r="T15" s="5"/>
      <c r="U15" s="5"/>
    </row>
    <row r="16" spans="1:21">
      <c r="A16" s="1371"/>
      <c r="B16" s="1372"/>
      <c r="C16" s="1372"/>
      <c r="D16" s="85" t="s">
        <v>37</v>
      </c>
      <c r="E16" s="50"/>
      <c r="F16" s="49"/>
      <c r="G16" s="230">
        <f>SUM(G11:G15)</f>
        <v>3054</v>
      </c>
      <c r="H16" s="9"/>
      <c r="I16" s="34"/>
      <c r="J16" s="34"/>
      <c r="K16" s="35"/>
      <c r="L16" s="36"/>
      <c r="M16" s="7"/>
      <c r="N16" s="7"/>
      <c r="O16" s="19"/>
      <c r="P16" s="5"/>
      <c r="Q16" s="5"/>
      <c r="R16" s="5"/>
      <c r="S16" s="5"/>
      <c r="T16" s="5"/>
      <c r="U16" s="5"/>
    </row>
    <row r="17" spans="1:21" ht="4.5" customHeight="1">
      <c r="A17" s="226"/>
      <c r="B17" s="4"/>
      <c r="C17" s="6"/>
      <c r="D17" s="4"/>
      <c r="E17" s="4"/>
      <c r="F17" s="4"/>
      <c r="G17" s="227"/>
      <c r="H17" s="9"/>
      <c r="I17" s="34"/>
      <c r="J17" s="34"/>
      <c r="K17" s="35"/>
      <c r="L17" s="36"/>
      <c r="M17" s="7"/>
      <c r="N17" s="7"/>
      <c r="O17" s="19"/>
      <c r="P17" s="5"/>
      <c r="Q17" s="5"/>
      <c r="R17" s="5"/>
      <c r="S17" s="5"/>
      <c r="T17" s="5"/>
      <c r="U17" s="5"/>
    </row>
    <row r="18" spans="1:21" ht="22.5" customHeight="1">
      <c r="A18" s="1354" t="s">
        <v>70</v>
      </c>
      <c r="B18" s="1355"/>
      <c r="C18" s="1355"/>
      <c r="D18" s="1355"/>
      <c r="E18" s="1355"/>
      <c r="F18" s="1355"/>
      <c r="G18" s="1356"/>
      <c r="H18" s="9"/>
    </row>
    <row r="19" spans="1:21" ht="4.5" customHeight="1">
      <c r="A19" s="226"/>
      <c r="B19" s="4"/>
      <c r="C19" s="6"/>
      <c r="D19" s="4"/>
      <c r="E19" s="4"/>
      <c r="F19" s="38"/>
      <c r="G19" s="227"/>
      <c r="H19" s="9"/>
      <c r="I19" s="34"/>
      <c r="J19" s="34"/>
      <c r="K19" s="35"/>
      <c r="L19" s="39"/>
      <c r="M19" s="7"/>
      <c r="N19" s="7"/>
      <c r="O19" s="8"/>
      <c r="P19" s="5"/>
      <c r="Q19" s="5"/>
      <c r="R19" s="5"/>
      <c r="S19" s="5"/>
      <c r="T19" s="5"/>
      <c r="U19" s="5"/>
    </row>
    <row r="20" spans="1:21">
      <c r="A20" s="1373" t="s">
        <v>17</v>
      </c>
      <c r="B20" s="1374"/>
      <c r="C20" s="1374"/>
      <c r="D20" s="788" t="s">
        <v>3</v>
      </c>
      <c r="E20" s="788" t="s">
        <v>4</v>
      </c>
      <c r="F20" s="788" t="s">
        <v>25</v>
      </c>
      <c r="G20" s="228" t="s">
        <v>21</v>
      </c>
      <c r="H20" s="27"/>
      <c r="I20" s="34"/>
      <c r="J20" s="34"/>
      <c r="K20" s="35"/>
      <c r="L20" s="39"/>
      <c r="M20" s="7"/>
      <c r="N20" s="7"/>
      <c r="O20" s="8"/>
      <c r="P20" s="5"/>
      <c r="Q20" s="5"/>
      <c r="R20" s="5"/>
      <c r="S20" s="5"/>
      <c r="T20" s="5"/>
      <c r="U20" s="5"/>
    </row>
    <row r="21" spans="1:21" ht="31.5" customHeight="1">
      <c r="A21" s="1441" t="str">
        <f>B6</f>
        <v>KIT SILLA YEE Ø12" x Ø6" (INCLUYE HIDROSELLOS Y LUBRICANTES)</v>
      </c>
      <c r="B21" s="1442"/>
      <c r="C21" s="1443"/>
      <c r="D21" s="118" t="s">
        <v>119</v>
      </c>
      <c r="E21" s="119">
        <v>1</v>
      </c>
      <c r="F21" s="87">
        <v>165780</v>
      </c>
      <c r="G21" s="231">
        <f>ROUND(F21*E21,0)</f>
        <v>165780</v>
      </c>
      <c r="H21" s="9"/>
      <c r="I21" s="34"/>
      <c r="J21" s="34"/>
      <c r="K21" s="35"/>
      <c r="L21" s="36"/>
      <c r="M21" s="7"/>
      <c r="N21" s="7"/>
      <c r="O21" s="19"/>
      <c r="P21" s="5"/>
      <c r="Q21" s="5"/>
      <c r="R21" s="5"/>
      <c r="S21" s="5"/>
      <c r="T21" s="5"/>
      <c r="U21" s="5"/>
    </row>
    <row r="22" spans="1:21" ht="27.75" customHeight="1">
      <c r="A22" s="1444"/>
      <c r="B22" s="1403"/>
      <c r="C22" s="1404"/>
      <c r="D22" s="116"/>
      <c r="E22" s="117"/>
      <c r="F22" s="91"/>
      <c r="G22" s="231"/>
      <c r="H22" s="9"/>
      <c r="I22" s="10"/>
      <c r="J22" s="10"/>
      <c r="K22" s="12"/>
      <c r="L22" s="39"/>
      <c r="M22" s="7"/>
      <c r="N22" s="7"/>
      <c r="O22" s="15"/>
      <c r="P22" s="5"/>
      <c r="Q22" s="5"/>
      <c r="R22" s="5"/>
      <c r="S22" s="5"/>
      <c r="T22" s="5"/>
      <c r="U22" s="5"/>
    </row>
    <row r="23" spans="1:21">
      <c r="A23" s="1386" t="s">
        <v>131</v>
      </c>
      <c r="B23" s="1353"/>
      <c r="C23" s="1353"/>
      <c r="D23" s="79"/>
      <c r="E23" s="82">
        <v>1</v>
      </c>
      <c r="F23" s="83">
        <v>5000</v>
      </c>
      <c r="G23" s="67">
        <f>+F23*E23</f>
        <v>5000</v>
      </c>
      <c r="H23" s="9"/>
      <c r="I23" s="10"/>
      <c r="J23" s="10"/>
      <c r="K23" s="12"/>
      <c r="L23" s="39"/>
      <c r="M23" s="7"/>
      <c r="N23" s="7"/>
      <c r="O23" s="15"/>
      <c r="P23" s="5"/>
      <c r="Q23" s="5"/>
      <c r="R23" s="5"/>
      <c r="S23" s="5"/>
      <c r="T23" s="5"/>
      <c r="U23" s="5"/>
    </row>
    <row r="24" spans="1:21">
      <c r="A24" s="1352"/>
      <c r="B24" s="1353"/>
      <c r="C24" s="1353"/>
      <c r="D24" s="81"/>
      <c r="E24" s="88"/>
      <c r="F24" s="78"/>
      <c r="G24" s="231"/>
      <c r="H24" s="9"/>
      <c r="I24" s="10"/>
      <c r="J24" s="40"/>
      <c r="K24" s="12"/>
      <c r="L24" s="13"/>
      <c r="M24" s="14"/>
      <c r="N24" s="14"/>
      <c r="O24" s="15"/>
      <c r="P24" s="5"/>
      <c r="Q24" s="5"/>
      <c r="R24" s="5"/>
      <c r="S24" s="5"/>
      <c r="T24" s="5"/>
      <c r="U24" s="5"/>
    </row>
    <row r="25" spans="1:21">
      <c r="A25" s="1352"/>
      <c r="B25" s="1353"/>
      <c r="C25" s="1353"/>
      <c r="D25" s="81"/>
      <c r="E25" s="82"/>
      <c r="F25" s="78"/>
      <c r="G25" s="231"/>
      <c r="H25" s="9"/>
      <c r="I25" s="10"/>
      <c r="J25" s="11"/>
      <c r="K25" s="12"/>
      <c r="L25" s="13"/>
      <c r="M25" s="14"/>
      <c r="N25" s="14"/>
      <c r="O25" s="15"/>
      <c r="P25" s="5"/>
      <c r="Q25" s="5"/>
      <c r="R25" s="5"/>
      <c r="S25" s="5"/>
      <c r="T25" s="5"/>
      <c r="U25" s="5"/>
    </row>
    <row r="26" spans="1:21">
      <c r="A26" s="1352"/>
      <c r="B26" s="1353"/>
      <c r="C26" s="1353"/>
      <c r="D26" s="79"/>
      <c r="E26" s="82"/>
      <c r="F26" s="78"/>
      <c r="G26" s="231"/>
      <c r="H26" s="9"/>
      <c r="I26" s="10"/>
      <c r="J26" s="11"/>
      <c r="K26" s="12"/>
      <c r="L26" s="13"/>
      <c r="M26" s="14"/>
      <c r="N26" s="14"/>
      <c r="O26" s="15"/>
      <c r="P26" s="5"/>
      <c r="Q26" s="5"/>
      <c r="R26" s="5"/>
      <c r="S26" s="5"/>
      <c r="T26" s="5"/>
      <c r="U26" s="5"/>
    </row>
    <row r="27" spans="1:21">
      <c r="A27" s="1352"/>
      <c r="B27" s="1353"/>
      <c r="C27" s="1353"/>
      <c r="D27" s="79"/>
      <c r="E27" s="82"/>
      <c r="F27" s="78"/>
      <c r="G27" s="231"/>
      <c r="H27" s="9"/>
      <c r="I27" s="10"/>
      <c r="J27" s="11"/>
      <c r="K27" s="12"/>
      <c r="L27" s="13"/>
      <c r="M27" s="14"/>
      <c r="N27" s="14"/>
      <c r="O27" s="15"/>
      <c r="P27" s="5"/>
      <c r="Q27" s="5"/>
      <c r="R27" s="5"/>
      <c r="S27" s="5"/>
      <c r="T27" s="5"/>
      <c r="U27" s="5"/>
    </row>
    <row r="28" spans="1:21">
      <c r="A28" s="1352"/>
      <c r="B28" s="1353"/>
      <c r="C28" s="1353"/>
      <c r="D28" s="79"/>
      <c r="E28" s="82"/>
      <c r="F28" s="83"/>
      <c r="G28" s="231"/>
      <c r="H28" s="9"/>
      <c r="I28" s="41"/>
      <c r="J28" s="41"/>
      <c r="K28" s="12"/>
      <c r="L28" s="13"/>
      <c r="M28" s="14"/>
      <c r="N28" s="14"/>
      <c r="O28" s="15"/>
      <c r="P28" s="5"/>
      <c r="Q28" s="5"/>
      <c r="R28" s="5"/>
      <c r="S28" s="5"/>
      <c r="T28" s="5"/>
      <c r="U28" s="5"/>
    </row>
    <row r="29" spans="1:21">
      <c r="A29" s="1352"/>
      <c r="B29" s="1353"/>
      <c r="C29" s="1353"/>
      <c r="D29" s="84"/>
      <c r="E29" s="84"/>
      <c r="F29" s="83"/>
      <c r="G29" s="231"/>
      <c r="H29" s="9"/>
      <c r="I29" s="42"/>
      <c r="J29" s="42"/>
      <c r="K29" s="42"/>
      <c r="L29" s="13"/>
      <c r="M29" s="14"/>
      <c r="N29" s="14"/>
      <c r="O29" s="15"/>
      <c r="P29" s="5"/>
      <c r="Q29" s="5"/>
      <c r="R29" s="5"/>
      <c r="S29" s="5"/>
      <c r="T29" s="5"/>
      <c r="U29" s="5"/>
    </row>
    <row r="30" spans="1:21">
      <c r="A30" s="1352"/>
      <c r="B30" s="1353"/>
      <c r="C30" s="1353"/>
      <c r="D30" s="85" t="s">
        <v>28</v>
      </c>
      <c r="E30" s="50"/>
      <c r="F30" s="49"/>
      <c r="G30" s="230">
        <f>SUM(G21:G29)</f>
        <v>170780</v>
      </c>
      <c r="H30" s="9"/>
      <c r="I30" s="8"/>
      <c r="J30" s="13"/>
      <c r="K30" s="8"/>
      <c r="L30" s="13"/>
      <c r="M30" s="14"/>
      <c r="N30" s="14"/>
      <c r="O30" s="15"/>
      <c r="P30" s="5"/>
    </row>
    <row r="31" spans="1:21" ht="3.75" customHeight="1">
      <c r="A31" s="226"/>
      <c r="B31" s="4"/>
      <c r="C31" s="6"/>
      <c r="D31" s="4"/>
      <c r="E31" s="4"/>
      <c r="F31" s="4"/>
      <c r="G31" s="227"/>
      <c r="H31" s="9"/>
      <c r="I31" s="8"/>
      <c r="J31" s="13"/>
      <c r="K31" s="18"/>
      <c r="L31" s="13"/>
      <c r="M31" s="33"/>
      <c r="N31" s="33"/>
      <c r="O31" s="15"/>
      <c r="P31" s="5"/>
    </row>
    <row r="32" spans="1:21" ht="22.5" customHeight="1">
      <c r="A32" s="1354" t="s">
        <v>71</v>
      </c>
      <c r="B32" s="1355"/>
      <c r="C32" s="1355"/>
      <c r="D32" s="1355"/>
      <c r="E32" s="1355"/>
      <c r="F32" s="1355"/>
      <c r="G32" s="1356"/>
      <c r="H32" s="9"/>
    </row>
    <row r="33" spans="1:16" ht="3.75" customHeight="1">
      <c r="A33" s="226"/>
      <c r="B33" s="4"/>
      <c r="C33" s="6"/>
      <c r="D33" s="4"/>
      <c r="E33" s="4"/>
      <c r="F33" s="4"/>
      <c r="G33" s="227"/>
      <c r="H33" s="9"/>
      <c r="I33" s="8"/>
      <c r="J33" s="13"/>
      <c r="K33" s="8"/>
      <c r="L33" s="8"/>
      <c r="M33" s="8"/>
      <c r="N33" s="8"/>
      <c r="O33" s="15"/>
      <c r="P33" s="5"/>
    </row>
    <row r="34" spans="1:16">
      <c r="A34" s="232" t="s">
        <v>5</v>
      </c>
      <c r="B34" s="60" t="s">
        <v>29</v>
      </c>
      <c r="C34" s="60" t="s">
        <v>30</v>
      </c>
      <c r="D34" s="60" t="s">
        <v>31</v>
      </c>
      <c r="E34" s="60" t="s">
        <v>32</v>
      </c>
      <c r="F34" s="60" t="s">
        <v>20</v>
      </c>
      <c r="G34" s="228" t="s">
        <v>33</v>
      </c>
      <c r="H34" s="27"/>
      <c r="I34" s="8"/>
      <c r="J34" s="13"/>
      <c r="K34" s="8"/>
      <c r="L34" s="8"/>
      <c r="M34" s="8"/>
      <c r="N34" s="8"/>
      <c r="O34" s="15"/>
      <c r="P34" s="5"/>
    </row>
    <row r="35" spans="1:16">
      <c r="A35" s="233" t="s">
        <v>41</v>
      </c>
      <c r="B35" s="63">
        <f>BOF</f>
        <v>51749</v>
      </c>
      <c r="C35" s="68">
        <f>ffpp</f>
        <v>0.64539999999999997</v>
      </c>
      <c r="D35" s="72">
        <v>1</v>
      </c>
      <c r="E35" s="66">
        <f>OF</f>
        <v>88696</v>
      </c>
      <c r="F35" s="65">
        <v>10</v>
      </c>
      <c r="G35" s="231">
        <f>ROUND(+D35*E35/F35,0)</f>
        <v>8870</v>
      </c>
      <c r="H35" s="9"/>
      <c r="I35" s="16"/>
      <c r="J35" s="13"/>
      <c r="K35" s="8"/>
      <c r="L35" s="8"/>
      <c r="M35" s="8"/>
      <c r="N35" s="8"/>
      <c r="O35" s="15"/>
      <c r="P35" s="5"/>
    </row>
    <row r="36" spans="1:16">
      <c r="A36" s="233" t="s">
        <v>38</v>
      </c>
      <c r="B36" s="63">
        <f>BOB</f>
        <v>41749</v>
      </c>
      <c r="C36" s="68">
        <f>ffpp</f>
        <v>0.64539999999999997</v>
      </c>
      <c r="D36" s="72">
        <v>3</v>
      </c>
      <c r="E36" s="66">
        <f>OB</f>
        <v>72242</v>
      </c>
      <c r="F36" s="65">
        <f>F35</f>
        <v>10</v>
      </c>
      <c r="G36" s="231">
        <f>ROUND(+D36*E36/F36,0)</f>
        <v>21673</v>
      </c>
      <c r="H36" s="9"/>
      <c r="I36" s="8"/>
      <c r="J36" s="8"/>
      <c r="K36" s="13"/>
      <c r="L36" s="13"/>
      <c r="M36" s="13"/>
      <c r="N36" s="13"/>
      <c r="O36" s="13"/>
      <c r="P36" s="5"/>
    </row>
    <row r="37" spans="1:16">
      <c r="A37" s="234"/>
      <c r="B37" s="50"/>
      <c r="C37" s="961"/>
      <c r="D37" s="50"/>
      <c r="E37" s="66"/>
      <c r="F37" s="65"/>
      <c r="G37" s="231"/>
      <c r="H37" s="9"/>
      <c r="I37" s="8"/>
      <c r="J37" s="13"/>
      <c r="K37" s="13"/>
      <c r="L37" s="13"/>
      <c r="M37" s="33"/>
      <c r="N37" s="33"/>
      <c r="O37" s="43"/>
      <c r="P37" s="5"/>
    </row>
    <row r="38" spans="1:16">
      <c r="A38" s="233"/>
      <c r="B38" s="65"/>
      <c r="C38" s="68"/>
      <c r="D38" s="65"/>
      <c r="E38" s="69"/>
      <c r="F38" s="69"/>
      <c r="G38" s="236"/>
      <c r="H38" s="9"/>
      <c r="I38" s="8"/>
      <c r="J38" s="13"/>
      <c r="K38" s="13"/>
      <c r="L38" s="13"/>
      <c r="M38" s="33"/>
      <c r="N38" s="33"/>
      <c r="O38" s="43"/>
      <c r="P38" s="5"/>
    </row>
    <row r="39" spans="1:16">
      <c r="A39" s="249"/>
      <c r="B39" s="71"/>
      <c r="C39" s="71"/>
      <c r="D39" s="71" t="s">
        <v>34</v>
      </c>
      <c r="E39" s="71"/>
      <c r="F39" s="71"/>
      <c r="G39" s="250">
        <f>SUM(G35:G38)</f>
        <v>30543</v>
      </c>
      <c r="H39" s="9"/>
      <c r="I39" s="8"/>
      <c r="J39" s="13"/>
      <c r="K39" s="13"/>
      <c r="L39" s="13"/>
      <c r="M39" s="14"/>
      <c r="N39" s="14"/>
      <c r="O39" s="15"/>
      <c r="P39" s="5"/>
    </row>
    <row r="40" spans="1:16">
      <c r="A40" s="226"/>
      <c r="B40" s="4"/>
      <c r="C40" s="6"/>
      <c r="D40" s="4"/>
      <c r="E40" s="4"/>
      <c r="F40" s="4"/>
      <c r="G40" s="227"/>
      <c r="H40" s="9"/>
      <c r="I40" s="8"/>
      <c r="J40" s="13"/>
      <c r="K40" s="13"/>
      <c r="L40" s="13"/>
      <c r="M40" s="14"/>
      <c r="N40" s="14"/>
      <c r="O40" s="19"/>
      <c r="P40" s="5"/>
    </row>
    <row r="41" spans="1:16">
      <c r="A41" s="226"/>
      <c r="B41" s="4"/>
      <c r="C41" s="6"/>
      <c r="D41" s="4"/>
      <c r="E41" s="4"/>
      <c r="F41" s="4"/>
      <c r="G41" s="227"/>
      <c r="H41" s="9"/>
      <c r="I41" s="8"/>
      <c r="J41" s="13"/>
      <c r="K41" s="13"/>
      <c r="L41" s="13"/>
      <c r="M41" s="17"/>
      <c r="N41" s="17"/>
      <c r="O41" s="37"/>
      <c r="P41" s="5"/>
    </row>
    <row r="42" spans="1:16" ht="14.25">
      <c r="A42" s="226"/>
      <c r="B42" s="4"/>
      <c r="C42" s="6"/>
      <c r="D42" s="1357" t="s">
        <v>35</v>
      </c>
      <c r="E42" s="1358"/>
      <c r="F42" s="1359"/>
      <c r="G42" s="239">
        <f>+G39+G30+G16</f>
        <v>204377</v>
      </c>
      <c r="H42" s="9"/>
      <c r="I42" s="48"/>
      <c r="J42" s="20"/>
      <c r="K42" s="8"/>
      <c r="L42" s="8"/>
      <c r="M42" s="8"/>
      <c r="N42" s="8"/>
      <c r="O42" s="8"/>
      <c r="P42" s="5"/>
    </row>
    <row r="43" spans="1:16" ht="14.25">
      <c r="A43" s="240"/>
      <c r="B43" s="57"/>
      <c r="C43" s="58"/>
      <c r="D43" s="99"/>
      <c r="E43" s="99"/>
      <c r="F43" s="99"/>
      <c r="G43" s="251"/>
      <c r="H43" s="9"/>
      <c r="I43" s="48"/>
      <c r="J43" s="20"/>
      <c r="K43" s="8"/>
      <c r="L43" s="8"/>
      <c r="M43" s="8"/>
      <c r="N43" s="8"/>
      <c r="O43" s="8"/>
      <c r="P43" s="5"/>
    </row>
    <row r="44" spans="1:16" ht="14.25">
      <c r="A44" s="374"/>
      <c r="B44" s="375"/>
      <c r="C44" s="375"/>
      <c r="D44" s="99"/>
      <c r="E44" s="99"/>
      <c r="F44" s="99"/>
      <c r="G44" s="251"/>
      <c r="H44" s="9"/>
      <c r="I44" s="48"/>
      <c r="J44" s="20"/>
      <c r="K44" s="8"/>
      <c r="L44" s="8"/>
      <c r="M44" s="8"/>
      <c r="N44" s="8"/>
      <c r="O44" s="8"/>
      <c r="P44" s="5"/>
    </row>
    <row r="45" spans="1:16" ht="14.25">
      <c r="A45" s="373"/>
      <c r="B45" s="376"/>
      <c r="C45" s="376"/>
      <c r="D45" s="99"/>
      <c r="E45" s="99"/>
      <c r="F45" s="99"/>
      <c r="G45" s="251"/>
      <c r="H45" s="9"/>
      <c r="I45" s="48"/>
      <c r="J45" s="20"/>
      <c r="K45" s="8"/>
      <c r="L45" s="8"/>
      <c r="M45" s="8"/>
      <c r="N45" s="8"/>
      <c r="O45" s="8"/>
      <c r="P45" s="5"/>
    </row>
    <row r="46" spans="1:16" ht="14.25">
      <c r="A46" s="373"/>
      <c r="B46" s="376"/>
      <c r="C46" s="376"/>
      <c r="D46" s="44"/>
      <c r="E46" s="45"/>
      <c r="F46" s="45"/>
      <c r="G46" s="251"/>
      <c r="H46" s="9"/>
      <c r="I46" s="8"/>
      <c r="J46" s="13"/>
      <c r="K46" s="8"/>
      <c r="L46" s="8"/>
      <c r="M46" s="8"/>
      <c r="N46" s="8"/>
      <c r="O46" s="8"/>
      <c r="P46" s="5"/>
    </row>
    <row r="47" spans="1:16" ht="15" thickBot="1">
      <c r="A47" s="242"/>
      <c r="B47" s="243"/>
      <c r="C47" s="244"/>
      <c r="D47" s="245"/>
      <c r="E47" s="246"/>
      <c r="F47" s="246"/>
      <c r="G47" s="247"/>
      <c r="H47" s="9"/>
      <c r="I47" s="8"/>
      <c r="J47" s="13"/>
      <c r="K47" s="8"/>
      <c r="L47" s="8"/>
      <c r="M47" s="8"/>
      <c r="N47" s="8"/>
      <c r="O47" s="8"/>
      <c r="P47" s="5"/>
    </row>
    <row r="48" spans="1:16">
      <c r="I48" s="5"/>
      <c r="J48" s="5"/>
      <c r="K48" s="5"/>
      <c r="L48" s="5"/>
      <c r="M48" s="5"/>
      <c r="N48" s="5"/>
      <c r="O48" s="5"/>
      <c r="P48" s="5"/>
    </row>
    <row r="49" spans="9:16">
      <c r="I49" s="5"/>
      <c r="J49" s="5"/>
      <c r="K49" s="5"/>
      <c r="L49" s="5"/>
      <c r="M49" s="5"/>
      <c r="N49" s="5"/>
      <c r="O49" s="5"/>
      <c r="P49" s="5"/>
    </row>
  </sheetData>
  <mergeCells count="26">
    <mergeCell ref="A32:G32"/>
    <mergeCell ref="D42:F42"/>
    <mergeCell ref="A25:C25"/>
    <mergeCell ref="A26:C26"/>
    <mergeCell ref="A27:C27"/>
    <mergeCell ref="A28:C28"/>
    <mergeCell ref="A29:C29"/>
    <mergeCell ref="A30:C30"/>
    <mergeCell ref="A24:C24"/>
    <mergeCell ref="A11:C11"/>
    <mergeCell ref="A12:C12"/>
    <mergeCell ref="A13:C13"/>
    <mergeCell ref="A14:C14"/>
    <mergeCell ref="A15:C15"/>
    <mergeCell ref="A16:C16"/>
    <mergeCell ref="A18:G18"/>
    <mergeCell ref="A20:C20"/>
    <mergeCell ref="A21:C21"/>
    <mergeCell ref="A22:C22"/>
    <mergeCell ref="A23:C23"/>
    <mergeCell ref="A10:C10"/>
    <mergeCell ref="A1:G1"/>
    <mergeCell ref="A2:G2"/>
    <mergeCell ref="A3:G4"/>
    <mergeCell ref="B6:E6"/>
    <mergeCell ref="A8:G8"/>
  </mergeCells>
  <printOptions horizontalCentered="1" verticalCentered="1"/>
  <pageMargins left="0.74803149606299213" right="0.74803149606299213" top="0" bottom="0.98425196850393704" header="0" footer="0"/>
  <pageSetup scale="90" orientation="portrait" r:id="rId1"/>
  <headerFooter alignWithMargins="0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98"/>
  <dimension ref="A1:U49"/>
  <sheetViews>
    <sheetView view="pageBreakPreview" zoomScaleNormal="100" zoomScaleSheetLayoutView="100" workbookViewId="0">
      <selection activeCell="I7" sqref="I7"/>
    </sheetView>
  </sheetViews>
  <sheetFormatPr baseColWidth="10" defaultColWidth="10.7109375" defaultRowHeight="12.75"/>
  <cols>
    <col min="1" max="1" width="15.85546875" style="3" customWidth="1"/>
    <col min="2" max="2" width="14.85546875" style="3" customWidth="1"/>
    <col min="3" max="3" width="13.28515625" style="3" customWidth="1"/>
    <col min="4" max="4" width="11.42578125" style="3"/>
    <col min="5" max="5" width="13.42578125" style="3" customWidth="1"/>
    <col min="6" max="6" width="12.7109375" style="3" customWidth="1"/>
    <col min="7" max="7" width="14" style="3" customWidth="1"/>
    <col min="8" max="8" width="7.42578125" style="3" customWidth="1"/>
    <col min="9" max="256" width="11.42578125" style="3"/>
    <col min="257" max="257" width="15.85546875" style="3" customWidth="1"/>
    <col min="258" max="258" width="14.85546875" style="3" customWidth="1"/>
    <col min="259" max="259" width="13.28515625" style="3" customWidth="1"/>
    <col min="260" max="260" width="11.42578125" style="3"/>
    <col min="261" max="261" width="13.42578125" style="3" customWidth="1"/>
    <col min="262" max="262" width="12.7109375" style="3" customWidth="1"/>
    <col min="263" max="263" width="14" style="3" customWidth="1"/>
    <col min="264" max="264" width="7.42578125" style="3" customWidth="1"/>
    <col min="265" max="512" width="11.42578125" style="3"/>
    <col min="513" max="513" width="15.85546875" style="3" customWidth="1"/>
    <col min="514" max="514" width="14.85546875" style="3" customWidth="1"/>
    <col min="515" max="515" width="13.28515625" style="3" customWidth="1"/>
    <col min="516" max="516" width="11.42578125" style="3"/>
    <col min="517" max="517" width="13.42578125" style="3" customWidth="1"/>
    <col min="518" max="518" width="12.7109375" style="3" customWidth="1"/>
    <col min="519" max="519" width="14" style="3" customWidth="1"/>
    <col min="520" max="520" width="7.42578125" style="3" customWidth="1"/>
    <col min="521" max="768" width="11.42578125" style="3"/>
    <col min="769" max="769" width="15.85546875" style="3" customWidth="1"/>
    <col min="770" max="770" width="14.85546875" style="3" customWidth="1"/>
    <col min="771" max="771" width="13.28515625" style="3" customWidth="1"/>
    <col min="772" max="772" width="11.42578125" style="3"/>
    <col min="773" max="773" width="13.42578125" style="3" customWidth="1"/>
    <col min="774" max="774" width="12.7109375" style="3" customWidth="1"/>
    <col min="775" max="775" width="14" style="3" customWidth="1"/>
    <col min="776" max="776" width="7.42578125" style="3" customWidth="1"/>
    <col min="777" max="1024" width="11.42578125" style="3"/>
    <col min="1025" max="1025" width="15.85546875" style="3" customWidth="1"/>
    <col min="1026" max="1026" width="14.85546875" style="3" customWidth="1"/>
    <col min="1027" max="1027" width="13.28515625" style="3" customWidth="1"/>
    <col min="1028" max="1028" width="11.42578125" style="3"/>
    <col min="1029" max="1029" width="13.42578125" style="3" customWidth="1"/>
    <col min="1030" max="1030" width="12.7109375" style="3" customWidth="1"/>
    <col min="1031" max="1031" width="14" style="3" customWidth="1"/>
    <col min="1032" max="1032" width="7.42578125" style="3" customWidth="1"/>
    <col min="1033" max="1280" width="11.42578125" style="3"/>
    <col min="1281" max="1281" width="15.85546875" style="3" customWidth="1"/>
    <col min="1282" max="1282" width="14.85546875" style="3" customWidth="1"/>
    <col min="1283" max="1283" width="13.28515625" style="3" customWidth="1"/>
    <col min="1284" max="1284" width="11.42578125" style="3"/>
    <col min="1285" max="1285" width="13.42578125" style="3" customWidth="1"/>
    <col min="1286" max="1286" width="12.7109375" style="3" customWidth="1"/>
    <col min="1287" max="1287" width="14" style="3" customWidth="1"/>
    <col min="1288" max="1288" width="7.42578125" style="3" customWidth="1"/>
    <col min="1289" max="1536" width="11.42578125" style="3"/>
    <col min="1537" max="1537" width="15.85546875" style="3" customWidth="1"/>
    <col min="1538" max="1538" width="14.85546875" style="3" customWidth="1"/>
    <col min="1539" max="1539" width="13.28515625" style="3" customWidth="1"/>
    <col min="1540" max="1540" width="11.42578125" style="3"/>
    <col min="1541" max="1541" width="13.42578125" style="3" customWidth="1"/>
    <col min="1542" max="1542" width="12.7109375" style="3" customWidth="1"/>
    <col min="1543" max="1543" width="14" style="3" customWidth="1"/>
    <col min="1544" max="1544" width="7.42578125" style="3" customWidth="1"/>
    <col min="1545" max="1792" width="11.42578125" style="3"/>
    <col min="1793" max="1793" width="15.85546875" style="3" customWidth="1"/>
    <col min="1794" max="1794" width="14.85546875" style="3" customWidth="1"/>
    <col min="1795" max="1795" width="13.28515625" style="3" customWidth="1"/>
    <col min="1796" max="1796" width="11.42578125" style="3"/>
    <col min="1797" max="1797" width="13.42578125" style="3" customWidth="1"/>
    <col min="1798" max="1798" width="12.7109375" style="3" customWidth="1"/>
    <col min="1799" max="1799" width="14" style="3" customWidth="1"/>
    <col min="1800" max="1800" width="7.42578125" style="3" customWidth="1"/>
    <col min="1801" max="2048" width="11.42578125" style="3"/>
    <col min="2049" max="2049" width="15.85546875" style="3" customWidth="1"/>
    <col min="2050" max="2050" width="14.85546875" style="3" customWidth="1"/>
    <col min="2051" max="2051" width="13.28515625" style="3" customWidth="1"/>
    <col min="2052" max="2052" width="11.42578125" style="3"/>
    <col min="2053" max="2053" width="13.42578125" style="3" customWidth="1"/>
    <col min="2054" max="2054" width="12.7109375" style="3" customWidth="1"/>
    <col min="2055" max="2055" width="14" style="3" customWidth="1"/>
    <col min="2056" max="2056" width="7.42578125" style="3" customWidth="1"/>
    <col min="2057" max="2304" width="11.42578125" style="3"/>
    <col min="2305" max="2305" width="15.85546875" style="3" customWidth="1"/>
    <col min="2306" max="2306" width="14.85546875" style="3" customWidth="1"/>
    <col min="2307" max="2307" width="13.28515625" style="3" customWidth="1"/>
    <col min="2308" max="2308" width="11.42578125" style="3"/>
    <col min="2309" max="2309" width="13.42578125" style="3" customWidth="1"/>
    <col min="2310" max="2310" width="12.7109375" style="3" customWidth="1"/>
    <col min="2311" max="2311" width="14" style="3" customWidth="1"/>
    <col min="2312" max="2312" width="7.42578125" style="3" customWidth="1"/>
    <col min="2313" max="2560" width="11.42578125" style="3"/>
    <col min="2561" max="2561" width="15.85546875" style="3" customWidth="1"/>
    <col min="2562" max="2562" width="14.85546875" style="3" customWidth="1"/>
    <col min="2563" max="2563" width="13.28515625" style="3" customWidth="1"/>
    <col min="2564" max="2564" width="11.42578125" style="3"/>
    <col min="2565" max="2565" width="13.42578125" style="3" customWidth="1"/>
    <col min="2566" max="2566" width="12.7109375" style="3" customWidth="1"/>
    <col min="2567" max="2567" width="14" style="3" customWidth="1"/>
    <col min="2568" max="2568" width="7.42578125" style="3" customWidth="1"/>
    <col min="2569" max="2816" width="11.42578125" style="3"/>
    <col min="2817" max="2817" width="15.85546875" style="3" customWidth="1"/>
    <col min="2818" max="2818" width="14.85546875" style="3" customWidth="1"/>
    <col min="2819" max="2819" width="13.28515625" style="3" customWidth="1"/>
    <col min="2820" max="2820" width="11.42578125" style="3"/>
    <col min="2821" max="2821" width="13.42578125" style="3" customWidth="1"/>
    <col min="2822" max="2822" width="12.7109375" style="3" customWidth="1"/>
    <col min="2823" max="2823" width="14" style="3" customWidth="1"/>
    <col min="2824" max="2824" width="7.42578125" style="3" customWidth="1"/>
    <col min="2825" max="3072" width="11.42578125" style="3"/>
    <col min="3073" max="3073" width="15.85546875" style="3" customWidth="1"/>
    <col min="3074" max="3074" width="14.85546875" style="3" customWidth="1"/>
    <col min="3075" max="3075" width="13.28515625" style="3" customWidth="1"/>
    <col min="3076" max="3076" width="11.42578125" style="3"/>
    <col min="3077" max="3077" width="13.42578125" style="3" customWidth="1"/>
    <col min="3078" max="3078" width="12.7109375" style="3" customWidth="1"/>
    <col min="3079" max="3079" width="14" style="3" customWidth="1"/>
    <col min="3080" max="3080" width="7.42578125" style="3" customWidth="1"/>
    <col min="3081" max="3328" width="11.42578125" style="3"/>
    <col min="3329" max="3329" width="15.85546875" style="3" customWidth="1"/>
    <col min="3330" max="3330" width="14.85546875" style="3" customWidth="1"/>
    <col min="3331" max="3331" width="13.28515625" style="3" customWidth="1"/>
    <col min="3332" max="3332" width="11.42578125" style="3"/>
    <col min="3333" max="3333" width="13.42578125" style="3" customWidth="1"/>
    <col min="3334" max="3334" width="12.7109375" style="3" customWidth="1"/>
    <col min="3335" max="3335" width="14" style="3" customWidth="1"/>
    <col min="3336" max="3336" width="7.42578125" style="3" customWidth="1"/>
    <col min="3337" max="3584" width="11.42578125" style="3"/>
    <col min="3585" max="3585" width="15.85546875" style="3" customWidth="1"/>
    <col min="3586" max="3586" width="14.85546875" style="3" customWidth="1"/>
    <col min="3587" max="3587" width="13.28515625" style="3" customWidth="1"/>
    <col min="3588" max="3588" width="11.42578125" style="3"/>
    <col min="3589" max="3589" width="13.42578125" style="3" customWidth="1"/>
    <col min="3590" max="3590" width="12.7109375" style="3" customWidth="1"/>
    <col min="3591" max="3591" width="14" style="3" customWidth="1"/>
    <col min="3592" max="3592" width="7.42578125" style="3" customWidth="1"/>
    <col min="3593" max="3840" width="11.42578125" style="3"/>
    <col min="3841" max="3841" width="15.85546875" style="3" customWidth="1"/>
    <col min="3842" max="3842" width="14.85546875" style="3" customWidth="1"/>
    <col min="3843" max="3843" width="13.28515625" style="3" customWidth="1"/>
    <col min="3844" max="3844" width="11.42578125" style="3"/>
    <col min="3845" max="3845" width="13.42578125" style="3" customWidth="1"/>
    <col min="3846" max="3846" width="12.7109375" style="3" customWidth="1"/>
    <col min="3847" max="3847" width="14" style="3" customWidth="1"/>
    <col min="3848" max="3848" width="7.42578125" style="3" customWidth="1"/>
    <col min="3849" max="4096" width="11.42578125" style="3"/>
    <col min="4097" max="4097" width="15.85546875" style="3" customWidth="1"/>
    <col min="4098" max="4098" width="14.85546875" style="3" customWidth="1"/>
    <col min="4099" max="4099" width="13.28515625" style="3" customWidth="1"/>
    <col min="4100" max="4100" width="11.42578125" style="3"/>
    <col min="4101" max="4101" width="13.42578125" style="3" customWidth="1"/>
    <col min="4102" max="4102" width="12.7109375" style="3" customWidth="1"/>
    <col min="4103" max="4103" width="14" style="3" customWidth="1"/>
    <col min="4104" max="4104" width="7.42578125" style="3" customWidth="1"/>
    <col min="4105" max="4352" width="11.42578125" style="3"/>
    <col min="4353" max="4353" width="15.85546875" style="3" customWidth="1"/>
    <col min="4354" max="4354" width="14.85546875" style="3" customWidth="1"/>
    <col min="4355" max="4355" width="13.28515625" style="3" customWidth="1"/>
    <col min="4356" max="4356" width="11.42578125" style="3"/>
    <col min="4357" max="4357" width="13.42578125" style="3" customWidth="1"/>
    <col min="4358" max="4358" width="12.7109375" style="3" customWidth="1"/>
    <col min="4359" max="4359" width="14" style="3" customWidth="1"/>
    <col min="4360" max="4360" width="7.42578125" style="3" customWidth="1"/>
    <col min="4361" max="4608" width="11.42578125" style="3"/>
    <col min="4609" max="4609" width="15.85546875" style="3" customWidth="1"/>
    <col min="4610" max="4610" width="14.85546875" style="3" customWidth="1"/>
    <col min="4611" max="4611" width="13.28515625" style="3" customWidth="1"/>
    <col min="4612" max="4612" width="11.42578125" style="3"/>
    <col min="4613" max="4613" width="13.42578125" style="3" customWidth="1"/>
    <col min="4614" max="4614" width="12.7109375" style="3" customWidth="1"/>
    <col min="4615" max="4615" width="14" style="3" customWidth="1"/>
    <col min="4616" max="4616" width="7.42578125" style="3" customWidth="1"/>
    <col min="4617" max="4864" width="11.42578125" style="3"/>
    <col min="4865" max="4865" width="15.85546875" style="3" customWidth="1"/>
    <col min="4866" max="4866" width="14.85546875" style="3" customWidth="1"/>
    <col min="4867" max="4867" width="13.28515625" style="3" customWidth="1"/>
    <col min="4868" max="4868" width="11.42578125" style="3"/>
    <col min="4869" max="4869" width="13.42578125" style="3" customWidth="1"/>
    <col min="4870" max="4870" width="12.7109375" style="3" customWidth="1"/>
    <col min="4871" max="4871" width="14" style="3" customWidth="1"/>
    <col min="4872" max="4872" width="7.42578125" style="3" customWidth="1"/>
    <col min="4873" max="5120" width="11.42578125" style="3"/>
    <col min="5121" max="5121" width="15.85546875" style="3" customWidth="1"/>
    <col min="5122" max="5122" width="14.85546875" style="3" customWidth="1"/>
    <col min="5123" max="5123" width="13.28515625" style="3" customWidth="1"/>
    <col min="5124" max="5124" width="11.42578125" style="3"/>
    <col min="5125" max="5125" width="13.42578125" style="3" customWidth="1"/>
    <col min="5126" max="5126" width="12.7109375" style="3" customWidth="1"/>
    <col min="5127" max="5127" width="14" style="3" customWidth="1"/>
    <col min="5128" max="5128" width="7.42578125" style="3" customWidth="1"/>
    <col min="5129" max="5376" width="11.42578125" style="3"/>
    <col min="5377" max="5377" width="15.85546875" style="3" customWidth="1"/>
    <col min="5378" max="5378" width="14.85546875" style="3" customWidth="1"/>
    <col min="5379" max="5379" width="13.28515625" style="3" customWidth="1"/>
    <col min="5380" max="5380" width="11.42578125" style="3"/>
    <col min="5381" max="5381" width="13.42578125" style="3" customWidth="1"/>
    <col min="5382" max="5382" width="12.7109375" style="3" customWidth="1"/>
    <col min="5383" max="5383" width="14" style="3" customWidth="1"/>
    <col min="5384" max="5384" width="7.42578125" style="3" customWidth="1"/>
    <col min="5385" max="5632" width="11.42578125" style="3"/>
    <col min="5633" max="5633" width="15.85546875" style="3" customWidth="1"/>
    <col min="5634" max="5634" width="14.85546875" style="3" customWidth="1"/>
    <col min="5635" max="5635" width="13.28515625" style="3" customWidth="1"/>
    <col min="5636" max="5636" width="11.42578125" style="3"/>
    <col min="5637" max="5637" width="13.42578125" style="3" customWidth="1"/>
    <col min="5638" max="5638" width="12.7109375" style="3" customWidth="1"/>
    <col min="5639" max="5639" width="14" style="3" customWidth="1"/>
    <col min="5640" max="5640" width="7.42578125" style="3" customWidth="1"/>
    <col min="5641" max="5888" width="11.42578125" style="3"/>
    <col min="5889" max="5889" width="15.85546875" style="3" customWidth="1"/>
    <col min="5890" max="5890" width="14.85546875" style="3" customWidth="1"/>
    <col min="5891" max="5891" width="13.28515625" style="3" customWidth="1"/>
    <col min="5892" max="5892" width="11.42578125" style="3"/>
    <col min="5893" max="5893" width="13.42578125" style="3" customWidth="1"/>
    <col min="5894" max="5894" width="12.7109375" style="3" customWidth="1"/>
    <col min="5895" max="5895" width="14" style="3" customWidth="1"/>
    <col min="5896" max="5896" width="7.42578125" style="3" customWidth="1"/>
    <col min="5897" max="6144" width="11.42578125" style="3"/>
    <col min="6145" max="6145" width="15.85546875" style="3" customWidth="1"/>
    <col min="6146" max="6146" width="14.85546875" style="3" customWidth="1"/>
    <col min="6147" max="6147" width="13.28515625" style="3" customWidth="1"/>
    <col min="6148" max="6148" width="11.42578125" style="3"/>
    <col min="6149" max="6149" width="13.42578125" style="3" customWidth="1"/>
    <col min="6150" max="6150" width="12.7109375" style="3" customWidth="1"/>
    <col min="6151" max="6151" width="14" style="3" customWidth="1"/>
    <col min="6152" max="6152" width="7.42578125" style="3" customWidth="1"/>
    <col min="6153" max="6400" width="11.42578125" style="3"/>
    <col min="6401" max="6401" width="15.85546875" style="3" customWidth="1"/>
    <col min="6402" max="6402" width="14.85546875" style="3" customWidth="1"/>
    <col min="6403" max="6403" width="13.28515625" style="3" customWidth="1"/>
    <col min="6404" max="6404" width="11.42578125" style="3"/>
    <col min="6405" max="6405" width="13.42578125" style="3" customWidth="1"/>
    <col min="6406" max="6406" width="12.7109375" style="3" customWidth="1"/>
    <col min="6407" max="6407" width="14" style="3" customWidth="1"/>
    <col min="6408" max="6408" width="7.42578125" style="3" customWidth="1"/>
    <col min="6409" max="6656" width="11.42578125" style="3"/>
    <col min="6657" max="6657" width="15.85546875" style="3" customWidth="1"/>
    <col min="6658" max="6658" width="14.85546875" style="3" customWidth="1"/>
    <col min="6659" max="6659" width="13.28515625" style="3" customWidth="1"/>
    <col min="6660" max="6660" width="11.42578125" style="3"/>
    <col min="6661" max="6661" width="13.42578125" style="3" customWidth="1"/>
    <col min="6662" max="6662" width="12.7109375" style="3" customWidth="1"/>
    <col min="6663" max="6663" width="14" style="3" customWidth="1"/>
    <col min="6664" max="6664" width="7.42578125" style="3" customWidth="1"/>
    <col min="6665" max="6912" width="11.42578125" style="3"/>
    <col min="6913" max="6913" width="15.85546875" style="3" customWidth="1"/>
    <col min="6914" max="6914" width="14.85546875" style="3" customWidth="1"/>
    <col min="6915" max="6915" width="13.28515625" style="3" customWidth="1"/>
    <col min="6916" max="6916" width="11.42578125" style="3"/>
    <col min="6917" max="6917" width="13.42578125" style="3" customWidth="1"/>
    <col min="6918" max="6918" width="12.7109375" style="3" customWidth="1"/>
    <col min="6919" max="6919" width="14" style="3" customWidth="1"/>
    <col min="6920" max="6920" width="7.42578125" style="3" customWidth="1"/>
    <col min="6921" max="7168" width="11.42578125" style="3"/>
    <col min="7169" max="7169" width="15.85546875" style="3" customWidth="1"/>
    <col min="7170" max="7170" width="14.85546875" style="3" customWidth="1"/>
    <col min="7171" max="7171" width="13.28515625" style="3" customWidth="1"/>
    <col min="7172" max="7172" width="11.42578125" style="3"/>
    <col min="7173" max="7173" width="13.42578125" style="3" customWidth="1"/>
    <col min="7174" max="7174" width="12.7109375" style="3" customWidth="1"/>
    <col min="7175" max="7175" width="14" style="3" customWidth="1"/>
    <col min="7176" max="7176" width="7.42578125" style="3" customWidth="1"/>
    <col min="7177" max="7424" width="11.42578125" style="3"/>
    <col min="7425" max="7425" width="15.85546875" style="3" customWidth="1"/>
    <col min="7426" max="7426" width="14.85546875" style="3" customWidth="1"/>
    <col min="7427" max="7427" width="13.28515625" style="3" customWidth="1"/>
    <col min="7428" max="7428" width="11.42578125" style="3"/>
    <col min="7429" max="7429" width="13.42578125" style="3" customWidth="1"/>
    <col min="7430" max="7430" width="12.7109375" style="3" customWidth="1"/>
    <col min="7431" max="7431" width="14" style="3" customWidth="1"/>
    <col min="7432" max="7432" width="7.42578125" style="3" customWidth="1"/>
    <col min="7433" max="7680" width="11.42578125" style="3"/>
    <col min="7681" max="7681" width="15.85546875" style="3" customWidth="1"/>
    <col min="7682" max="7682" width="14.85546875" style="3" customWidth="1"/>
    <col min="7683" max="7683" width="13.28515625" style="3" customWidth="1"/>
    <col min="7684" max="7684" width="11.42578125" style="3"/>
    <col min="7685" max="7685" width="13.42578125" style="3" customWidth="1"/>
    <col min="7686" max="7686" width="12.7109375" style="3" customWidth="1"/>
    <col min="7687" max="7687" width="14" style="3" customWidth="1"/>
    <col min="7688" max="7688" width="7.42578125" style="3" customWidth="1"/>
    <col min="7689" max="7936" width="11.42578125" style="3"/>
    <col min="7937" max="7937" width="15.85546875" style="3" customWidth="1"/>
    <col min="7938" max="7938" width="14.85546875" style="3" customWidth="1"/>
    <col min="7939" max="7939" width="13.28515625" style="3" customWidth="1"/>
    <col min="7940" max="7940" width="11.42578125" style="3"/>
    <col min="7941" max="7941" width="13.42578125" style="3" customWidth="1"/>
    <col min="7942" max="7942" width="12.7109375" style="3" customWidth="1"/>
    <col min="7943" max="7943" width="14" style="3" customWidth="1"/>
    <col min="7944" max="7944" width="7.42578125" style="3" customWidth="1"/>
    <col min="7945" max="8192" width="11.42578125" style="3"/>
    <col min="8193" max="8193" width="15.85546875" style="3" customWidth="1"/>
    <col min="8194" max="8194" width="14.85546875" style="3" customWidth="1"/>
    <col min="8195" max="8195" width="13.28515625" style="3" customWidth="1"/>
    <col min="8196" max="8196" width="11.42578125" style="3"/>
    <col min="8197" max="8197" width="13.42578125" style="3" customWidth="1"/>
    <col min="8198" max="8198" width="12.7109375" style="3" customWidth="1"/>
    <col min="8199" max="8199" width="14" style="3" customWidth="1"/>
    <col min="8200" max="8200" width="7.42578125" style="3" customWidth="1"/>
    <col min="8201" max="8448" width="11.42578125" style="3"/>
    <col min="8449" max="8449" width="15.85546875" style="3" customWidth="1"/>
    <col min="8450" max="8450" width="14.85546875" style="3" customWidth="1"/>
    <col min="8451" max="8451" width="13.28515625" style="3" customWidth="1"/>
    <col min="8452" max="8452" width="11.42578125" style="3"/>
    <col min="8453" max="8453" width="13.42578125" style="3" customWidth="1"/>
    <col min="8454" max="8454" width="12.7109375" style="3" customWidth="1"/>
    <col min="8455" max="8455" width="14" style="3" customWidth="1"/>
    <col min="8456" max="8456" width="7.42578125" style="3" customWidth="1"/>
    <col min="8457" max="8704" width="11.42578125" style="3"/>
    <col min="8705" max="8705" width="15.85546875" style="3" customWidth="1"/>
    <col min="8706" max="8706" width="14.85546875" style="3" customWidth="1"/>
    <col min="8707" max="8707" width="13.28515625" style="3" customWidth="1"/>
    <col min="8708" max="8708" width="11.42578125" style="3"/>
    <col min="8709" max="8709" width="13.42578125" style="3" customWidth="1"/>
    <col min="8710" max="8710" width="12.7109375" style="3" customWidth="1"/>
    <col min="8711" max="8711" width="14" style="3" customWidth="1"/>
    <col min="8712" max="8712" width="7.42578125" style="3" customWidth="1"/>
    <col min="8713" max="8960" width="11.42578125" style="3"/>
    <col min="8961" max="8961" width="15.85546875" style="3" customWidth="1"/>
    <col min="8962" max="8962" width="14.85546875" style="3" customWidth="1"/>
    <col min="8963" max="8963" width="13.28515625" style="3" customWidth="1"/>
    <col min="8964" max="8964" width="11.42578125" style="3"/>
    <col min="8965" max="8965" width="13.42578125" style="3" customWidth="1"/>
    <col min="8966" max="8966" width="12.7109375" style="3" customWidth="1"/>
    <col min="8967" max="8967" width="14" style="3" customWidth="1"/>
    <col min="8968" max="8968" width="7.42578125" style="3" customWidth="1"/>
    <col min="8969" max="9216" width="11.42578125" style="3"/>
    <col min="9217" max="9217" width="15.85546875" style="3" customWidth="1"/>
    <col min="9218" max="9218" width="14.85546875" style="3" customWidth="1"/>
    <col min="9219" max="9219" width="13.28515625" style="3" customWidth="1"/>
    <col min="9220" max="9220" width="11.42578125" style="3"/>
    <col min="9221" max="9221" width="13.42578125" style="3" customWidth="1"/>
    <col min="9222" max="9222" width="12.7109375" style="3" customWidth="1"/>
    <col min="9223" max="9223" width="14" style="3" customWidth="1"/>
    <col min="9224" max="9224" width="7.42578125" style="3" customWidth="1"/>
    <col min="9225" max="9472" width="11.42578125" style="3"/>
    <col min="9473" max="9473" width="15.85546875" style="3" customWidth="1"/>
    <col min="9474" max="9474" width="14.85546875" style="3" customWidth="1"/>
    <col min="9475" max="9475" width="13.28515625" style="3" customWidth="1"/>
    <col min="9476" max="9476" width="11.42578125" style="3"/>
    <col min="9477" max="9477" width="13.42578125" style="3" customWidth="1"/>
    <col min="9478" max="9478" width="12.7109375" style="3" customWidth="1"/>
    <col min="9479" max="9479" width="14" style="3" customWidth="1"/>
    <col min="9480" max="9480" width="7.42578125" style="3" customWidth="1"/>
    <col min="9481" max="9728" width="11.42578125" style="3"/>
    <col min="9729" max="9729" width="15.85546875" style="3" customWidth="1"/>
    <col min="9730" max="9730" width="14.85546875" style="3" customWidth="1"/>
    <col min="9731" max="9731" width="13.28515625" style="3" customWidth="1"/>
    <col min="9732" max="9732" width="11.42578125" style="3"/>
    <col min="9733" max="9733" width="13.42578125" style="3" customWidth="1"/>
    <col min="9734" max="9734" width="12.7109375" style="3" customWidth="1"/>
    <col min="9735" max="9735" width="14" style="3" customWidth="1"/>
    <col min="9736" max="9736" width="7.42578125" style="3" customWidth="1"/>
    <col min="9737" max="9984" width="11.42578125" style="3"/>
    <col min="9985" max="9985" width="15.85546875" style="3" customWidth="1"/>
    <col min="9986" max="9986" width="14.85546875" style="3" customWidth="1"/>
    <col min="9987" max="9987" width="13.28515625" style="3" customWidth="1"/>
    <col min="9988" max="9988" width="11.42578125" style="3"/>
    <col min="9989" max="9989" width="13.42578125" style="3" customWidth="1"/>
    <col min="9990" max="9990" width="12.7109375" style="3" customWidth="1"/>
    <col min="9991" max="9991" width="14" style="3" customWidth="1"/>
    <col min="9992" max="9992" width="7.42578125" style="3" customWidth="1"/>
    <col min="9993" max="10240" width="11.42578125" style="3"/>
    <col min="10241" max="10241" width="15.85546875" style="3" customWidth="1"/>
    <col min="10242" max="10242" width="14.85546875" style="3" customWidth="1"/>
    <col min="10243" max="10243" width="13.28515625" style="3" customWidth="1"/>
    <col min="10244" max="10244" width="11.42578125" style="3"/>
    <col min="10245" max="10245" width="13.42578125" style="3" customWidth="1"/>
    <col min="10246" max="10246" width="12.7109375" style="3" customWidth="1"/>
    <col min="10247" max="10247" width="14" style="3" customWidth="1"/>
    <col min="10248" max="10248" width="7.42578125" style="3" customWidth="1"/>
    <col min="10249" max="10496" width="11.42578125" style="3"/>
    <col min="10497" max="10497" width="15.85546875" style="3" customWidth="1"/>
    <col min="10498" max="10498" width="14.85546875" style="3" customWidth="1"/>
    <col min="10499" max="10499" width="13.28515625" style="3" customWidth="1"/>
    <col min="10500" max="10500" width="11.42578125" style="3"/>
    <col min="10501" max="10501" width="13.42578125" style="3" customWidth="1"/>
    <col min="10502" max="10502" width="12.7109375" style="3" customWidth="1"/>
    <col min="10503" max="10503" width="14" style="3" customWidth="1"/>
    <col min="10504" max="10504" width="7.42578125" style="3" customWidth="1"/>
    <col min="10505" max="10752" width="11.42578125" style="3"/>
    <col min="10753" max="10753" width="15.85546875" style="3" customWidth="1"/>
    <col min="10754" max="10754" width="14.85546875" style="3" customWidth="1"/>
    <col min="10755" max="10755" width="13.28515625" style="3" customWidth="1"/>
    <col min="10756" max="10756" width="11.42578125" style="3"/>
    <col min="10757" max="10757" width="13.42578125" style="3" customWidth="1"/>
    <col min="10758" max="10758" width="12.7109375" style="3" customWidth="1"/>
    <col min="10759" max="10759" width="14" style="3" customWidth="1"/>
    <col min="10760" max="10760" width="7.42578125" style="3" customWidth="1"/>
    <col min="10761" max="11008" width="11.42578125" style="3"/>
    <col min="11009" max="11009" width="15.85546875" style="3" customWidth="1"/>
    <col min="11010" max="11010" width="14.85546875" style="3" customWidth="1"/>
    <col min="11011" max="11011" width="13.28515625" style="3" customWidth="1"/>
    <col min="11012" max="11012" width="11.42578125" style="3"/>
    <col min="11013" max="11013" width="13.42578125" style="3" customWidth="1"/>
    <col min="11014" max="11014" width="12.7109375" style="3" customWidth="1"/>
    <col min="11015" max="11015" width="14" style="3" customWidth="1"/>
    <col min="11016" max="11016" width="7.42578125" style="3" customWidth="1"/>
    <col min="11017" max="11264" width="11.42578125" style="3"/>
    <col min="11265" max="11265" width="15.85546875" style="3" customWidth="1"/>
    <col min="11266" max="11266" width="14.85546875" style="3" customWidth="1"/>
    <col min="11267" max="11267" width="13.28515625" style="3" customWidth="1"/>
    <col min="11268" max="11268" width="11.42578125" style="3"/>
    <col min="11269" max="11269" width="13.42578125" style="3" customWidth="1"/>
    <col min="11270" max="11270" width="12.7109375" style="3" customWidth="1"/>
    <col min="11271" max="11271" width="14" style="3" customWidth="1"/>
    <col min="11272" max="11272" width="7.42578125" style="3" customWidth="1"/>
    <col min="11273" max="11520" width="11.42578125" style="3"/>
    <col min="11521" max="11521" width="15.85546875" style="3" customWidth="1"/>
    <col min="11522" max="11522" width="14.85546875" style="3" customWidth="1"/>
    <col min="11523" max="11523" width="13.28515625" style="3" customWidth="1"/>
    <col min="11524" max="11524" width="11.42578125" style="3"/>
    <col min="11525" max="11525" width="13.42578125" style="3" customWidth="1"/>
    <col min="11526" max="11526" width="12.7109375" style="3" customWidth="1"/>
    <col min="11527" max="11527" width="14" style="3" customWidth="1"/>
    <col min="11528" max="11528" width="7.42578125" style="3" customWidth="1"/>
    <col min="11529" max="11776" width="11.42578125" style="3"/>
    <col min="11777" max="11777" width="15.85546875" style="3" customWidth="1"/>
    <col min="11778" max="11778" width="14.85546875" style="3" customWidth="1"/>
    <col min="11779" max="11779" width="13.28515625" style="3" customWidth="1"/>
    <col min="11780" max="11780" width="11.42578125" style="3"/>
    <col min="11781" max="11781" width="13.42578125" style="3" customWidth="1"/>
    <col min="11782" max="11782" width="12.7109375" style="3" customWidth="1"/>
    <col min="11783" max="11783" width="14" style="3" customWidth="1"/>
    <col min="11784" max="11784" width="7.42578125" style="3" customWidth="1"/>
    <col min="11785" max="12032" width="11.42578125" style="3"/>
    <col min="12033" max="12033" width="15.85546875" style="3" customWidth="1"/>
    <col min="12034" max="12034" width="14.85546875" style="3" customWidth="1"/>
    <col min="12035" max="12035" width="13.28515625" style="3" customWidth="1"/>
    <col min="12036" max="12036" width="11.42578125" style="3"/>
    <col min="12037" max="12037" width="13.42578125" style="3" customWidth="1"/>
    <col min="12038" max="12038" width="12.7109375" style="3" customWidth="1"/>
    <col min="12039" max="12039" width="14" style="3" customWidth="1"/>
    <col min="12040" max="12040" width="7.42578125" style="3" customWidth="1"/>
    <col min="12041" max="12288" width="11.42578125" style="3"/>
    <col min="12289" max="12289" width="15.85546875" style="3" customWidth="1"/>
    <col min="12290" max="12290" width="14.85546875" style="3" customWidth="1"/>
    <col min="12291" max="12291" width="13.28515625" style="3" customWidth="1"/>
    <col min="12292" max="12292" width="11.42578125" style="3"/>
    <col min="12293" max="12293" width="13.42578125" style="3" customWidth="1"/>
    <col min="12294" max="12294" width="12.7109375" style="3" customWidth="1"/>
    <col min="12295" max="12295" width="14" style="3" customWidth="1"/>
    <col min="12296" max="12296" width="7.42578125" style="3" customWidth="1"/>
    <col min="12297" max="12544" width="11.42578125" style="3"/>
    <col min="12545" max="12545" width="15.85546875" style="3" customWidth="1"/>
    <col min="12546" max="12546" width="14.85546875" style="3" customWidth="1"/>
    <col min="12547" max="12547" width="13.28515625" style="3" customWidth="1"/>
    <col min="12548" max="12548" width="11.42578125" style="3"/>
    <col min="12549" max="12549" width="13.42578125" style="3" customWidth="1"/>
    <col min="12550" max="12550" width="12.7109375" style="3" customWidth="1"/>
    <col min="12551" max="12551" width="14" style="3" customWidth="1"/>
    <col min="12552" max="12552" width="7.42578125" style="3" customWidth="1"/>
    <col min="12553" max="12800" width="11.42578125" style="3"/>
    <col min="12801" max="12801" width="15.85546875" style="3" customWidth="1"/>
    <col min="12802" max="12802" width="14.85546875" style="3" customWidth="1"/>
    <col min="12803" max="12803" width="13.28515625" style="3" customWidth="1"/>
    <col min="12804" max="12804" width="11.42578125" style="3"/>
    <col min="12805" max="12805" width="13.42578125" style="3" customWidth="1"/>
    <col min="12806" max="12806" width="12.7109375" style="3" customWidth="1"/>
    <col min="12807" max="12807" width="14" style="3" customWidth="1"/>
    <col min="12808" max="12808" width="7.42578125" style="3" customWidth="1"/>
    <col min="12809" max="13056" width="11.42578125" style="3"/>
    <col min="13057" max="13057" width="15.85546875" style="3" customWidth="1"/>
    <col min="13058" max="13058" width="14.85546875" style="3" customWidth="1"/>
    <col min="13059" max="13059" width="13.28515625" style="3" customWidth="1"/>
    <col min="13060" max="13060" width="11.42578125" style="3"/>
    <col min="13061" max="13061" width="13.42578125" style="3" customWidth="1"/>
    <col min="13062" max="13062" width="12.7109375" style="3" customWidth="1"/>
    <col min="13063" max="13063" width="14" style="3" customWidth="1"/>
    <col min="13064" max="13064" width="7.42578125" style="3" customWidth="1"/>
    <col min="13065" max="13312" width="11.42578125" style="3"/>
    <col min="13313" max="13313" width="15.85546875" style="3" customWidth="1"/>
    <col min="13314" max="13314" width="14.85546875" style="3" customWidth="1"/>
    <col min="13315" max="13315" width="13.28515625" style="3" customWidth="1"/>
    <col min="13316" max="13316" width="11.42578125" style="3"/>
    <col min="13317" max="13317" width="13.42578125" style="3" customWidth="1"/>
    <col min="13318" max="13318" width="12.7109375" style="3" customWidth="1"/>
    <col min="13319" max="13319" width="14" style="3" customWidth="1"/>
    <col min="13320" max="13320" width="7.42578125" style="3" customWidth="1"/>
    <col min="13321" max="13568" width="11.42578125" style="3"/>
    <col min="13569" max="13569" width="15.85546875" style="3" customWidth="1"/>
    <col min="13570" max="13570" width="14.85546875" style="3" customWidth="1"/>
    <col min="13571" max="13571" width="13.28515625" style="3" customWidth="1"/>
    <col min="13572" max="13572" width="11.42578125" style="3"/>
    <col min="13573" max="13573" width="13.42578125" style="3" customWidth="1"/>
    <col min="13574" max="13574" width="12.7109375" style="3" customWidth="1"/>
    <col min="13575" max="13575" width="14" style="3" customWidth="1"/>
    <col min="13576" max="13576" width="7.42578125" style="3" customWidth="1"/>
    <col min="13577" max="13824" width="11.42578125" style="3"/>
    <col min="13825" max="13825" width="15.85546875" style="3" customWidth="1"/>
    <col min="13826" max="13826" width="14.85546875" style="3" customWidth="1"/>
    <col min="13827" max="13827" width="13.28515625" style="3" customWidth="1"/>
    <col min="13828" max="13828" width="11.42578125" style="3"/>
    <col min="13829" max="13829" width="13.42578125" style="3" customWidth="1"/>
    <col min="13830" max="13830" width="12.7109375" style="3" customWidth="1"/>
    <col min="13831" max="13831" width="14" style="3" customWidth="1"/>
    <col min="13832" max="13832" width="7.42578125" style="3" customWidth="1"/>
    <col min="13833" max="14080" width="11.42578125" style="3"/>
    <col min="14081" max="14081" width="15.85546875" style="3" customWidth="1"/>
    <col min="14082" max="14082" width="14.85546875" style="3" customWidth="1"/>
    <col min="14083" max="14083" width="13.28515625" style="3" customWidth="1"/>
    <col min="14084" max="14084" width="11.42578125" style="3"/>
    <col min="14085" max="14085" width="13.42578125" style="3" customWidth="1"/>
    <col min="14086" max="14086" width="12.7109375" style="3" customWidth="1"/>
    <col min="14087" max="14087" width="14" style="3" customWidth="1"/>
    <col min="14088" max="14088" width="7.42578125" style="3" customWidth="1"/>
    <col min="14089" max="14336" width="11.42578125" style="3"/>
    <col min="14337" max="14337" width="15.85546875" style="3" customWidth="1"/>
    <col min="14338" max="14338" width="14.85546875" style="3" customWidth="1"/>
    <col min="14339" max="14339" width="13.28515625" style="3" customWidth="1"/>
    <col min="14340" max="14340" width="11.42578125" style="3"/>
    <col min="14341" max="14341" width="13.42578125" style="3" customWidth="1"/>
    <col min="14342" max="14342" width="12.7109375" style="3" customWidth="1"/>
    <col min="14343" max="14343" width="14" style="3" customWidth="1"/>
    <col min="14344" max="14344" width="7.42578125" style="3" customWidth="1"/>
    <col min="14345" max="14592" width="11.42578125" style="3"/>
    <col min="14593" max="14593" width="15.85546875" style="3" customWidth="1"/>
    <col min="14594" max="14594" width="14.85546875" style="3" customWidth="1"/>
    <col min="14595" max="14595" width="13.28515625" style="3" customWidth="1"/>
    <col min="14596" max="14596" width="11.42578125" style="3"/>
    <col min="14597" max="14597" width="13.42578125" style="3" customWidth="1"/>
    <col min="14598" max="14598" width="12.7109375" style="3" customWidth="1"/>
    <col min="14599" max="14599" width="14" style="3" customWidth="1"/>
    <col min="14600" max="14600" width="7.42578125" style="3" customWidth="1"/>
    <col min="14601" max="14848" width="11.42578125" style="3"/>
    <col min="14849" max="14849" width="15.85546875" style="3" customWidth="1"/>
    <col min="14850" max="14850" width="14.85546875" style="3" customWidth="1"/>
    <col min="14851" max="14851" width="13.28515625" style="3" customWidth="1"/>
    <col min="14852" max="14852" width="11.42578125" style="3"/>
    <col min="14853" max="14853" width="13.42578125" style="3" customWidth="1"/>
    <col min="14854" max="14854" width="12.7109375" style="3" customWidth="1"/>
    <col min="14855" max="14855" width="14" style="3" customWidth="1"/>
    <col min="14856" max="14856" width="7.42578125" style="3" customWidth="1"/>
    <col min="14857" max="15104" width="11.42578125" style="3"/>
    <col min="15105" max="15105" width="15.85546875" style="3" customWidth="1"/>
    <col min="15106" max="15106" width="14.85546875" style="3" customWidth="1"/>
    <col min="15107" max="15107" width="13.28515625" style="3" customWidth="1"/>
    <col min="15108" max="15108" width="11.42578125" style="3"/>
    <col min="15109" max="15109" width="13.42578125" style="3" customWidth="1"/>
    <col min="15110" max="15110" width="12.7109375" style="3" customWidth="1"/>
    <col min="15111" max="15111" width="14" style="3" customWidth="1"/>
    <col min="15112" max="15112" width="7.42578125" style="3" customWidth="1"/>
    <col min="15113" max="15360" width="11.42578125" style="3"/>
    <col min="15361" max="15361" width="15.85546875" style="3" customWidth="1"/>
    <col min="15362" max="15362" width="14.85546875" style="3" customWidth="1"/>
    <col min="15363" max="15363" width="13.28515625" style="3" customWidth="1"/>
    <col min="15364" max="15364" width="11.42578125" style="3"/>
    <col min="15365" max="15365" width="13.42578125" style="3" customWidth="1"/>
    <col min="15366" max="15366" width="12.7109375" style="3" customWidth="1"/>
    <col min="15367" max="15367" width="14" style="3" customWidth="1"/>
    <col min="15368" max="15368" width="7.42578125" style="3" customWidth="1"/>
    <col min="15369" max="15616" width="11.42578125" style="3"/>
    <col min="15617" max="15617" width="15.85546875" style="3" customWidth="1"/>
    <col min="15618" max="15618" width="14.85546875" style="3" customWidth="1"/>
    <col min="15619" max="15619" width="13.28515625" style="3" customWidth="1"/>
    <col min="15620" max="15620" width="11.42578125" style="3"/>
    <col min="15621" max="15621" width="13.42578125" style="3" customWidth="1"/>
    <col min="15622" max="15622" width="12.7109375" style="3" customWidth="1"/>
    <col min="15623" max="15623" width="14" style="3" customWidth="1"/>
    <col min="15624" max="15624" width="7.42578125" style="3" customWidth="1"/>
    <col min="15625" max="15872" width="11.42578125" style="3"/>
    <col min="15873" max="15873" width="15.85546875" style="3" customWidth="1"/>
    <col min="15874" max="15874" width="14.85546875" style="3" customWidth="1"/>
    <col min="15875" max="15875" width="13.28515625" style="3" customWidth="1"/>
    <col min="15876" max="15876" width="11.42578125" style="3"/>
    <col min="15877" max="15877" width="13.42578125" style="3" customWidth="1"/>
    <col min="15878" max="15878" width="12.7109375" style="3" customWidth="1"/>
    <col min="15879" max="15879" width="14" style="3" customWidth="1"/>
    <col min="15880" max="15880" width="7.42578125" style="3" customWidth="1"/>
    <col min="15881" max="16128" width="11.42578125" style="3"/>
    <col min="16129" max="16129" width="15.85546875" style="3" customWidth="1"/>
    <col min="16130" max="16130" width="14.85546875" style="3" customWidth="1"/>
    <col min="16131" max="16131" width="13.28515625" style="3" customWidth="1"/>
    <col min="16132" max="16132" width="11.42578125" style="3"/>
    <col min="16133" max="16133" width="13.42578125" style="3" customWidth="1"/>
    <col min="16134" max="16134" width="12.7109375" style="3" customWidth="1"/>
    <col min="16135" max="16135" width="14" style="3" customWidth="1"/>
    <col min="16136" max="16136" width="7.42578125" style="3" customWidth="1"/>
    <col min="16137" max="16384" width="11.42578125" style="3"/>
  </cols>
  <sheetData>
    <row r="1" spans="1:21" ht="20.25">
      <c r="A1" s="1346" t="str">
        <f>PPTO!D3</f>
        <v>PRESUPUESTO
MUNICIPIO EL BAGRE (ANTIOQUIA).</v>
      </c>
      <c r="B1" s="1347"/>
      <c r="C1" s="1347"/>
      <c r="D1" s="1347"/>
      <c r="E1" s="1347"/>
      <c r="F1" s="1347"/>
      <c r="G1" s="1348"/>
      <c r="H1" s="1"/>
      <c r="I1" s="2"/>
    </row>
    <row r="2" spans="1:21" ht="18" customHeight="1">
      <c r="A2" s="1362" t="s">
        <v>16</v>
      </c>
      <c r="B2" s="1363"/>
      <c r="C2" s="1363"/>
      <c r="D2" s="1363"/>
      <c r="E2" s="1363"/>
      <c r="F2" s="1363"/>
      <c r="G2" s="1364"/>
      <c r="H2" s="1"/>
      <c r="I2" s="2"/>
    </row>
    <row r="3" spans="1:21" ht="27" customHeight="1">
      <c r="A3" s="1367" t="str">
        <f>+PPTO!$D$5</f>
        <v>PROYECTO DE MEJORAMIENTO VIAL, ESPACIO PUBLICO Y OBRAS COMPLEMENTARIAS DE LA AVENIDA LA JUVENTUD Y TRAMOS ADYACENTES Y PRIORITARIOS DEL SECTOR URBANO EN EL MUNICIPIO EL BAGRE ANTIOQUIA.</v>
      </c>
      <c r="B3" s="1368"/>
      <c r="C3" s="1368"/>
      <c r="D3" s="1368"/>
      <c r="E3" s="1368"/>
      <c r="F3" s="1368"/>
      <c r="G3" s="1369"/>
      <c r="H3" s="1"/>
      <c r="I3" s="2"/>
    </row>
    <row r="4" spans="1:21" ht="12" customHeight="1">
      <c r="A4" s="1370"/>
      <c r="B4" s="1368"/>
      <c r="C4" s="1368"/>
      <c r="D4" s="1368"/>
      <c r="E4" s="1368"/>
      <c r="F4" s="1368"/>
      <c r="G4" s="1369"/>
      <c r="H4" s="1"/>
      <c r="I4" s="2"/>
    </row>
    <row r="5" spans="1:21" ht="6.75" customHeight="1">
      <c r="A5" s="222"/>
      <c r="B5" s="6"/>
      <c r="C5" s="24"/>
      <c r="D5" s="25"/>
      <c r="E5" s="6"/>
      <c r="F5" s="6"/>
      <c r="G5" s="223"/>
      <c r="H5" s="9"/>
    </row>
    <row r="6" spans="1:21" ht="28.5" customHeight="1">
      <c r="A6" s="886">
        <v>6.55</v>
      </c>
      <c r="B6" s="1349" t="str">
        <f>VLOOKUP(A6,PPTO!D9:I136,2,FALSE)</f>
        <v>KIT SILLA YEE Ø14" x Ø6" (INCLUYE HIDROSELLOS Y LUBRICANTES)</v>
      </c>
      <c r="C6" s="1350"/>
      <c r="D6" s="1350"/>
      <c r="E6" s="1351"/>
      <c r="F6" s="192" t="s">
        <v>118</v>
      </c>
      <c r="G6" s="248" t="str">
        <f>VLOOKUP(A6,PPTO!D9:I136,3,FALSE)</f>
        <v>m</v>
      </c>
      <c r="H6" s="9"/>
    </row>
    <row r="7" spans="1:21" ht="3.75" customHeight="1">
      <c r="A7" s="226"/>
      <c r="B7" s="4"/>
      <c r="C7" s="6"/>
      <c r="D7" s="4"/>
      <c r="E7" s="4"/>
      <c r="F7" s="4"/>
      <c r="G7" s="227"/>
      <c r="H7" s="9"/>
    </row>
    <row r="8" spans="1:21" ht="22.5" customHeight="1">
      <c r="A8" s="1354" t="s">
        <v>69</v>
      </c>
      <c r="B8" s="1355"/>
      <c r="C8" s="1355"/>
      <c r="D8" s="1355"/>
      <c r="E8" s="1355"/>
      <c r="F8" s="1355"/>
      <c r="G8" s="1356"/>
      <c r="H8" s="9"/>
    </row>
    <row r="9" spans="1:21" ht="4.5" customHeight="1">
      <c r="A9" s="226"/>
      <c r="B9" s="4"/>
      <c r="C9" s="6"/>
      <c r="D9" s="4"/>
      <c r="E9" s="4"/>
      <c r="F9" s="4"/>
      <c r="G9" s="227"/>
      <c r="H9" s="9"/>
      <c r="I9" s="5"/>
      <c r="J9" s="5"/>
      <c r="K9" s="5"/>
      <c r="L9" s="26"/>
      <c r="M9" s="5"/>
      <c r="N9" s="5"/>
      <c r="O9" s="5"/>
      <c r="P9" s="5"/>
    </row>
    <row r="10" spans="1:21">
      <c r="A10" s="1373" t="s">
        <v>17</v>
      </c>
      <c r="B10" s="1374"/>
      <c r="C10" s="1374"/>
      <c r="D10" s="353" t="s">
        <v>18</v>
      </c>
      <c r="E10" s="353" t="s">
        <v>19</v>
      </c>
      <c r="F10" s="353" t="s">
        <v>20</v>
      </c>
      <c r="G10" s="228" t="s">
        <v>21</v>
      </c>
      <c r="H10" s="27"/>
      <c r="I10" s="28"/>
      <c r="J10" s="29"/>
      <c r="K10" s="30"/>
      <c r="L10" s="30"/>
      <c r="M10" s="30"/>
      <c r="N10" s="30"/>
      <c r="O10" s="30"/>
      <c r="P10" s="5"/>
    </row>
    <row r="11" spans="1:21">
      <c r="A11" s="1352" t="s">
        <v>47</v>
      </c>
      <c r="B11" s="1353"/>
      <c r="C11" s="1353"/>
      <c r="D11" s="353"/>
      <c r="E11" s="83"/>
      <c r="F11" s="97"/>
      <c r="G11" s="229">
        <f>+G39*10%</f>
        <v>3054</v>
      </c>
      <c r="H11" s="9"/>
      <c r="I11" s="30"/>
      <c r="J11" s="31"/>
      <c r="K11" s="30"/>
      <c r="L11" s="30"/>
      <c r="M11" s="30"/>
      <c r="N11" s="30"/>
      <c r="O11" s="30"/>
      <c r="P11" s="5"/>
    </row>
    <row r="12" spans="1:21">
      <c r="A12" s="1371"/>
      <c r="B12" s="1372"/>
      <c r="C12" s="1372"/>
      <c r="D12" s="83"/>
      <c r="E12" s="83"/>
      <c r="F12" s="93"/>
      <c r="G12" s="229"/>
      <c r="H12" s="9"/>
      <c r="I12" s="16"/>
      <c r="J12" s="13"/>
      <c r="K12" s="8"/>
      <c r="L12" s="8"/>
      <c r="M12" s="8"/>
      <c r="N12" s="8"/>
      <c r="O12" s="8"/>
      <c r="P12" s="5"/>
    </row>
    <row r="13" spans="1:21">
      <c r="A13" s="1371"/>
      <c r="B13" s="1372"/>
      <c r="C13" s="1372"/>
      <c r="D13" s="83"/>
      <c r="E13" s="83"/>
      <c r="F13" s="93"/>
      <c r="G13" s="229"/>
      <c r="H13" s="9"/>
      <c r="I13" s="13"/>
      <c r="J13" s="13"/>
      <c r="K13" s="13"/>
      <c r="L13" s="13"/>
      <c r="M13" s="13"/>
      <c r="N13" s="13"/>
      <c r="O13" s="13"/>
      <c r="P13" s="5"/>
    </row>
    <row r="14" spans="1:21">
      <c r="A14" s="1371"/>
      <c r="B14" s="1372"/>
      <c r="C14" s="1372"/>
      <c r="D14" s="83"/>
      <c r="E14" s="83"/>
      <c r="F14" s="93"/>
      <c r="G14" s="229"/>
      <c r="H14" s="9"/>
      <c r="I14" s="8"/>
      <c r="J14" s="14"/>
      <c r="K14" s="32"/>
      <c r="L14" s="14"/>
      <c r="M14" s="15"/>
      <c r="N14" s="15"/>
      <c r="O14" s="19"/>
      <c r="P14" s="5"/>
    </row>
    <row r="15" spans="1:21">
      <c r="A15" s="1371"/>
      <c r="B15" s="1372"/>
      <c r="C15" s="1372"/>
      <c r="D15" s="83"/>
      <c r="E15" s="83"/>
      <c r="F15" s="98"/>
      <c r="G15" s="229"/>
      <c r="H15" s="9"/>
      <c r="I15" s="8"/>
      <c r="J15" s="33"/>
      <c r="K15" s="32"/>
      <c r="L15" s="14"/>
      <c r="M15" s="15"/>
      <c r="N15" s="15"/>
      <c r="O15" s="19"/>
      <c r="P15" s="5"/>
      <c r="Q15" s="5"/>
      <c r="R15" s="5"/>
      <c r="S15" s="5"/>
      <c r="T15" s="5"/>
      <c r="U15" s="5"/>
    </row>
    <row r="16" spans="1:21">
      <c r="A16" s="1371"/>
      <c r="B16" s="1372"/>
      <c r="C16" s="1372"/>
      <c r="D16" s="85" t="s">
        <v>37</v>
      </c>
      <c r="E16" s="50"/>
      <c r="F16" s="49"/>
      <c r="G16" s="230">
        <f>SUM(G11:G15)</f>
        <v>3054</v>
      </c>
      <c r="H16" s="9"/>
      <c r="I16" s="34"/>
      <c r="J16" s="34"/>
      <c r="K16" s="35"/>
      <c r="L16" s="36"/>
      <c r="M16" s="7"/>
      <c r="N16" s="7"/>
      <c r="O16" s="19"/>
      <c r="P16" s="5"/>
      <c r="Q16" s="5"/>
      <c r="R16" s="5"/>
      <c r="S16" s="5"/>
      <c r="T16" s="5"/>
      <c r="U16" s="5"/>
    </row>
    <row r="17" spans="1:21" ht="4.5" customHeight="1">
      <c r="A17" s="226"/>
      <c r="B17" s="4"/>
      <c r="C17" s="6"/>
      <c r="D17" s="4"/>
      <c r="E17" s="4"/>
      <c r="F17" s="4"/>
      <c r="G17" s="227"/>
      <c r="H17" s="9"/>
      <c r="I17" s="34"/>
      <c r="J17" s="34"/>
      <c r="K17" s="35"/>
      <c r="L17" s="36"/>
      <c r="M17" s="7"/>
      <c r="N17" s="7"/>
      <c r="O17" s="19"/>
      <c r="P17" s="5"/>
      <c r="Q17" s="5"/>
      <c r="R17" s="5"/>
      <c r="S17" s="5"/>
      <c r="T17" s="5"/>
      <c r="U17" s="5"/>
    </row>
    <row r="18" spans="1:21" ht="22.5" customHeight="1">
      <c r="A18" s="1354" t="s">
        <v>70</v>
      </c>
      <c r="B18" s="1355"/>
      <c r="C18" s="1355"/>
      <c r="D18" s="1355"/>
      <c r="E18" s="1355"/>
      <c r="F18" s="1355"/>
      <c r="G18" s="1356"/>
      <c r="H18" s="9"/>
    </row>
    <row r="19" spans="1:21" ht="4.5" customHeight="1">
      <c r="A19" s="226"/>
      <c r="B19" s="4"/>
      <c r="C19" s="6"/>
      <c r="D19" s="4"/>
      <c r="E19" s="4"/>
      <c r="F19" s="38"/>
      <c r="G19" s="227"/>
      <c r="H19" s="9"/>
      <c r="I19" s="34"/>
      <c r="J19" s="34"/>
      <c r="K19" s="35"/>
      <c r="L19" s="39"/>
      <c r="M19" s="7"/>
      <c r="N19" s="7"/>
      <c r="O19" s="8"/>
      <c r="P19" s="5"/>
      <c r="Q19" s="5"/>
      <c r="R19" s="5"/>
      <c r="S19" s="5"/>
      <c r="T19" s="5"/>
      <c r="U19" s="5"/>
    </row>
    <row r="20" spans="1:21">
      <c r="A20" s="1373" t="s">
        <v>17</v>
      </c>
      <c r="B20" s="1374"/>
      <c r="C20" s="1374"/>
      <c r="D20" s="353" t="s">
        <v>3</v>
      </c>
      <c r="E20" s="353" t="s">
        <v>4</v>
      </c>
      <c r="F20" s="353" t="s">
        <v>25</v>
      </c>
      <c r="G20" s="228" t="s">
        <v>21</v>
      </c>
      <c r="H20" s="27"/>
      <c r="I20" s="34"/>
      <c r="J20" s="34"/>
      <c r="K20" s="35"/>
      <c r="L20" s="39"/>
      <c r="M20" s="7"/>
      <c r="N20" s="7"/>
      <c r="O20" s="8"/>
      <c r="P20" s="5"/>
      <c r="Q20" s="5"/>
      <c r="R20" s="5"/>
      <c r="S20" s="5"/>
      <c r="T20" s="5"/>
      <c r="U20" s="5"/>
    </row>
    <row r="21" spans="1:21" ht="31.5" customHeight="1">
      <c r="A21" s="1441" t="str">
        <f>B6</f>
        <v>KIT SILLA YEE Ø14" x Ø6" (INCLUYE HIDROSELLOS Y LUBRICANTES)</v>
      </c>
      <c r="B21" s="1442"/>
      <c r="C21" s="1443"/>
      <c r="D21" s="118" t="s">
        <v>119</v>
      </c>
      <c r="E21" s="119">
        <v>1</v>
      </c>
      <c r="F21" s="87">
        <v>221400</v>
      </c>
      <c r="G21" s="231">
        <f>ROUND(F21*E21,0)</f>
        <v>221400</v>
      </c>
      <c r="H21" s="9"/>
      <c r="I21" s="34"/>
      <c r="J21" s="34"/>
      <c r="K21" s="35"/>
      <c r="L21" s="36"/>
      <c r="M21" s="7"/>
      <c r="N21" s="7"/>
      <c r="O21" s="19"/>
      <c r="P21" s="5"/>
      <c r="Q21" s="5"/>
      <c r="R21" s="5"/>
      <c r="S21" s="5"/>
      <c r="T21" s="5"/>
      <c r="U21" s="5"/>
    </row>
    <row r="22" spans="1:21" ht="27.75" customHeight="1">
      <c r="A22" s="1444"/>
      <c r="B22" s="1403"/>
      <c r="C22" s="1404"/>
      <c r="D22" s="116"/>
      <c r="E22" s="117"/>
      <c r="F22" s="91"/>
      <c r="G22" s="231"/>
      <c r="H22" s="9"/>
      <c r="I22" s="10"/>
      <c r="J22" s="10"/>
      <c r="K22" s="12"/>
      <c r="L22" s="39"/>
      <c r="M22" s="7"/>
      <c r="N22" s="7"/>
      <c r="O22" s="15"/>
      <c r="P22" s="5"/>
      <c r="Q22" s="5"/>
      <c r="R22" s="5"/>
      <c r="S22" s="5"/>
      <c r="T22" s="5"/>
      <c r="U22" s="5"/>
    </row>
    <row r="23" spans="1:21">
      <c r="A23" s="1386" t="s">
        <v>131</v>
      </c>
      <c r="B23" s="1353"/>
      <c r="C23" s="1353"/>
      <c r="D23" s="79"/>
      <c r="E23" s="82">
        <v>1</v>
      </c>
      <c r="F23" s="83">
        <v>5000</v>
      </c>
      <c r="G23" s="67">
        <f>+F23*E23</f>
        <v>5000</v>
      </c>
      <c r="H23" s="9"/>
      <c r="I23" s="10"/>
      <c r="J23" s="10"/>
      <c r="K23" s="12"/>
      <c r="L23" s="39"/>
      <c r="M23" s="7"/>
      <c r="N23" s="7"/>
      <c r="O23" s="15"/>
      <c r="P23" s="5"/>
      <c r="Q23" s="5"/>
      <c r="R23" s="5"/>
      <c r="S23" s="5"/>
      <c r="T23" s="5"/>
      <c r="U23" s="5"/>
    </row>
    <row r="24" spans="1:21">
      <c r="A24" s="1352"/>
      <c r="B24" s="1353"/>
      <c r="C24" s="1353"/>
      <c r="D24" s="81"/>
      <c r="E24" s="88"/>
      <c r="F24" s="78"/>
      <c r="G24" s="231"/>
      <c r="H24" s="9"/>
      <c r="I24" s="10"/>
      <c r="J24" s="40"/>
      <c r="K24" s="12"/>
      <c r="L24" s="13"/>
      <c r="M24" s="14"/>
      <c r="N24" s="14"/>
      <c r="O24" s="15"/>
      <c r="P24" s="5"/>
      <c r="Q24" s="5"/>
      <c r="R24" s="5"/>
      <c r="S24" s="5"/>
      <c r="T24" s="5"/>
      <c r="U24" s="5"/>
    </row>
    <row r="25" spans="1:21">
      <c r="A25" s="1352"/>
      <c r="B25" s="1353"/>
      <c r="C25" s="1353"/>
      <c r="D25" s="81"/>
      <c r="E25" s="82"/>
      <c r="F25" s="78"/>
      <c r="G25" s="231"/>
      <c r="H25" s="9"/>
      <c r="I25" s="10"/>
      <c r="J25" s="11"/>
      <c r="K25" s="12"/>
      <c r="L25" s="13"/>
      <c r="M25" s="14"/>
      <c r="N25" s="14"/>
      <c r="O25" s="15"/>
      <c r="P25" s="5"/>
      <c r="Q25" s="5"/>
      <c r="R25" s="5"/>
      <c r="S25" s="5"/>
      <c r="T25" s="5"/>
      <c r="U25" s="5"/>
    </row>
    <row r="26" spans="1:21">
      <c r="A26" s="1352"/>
      <c r="B26" s="1353"/>
      <c r="C26" s="1353"/>
      <c r="D26" s="79"/>
      <c r="E26" s="82"/>
      <c r="F26" s="78"/>
      <c r="G26" s="231"/>
      <c r="H26" s="9"/>
      <c r="I26" s="10"/>
      <c r="J26" s="11"/>
      <c r="K26" s="12"/>
      <c r="L26" s="13"/>
      <c r="M26" s="14"/>
      <c r="N26" s="14"/>
      <c r="O26" s="15"/>
      <c r="P26" s="5"/>
      <c r="Q26" s="5"/>
      <c r="R26" s="5"/>
      <c r="S26" s="5"/>
      <c r="T26" s="5"/>
      <c r="U26" s="5"/>
    </row>
    <row r="27" spans="1:21">
      <c r="A27" s="1352"/>
      <c r="B27" s="1353"/>
      <c r="C27" s="1353"/>
      <c r="D27" s="79"/>
      <c r="E27" s="82"/>
      <c r="F27" s="78"/>
      <c r="G27" s="231"/>
      <c r="H27" s="9"/>
      <c r="I27" s="10"/>
      <c r="J27" s="11"/>
      <c r="K27" s="12"/>
      <c r="L27" s="13"/>
      <c r="M27" s="14"/>
      <c r="N27" s="14"/>
      <c r="O27" s="15"/>
      <c r="P27" s="5"/>
      <c r="Q27" s="5"/>
      <c r="R27" s="5"/>
      <c r="S27" s="5"/>
      <c r="T27" s="5"/>
      <c r="U27" s="5"/>
    </row>
    <row r="28" spans="1:21">
      <c r="A28" s="1352"/>
      <c r="B28" s="1353"/>
      <c r="C28" s="1353"/>
      <c r="D28" s="79"/>
      <c r="E28" s="82"/>
      <c r="F28" s="83"/>
      <c r="G28" s="231"/>
      <c r="H28" s="9"/>
      <c r="I28" s="41"/>
      <c r="J28" s="41"/>
      <c r="K28" s="12"/>
      <c r="L28" s="13"/>
      <c r="M28" s="14"/>
      <c r="N28" s="14"/>
      <c r="O28" s="15"/>
      <c r="P28" s="5"/>
      <c r="Q28" s="5"/>
      <c r="R28" s="5"/>
      <c r="S28" s="5"/>
      <c r="T28" s="5"/>
      <c r="U28" s="5"/>
    </row>
    <row r="29" spans="1:21">
      <c r="A29" s="1352"/>
      <c r="B29" s="1353"/>
      <c r="C29" s="1353"/>
      <c r="D29" s="84"/>
      <c r="E29" s="84"/>
      <c r="F29" s="83"/>
      <c r="G29" s="231"/>
      <c r="H29" s="9"/>
      <c r="I29" s="42"/>
      <c r="J29" s="42"/>
      <c r="K29" s="42"/>
      <c r="L29" s="13"/>
      <c r="M29" s="14"/>
      <c r="N29" s="14"/>
      <c r="O29" s="15"/>
      <c r="P29" s="5"/>
      <c r="Q29" s="5"/>
      <c r="R29" s="5"/>
      <c r="S29" s="5"/>
      <c r="T29" s="5"/>
      <c r="U29" s="5"/>
    </row>
    <row r="30" spans="1:21">
      <c r="A30" s="1352"/>
      <c r="B30" s="1353"/>
      <c r="C30" s="1353"/>
      <c r="D30" s="85" t="s">
        <v>28</v>
      </c>
      <c r="E30" s="50"/>
      <c r="F30" s="49"/>
      <c r="G30" s="230">
        <f>SUM(G21:G29)</f>
        <v>226400</v>
      </c>
      <c r="H30" s="9"/>
      <c r="I30" s="8"/>
      <c r="J30" s="13"/>
      <c r="K30" s="8"/>
      <c r="L30" s="13"/>
      <c r="M30" s="14"/>
      <c r="N30" s="14"/>
      <c r="O30" s="15"/>
      <c r="P30" s="5"/>
    </row>
    <row r="31" spans="1:21" ht="3.75" customHeight="1">
      <c r="A31" s="226"/>
      <c r="B31" s="4"/>
      <c r="C31" s="6"/>
      <c r="D31" s="4"/>
      <c r="E31" s="4"/>
      <c r="F31" s="4"/>
      <c r="G31" s="227"/>
      <c r="H31" s="9"/>
      <c r="I31" s="8"/>
      <c r="J31" s="13"/>
      <c r="K31" s="18"/>
      <c r="L31" s="13"/>
      <c r="M31" s="33"/>
      <c r="N31" s="33"/>
      <c r="O31" s="15"/>
      <c r="P31" s="5"/>
    </row>
    <row r="32" spans="1:21" ht="22.5" customHeight="1">
      <c r="A32" s="1354" t="s">
        <v>71</v>
      </c>
      <c r="B32" s="1355"/>
      <c r="C32" s="1355"/>
      <c r="D32" s="1355"/>
      <c r="E32" s="1355"/>
      <c r="F32" s="1355"/>
      <c r="G32" s="1356"/>
      <c r="H32" s="9"/>
    </row>
    <row r="33" spans="1:16" ht="3.75" customHeight="1">
      <c r="A33" s="226"/>
      <c r="B33" s="4"/>
      <c r="C33" s="6"/>
      <c r="D33" s="4"/>
      <c r="E33" s="4"/>
      <c r="F33" s="4"/>
      <c r="G33" s="227"/>
      <c r="H33" s="9"/>
      <c r="I33" s="8"/>
      <c r="J33" s="13"/>
      <c r="K33" s="8"/>
      <c r="L33" s="8"/>
      <c r="M33" s="8"/>
      <c r="N33" s="8"/>
      <c r="O33" s="15"/>
      <c r="P33" s="5"/>
    </row>
    <row r="34" spans="1:16">
      <c r="A34" s="232" t="s">
        <v>5</v>
      </c>
      <c r="B34" s="60" t="s">
        <v>29</v>
      </c>
      <c r="C34" s="60" t="s">
        <v>30</v>
      </c>
      <c r="D34" s="60" t="s">
        <v>31</v>
      </c>
      <c r="E34" s="60" t="s">
        <v>32</v>
      </c>
      <c r="F34" s="60" t="s">
        <v>20</v>
      </c>
      <c r="G34" s="228" t="s">
        <v>33</v>
      </c>
      <c r="H34" s="27"/>
      <c r="I34" s="8"/>
      <c r="J34" s="13"/>
      <c r="K34" s="8"/>
      <c r="L34" s="8"/>
      <c r="M34" s="8"/>
      <c r="N34" s="8"/>
      <c r="O34" s="15"/>
      <c r="P34" s="5"/>
    </row>
    <row r="35" spans="1:16">
      <c r="A35" s="233" t="s">
        <v>41</v>
      </c>
      <c r="B35" s="63">
        <f>BOF</f>
        <v>51749</v>
      </c>
      <c r="C35" s="68">
        <f>ffpp</f>
        <v>0.64539999999999997</v>
      </c>
      <c r="D35" s="72">
        <v>1</v>
      </c>
      <c r="E35" s="66">
        <f>OF</f>
        <v>88696</v>
      </c>
      <c r="F35" s="65">
        <v>10</v>
      </c>
      <c r="G35" s="231">
        <f>ROUND(+D35*E35/F35,0)</f>
        <v>8870</v>
      </c>
      <c r="H35" s="9"/>
      <c r="I35" s="16"/>
      <c r="J35" s="13"/>
      <c r="K35" s="8"/>
      <c r="L35" s="8"/>
      <c r="M35" s="8"/>
      <c r="N35" s="8"/>
      <c r="O35" s="15"/>
      <c r="P35" s="5"/>
    </row>
    <row r="36" spans="1:16">
      <c r="A36" s="233" t="s">
        <v>38</v>
      </c>
      <c r="B36" s="63">
        <f>BOB</f>
        <v>41749</v>
      </c>
      <c r="C36" s="68">
        <f>ffpp</f>
        <v>0.64539999999999997</v>
      </c>
      <c r="D36" s="72">
        <v>3</v>
      </c>
      <c r="E36" s="66">
        <f>OB</f>
        <v>72242</v>
      </c>
      <c r="F36" s="65">
        <f>F35</f>
        <v>10</v>
      </c>
      <c r="G36" s="231">
        <f>ROUND(+D36*E36/F36,0)</f>
        <v>21673</v>
      </c>
      <c r="H36" s="9"/>
      <c r="I36" s="8"/>
      <c r="J36" s="8"/>
      <c r="K36" s="13"/>
      <c r="L36" s="13"/>
      <c r="M36" s="13"/>
      <c r="N36" s="13"/>
      <c r="O36" s="13"/>
      <c r="P36" s="5"/>
    </row>
    <row r="37" spans="1:16">
      <c r="A37" s="234"/>
      <c r="B37" s="50"/>
      <c r="C37" s="961"/>
      <c r="D37" s="50"/>
      <c r="E37" s="66"/>
      <c r="F37" s="65"/>
      <c r="G37" s="231"/>
      <c r="H37" s="9"/>
      <c r="I37" s="8"/>
      <c r="J37" s="13"/>
      <c r="K37" s="13"/>
      <c r="L37" s="13"/>
      <c r="M37" s="33"/>
      <c r="N37" s="33"/>
      <c r="O37" s="43"/>
      <c r="P37" s="5"/>
    </row>
    <row r="38" spans="1:16">
      <c r="A38" s="233"/>
      <c r="B38" s="65"/>
      <c r="C38" s="68"/>
      <c r="D38" s="65"/>
      <c r="E38" s="69"/>
      <c r="F38" s="69"/>
      <c r="G38" s="236"/>
      <c r="H38" s="9"/>
      <c r="I38" s="8"/>
      <c r="J38" s="13"/>
      <c r="K38" s="13"/>
      <c r="L38" s="13"/>
      <c r="M38" s="33"/>
      <c r="N38" s="33"/>
      <c r="O38" s="43"/>
      <c r="P38" s="5"/>
    </row>
    <row r="39" spans="1:16">
      <c r="A39" s="249"/>
      <c r="B39" s="71"/>
      <c r="C39" s="71"/>
      <c r="D39" s="71" t="s">
        <v>34</v>
      </c>
      <c r="E39" s="71"/>
      <c r="F39" s="71"/>
      <c r="G39" s="250">
        <f>SUM(G35:G38)</f>
        <v>30543</v>
      </c>
      <c r="H39" s="9"/>
      <c r="I39" s="8"/>
      <c r="J39" s="13"/>
      <c r="K39" s="13"/>
      <c r="L39" s="13"/>
      <c r="M39" s="14"/>
      <c r="N39" s="14"/>
      <c r="O39" s="15"/>
      <c r="P39" s="5"/>
    </row>
    <row r="40" spans="1:16">
      <c r="A40" s="226"/>
      <c r="B40" s="4"/>
      <c r="C40" s="6"/>
      <c r="D40" s="4"/>
      <c r="E40" s="4"/>
      <c r="F40" s="4"/>
      <c r="G40" s="227"/>
      <c r="H40" s="9"/>
      <c r="I40" s="8"/>
      <c r="J40" s="13"/>
      <c r="K40" s="13"/>
      <c r="L40" s="13"/>
      <c r="M40" s="14"/>
      <c r="N40" s="14"/>
      <c r="O40" s="19"/>
      <c r="P40" s="5"/>
    </row>
    <row r="41" spans="1:16">
      <c r="A41" s="226"/>
      <c r="B41" s="4"/>
      <c r="C41" s="6"/>
      <c r="D41" s="4"/>
      <c r="E41" s="4"/>
      <c r="F41" s="4"/>
      <c r="G41" s="227"/>
      <c r="H41" s="9"/>
      <c r="I41" s="8"/>
      <c r="J41" s="13"/>
      <c r="K41" s="13"/>
      <c r="L41" s="13"/>
      <c r="M41" s="17"/>
      <c r="N41" s="17"/>
      <c r="O41" s="37"/>
      <c r="P41" s="5"/>
    </row>
    <row r="42" spans="1:16" ht="14.25">
      <c r="A42" s="226"/>
      <c r="B42" s="4"/>
      <c r="C42" s="6"/>
      <c r="D42" s="1357" t="s">
        <v>35</v>
      </c>
      <c r="E42" s="1358"/>
      <c r="F42" s="1359"/>
      <c r="G42" s="239">
        <f>+G39+G30+G16</f>
        <v>259997</v>
      </c>
      <c r="H42" s="9"/>
      <c r="I42" s="48"/>
      <c r="J42" s="20"/>
      <c r="K42" s="8"/>
      <c r="L42" s="8"/>
      <c r="M42" s="8"/>
      <c r="N42" s="8"/>
      <c r="O42" s="8"/>
      <c r="P42" s="5"/>
    </row>
    <row r="43" spans="1:16" ht="14.25">
      <c r="A43" s="240"/>
      <c r="B43" s="57"/>
      <c r="C43" s="58"/>
      <c r="D43" s="99"/>
      <c r="E43" s="99"/>
      <c r="F43" s="99"/>
      <c r="G43" s="251"/>
      <c r="H43" s="9"/>
      <c r="I43" s="48"/>
      <c r="J43" s="20"/>
      <c r="K43" s="8"/>
      <c r="L43" s="8"/>
      <c r="M43" s="8"/>
      <c r="N43" s="8"/>
      <c r="O43" s="8"/>
      <c r="P43" s="5"/>
    </row>
    <row r="44" spans="1:16" ht="14.25">
      <c r="A44" s="374"/>
      <c r="B44" s="375"/>
      <c r="C44" s="375"/>
      <c r="D44" s="99"/>
      <c r="E44" s="99"/>
      <c r="F44" s="99"/>
      <c r="G44" s="251"/>
      <c r="H44" s="9"/>
      <c r="I44" s="48"/>
      <c r="J44" s="20"/>
      <c r="K44" s="8"/>
      <c r="L44" s="8"/>
      <c r="M44" s="8"/>
      <c r="N44" s="8"/>
      <c r="O44" s="8"/>
      <c r="P44" s="5"/>
    </row>
    <row r="45" spans="1:16" ht="14.25">
      <c r="A45" s="373"/>
      <c r="B45" s="376"/>
      <c r="C45" s="376"/>
      <c r="D45" s="99"/>
      <c r="E45" s="99"/>
      <c r="F45" s="99"/>
      <c r="G45" s="251"/>
      <c r="H45" s="9"/>
      <c r="I45" s="48"/>
      <c r="J45" s="20"/>
      <c r="K45" s="8"/>
      <c r="L45" s="8"/>
      <c r="M45" s="8"/>
      <c r="N45" s="8"/>
      <c r="O45" s="8"/>
      <c r="P45" s="5"/>
    </row>
    <row r="46" spans="1:16" ht="14.25">
      <c r="A46" s="373"/>
      <c r="B46" s="376"/>
      <c r="C46" s="376"/>
      <c r="D46" s="44"/>
      <c r="E46" s="45"/>
      <c r="F46" s="45"/>
      <c r="G46" s="251"/>
      <c r="H46" s="9"/>
      <c r="I46" s="8"/>
      <c r="J46" s="13"/>
      <c r="K46" s="8"/>
      <c r="L46" s="8"/>
      <c r="M46" s="8"/>
      <c r="N46" s="8"/>
      <c r="O46" s="8"/>
      <c r="P46" s="5"/>
    </row>
    <row r="47" spans="1:16" ht="15" thickBot="1">
      <c r="A47" s="242"/>
      <c r="B47" s="243"/>
      <c r="C47" s="244"/>
      <c r="D47" s="245"/>
      <c r="E47" s="246"/>
      <c r="F47" s="246"/>
      <c r="G47" s="247"/>
      <c r="H47" s="9"/>
      <c r="I47" s="8"/>
      <c r="J47" s="13"/>
      <c r="K47" s="8"/>
      <c r="L47" s="8"/>
      <c r="M47" s="8"/>
      <c r="N47" s="8"/>
      <c r="O47" s="8"/>
      <c r="P47" s="5"/>
    </row>
    <row r="48" spans="1:16">
      <c r="I48" s="5"/>
      <c r="J48" s="5"/>
      <c r="K48" s="5"/>
      <c r="L48" s="5"/>
      <c r="M48" s="5"/>
      <c r="N48" s="5"/>
      <c r="O48" s="5"/>
      <c r="P48" s="5"/>
    </row>
    <row r="49" spans="9:16">
      <c r="I49" s="5"/>
      <c r="J49" s="5"/>
      <c r="K49" s="5"/>
      <c r="L49" s="5"/>
      <c r="M49" s="5"/>
      <c r="N49" s="5"/>
      <c r="O49" s="5"/>
      <c r="P49" s="5"/>
    </row>
  </sheetData>
  <mergeCells count="26">
    <mergeCell ref="A10:C10"/>
    <mergeCell ref="A1:G1"/>
    <mergeCell ref="A2:G2"/>
    <mergeCell ref="A3:G4"/>
    <mergeCell ref="B6:E6"/>
    <mergeCell ref="A8:G8"/>
    <mergeCell ref="A24:C24"/>
    <mergeCell ref="A11:C11"/>
    <mergeCell ref="A12:C12"/>
    <mergeCell ref="A13:C13"/>
    <mergeCell ref="A14:C14"/>
    <mergeCell ref="A15:C15"/>
    <mergeCell ref="A16:C16"/>
    <mergeCell ref="A18:G18"/>
    <mergeCell ref="A20:C20"/>
    <mergeCell ref="A21:C21"/>
    <mergeCell ref="A22:C22"/>
    <mergeCell ref="A23:C23"/>
    <mergeCell ref="A32:G32"/>
    <mergeCell ref="D42:F42"/>
    <mergeCell ref="A25:C25"/>
    <mergeCell ref="A26:C26"/>
    <mergeCell ref="A27:C27"/>
    <mergeCell ref="A28:C28"/>
    <mergeCell ref="A29:C29"/>
    <mergeCell ref="A30:C30"/>
  </mergeCells>
  <printOptions horizontalCentered="1" verticalCentered="1"/>
  <pageMargins left="0.74803149606299213" right="0.74803149606299213" top="0" bottom="0.98425196850393704" header="0" footer="0"/>
  <pageSetup scale="90" orientation="portrait" r:id="rId1"/>
  <headerFooter alignWithMargins="0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99"/>
  <dimension ref="A1:U49"/>
  <sheetViews>
    <sheetView view="pageBreakPreview" topLeftCell="A9" zoomScaleNormal="100" zoomScaleSheetLayoutView="100" workbookViewId="0">
      <selection activeCell="I7" sqref="I7"/>
    </sheetView>
  </sheetViews>
  <sheetFormatPr baseColWidth="10" defaultColWidth="10.7109375" defaultRowHeight="12.75"/>
  <cols>
    <col min="1" max="1" width="15.85546875" style="3" customWidth="1"/>
    <col min="2" max="2" width="14.85546875" style="3" customWidth="1"/>
    <col min="3" max="3" width="13.28515625" style="3" customWidth="1"/>
    <col min="4" max="4" width="11.42578125" style="3"/>
    <col min="5" max="5" width="13.42578125" style="3" customWidth="1"/>
    <col min="6" max="6" width="12.7109375" style="3" customWidth="1"/>
    <col min="7" max="7" width="14" style="3" customWidth="1"/>
    <col min="8" max="8" width="7.42578125" style="3" customWidth="1"/>
    <col min="9" max="256" width="11.42578125" style="3"/>
    <col min="257" max="257" width="15.85546875" style="3" customWidth="1"/>
    <col min="258" max="258" width="14.85546875" style="3" customWidth="1"/>
    <col min="259" max="259" width="13.28515625" style="3" customWidth="1"/>
    <col min="260" max="260" width="11.42578125" style="3"/>
    <col min="261" max="261" width="13.42578125" style="3" customWidth="1"/>
    <col min="262" max="262" width="12.7109375" style="3" customWidth="1"/>
    <col min="263" max="263" width="14" style="3" customWidth="1"/>
    <col min="264" max="264" width="7.42578125" style="3" customWidth="1"/>
    <col min="265" max="512" width="11.42578125" style="3"/>
    <col min="513" max="513" width="15.85546875" style="3" customWidth="1"/>
    <col min="514" max="514" width="14.85546875" style="3" customWidth="1"/>
    <col min="515" max="515" width="13.28515625" style="3" customWidth="1"/>
    <col min="516" max="516" width="11.42578125" style="3"/>
    <col min="517" max="517" width="13.42578125" style="3" customWidth="1"/>
    <col min="518" max="518" width="12.7109375" style="3" customWidth="1"/>
    <col min="519" max="519" width="14" style="3" customWidth="1"/>
    <col min="520" max="520" width="7.42578125" style="3" customWidth="1"/>
    <col min="521" max="768" width="11.42578125" style="3"/>
    <col min="769" max="769" width="15.85546875" style="3" customWidth="1"/>
    <col min="770" max="770" width="14.85546875" style="3" customWidth="1"/>
    <col min="771" max="771" width="13.28515625" style="3" customWidth="1"/>
    <col min="772" max="772" width="11.42578125" style="3"/>
    <col min="773" max="773" width="13.42578125" style="3" customWidth="1"/>
    <col min="774" max="774" width="12.7109375" style="3" customWidth="1"/>
    <col min="775" max="775" width="14" style="3" customWidth="1"/>
    <col min="776" max="776" width="7.42578125" style="3" customWidth="1"/>
    <col min="777" max="1024" width="11.42578125" style="3"/>
    <col min="1025" max="1025" width="15.85546875" style="3" customWidth="1"/>
    <col min="1026" max="1026" width="14.85546875" style="3" customWidth="1"/>
    <col min="1027" max="1027" width="13.28515625" style="3" customWidth="1"/>
    <col min="1028" max="1028" width="11.42578125" style="3"/>
    <col min="1029" max="1029" width="13.42578125" style="3" customWidth="1"/>
    <col min="1030" max="1030" width="12.7109375" style="3" customWidth="1"/>
    <col min="1031" max="1031" width="14" style="3" customWidth="1"/>
    <col min="1032" max="1032" width="7.42578125" style="3" customWidth="1"/>
    <col min="1033" max="1280" width="11.42578125" style="3"/>
    <col min="1281" max="1281" width="15.85546875" style="3" customWidth="1"/>
    <col min="1282" max="1282" width="14.85546875" style="3" customWidth="1"/>
    <col min="1283" max="1283" width="13.28515625" style="3" customWidth="1"/>
    <col min="1284" max="1284" width="11.42578125" style="3"/>
    <col min="1285" max="1285" width="13.42578125" style="3" customWidth="1"/>
    <col min="1286" max="1286" width="12.7109375" style="3" customWidth="1"/>
    <col min="1287" max="1287" width="14" style="3" customWidth="1"/>
    <col min="1288" max="1288" width="7.42578125" style="3" customWidth="1"/>
    <col min="1289" max="1536" width="11.42578125" style="3"/>
    <col min="1537" max="1537" width="15.85546875" style="3" customWidth="1"/>
    <col min="1538" max="1538" width="14.85546875" style="3" customWidth="1"/>
    <col min="1539" max="1539" width="13.28515625" style="3" customWidth="1"/>
    <col min="1540" max="1540" width="11.42578125" style="3"/>
    <col min="1541" max="1541" width="13.42578125" style="3" customWidth="1"/>
    <col min="1542" max="1542" width="12.7109375" style="3" customWidth="1"/>
    <col min="1543" max="1543" width="14" style="3" customWidth="1"/>
    <col min="1544" max="1544" width="7.42578125" style="3" customWidth="1"/>
    <col min="1545" max="1792" width="11.42578125" style="3"/>
    <col min="1793" max="1793" width="15.85546875" style="3" customWidth="1"/>
    <col min="1794" max="1794" width="14.85546875" style="3" customWidth="1"/>
    <col min="1795" max="1795" width="13.28515625" style="3" customWidth="1"/>
    <col min="1796" max="1796" width="11.42578125" style="3"/>
    <col min="1797" max="1797" width="13.42578125" style="3" customWidth="1"/>
    <col min="1798" max="1798" width="12.7109375" style="3" customWidth="1"/>
    <col min="1799" max="1799" width="14" style="3" customWidth="1"/>
    <col min="1800" max="1800" width="7.42578125" style="3" customWidth="1"/>
    <col min="1801" max="2048" width="11.42578125" style="3"/>
    <col min="2049" max="2049" width="15.85546875" style="3" customWidth="1"/>
    <col min="2050" max="2050" width="14.85546875" style="3" customWidth="1"/>
    <col min="2051" max="2051" width="13.28515625" style="3" customWidth="1"/>
    <col min="2052" max="2052" width="11.42578125" style="3"/>
    <col min="2053" max="2053" width="13.42578125" style="3" customWidth="1"/>
    <col min="2054" max="2054" width="12.7109375" style="3" customWidth="1"/>
    <col min="2055" max="2055" width="14" style="3" customWidth="1"/>
    <col min="2056" max="2056" width="7.42578125" style="3" customWidth="1"/>
    <col min="2057" max="2304" width="11.42578125" style="3"/>
    <col min="2305" max="2305" width="15.85546875" style="3" customWidth="1"/>
    <col min="2306" max="2306" width="14.85546875" style="3" customWidth="1"/>
    <col min="2307" max="2307" width="13.28515625" style="3" customWidth="1"/>
    <col min="2308" max="2308" width="11.42578125" style="3"/>
    <col min="2309" max="2309" width="13.42578125" style="3" customWidth="1"/>
    <col min="2310" max="2310" width="12.7109375" style="3" customWidth="1"/>
    <col min="2311" max="2311" width="14" style="3" customWidth="1"/>
    <col min="2312" max="2312" width="7.42578125" style="3" customWidth="1"/>
    <col min="2313" max="2560" width="11.42578125" style="3"/>
    <col min="2561" max="2561" width="15.85546875" style="3" customWidth="1"/>
    <col min="2562" max="2562" width="14.85546875" style="3" customWidth="1"/>
    <col min="2563" max="2563" width="13.28515625" style="3" customWidth="1"/>
    <col min="2564" max="2564" width="11.42578125" style="3"/>
    <col min="2565" max="2565" width="13.42578125" style="3" customWidth="1"/>
    <col min="2566" max="2566" width="12.7109375" style="3" customWidth="1"/>
    <col min="2567" max="2567" width="14" style="3" customWidth="1"/>
    <col min="2568" max="2568" width="7.42578125" style="3" customWidth="1"/>
    <col min="2569" max="2816" width="11.42578125" style="3"/>
    <col min="2817" max="2817" width="15.85546875" style="3" customWidth="1"/>
    <col min="2818" max="2818" width="14.85546875" style="3" customWidth="1"/>
    <col min="2819" max="2819" width="13.28515625" style="3" customWidth="1"/>
    <col min="2820" max="2820" width="11.42578125" style="3"/>
    <col min="2821" max="2821" width="13.42578125" style="3" customWidth="1"/>
    <col min="2822" max="2822" width="12.7109375" style="3" customWidth="1"/>
    <col min="2823" max="2823" width="14" style="3" customWidth="1"/>
    <col min="2824" max="2824" width="7.42578125" style="3" customWidth="1"/>
    <col min="2825" max="3072" width="11.42578125" style="3"/>
    <col min="3073" max="3073" width="15.85546875" style="3" customWidth="1"/>
    <col min="3074" max="3074" width="14.85546875" style="3" customWidth="1"/>
    <col min="3075" max="3075" width="13.28515625" style="3" customWidth="1"/>
    <col min="3076" max="3076" width="11.42578125" style="3"/>
    <col min="3077" max="3077" width="13.42578125" style="3" customWidth="1"/>
    <col min="3078" max="3078" width="12.7109375" style="3" customWidth="1"/>
    <col min="3079" max="3079" width="14" style="3" customWidth="1"/>
    <col min="3080" max="3080" width="7.42578125" style="3" customWidth="1"/>
    <col min="3081" max="3328" width="11.42578125" style="3"/>
    <col min="3329" max="3329" width="15.85546875" style="3" customWidth="1"/>
    <col min="3330" max="3330" width="14.85546875" style="3" customWidth="1"/>
    <col min="3331" max="3331" width="13.28515625" style="3" customWidth="1"/>
    <col min="3332" max="3332" width="11.42578125" style="3"/>
    <col min="3333" max="3333" width="13.42578125" style="3" customWidth="1"/>
    <col min="3334" max="3334" width="12.7109375" style="3" customWidth="1"/>
    <col min="3335" max="3335" width="14" style="3" customWidth="1"/>
    <col min="3336" max="3336" width="7.42578125" style="3" customWidth="1"/>
    <col min="3337" max="3584" width="11.42578125" style="3"/>
    <col min="3585" max="3585" width="15.85546875" style="3" customWidth="1"/>
    <col min="3586" max="3586" width="14.85546875" style="3" customWidth="1"/>
    <col min="3587" max="3587" width="13.28515625" style="3" customWidth="1"/>
    <col min="3588" max="3588" width="11.42578125" style="3"/>
    <col min="3589" max="3589" width="13.42578125" style="3" customWidth="1"/>
    <col min="3590" max="3590" width="12.7109375" style="3" customWidth="1"/>
    <col min="3591" max="3591" width="14" style="3" customWidth="1"/>
    <col min="3592" max="3592" width="7.42578125" style="3" customWidth="1"/>
    <col min="3593" max="3840" width="11.42578125" style="3"/>
    <col min="3841" max="3841" width="15.85546875" style="3" customWidth="1"/>
    <col min="3842" max="3842" width="14.85546875" style="3" customWidth="1"/>
    <col min="3843" max="3843" width="13.28515625" style="3" customWidth="1"/>
    <col min="3844" max="3844" width="11.42578125" style="3"/>
    <col min="3845" max="3845" width="13.42578125" style="3" customWidth="1"/>
    <col min="3846" max="3846" width="12.7109375" style="3" customWidth="1"/>
    <col min="3847" max="3847" width="14" style="3" customWidth="1"/>
    <col min="3848" max="3848" width="7.42578125" style="3" customWidth="1"/>
    <col min="3849" max="4096" width="11.42578125" style="3"/>
    <col min="4097" max="4097" width="15.85546875" style="3" customWidth="1"/>
    <col min="4098" max="4098" width="14.85546875" style="3" customWidth="1"/>
    <col min="4099" max="4099" width="13.28515625" style="3" customWidth="1"/>
    <col min="4100" max="4100" width="11.42578125" style="3"/>
    <col min="4101" max="4101" width="13.42578125" style="3" customWidth="1"/>
    <col min="4102" max="4102" width="12.7109375" style="3" customWidth="1"/>
    <col min="4103" max="4103" width="14" style="3" customWidth="1"/>
    <col min="4104" max="4104" width="7.42578125" style="3" customWidth="1"/>
    <col min="4105" max="4352" width="11.42578125" style="3"/>
    <col min="4353" max="4353" width="15.85546875" style="3" customWidth="1"/>
    <col min="4354" max="4354" width="14.85546875" style="3" customWidth="1"/>
    <col min="4355" max="4355" width="13.28515625" style="3" customWidth="1"/>
    <col min="4356" max="4356" width="11.42578125" style="3"/>
    <col min="4357" max="4357" width="13.42578125" style="3" customWidth="1"/>
    <col min="4358" max="4358" width="12.7109375" style="3" customWidth="1"/>
    <col min="4359" max="4359" width="14" style="3" customWidth="1"/>
    <col min="4360" max="4360" width="7.42578125" style="3" customWidth="1"/>
    <col min="4361" max="4608" width="11.42578125" style="3"/>
    <col min="4609" max="4609" width="15.85546875" style="3" customWidth="1"/>
    <col min="4610" max="4610" width="14.85546875" style="3" customWidth="1"/>
    <col min="4611" max="4611" width="13.28515625" style="3" customWidth="1"/>
    <col min="4612" max="4612" width="11.42578125" style="3"/>
    <col min="4613" max="4613" width="13.42578125" style="3" customWidth="1"/>
    <col min="4614" max="4614" width="12.7109375" style="3" customWidth="1"/>
    <col min="4615" max="4615" width="14" style="3" customWidth="1"/>
    <col min="4616" max="4616" width="7.42578125" style="3" customWidth="1"/>
    <col min="4617" max="4864" width="11.42578125" style="3"/>
    <col min="4865" max="4865" width="15.85546875" style="3" customWidth="1"/>
    <col min="4866" max="4866" width="14.85546875" style="3" customWidth="1"/>
    <col min="4867" max="4867" width="13.28515625" style="3" customWidth="1"/>
    <col min="4868" max="4868" width="11.42578125" style="3"/>
    <col min="4869" max="4869" width="13.42578125" style="3" customWidth="1"/>
    <col min="4870" max="4870" width="12.7109375" style="3" customWidth="1"/>
    <col min="4871" max="4871" width="14" style="3" customWidth="1"/>
    <col min="4872" max="4872" width="7.42578125" style="3" customWidth="1"/>
    <col min="4873" max="5120" width="11.42578125" style="3"/>
    <col min="5121" max="5121" width="15.85546875" style="3" customWidth="1"/>
    <col min="5122" max="5122" width="14.85546875" style="3" customWidth="1"/>
    <col min="5123" max="5123" width="13.28515625" style="3" customWidth="1"/>
    <col min="5124" max="5124" width="11.42578125" style="3"/>
    <col min="5125" max="5125" width="13.42578125" style="3" customWidth="1"/>
    <col min="5126" max="5126" width="12.7109375" style="3" customWidth="1"/>
    <col min="5127" max="5127" width="14" style="3" customWidth="1"/>
    <col min="5128" max="5128" width="7.42578125" style="3" customWidth="1"/>
    <col min="5129" max="5376" width="11.42578125" style="3"/>
    <col min="5377" max="5377" width="15.85546875" style="3" customWidth="1"/>
    <col min="5378" max="5378" width="14.85546875" style="3" customWidth="1"/>
    <col min="5379" max="5379" width="13.28515625" style="3" customWidth="1"/>
    <col min="5380" max="5380" width="11.42578125" style="3"/>
    <col min="5381" max="5381" width="13.42578125" style="3" customWidth="1"/>
    <col min="5382" max="5382" width="12.7109375" style="3" customWidth="1"/>
    <col min="5383" max="5383" width="14" style="3" customWidth="1"/>
    <col min="5384" max="5384" width="7.42578125" style="3" customWidth="1"/>
    <col min="5385" max="5632" width="11.42578125" style="3"/>
    <col min="5633" max="5633" width="15.85546875" style="3" customWidth="1"/>
    <col min="5634" max="5634" width="14.85546875" style="3" customWidth="1"/>
    <col min="5635" max="5635" width="13.28515625" style="3" customWidth="1"/>
    <col min="5636" max="5636" width="11.42578125" style="3"/>
    <col min="5637" max="5637" width="13.42578125" style="3" customWidth="1"/>
    <col min="5638" max="5638" width="12.7109375" style="3" customWidth="1"/>
    <col min="5639" max="5639" width="14" style="3" customWidth="1"/>
    <col min="5640" max="5640" width="7.42578125" style="3" customWidth="1"/>
    <col min="5641" max="5888" width="11.42578125" style="3"/>
    <col min="5889" max="5889" width="15.85546875" style="3" customWidth="1"/>
    <col min="5890" max="5890" width="14.85546875" style="3" customWidth="1"/>
    <col min="5891" max="5891" width="13.28515625" style="3" customWidth="1"/>
    <col min="5892" max="5892" width="11.42578125" style="3"/>
    <col min="5893" max="5893" width="13.42578125" style="3" customWidth="1"/>
    <col min="5894" max="5894" width="12.7109375" style="3" customWidth="1"/>
    <col min="5895" max="5895" width="14" style="3" customWidth="1"/>
    <col min="5896" max="5896" width="7.42578125" style="3" customWidth="1"/>
    <col min="5897" max="6144" width="11.42578125" style="3"/>
    <col min="6145" max="6145" width="15.85546875" style="3" customWidth="1"/>
    <col min="6146" max="6146" width="14.85546875" style="3" customWidth="1"/>
    <col min="6147" max="6147" width="13.28515625" style="3" customWidth="1"/>
    <col min="6148" max="6148" width="11.42578125" style="3"/>
    <col min="6149" max="6149" width="13.42578125" style="3" customWidth="1"/>
    <col min="6150" max="6150" width="12.7109375" style="3" customWidth="1"/>
    <col min="6151" max="6151" width="14" style="3" customWidth="1"/>
    <col min="6152" max="6152" width="7.42578125" style="3" customWidth="1"/>
    <col min="6153" max="6400" width="11.42578125" style="3"/>
    <col min="6401" max="6401" width="15.85546875" style="3" customWidth="1"/>
    <col min="6402" max="6402" width="14.85546875" style="3" customWidth="1"/>
    <col min="6403" max="6403" width="13.28515625" style="3" customWidth="1"/>
    <col min="6404" max="6404" width="11.42578125" style="3"/>
    <col min="6405" max="6405" width="13.42578125" style="3" customWidth="1"/>
    <col min="6406" max="6406" width="12.7109375" style="3" customWidth="1"/>
    <col min="6407" max="6407" width="14" style="3" customWidth="1"/>
    <col min="6408" max="6408" width="7.42578125" style="3" customWidth="1"/>
    <col min="6409" max="6656" width="11.42578125" style="3"/>
    <col min="6657" max="6657" width="15.85546875" style="3" customWidth="1"/>
    <col min="6658" max="6658" width="14.85546875" style="3" customWidth="1"/>
    <col min="6659" max="6659" width="13.28515625" style="3" customWidth="1"/>
    <col min="6660" max="6660" width="11.42578125" style="3"/>
    <col min="6661" max="6661" width="13.42578125" style="3" customWidth="1"/>
    <col min="6662" max="6662" width="12.7109375" style="3" customWidth="1"/>
    <col min="6663" max="6663" width="14" style="3" customWidth="1"/>
    <col min="6664" max="6664" width="7.42578125" style="3" customWidth="1"/>
    <col min="6665" max="6912" width="11.42578125" style="3"/>
    <col min="6913" max="6913" width="15.85546875" style="3" customWidth="1"/>
    <col min="6914" max="6914" width="14.85546875" style="3" customWidth="1"/>
    <col min="6915" max="6915" width="13.28515625" style="3" customWidth="1"/>
    <col min="6916" max="6916" width="11.42578125" style="3"/>
    <col min="6917" max="6917" width="13.42578125" style="3" customWidth="1"/>
    <col min="6918" max="6918" width="12.7109375" style="3" customWidth="1"/>
    <col min="6919" max="6919" width="14" style="3" customWidth="1"/>
    <col min="6920" max="6920" width="7.42578125" style="3" customWidth="1"/>
    <col min="6921" max="7168" width="11.42578125" style="3"/>
    <col min="7169" max="7169" width="15.85546875" style="3" customWidth="1"/>
    <col min="7170" max="7170" width="14.85546875" style="3" customWidth="1"/>
    <col min="7171" max="7171" width="13.28515625" style="3" customWidth="1"/>
    <col min="7172" max="7172" width="11.42578125" style="3"/>
    <col min="7173" max="7173" width="13.42578125" style="3" customWidth="1"/>
    <col min="7174" max="7174" width="12.7109375" style="3" customWidth="1"/>
    <col min="7175" max="7175" width="14" style="3" customWidth="1"/>
    <col min="7176" max="7176" width="7.42578125" style="3" customWidth="1"/>
    <col min="7177" max="7424" width="11.42578125" style="3"/>
    <col min="7425" max="7425" width="15.85546875" style="3" customWidth="1"/>
    <col min="7426" max="7426" width="14.85546875" style="3" customWidth="1"/>
    <col min="7427" max="7427" width="13.28515625" style="3" customWidth="1"/>
    <col min="7428" max="7428" width="11.42578125" style="3"/>
    <col min="7429" max="7429" width="13.42578125" style="3" customWidth="1"/>
    <col min="7430" max="7430" width="12.7109375" style="3" customWidth="1"/>
    <col min="7431" max="7431" width="14" style="3" customWidth="1"/>
    <col min="7432" max="7432" width="7.42578125" style="3" customWidth="1"/>
    <col min="7433" max="7680" width="11.42578125" style="3"/>
    <col min="7681" max="7681" width="15.85546875" style="3" customWidth="1"/>
    <col min="7682" max="7682" width="14.85546875" style="3" customWidth="1"/>
    <col min="7683" max="7683" width="13.28515625" style="3" customWidth="1"/>
    <col min="7684" max="7684" width="11.42578125" style="3"/>
    <col min="7685" max="7685" width="13.42578125" style="3" customWidth="1"/>
    <col min="7686" max="7686" width="12.7109375" style="3" customWidth="1"/>
    <col min="7687" max="7687" width="14" style="3" customWidth="1"/>
    <col min="7688" max="7688" width="7.42578125" style="3" customWidth="1"/>
    <col min="7689" max="7936" width="11.42578125" style="3"/>
    <col min="7937" max="7937" width="15.85546875" style="3" customWidth="1"/>
    <col min="7938" max="7938" width="14.85546875" style="3" customWidth="1"/>
    <col min="7939" max="7939" width="13.28515625" style="3" customWidth="1"/>
    <col min="7940" max="7940" width="11.42578125" style="3"/>
    <col min="7941" max="7941" width="13.42578125" style="3" customWidth="1"/>
    <col min="7942" max="7942" width="12.7109375" style="3" customWidth="1"/>
    <col min="7943" max="7943" width="14" style="3" customWidth="1"/>
    <col min="7944" max="7944" width="7.42578125" style="3" customWidth="1"/>
    <col min="7945" max="8192" width="11.42578125" style="3"/>
    <col min="8193" max="8193" width="15.85546875" style="3" customWidth="1"/>
    <col min="8194" max="8194" width="14.85546875" style="3" customWidth="1"/>
    <col min="8195" max="8195" width="13.28515625" style="3" customWidth="1"/>
    <col min="8196" max="8196" width="11.42578125" style="3"/>
    <col min="8197" max="8197" width="13.42578125" style="3" customWidth="1"/>
    <col min="8198" max="8198" width="12.7109375" style="3" customWidth="1"/>
    <col min="8199" max="8199" width="14" style="3" customWidth="1"/>
    <col min="8200" max="8200" width="7.42578125" style="3" customWidth="1"/>
    <col min="8201" max="8448" width="11.42578125" style="3"/>
    <col min="8449" max="8449" width="15.85546875" style="3" customWidth="1"/>
    <col min="8450" max="8450" width="14.85546875" style="3" customWidth="1"/>
    <col min="8451" max="8451" width="13.28515625" style="3" customWidth="1"/>
    <col min="8452" max="8452" width="11.42578125" style="3"/>
    <col min="8453" max="8453" width="13.42578125" style="3" customWidth="1"/>
    <col min="8454" max="8454" width="12.7109375" style="3" customWidth="1"/>
    <col min="8455" max="8455" width="14" style="3" customWidth="1"/>
    <col min="8456" max="8456" width="7.42578125" style="3" customWidth="1"/>
    <col min="8457" max="8704" width="11.42578125" style="3"/>
    <col min="8705" max="8705" width="15.85546875" style="3" customWidth="1"/>
    <col min="8706" max="8706" width="14.85546875" style="3" customWidth="1"/>
    <col min="8707" max="8707" width="13.28515625" style="3" customWidth="1"/>
    <col min="8708" max="8708" width="11.42578125" style="3"/>
    <col min="8709" max="8709" width="13.42578125" style="3" customWidth="1"/>
    <col min="8710" max="8710" width="12.7109375" style="3" customWidth="1"/>
    <col min="8711" max="8711" width="14" style="3" customWidth="1"/>
    <col min="8712" max="8712" width="7.42578125" style="3" customWidth="1"/>
    <col min="8713" max="8960" width="11.42578125" style="3"/>
    <col min="8961" max="8961" width="15.85546875" style="3" customWidth="1"/>
    <col min="8962" max="8962" width="14.85546875" style="3" customWidth="1"/>
    <col min="8963" max="8963" width="13.28515625" style="3" customWidth="1"/>
    <col min="8964" max="8964" width="11.42578125" style="3"/>
    <col min="8965" max="8965" width="13.42578125" style="3" customWidth="1"/>
    <col min="8966" max="8966" width="12.7109375" style="3" customWidth="1"/>
    <col min="8967" max="8967" width="14" style="3" customWidth="1"/>
    <col min="8968" max="8968" width="7.42578125" style="3" customWidth="1"/>
    <col min="8969" max="9216" width="11.42578125" style="3"/>
    <col min="9217" max="9217" width="15.85546875" style="3" customWidth="1"/>
    <col min="9218" max="9218" width="14.85546875" style="3" customWidth="1"/>
    <col min="9219" max="9219" width="13.28515625" style="3" customWidth="1"/>
    <col min="9220" max="9220" width="11.42578125" style="3"/>
    <col min="9221" max="9221" width="13.42578125" style="3" customWidth="1"/>
    <col min="9222" max="9222" width="12.7109375" style="3" customWidth="1"/>
    <col min="9223" max="9223" width="14" style="3" customWidth="1"/>
    <col min="9224" max="9224" width="7.42578125" style="3" customWidth="1"/>
    <col min="9225" max="9472" width="11.42578125" style="3"/>
    <col min="9473" max="9473" width="15.85546875" style="3" customWidth="1"/>
    <col min="9474" max="9474" width="14.85546875" style="3" customWidth="1"/>
    <col min="9475" max="9475" width="13.28515625" style="3" customWidth="1"/>
    <col min="9476" max="9476" width="11.42578125" style="3"/>
    <col min="9477" max="9477" width="13.42578125" style="3" customWidth="1"/>
    <col min="9478" max="9478" width="12.7109375" style="3" customWidth="1"/>
    <col min="9479" max="9479" width="14" style="3" customWidth="1"/>
    <col min="9480" max="9480" width="7.42578125" style="3" customWidth="1"/>
    <col min="9481" max="9728" width="11.42578125" style="3"/>
    <col min="9729" max="9729" width="15.85546875" style="3" customWidth="1"/>
    <col min="9730" max="9730" width="14.85546875" style="3" customWidth="1"/>
    <col min="9731" max="9731" width="13.28515625" style="3" customWidth="1"/>
    <col min="9732" max="9732" width="11.42578125" style="3"/>
    <col min="9733" max="9733" width="13.42578125" style="3" customWidth="1"/>
    <col min="9734" max="9734" width="12.7109375" style="3" customWidth="1"/>
    <col min="9735" max="9735" width="14" style="3" customWidth="1"/>
    <col min="9736" max="9736" width="7.42578125" style="3" customWidth="1"/>
    <col min="9737" max="9984" width="11.42578125" style="3"/>
    <col min="9985" max="9985" width="15.85546875" style="3" customWidth="1"/>
    <col min="9986" max="9986" width="14.85546875" style="3" customWidth="1"/>
    <col min="9987" max="9987" width="13.28515625" style="3" customWidth="1"/>
    <col min="9988" max="9988" width="11.42578125" style="3"/>
    <col min="9989" max="9989" width="13.42578125" style="3" customWidth="1"/>
    <col min="9990" max="9990" width="12.7109375" style="3" customWidth="1"/>
    <col min="9991" max="9991" width="14" style="3" customWidth="1"/>
    <col min="9992" max="9992" width="7.42578125" style="3" customWidth="1"/>
    <col min="9993" max="10240" width="11.42578125" style="3"/>
    <col min="10241" max="10241" width="15.85546875" style="3" customWidth="1"/>
    <col min="10242" max="10242" width="14.85546875" style="3" customWidth="1"/>
    <col min="10243" max="10243" width="13.28515625" style="3" customWidth="1"/>
    <col min="10244" max="10244" width="11.42578125" style="3"/>
    <col min="10245" max="10245" width="13.42578125" style="3" customWidth="1"/>
    <col min="10246" max="10246" width="12.7109375" style="3" customWidth="1"/>
    <col min="10247" max="10247" width="14" style="3" customWidth="1"/>
    <col min="10248" max="10248" width="7.42578125" style="3" customWidth="1"/>
    <col min="10249" max="10496" width="11.42578125" style="3"/>
    <col min="10497" max="10497" width="15.85546875" style="3" customWidth="1"/>
    <col min="10498" max="10498" width="14.85546875" style="3" customWidth="1"/>
    <col min="10499" max="10499" width="13.28515625" style="3" customWidth="1"/>
    <col min="10500" max="10500" width="11.42578125" style="3"/>
    <col min="10501" max="10501" width="13.42578125" style="3" customWidth="1"/>
    <col min="10502" max="10502" width="12.7109375" style="3" customWidth="1"/>
    <col min="10503" max="10503" width="14" style="3" customWidth="1"/>
    <col min="10504" max="10504" width="7.42578125" style="3" customWidth="1"/>
    <col min="10505" max="10752" width="11.42578125" style="3"/>
    <col min="10753" max="10753" width="15.85546875" style="3" customWidth="1"/>
    <col min="10754" max="10754" width="14.85546875" style="3" customWidth="1"/>
    <col min="10755" max="10755" width="13.28515625" style="3" customWidth="1"/>
    <col min="10756" max="10756" width="11.42578125" style="3"/>
    <col min="10757" max="10757" width="13.42578125" style="3" customWidth="1"/>
    <col min="10758" max="10758" width="12.7109375" style="3" customWidth="1"/>
    <col min="10759" max="10759" width="14" style="3" customWidth="1"/>
    <col min="10760" max="10760" width="7.42578125" style="3" customWidth="1"/>
    <col min="10761" max="11008" width="11.42578125" style="3"/>
    <col min="11009" max="11009" width="15.85546875" style="3" customWidth="1"/>
    <col min="11010" max="11010" width="14.85546875" style="3" customWidth="1"/>
    <col min="11011" max="11011" width="13.28515625" style="3" customWidth="1"/>
    <col min="11012" max="11012" width="11.42578125" style="3"/>
    <col min="11013" max="11013" width="13.42578125" style="3" customWidth="1"/>
    <col min="11014" max="11014" width="12.7109375" style="3" customWidth="1"/>
    <col min="11015" max="11015" width="14" style="3" customWidth="1"/>
    <col min="11016" max="11016" width="7.42578125" style="3" customWidth="1"/>
    <col min="11017" max="11264" width="11.42578125" style="3"/>
    <col min="11265" max="11265" width="15.85546875" style="3" customWidth="1"/>
    <col min="11266" max="11266" width="14.85546875" style="3" customWidth="1"/>
    <col min="11267" max="11267" width="13.28515625" style="3" customWidth="1"/>
    <col min="11268" max="11268" width="11.42578125" style="3"/>
    <col min="11269" max="11269" width="13.42578125" style="3" customWidth="1"/>
    <col min="11270" max="11270" width="12.7109375" style="3" customWidth="1"/>
    <col min="11271" max="11271" width="14" style="3" customWidth="1"/>
    <col min="11272" max="11272" width="7.42578125" style="3" customWidth="1"/>
    <col min="11273" max="11520" width="11.42578125" style="3"/>
    <col min="11521" max="11521" width="15.85546875" style="3" customWidth="1"/>
    <col min="11522" max="11522" width="14.85546875" style="3" customWidth="1"/>
    <col min="11523" max="11523" width="13.28515625" style="3" customWidth="1"/>
    <col min="11524" max="11524" width="11.42578125" style="3"/>
    <col min="11525" max="11525" width="13.42578125" style="3" customWidth="1"/>
    <col min="11526" max="11526" width="12.7109375" style="3" customWidth="1"/>
    <col min="11527" max="11527" width="14" style="3" customWidth="1"/>
    <col min="11528" max="11528" width="7.42578125" style="3" customWidth="1"/>
    <col min="11529" max="11776" width="11.42578125" style="3"/>
    <col min="11777" max="11777" width="15.85546875" style="3" customWidth="1"/>
    <col min="11778" max="11778" width="14.85546875" style="3" customWidth="1"/>
    <col min="11779" max="11779" width="13.28515625" style="3" customWidth="1"/>
    <col min="11780" max="11780" width="11.42578125" style="3"/>
    <col min="11781" max="11781" width="13.42578125" style="3" customWidth="1"/>
    <col min="11782" max="11782" width="12.7109375" style="3" customWidth="1"/>
    <col min="11783" max="11783" width="14" style="3" customWidth="1"/>
    <col min="11784" max="11784" width="7.42578125" style="3" customWidth="1"/>
    <col min="11785" max="12032" width="11.42578125" style="3"/>
    <col min="12033" max="12033" width="15.85546875" style="3" customWidth="1"/>
    <col min="12034" max="12034" width="14.85546875" style="3" customWidth="1"/>
    <col min="12035" max="12035" width="13.28515625" style="3" customWidth="1"/>
    <col min="12036" max="12036" width="11.42578125" style="3"/>
    <col min="12037" max="12037" width="13.42578125" style="3" customWidth="1"/>
    <col min="12038" max="12038" width="12.7109375" style="3" customWidth="1"/>
    <col min="12039" max="12039" width="14" style="3" customWidth="1"/>
    <col min="12040" max="12040" width="7.42578125" style="3" customWidth="1"/>
    <col min="12041" max="12288" width="11.42578125" style="3"/>
    <col min="12289" max="12289" width="15.85546875" style="3" customWidth="1"/>
    <col min="12290" max="12290" width="14.85546875" style="3" customWidth="1"/>
    <col min="12291" max="12291" width="13.28515625" style="3" customWidth="1"/>
    <col min="12292" max="12292" width="11.42578125" style="3"/>
    <col min="12293" max="12293" width="13.42578125" style="3" customWidth="1"/>
    <col min="12294" max="12294" width="12.7109375" style="3" customWidth="1"/>
    <col min="12295" max="12295" width="14" style="3" customWidth="1"/>
    <col min="12296" max="12296" width="7.42578125" style="3" customWidth="1"/>
    <col min="12297" max="12544" width="11.42578125" style="3"/>
    <col min="12545" max="12545" width="15.85546875" style="3" customWidth="1"/>
    <col min="12546" max="12546" width="14.85546875" style="3" customWidth="1"/>
    <col min="12547" max="12547" width="13.28515625" style="3" customWidth="1"/>
    <col min="12548" max="12548" width="11.42578125" style="3"/>
    <col min="12549" max="12549" width="13.42578125" style="3" customWidth="1"/>
    <col min="12550" max="12550" width="12.7109375" style="3" customWidth="1"/>
    <col min="12551" max="12551" width="14" style="3" customWidth="1"/>
    <col min="12552" max="12552" width="7.42578125" style="3" customWidth="1"/>
    <col min="12553" max="12800" width="11.42578125" style="3"/>
    <col min="12801" max="12801" width="15.85546875" style="3" customWidth="1"/>
    <col min="12802" max="12802" width="14.85546875" style="3" customWidth="1"/>
    <col min="12803" max="12803" width="13.28515625" style="3" customWidth="1"/>
    <col min="12804" max="12804" width="11.42578125" style="3"/>
    <col min="12805" max="12805" width="13.42578125" style="3" customWidth="1"/>
    <col min="12806" max="12806" width="12.7109375" style="3" customWidth="1"/>
    <col min="12807" max="12807" width="14" style="3" customWidth="1"/>
    <col min="12808" max="12808" width="7.42578125" style="3" customWidth="1"/>
    <col min="12809" max="13056" width="11.42578125" style="3"/>
    <col min="13057" max="13057" width="15.85546875" style="3" customWidth="1"/>
    <col min="13058" max="13058" width="14.85546875" style="3" customWidth="1"/>
    <col min="13059" max="13059" width="13.28515625" style="3" customWidth="1"/>
    <col min="13060" max="13060" width="11.42578125" style="3"/>
    <col min="13061" max="13061" width="13.42578125" style="3" customWidth="1"/>
    <col min="13062" max="13062" width="12.7109375" style="3" customWidth="1"/>
    <col min="13063" max="13063" width="14" style="3" customWidth="1"/>
    <col min="13064" max="13064" width="7.42578125" style="3" customWidth="1"/>
    <col min="13065" max="13312" width="11.42578125" style="3"/>
    <col min="13313" max="13313" width="15.85546875" style="3" customWidth="1"/>
    <col min="13314" max="13314" width="14.85546875" style="3" customWidth="1"/>
    <col min="13315" max="13315" width="13.28515625" style="3" customWidth="1"/>
    <col min="13316" max="13316" width="11.42578125" style="3"/>
    <col min="13317" max="13317" width="13.42578125" style="3" customWidth="1"/>
    <col min="13318" max="13318" width="12.7109375" style="3" customWidth="1"/>
    <col min="13319" max="13319" width="14" style="3" customWidth="1"/>
    <col min="13320" max="13320" width="7.42578125" style="3" customWidth="1"/>
    <col min="13321" max="13568" width="11.42578125" style="3"/>
    <col min="13569" max="13569" width="15.85546875" style="3" customWidth="1"/>
    <col min="13570" max="13570" width="14.85546875" style="3" customWidth="1"/>
    <col min="13571" max="13571" width="13.28515625" style="3" customWidth="1"/>
    <col min="13572" max="13572" width="11.42578125" style="3"/>
    <col min="13573" max="13573" width="13.42578125" style="3" customWidth="1"/>
    <col min="13574" max="13574" width="12.7109375" style="3" customWidth="1"/>
    <col min="13575" max="13575" width="14" style="3" customWidth="1"/>
    <col min="13576" max="13576" width="7.42578125" style="3" customWidth="1"/>
    <col min="13577" max="13824" width="11.42578125" style="3"/>
    <col min="13825" max="13825" width="15.85546875" style="3" customWidth="1"/>
    <col min="13826" max="13826" width="14.85546875" style="3" customWidth="1"/>
    <col min="13827" max="13827" width="13.28515625" style="3" customWidth="1"/>
    <col min="13828" max="13828" width="11.42578125" style="3"/>
    <col min="13829" max="13829" width="13.42578125" style="3" customWidth="1"/>
    <col min="13830" max="13830" width="12.7109375" style="3" customWidth="1"/>
    <col min="13831" max="13831" width="14" style="3" customWidth="1"/>
    <col min="13832" max="13832" width="7.42578125" style="3" customWidth="1"/>
    <col min="13833" max="14080" width="11.42578125" style="3"/>
    <col min="14081" max="14081" width="15.85546875" style="3" customWidth="1"/>
    <col min="14082" max="14082" width="14.85546875" style="3" customWidth="1"/>
    <col min="14083" max="14083" width="13.28515625" style="3" customWidth="1"/>
    <col min="14084" max="14084" width="11.42578125" style="3"/>
    <col min="14085" max="14085" width="13.42578125" style="3" customWidth="1"/>
    <col min="14086" max="14086" width="12.7109375" style="3" customWidth="1"/>
    <col min="14087" max="14087" width="14" style="3" customWidth="1"/>
    <col min="14088" max="14088" width="7.42578125" style="3" customWidth="1"/>
    <col min="14089" max="14336" width="11.42578125" style="3"/>
    <col min="14337" max="14337" width="15.85546875" style="3" customWidth="1"/>
    <col min="14338" max="14338" width="14.85546875" style="3" customWidth="1"/>
    <col min="14339" max="14339" width="13.28515625" style="3" customWidth="1"/>
    <col min="14340" max="14340" width="11.42578125" style="3"/>
    <col min="14341" max="14341" width="13.42578125" style="3" customWidth="1"/>
    <col min="14342" max="14342" width="12.7109375" style="3" customWidth="1"/>
    <col min="14343" max="14343" width="14" style="3" customWidth="1"/>
    <col min="14344" max="14344" width="7.42578125" style="3" customWidth="1"/>
    <col min="14345" max="14592" width="11.42578125" style="3"/>
    <col min="14593" max="14593" width="15.85546875" style="3" customWidth="1"/>
    <col min="14594" max="14594" width="14.85546875" style="3" customWidth="1"/>
    <col min="14595" max="14595" width="13.28515625" style="3" customWidth="1"/>
    <col min="14596" max="14596" width="11.42578125" style="3"/>
    <col min="14597" max="14597" width="13.42578125" style="3" customWidth="1"/>
    <col min="14598" max="14598" width="12.7109375" style="3" customWidth="1"/>
    <col min="14599" max="14599" width="14" style="3" customWidth="1"/>
    <col min="14600" max="14600" width="7.42578125" style="3" customWidth="1"/>
    <col min="14601" max="14848" width="11.42578125" style="3"/>
    <col min="14849" max="14849" width="15.85546875" style="3" customWidth="1"/>
    <col min="14850" max="14850" width="14.85546875" style="3" customWidth="1"/>
    <col min="14851" max="14851" width="13.28515625" style="3" customWidth="1"/>
    <col min="14852" max="14852" width="11.42578125" style="3"/>
    <col min="14853" max="14853" width="13.42578125" style="3" customWidth="1"/>
    <col min="14854" max="14854" width="12.7109375" style="3" customWidth="1"/>
    <col min="14855" max="14855" width="14" style="3" customWidth="1"/>
    <col min="14856" max="14856" width="7.42578125" style="3" customWidth="1"/>
    <col min="14857" max="15104" width="11.42578125" style="3"/>
    <col min="15105" max="15105" width="15.85546875" style="3" customWidth="1"/>
    <col min="15106" max="15106" width="14.85546875" style="3" customWidth="1"/>
    <col min="15107" max="15107" width="13.28515625" style="3" customWidth="1"/>
    <col min="15108" max="15108" width="11.42578125" style="3"/>
    <col min="15109" max="15109" width="13.42578125" style="3" customWidth="1"/>
    <col min="15110" max="15110" width="12.7109375" style="3" customWidth="1"/>
    <col min="15111" max="15111" width="14" style="3" customWidth="1"/>
    <col min="15112" max="15112" width="7.42578125" style="3" customWidth="1"/>
    <col min="15113" max="15360" width="11.42578125" style="3"/>
    <col min="15361" max="15361" width="15.85546875" style="3" customWidth="1"/>
    <col min="15362" max="15362" width="14.85546875" style="3" customWidth="1"/>
    <col min="15363" max="15363" width="13.28515625" style="3" customWidth="1"/>
    <col min="15364" max="15364" width="11.42578125" style="3"/>
    <col min="15365" max="15365" width="13.42578125" style="3" customWidth="1"/>
    <col min="15366" max="15366" width="12.7109375" style="3" customWidth="1"/>
    <col min="15367" max="15367" width="14" style="3" customWidth="1"/>
    <col min="15368" max="15368" width="7.42578125" style="3" customWidth="1"/>
    <col min="15369" max="15616" width="11.42578125" style="3"/>
    <col min="15617" max="15617" width="15.85546875" style="3" customWidth="1"/>
    <col min="15618" max="15618" width="14.85546875" style="3" customWidth="1"/>
    <col min="15619" max="15619" width="13.28515625" style="3" customWidth="1"/>
    <col min="15620" max="15620" width="11.42578125" style="3"/>
    <col min="15621" max="15621" width="13.42578125" style="3" customWidth="1"/>
    <col min="15622" max="15622" width="12.7109375" style="3" customWidth="1"/>
    <col min="15623" max="15623" width="14" style="3" customWidth="1"/>
    <col min="15624" max="15624" width="7.42578125" style="3" customWidth="1"/>
    <col min="15625" max="15872" width="11.42578125" style="3"/>
    <col min="15873" max="15873" width="15.85546875" style="3" customWidth="1"/>
    <col min="15874" max="15874" width="14.85546875" style="3" customWidth="1"/>
    <col min="15875" max="15875" width="13.28515625" style="3" customWidth="1"/>
    <col min="15876" max="15876" width="11.42578125" style="3"/>
    <col min="15877" max="15877" width="13.42578125" style="3" customWidth="1"/>
    <col min="15878" max="15878" width="12.7109375" style="3" customWidth="1"/>
    <col min="15879" max="15879" width="14" style="3" customWidth="1"/>
    <col min="15880" max="15880" width="7.42578125" style="3" customWidth="1"/>
    <col min="15881" max="16128" width="11.42578125" style="3"/>
    <col min="16129" max="16129" width="15.85546875" style="3" customWidth="1"/>
    <col min="16130" max="16130" width="14.85546875" style="3" customWidth="1"/>
    <col min="16131" max="16131" width="13.28515625" style="3" customWidth="1"/>
    <col min="16132" max="16132" width="11.42578125" style="3"/>
    <col min="16133" max="16133" width="13.42578125" style="3" customWidth="1"/>
    <col min="16134" max="16134" width="12.7109375" style="3" customWidth="1"/>
    <col min="16135" max="16135" width="14" style="3" customWidth="1"/>
    <col min="16136" max="16136" width="7.42578125" style="3" customWidth="1"/>
    <col min="16137" max="16384" width="11.42578125" style="3"/>
  </cols>
  <sheetData>
    <row r="1" spans="1:21" ht="20.25">
      <c r="A1" s="1346" t="str">
        <f>PPTO!D3</f>
        <v>PRESUPUESTO
MUNICIPIO EL BAGRE (ANTIOQUIA).</v>
      </c>
      <c r="B1" s="1347"/>
      <c r="C1" s="1347"/>
      <c r="D1" s="1347"/>
      <c r="E1" s="1347"/>
      <c r="F1" s="1347"/>
      <c r="G1" s="1348"/>
      <c r="H1" s="1"/>
      <c r="I1" s="2"/>
    </row>
    <row r="2" spans="1:21" ht="18" customHeight="1">
      <c r="A2" s="1362" t="s">
        <v>16</v>
      </c>
      <c r="B2" s="1363"/>
      <c r="C2" s="1363"/>
      <c r="D2" s="1363"/>
      <c r="E2" s="1363"/>
      <c r="F2" s="1363"/>
      <c r="G2" s="1364"/>
      <c r="H2" s="1"/>
      <c r="I2" s="2"/>
    </row>
    <row r="3" spans="1:21" ht="27" customHeight="1">
      <c r="A3" s="1367" t="str">
        <f>+PPTO!$D$5</f>
        <v>PROYECTO DE MEJORAMIENTO VIAL, ESPACIO PUBLICO Y OBRAS COMPLEMENTARIAS DE LA AVENIDA LA JUVENTUD Y TRAMOS ADYACENTES Y PRIORITARIOS DEL SECTOR URBANO EN EL MUNICIPIO EL BAGRE ANTIOQUIA.</v>
      </c>
      <c r="B3" s="1368"/>
      <c r="C3" s="1368"/>
      <c r="D3" s="1368"/>
      <c r="E3" s="1368"/>
      <c r="F3" s="1368"/>
      <c r="G3" s="1369"/>
      <c r="H3" s="1"/>
      <c r="I3" s="2"/>
    </row>
    <row r="4" spans="1:21" ht="14.25" customHeight="1">
      <c r="A4" s="1370"/>
      <c r="B4" s="1368"/>
      <c r="C4" s="1368"/>
      <c r="D4" s="1368"/>
      <c r="E4" s="1368"/>
      <c r="F4" s="1368"/>
      <c r="G4" s="1369"/>
      <c r="H4" s="1"/>
      <c r="I4" s="2"/>
    </row>
    <row r="5" spans="1:21" ht="6.75" customHeight="1">
      <c r="A5" s="222"/>
      <c r="B5" s="6"/>
      <c r="C5" s="24"/>
      <c r="D5" s="25"/>
      <c r="E5" s="6"/>
      <c r="F5" s="6"/>
      <c r="G5" s="223"/>
      <c r="H5" s="9"/>
    </row>
    <row r="6" spans="1:21" ht="52.5" customHeight="1">
      <c r="A6" s="368">
        <v>6.56</v>
      </c>
      <c r="B6" s="1349" t="str">
        <f>VLOOKUP(A6,PPTO!D9:I136,2,FALSE)</f>
        <v>KIT SILLA YEE Ø16" x Ø6" (INCLUYE HIDROSELLOS Y LUBRICANTES)</v>
      </c>
      <c r="C6" s="1350"/>
      <c r="D6" s="1350"/>
      <c r="E6" s="1351"/>
      <c r="F6" s="192" t="s">
        <v>118</v>
      </c>
      <c r="G6" s="248" t="str">
        <f>VLOOKUP(A6,PPTO!D9:I136,3,FALSE)</f>
        <v>m</v>
      </c>
      <c r="H6" s="9"/>
    </row>
    <row r="7" spans="1:21" ht="3.75" customHeight="1">
      <c r="A7" s="226"/>
      <c r="B7" s="4"/>
      <c r="C7" s="6"/>
      <c r="D7" s="4"/>
      <c r="E7" s="4"/>
      <c r="F7" s="4"/>
      <c r="G7" s="227"/>
      <c r="H7" s="9"/>
    </row>
    <row r="8" spans="1:21" ht="22.5" customHeight="1">
      <c r="A8" s="1354" t="s">
        <v>69</v>
      </c>
      <c r="B8" s="1355"/>
      <c r="C8" s="1355"/>
      <c r="D8" s="1355"/>
      <c r="E8" s="1355"/>
      <c r="F8" s="1355"/>
      <c r="G8" s="1356"/>
      <c r="H8" s="9"/>
    </row>
    <row r="9" spans="1:21" ht="4.5" customHeight="1">
      <c r="A9" s="226"/>
      <c r="B9" s="4"/>
      <c r="C9" s="6"/>
      <c r="D9" s="4"/>
      <c r="E9" s="4"/>
      <c r="F9" s="4"/>
      <c r="G9" s="227"/>
      <c r="H9" s="9"/>
      <c r="I9" s="5"/>
      <c r="J9" s="5"/>
      <c r="K9" s="5"/>
      <c r="L9" s="26"/>
      <c r="M9" s="5"/>
      <c r="N9" s="5"/>
      <c r="O9" s="5"/>
      <c r="P9" s="5"/>
    </row>
    <row r="10" spans="1:21">
      <c r="A10" s="1373" t="s">
        <v>17</v>
      </c>
      <c r="B10" s="1374"/>
      <c r="C10" s="1374"/>
      <c r="D10" s="353" t="s">
        <v>18</v>
      </c>
      <c r="E10" s="353" t="s">
        <v>19</v>
      </c>
      <c r="F10" s="353" t="s">
        <v>20</v>
      </c>
      <c r="G10" s="228" t="s">
        <v>21</v>
      </c>
      <c r="H10" s="27"/>
      <c r="I10" s="28"/>
      <c r="J10" s="29"/>
      <c r="K10" s="30"/>
      <c r="L10" s="30"/>
      <c r="M10" s="30"/>
      <c r="N10" s="30"/>
      <c r="O10" s="30"/>
      <c r="P10" s="5"/>
    </row>
    <row r="11" spans="1:21">
      <c r="A11" s="1352" t="s">
        <v>47</v>
      </c>
      <c r="B11" s="1353"/>
      <c r="C11" s="1353"/>
      <c r="D11" s="353"/>
      <c r="E11" s="83"/>
      <c r="F11" s="97"/>
      <c r="G11" s="229">
        <f>+G39*10%</f>
        <v>3054</v>
      </c>
      <c r="H11" s="9"/>
      <c r="I11" s="30"/>
      <c r="J11" s="31"/>
      <c r="K11" s="30"/>
      <c r="L11" s="30"/>
      <c r="M11" s="30"/>
      <c r="N11" s="30"/>
      <c r="O11" s="30"/>
      <c r="P11" s="5"/>
    </row>
    <row r="12" spans="1:21">
      <c r="A12" s="1371"/>
      <c r="B12" s="1372"/>
      <c r="C12" s="1372"/>
      <c r="D12" s="83"/>
      <c r="E12" s="83"/>
      <c r="F12" s="93"/>
      <c r="G12" s="229"/>
      <c r="H12" s="9"/>
      <c r="I12" s="16"/>
      <c r="J12" s="13"/>
      <c r="K12" s="8"/>
      <c r="L12" s="8"/>
      <c r="M12" s="8"/>
      <c r="N12" s="8"/>
      <c r="O12" s="8"/>
      <c r="P12" s="5"/>
    </row>
    <row r="13" spans="1:21">
      <c r="A13" s="1371"/>
      <c r="B13" s="1372"/>
      <c r="C13" s="1372"/>
      <c r="D13" s="83"/>
      <c r="E13" s="83"/>
      <c r="F13" s="93"/>
      <c r="G13" s="229"/>
      <c r="H13" s="9"/>
      <c r="I13" s="13"/>
      <c r="J13" s="13"/>
      <c r="K13" s="13"/>
      <c r="L13" s="13"/>
      <c r="M13" s="13"/>
      <c r="N13" s="13"/>
      <c r="O13" s="13"/>
      <c r="P13" s="5"/>
    </row>
    <row r="14" spans="1:21">
      <c r="A14" s="1371"/>
      <c r="B14" s="1372"/>
      <c r="C14" s="1372"/>
      <c r="D14" s="83"/>
      <c r="E14" s="83"/>
      <c r="F14" s="93"/>
      <c r="G14" s="229"/>
      <c r="H14" s="9"/>
      <c r="I14" s="8"/>
      <c r="J14" s="14"/>
      <c r="K14" s="32"/>
      <c r="L14" s="14"/>
      <c r="M14" s="15"/>
      <c r="N14" s="15"/>
      <c r="O14" s="19"/>
      <c r="P14" s="5"/>
    </row>
    <row r="15" spans="1:21">
      <c r="A15" s="1371"/>
      <c r="B15" s="1372"/>
      <c r="C15" s="1372"/>
      <c r="D15" s="83"/>
      <c r="E15" s="83"/>
      <c r="F15" s="98"/>
      <c r="G15" s="229"/>
      <c r="H15" s="9"/>
      <c r="I15" s="8"/>
      <c r="J15" s="33"/>
      <c r="K15" s="32"/>
      <c r="L15" s="14"/>
      <c r="M15" s="15"/>
      <c r="N15" s="15"/>
      <c r="O15" s="19"/>
      <c r="P15" s="5"/>
      <c r="Q15" s="5"/>
      <c r="R15" s="5"/>
      <c r="S15" s="5"/>
      <c r="T15" s="5"/>
      <c r="U15" s="5"/>
    </row>
    <row r="16" spans="1:21">
      <c r="A16" s="1371"/>
      <c r="B16" s="1372"/>
      <c r="C16" s="1372"/>
      <c r="D16" s="85" t="s">
        <v>37</v>
      </c>
      <c r="E16" s="50"/>
      <c r="F16" s="49"/>
      <c r="G16" s="230">
        <f>SUM(G11:G15)</f>
        <v>3054</v>
      </c>
      <c r="H16" s="9"/>
      <c r="I16" s="34"/>
      <c r="J16" s="34"/>
      <c r="K16" s="35"/>
      <c r="L16" s="36"/>
      <c r="M16" s="7"/>
      <c r="N16" s="7"/>
      <c r="O16" s="19"/>
      <c r="P16" s="5"/>
      <c r="Q16" s="5"/>
      <c r="R16" s="5"/>
      <c r="S16" s="5"/>
      <c r="T16" s="5"/>
      <c r="U16" s="5"/>
    </row>
    <row r="17" spans="1:21" ht="4.5" customHeight="1">
      <c r="A17" s="226"/>
      <c r="B17" s="4"/>
      <c r="C17" s="6"/>
      <c r="D17" s="4"/>
      <c r="E17" s="4"/>
      <c r="F17" s="4"/>
      <c r="G17" s="227"/>
      <c r="H17" s="9"/>
      <c r="I17" s="34"/>
      <c r="J17" s="34"/>
      <c r="K17" s="35"/>
      <c r="L17" s="36"/>
      <c r="M17" s="7"/>
      <c r="N17" s="7"/>
      <c r="O17" s="19"/>
      <c r="P17" s="5"/>
      <c r="Q17" s="5"/>
      <c r="R17" s="5"/>
      <c r="S17" s="5"/>
      <c r="T17" s="5"/>
      <c r="U17" s="5"/>
    </row>
    <row r="18" spans="1:21" ht="22.5" customHeight="1">
      <c r="A18" s="1354" t="s">
        <v>70</v>
      </c>
      <c r="B18" s="1355"/>
      <c r="C18" s="1355"/>
      <c r="D18" s="1355"/>
      <c r="E18" s="1355"/>
      <c r="F18" s="1355"/>
      <c r="G18" s="1356"/>
      <c r="H18" s="9"/>
    </row>
    <row r="19" spans="1:21" ht="4.5" customHeight="1">
      <c r="A19" s="226"/>
      <c r="B19" s="4"/>
      <c r="C19" s="6"/>
      <c r="D19" s="4"/>
      <c r="E19" s="4"/>
      <c r="F19" s="38"/>
      <c r="G19" s="227"/>
      <c r="H19" s="9"/>
      <c r="I19" s="34"/>
      <c r="J19" s="34"/>
      <c r="K19" s="35"/>
      <c r="L19" s="39"/>
      <c r="M19" s="7"/>
      <c r="N19" s="7"/>
      <c r="O19" s="8"/>
      <c r="P19" s="5"/>
      <c r="Q19" s="5"/>
      <c r="R19" s="5"/>
      <c r="S19" s="5"/>
      <c r="T19" s="5"/>
      <c r="U19" s="5"/>
    </row>
    <row r="20" spans="1:21">
      <c r="A20" s="1373" t="s">
        <v>17</v>
      </c>
      <c r="B20" s="1374"/>
      <c r="C20" s="1374"/>
      <c r="D20" s="353" t="s">
        <v>3</v>
      </c>
      <c r="E20" s="353" t="s">
        <v>4</v>
      </c>
      <c r="F20" s="353" t="s">
        <v>25</v>
      </c>
      <c r="G20" s="228" t="s">
        <v>21</v>
      </c>
      <c r="H20" s="27"/>
      <c r="I20" s="34"/>
      <c r="J20" s="34"/>
      <c r="K20" s="35"/>
      <c r="L20" s="39"/>
      <c r="M20" s="7"/>
      <c r="N20" s="7"/>
      <c r="O20" s="8"/>
      <c r="P20" s="5"/>
      <c r="Q20" s="5"/>
      <c r="R20" s="5"/>
      <c r="S20" s="5"/>
      <c r="T20" s="5"/>
      <c r="U20" s="5"/>
    </row>
    <row r="21" spans="1:21" ht="31.5" customHeight="1">
      <c r="A21" s="1441" t="str">
        <f>B6</f>
        <v>KIT SILLA YEE Ø16" x Ø6" (INCLUYE HIDROSELLOS Y LUBRICANTES)</v>
      </c>
      <c r="B21" s="1442"/>
      <c r="C21" s="1443"/>
      <c r="D21" s="118" t="s">
        <v>119</v>
      </c>
      <c r="E21" s="119">
        <v>1</v>
      </c>
      <c r="F21" s="87">
        <v>256700</v>
      </c>
      <c r="G21" s="231">
        <f>ROUND(F21*E21,0)</f>
        <v>256700</v>
      </c>
      <c r="H21" s="9"/>
      <c r="I21" s="34"/>
      <c r="J21" s="34"/>
      <c r="K21" s="35"/>
      <c r="L21" s="36"/>
      <c r="M21" s="7"/>
      <c r="N21" s="7"/>
      <c r="O21" s="19"/>
      <c r="P21" s="5"/>
      <c r="Q21" s="5"/>
      <c r="R21" s="5"/>
      <c r="S21" s="5"/>
      <c r="T21" s="5"/>
      <c r="U21" s="5"/>
    </row>
    <row r="22" spans="1:21" ht="27.75" customHeight="1">
      <c r="A22" s="1444"/>
      <c r="B22" s="1403"/>
      <c r="C22" s="1404"/>
      <c r="D22" s="116"/>
      <c r="E22" s="117"/>
      <c r="F22" s="91"/>
      <c r="G22" s="231"/>
      <c r="H22" s="9"/>
      <c r="I22" s="10"/>
      <c r="J22" s="10"/>
      <c r="K22" s="12"/>
      <c r="L22" s="39"/>
      <c r="M22" s="7"/>
      <c r="N22" s="7"/>
      <c r="O22" s="15"/>
      <c r="P22" s="5"/>
      <c r="Q22" s="5"/>
      <c r="R22" s="5"/>
      <c r="S22" s="5"/>
      <c r="T22" s="5"/>
      <c r="U22" s="5"/>
    </row>
    <row r="23" spans="1:21">
      <c r="A23" s="1386" t="s">
        <v>131</v>
      </c>
      <c r="B23" s="1353"/>
      <c r="C23" s="1353"/>
      <c r="D23" s="79"/>
      <c r="E23" s="82">
        <v>1</v>
      </c>
      <c r="F23" s="83">
        <v>5000</v>
      </c>
      <c r="G23" s="67">
        <f>+F23*E23</f>
        <v>5000</v>
      </c>
      <c r="H23" s="9"/>
      <c r="I23" s="10"/>
      <c r="J23" s="10"/>
      <c r="K23" s="12"/>
      <c r="L23" s="39"/>
      <c r="M23" s="7"/>
      <c r="N23" s="7"/>
      <c r="O23" s="15"/>
      <c r="P23" s="5"/>
      <c r="Q23" s="5"/>
      <c r="R23" s="5"/>
      <c r="S23" s="5"/>
      <c r="T23" s="5"/>
      <c r="U23" s="5"/>
    </row>
    <row r="24" spans="1:21">
      <c r="A24" s="1352"/>
      <c r="B24" s="1353"/>
      <c r="C24" s="1353"/>
      <c r="D24" s="81"/>
      <c r="E24" s="88"/>
      <c r="F24" s="78"/>
      <c r="G24" s="231"/>
      <c r="H24" s="9"/>
      <c r="I24" s="10"/>
      <c r="J24" s="40"/>
      <c r="K24" s="12"/>
      <c r="L24" s="13"/>
      <c r="M24" s="14"/>
      <c r="N24" s="14"/>
      <c r="O24" s="15"/>
      <c r="P24" s="5"/>
      <c r="Q24" s="5"/>
      <c r="R24" s="5"/>
      <c r="S24" s="5"/>
      <c r="T24" s="5"/>
      <c r="U24" s="5"/>
    </row>
    <row r="25" spans="1:21">
      <c r="A25" s="1352"/>
      <c r="B25" s="1353"/>
      <c r="C25" s="1353"/>
      <c r="D25" s="81"/>
      <c r="E25" s="82"/>
      <c r="F25" s="78"/>
      <c r="G25" s="231"/>
      <c r="H25" s="9"/>
      <c r="I25" s="10"/>
      <c r="J25" s="11"/>
      <c r="K25" s="12"/>
      <c r="L25" s="13"/>
      <c r="M25" s="14"/>
      <c r="N25" s="14"/>
      <c r="O25" s="15"/>
      <c r="P25" s="5"/>
      <c r="Q25" s="5"/>
      <c r="R25" s="5"/>
      <c r="S25" s="5"/>
      <c r="T25" s="5"/>
      <c r="U25" s="5"/>
    </row>
    <row r="26" spans="1:21">
      <c r="A26" s="1352"/>
      <c r="B26" s="1353"/>
      <c r="C26" s="1353"/>
      <c r="D26" s="79"/>
      <c r="E26" s="82"/>
      <c r="F26" s="78"/>
      <c r="G26" s="231"/>
      <c r="H26" s="9"/>
      <c r="I26" s="10"/>
      <c r="J26" s="11"/>
      <c r="K26" s="12"/>
      <c r="L26" s="13"/>
      <c r="M26" s="14"/>
      <c r="N26" s="14"/>
      <c r="O26" s="15"/>
      <c r="P26" s="5"/>
      <c r="Q26" s="5"/>
      <c r="R26" s="5"/>
      <c r="S26" s="5"/>
      <c r="T26" s="5"/>
      <c r="U26" s="5"/>
    </row>
    <row r="27" spans="1:21">
      <c r="A27" s="1352"/>
      <c r="B27" s="1353"/>
      <c r="C27" s="1353"/>
      <c r="D27" s="79"/>
      <c r="E27" s="82"/>
      <c r="F27" s="78"/>
      <c r="G27" s="231"/>
      <c r="H27" s="9"/>
      <c r="I27" s="10"/>
      <c r="J27" s="11"/>
      <c r="K27" s="12"/>
      <c r="L27" s="13"/>
      <c r="M27" s="14"/>
      <c r="N27" s="14"/>
      <c r="O27" s="15"/>
      <c r="P27" s="5"/>
      <c r="Q27" s="5"/>
      <c r="R27" s="5"/>
      <c r="S27" s="5"/>
      <c r="T27" s="5"/>
      <c r="U27" s="5"/>
    </row>
    <row r="28" spans="1:21">
      <c r="A28" s="1352"/>
      <c r="B28" s="1353"/>
      <c r="C28" s="1353"/>
      <c r="D28" s="79"/>
      <c r="E28" s="82"/>
      <c r="F28" s="83"/>
      <c r="G28" s="231"/>
      <c r="H28" s="9"/>
      <c r="I28" s="41"/>
      <c r="J28" s="41"/>
      <c r="K28" s="12"/>
      <c r="L28" s="13"/>
      <c r="M28" s="14"/>
      <c r="N28" s="14"/>
      <c r="O28" s="15"/>
      <c r="P28" s="5"/>
      <c r="Q28" s="5"/>
      <c r="R28" s="5"/>
      <c r="S28" s="5"/>
      <c r="T28" s="5"/>
      <c r="U28" s="5"/>
    </row>
    <row r="29" spans="1:21">
      <c r="A29" s="1352"/>
      <c r="B29" s="1353"/>
      <c r="C29" s="1353"/>
      <c r="D29" s="84"/>
      <c r="E29" s="84"/>
      <c r="F29" s="83"/>
      <c r="G29" s="231"/>
      <c r="H29" s="9"/>
      <c r="I29" s="42"/>
      <c r="J29" s="42"/>
      <c r="K29" s="42"/>
      <c r="L29" s="13"/>
      <c r="M29" s="14"/>
      <c r="N29" s="14"/>
      <c r="O29" s="15"/>
      <c r="P29" s="5"/>
      <c r="Q29" s="5"/>
      <c r="R29" s="5"/>
      <c r="S29" s="5"/>
      <c r="T29" s="5"/>
      <c r="U29" s="5"/>
    </row>
    <row r="30" spans="1:21">
      <c r="A30" s="1352"/>
      <c r="B30" s="1353"/>
      <c r="C30" s="1353"/>
      <c r="D30" s="85" t="s">
        <v>28</v>
      </c>
      <c r="E30" s="50"/>
      <c r="F30" s="49"/>
      <c r="G30" s="230">
        <f>SUM(G21:G29)</f>
        <v>261700</v>
      </c>
      <c r="H30" s="9"/>
      <c r="I30" s="8"/>
      <c r="J30" s="13"/>
      <c r="K30" s="8"/>
      <c r="L30" s="13"/>
      <c r="M30" s="14"/>
      <c r="N30" s="14"/>
      <c r="O30" s="15"/>
      <c r="P30" s="5"/>
    </row>
    <row r="31" spans="1:21" ht="3.75" customHeight="1">
      <c r="A31" s="226"/>
      <c r="B31" s="4"/>
      <c r="C31" s="6"/>
      <c r="D31" s="4"/>
      <c r="E31" s="4"/>
      <c r="F31" s="4"/>
      <c r="G31" s="227"/>
      <c r="H31" s="9"/>
      <c r="I31" s="8"/>
      <c r="J31" s="13"/>
      <c r="K31" s="18"/>
      <c r="L31" s="13"/>
      <c r="M31" s="33"/>
      <c r="N31" s="33"/>
      <c r="O31" s="15"/>
      <c r="P31" s="5"/>
    </row>
    <row r="32" spans="1:21" ht="22.5" customHeight="1">
      <c r="A32" s="1354" t="s">
        <v>71</v>
      </c>
      <c r="B32" s="1355"/>
      <c r="C32" s="1355"/>
      <c r="D32" s="1355"/>
      <c r="E32" s="1355"/>
      <c r="F32" s="1355"/>
      <c r="G32" s="1356"/>
      <c r="H32" s="9"/>
    </row>
    <row r="33" spans="1:16" ht="3.75" customHeight="1">
      <c r="A33" s="226"/>
      <c r="B33" s="4"/>
      <c r="C33" s="6"/>
      <c r="D33" s="4"/>
      <c r="E33" s="4"/>
      <c r="F33" s="4"/>
      <c r="G33" s="227"/>
      <c r="H33" s="9"/>
      <c r="I33" s="8"/>
      <c r="J33" s="13"/>
      <c r="K33" s="8"/>
      <c r="L33" s="8"/>
      <c r="M33" s="8"/>
      <c r="N33" s="8"/>
      <c r="O33" s="15"/>
      <c r="P33" s="5"/>
    </row>
    <row r="34" spans="1:16">
      <c r="A34" s="232" t="s">
        <v>5</v>
      </c>
      <c r="B34" s="60" t="s">
        <v>29</v>
      </c>
      <c r="C34" s="60" t="s">
        <v>30</v>
      </c>
      <c r="D34" s="60" t="s">
        <v>31</v>
      </c>
      <c r="E34" s="60" t="s">
        <v>32</v>
      </c>
      <c r="F34" s="60" t="s">
        <v>20</v>
      </c>
      <c r="G34" s="228" t="s">
        <v>33</v>
      </c>
      <c r="H34" s="27"/>
      <c r="I34" s="8"/>
      <c r="J34" s="13"/>
      <c r="K34" s="8"/>
      <c r="L34" s="8"/>
      <c r="M34" s="8"/>
      <c r="N34" s="8"/>
      <c r="O34" s="15"/>
      <c r="P34" s="5"/>
    </row>
    <row r="35" spans="1:16">
      <c r="A35" s="233" t="s">
        <v>41</v>
      </c>
      <c r="B35" s="63">
        <f>BOF</f>
        <v>51749</v>
      </c>
      <c r="C35" s="68">
        <f>ffpp</f>
        <v>0.64539999999999997</v>
      </c>
      <c r="D35" s="72">
        <v>1</v>
      </c>
      <c r="E35" s="66">
        <f>OF</f>
        <v>88696</v>
      </c>
      <c r="F35" s="65">
        <v>10</v>
      </c>
      <c r="G35" s="231">
        <f>ROUND(+D35*E35/F35,0)</f>
        <v>8870</v>
      </c>
      <c r="H35" s="9"/>
      <c r="I35" s="16"/>
      <c r="J35" s="13"/>
      <c r="K35" s="8"/>
      <c r="L35" s="8"/>
      <c r="M35" s="8"/>
      <c r="N35" s="8"/>
      <c r="O35" s="15"/>
      <c r="P35" s="5"/>
    </row>
    <row r="36" spans="1:16">
      <c r="A36" s="233" t="s">
        <v>38</v>
      </c>
      <c r="B36" s="63">
        <f>BOB</f>
        <v>41749</v>
      </c>
      <c r="C36" s="68">
        <f>ffpp</f>
        <v>0.64539999999999997</v>
      </c>
      <c r="D36" s="72">
        <v>3</v>
      </c>
      <c r="E36" s="66">
        <f>OB</f>
        <v>72242</v>
      </c>
      <c r="F36" s="65">
        <f>F35</f>
        <v>10</v>
      </c>
      <c r="G36" s="231">
        <f>ROUND(+D36*E36/F36,0)</f>
        <v>21673</v>
      </c>
      <c r="H36" s="9"/>
      <c r="I36" s="8"/>
      <c r="J36" s="8"/>
      <c r="K36" s="13"/>
      <c r="L36" s="13"/>
      <c r="M36" s="13"/>
      <c r="N36" s="13"/>
      <c r="O36" s="13"/>
      <c r="P36" s="5"/>
    </row>
    <row r="37" spans="1:16">
      <c r="A37" s="234"/>
      <c r="B37" s="50"/>
      <c r="C37" s="961"/>
      <c r="D37" s="50"/>
      <c r="E37" s="66"/>
      <c r="F37" s="65"/>
      <c r="G37" s="231"/>
      <c r="H37" s="9"/>
      <c r="I37" s="8"/>
      <c r="J37" s="13"/>
      <c r="K37" s="13"/>
      <c r="L37" s="13"/>
      <c r="M37" s="33"/>
      <c r="N37" s="33"/>
      <c r="O37" s="43"/>
      <c r="P37" s="5"/>
    </row>
    <row r="38" spans="1:16">
      <c r="A38" s="233"/>
      <c r="B38" s="65"/>
      <c r="C38" s="68"/>
      <c r="D38" s="65"/>
      <c r="E38" s="69"/>
      <c r="F38" s="69"/>
      <c r="G38" s="236"/>
      <c r="H38" s="9"/>
      <c r="I38" s="8"/>
      <c r="J38" s="13"/>
      <c r="K38" s="13"/>
      <c r="L38" s="13"/>
      <c r="M38" s="33"/>
      <c r="N38" s="33"/>
      <c r="O38" s="43"/>
      <c r="P38" s="5"/>
    </row>
    <row r="39" spans="1:16">
      <c r="A39" s="249"/>
      <c r="B39" s="71"/>
      <c r="C39" s="71"/>
      <c r="D39" s="71" t="s">
        <v>34</v>
      </c>
      <c r="E39" s="71"/>
      <c r="F39" s="71"/>
      <c r="G39" s="250">
        <f>SUM(G35:G38)</f>
        <v>30543</v>
      </c>
      <c r="H39" s="9"/>
      <c r="I39" s="8"/>
      <c r="J39" s="13"/>
      <c r="K39" s="13"/>
      <c r="L39" s="13"/>
      <c r="M39" s="14"/>
      <c r="N39" s="14"/>
      <c r="O39" s="15"/>
      <c r="P39" s="5"/>
    </row>
    <row r="40" spans="1:16">
      <c r="A40" s="226"/>
      <c r="B40" s="4"/>
      <c r="C40" s="6"/>
      <c r="D40" s="4"/>
      <c r="E40" s="4"/>
      <c r="F40" s="4"/>
      <c r="G40" s="227"/>
      <c r="H40" s="9"/>
      <c r="I40" s="8"/>
      <c r="J40" s="13"/>
      <c r="K40" s="13"/>
      <c r="L40" s="13"/>
      <c r="M40" s="14"/>
      <c r="N40" s="14"/>
      <c r="O40" s="19"/>
      <c r="P40" s="5"/>
    </row>
    <row r="41" spans="1:16">
      <c r="A41" s="226"/>
      <c r="B41" s="4"/>
      <c r="C41" s="6"/>
      <c r="D41" s="4"/>
      <c r="E41" s="4"/>
      <c r="F41" s="4"/>
      <c r="G41" s="227"/>
      <c r="H41" s="9"/>
      <c r="I41" s="8"/>
      <c r="J41" s="13"/>
      <c r="K41" s="13"/>
      <c r="L41" s="13"/>
      <c r="M41" s="17"/>
      <c r="N41" s="17"/>
      <c r="O41" s="37"/>
      <c r="P41" s="5"/>
    </row>
    <row r="42" spans="1:16" ht="14.25">
      <c r="A42" s="226"/>
      <c r="B42" s="4"/>
      <c r="C42" s="6"/>
      <c r="D42" s="1357" t="s">
        <v>35</v>
      </c>
      <c r="E42" s="1358"/>
      <c r="F42" s="1359"/>
      <c r="G42" s="239">
        <f>+G39+G30+G16</f>
        <v>295297</v>
      </c>
      <c r="H42" s="9"/>
      <c r="I42" s="48"/>
      <c r="J42" s="20"/>
      <c r="K42" s="8"/>
      <c r="L42" s="8"/>
      <c r="M42" s="8"/>
      <c r="N42" s="8"/>
      <c r="O42" s="8"/>
      <c r="P42" s="5"/>
    </row>
    <row r="43" spans="1:16" ht="14.25">
      <c r="A43" s="240"/>
      <c r="B43" s="57"/>
      <c r="C43" s="58"/>
      <c r="D43" s="99"/>
      <c r="E43" s="99"/>
      <c r="F43" s="99"/>
      <c r="G43" s="251"/>
      <c r="H43" s="9"/>
      <c r="I43" s="48"/>
      <c r="J43" s="20"/>
      <c r="K43" s="8"/>
      <c r="L43" s="8"/>
      <c r="M43" s="8"/>
      <c r="N43" s="8"/>
      <c r="O43" s="8"/>
      <c r="P43" s="5"/>
    </row>
    <row r="44" spans="1:16" ht="14.25">
      <c r="A44" s="374"/>
      <c r="B44" s="375"/>
      <c r="C44" s="375"/>
      <c r="D44" s="99"/>
      <c r="E44" s="99"/>
      <c r="F44" s="99"/>
      <c r="G44" s="251"/>
      <c r="H44" s="9"/>
      <c r="I44" s="48"/>
      <c r="J44" s="20"/>
      <c r="K44" s="8"/>
      <c r="L44" s="8"/>
      <c r="M44" s="8"/>
      <c r="N44" s="8"/>
      <c r="O44" s="8"/>
      <c r="P44" s="5"/>
    </row>
    <row r="45" spans="1:16" ht="14.25">
      <c r="A45" s="373"/>
      <c r="B45" s="376"/>
      <c r="C45" s="376"/>
      <c r="D45" s="99"/>
      <c r="E45" s="99"/>
      <c r="F45" s="99"/>
      <c r="G45" s="251"/>
      <c r="H45" s="9"/>
      <c r="I45" s="48"/>
      <c r="J45" s="20"/>
      <c r="K45" s="8"/>
      <c r="L45" s="8"/>
      <c r="M45" s="8"/>
      <c r="N45" s="8"/>
      <c r="O45" s="8"/>
      <c r="P45" s="5"/>
    </row>
    <row r="46" spans="1:16" ht="14.25">
      <c r="A46" s="373"/>
      <c r="B46" s="376"/>
      <c r="C46" s="376"/>
      <c r="D46" s="44"/>
      <c r="E46" s="45"/>
      <c r="F46" s="45"/>
      <c r="G46" s="251"/>
      <c r="H46" s="9"/>
      <c r="I46" s="8"/>
      <c r="J46" s="13"/>
      <c r="K46" s="8"/>
      <c r="L46" s="8"/>
      <c r="M46" s="8"/>
      <c r="N46" s="8"/>
      <c r="O46" s="8"/>
      <c r="P46" s="5"/>
    </row>
    <row r="47" spans="1:16" ht="15" thickBot="1">
      <c r="A47" s="242"/>
      <c r="B47" s="243"/>
      <c r="C47" s="244"/>
      <c r="D47" s="245"/>
      <c r="E47" s="246"/>
      <c r="F47" s="246"/>
      <c r="G47" s="247"/>
      <c r="H47" s="9"/>
      <c r="I47" s="8"/>
      <c r="J47" s="13"/>
      <c r="K47" s="8"/>
      <c r="L47" s="8"/>
      <c r="M47" s="8"/>
      <c r="N47" s="8"/>
      <c r="O47" s="8"/>
      <c r="P47" s="5"/>
    </row>
    <row r="48" spans="1:16">
      <c r="I48" s="5"/>
      <c r="J48" s="5"/>
      <c r="K48" s="5"/>
      <c r="L48" s="5"/>
      <c r="M48" s="5"/>
      <c r="N48" s="5"/>
      <c r="O48" s="5"/>
      <c r="P48" s="5"/>
    </row>
    <row r="49" spans="9:16">
      <c r="I49" s="5"/>
      <c r="J49" s="5"/>
      <c r="K49" s="5"/>
      <c r="L49" s="5"/>
      <c r="M49" s="5"/>
      <c r="N49" s="5"/>
      <c r="O49" s="5"/>
      <c r="P49" s="5"/>
    </row>
  </sheetData>
  <mergeCells count="26">
    <mergeCell ref="A10:C10"/>
    <mergeCell ref="A1:G1"/>
    <mergeCell ref="A2:G2"/>
    <mergeCell ref="A3:G4"/>
    <mergeCell ref="B6:E6"/>
    <mergeCell ref="A8:G8"/>
    <mergeCell ref="A24:C24"/>
    <mergeCell ref="A11:C11"/>
    <mergeCell ref="A12:C12"/>
    <mergeCell ref="A13:C13"/>
    <mergeCell ref="A14:C14"/>
    <mergeCell ref="A15:C15"/>
    <mergeCell ref="A16:C16"/>
    <mergeCell ref="A18:G18"/>
    <mergeCell ref="A20:C20"/>
    <mergeCell ref="A21:C21"/>
    <mergeCell ref="A22:C22"/>
    <mergeCell ref="A23:C23"/>
    <mergeCell ref="A32:G32"/>
    <mergeCell ref="D42:F42"/>
    <mergeCell ref="A25:C25"/>
    <mergeCell ref="A26:C26"/>
    <mergeCell ref="A27:C27"/>
    <mergeCell ref="A28:C28"/>
    <mergeCell ref="A29:C29"/>
    <mergeCell ref="A30:C30"/>
  </mergeCells>
  <printOptions horizontalCentered="1" verticalCentered="1"/>
  <pageMargins left="0.74803149606299213" right="0.74803149606299213" top="0" bottom="0.98425196850393704" header="0" footer="0"/>
  <pageSetup scale="90" orientation="portrait" r:id="rId1"/>
  <headerFooter alignWithMargins="0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00"/>
  <dimension ref="A1:U49"/>
  <sheetViews>
    <sheetView view="pageBreakPreview" topLeftCell="A9" zoomScaleNormal="100" zoomScaleSheetLayoutView="100" workbookViewId="0">
      <selection activeCell="I7" sqref="I7"/>
    </sheetView>
  </sheetViews>
  <sheetFormatPr baseColWidth="10" defaultColWidth="10.7109375" defaultRowHeight="12.75"/>
  <cols>
    <col min="1" max="1" width="15.85546875" style="3" customWidth="1"/>
    <col min="2" max="2" width="14.85546875" style="3" customWidth="1"/>
    <col min="3" max="3" width="13.28515625" style="3" customWidth="1"/>
    <col min="4" max="4" width="11.42578125" style="3"/>
    <col min="5" max="5" width="13.42578125" style="3" customWidth="1"/>
    <col min="6" max="6" width="12.7109375" style="3" customWidth="1"/>
    <col min="7" max="7" width="14" style="3" customWidth="1"/>
    <col min="8" max="8" width="7.42578125" style="3" customWidth="1"/>
    <col min="9" max="256" width="11.42578125" style="3"/>
    <col min="257" max="257" width="15.85546875" style="3" customWidth="1"/>
    <col min="258" max="258" width="14.85546875" style="3" customWidth="1"/>
    <col min="259" max="259" width="13.28515625" style="3" customWidth="1"/>
    <col min="260" max="260" width="11.42578125" style="3"/>
    <col min="261" max="261" width="13.42578125" style="3" customWidth="1"/>
    <col min="262" max="262" width="12.7109375" style="3" customWidth="1"/>
    <col min="263" max="263" width="14" style="3" customWidth="1"/>
    <col min="264" max="264" width="7.42578125" style="3" customWidth="1"/>
    <col min="265" max="512" width="11.42578125" style="3"/>
    <col min="513" max="513" width="15.85546875" style="3" customWidth="1"/>
    <col min="514" max="514" width="14.85546875" style="3" customWidth="1"/>
    <col min="515" max="515" width="13.28515625" style="3" customWidth="1"/>
    <col min="516" max="516" width="11.42578125" style="3"/>
    <col min="517" max="517" width="13.42578125" style="3" customWidth="1"/>
    <col min="518" max="518" width="12.7109375" style="3" customWidth="1"/>
    <col min="519" max="519" width="14" style="3" customWidth="1"/>
    <col min="520" max="520" width="7.42578125" style="3" customWidth="1"/>
    <col min="521" max="768" width="11.42578125" style="3"/>
    <col min="769" max="769" width="15.85546875" style="3" customWidth="1"/>
    <col min="770" max="770" width="14.85546875" style="3" customWidth="1"/>
    <col min="771" max="771" width="13.28515625" style="3" customWidth="1"/>
    <col min="772" max="772" width="11.42578125" style="3"/>
    <col min="773" max="773" width="13.42578125" style="3" customWidth="1"/>
    <col min="774" max="774" width="12.7109375" style="3" customWidth="1"/>
    <col min="775" max="775" width="14" style="3" customWidth="1"/>
    <col min="776" max="776" width="7.42578125" style="3" customWidth="1"/>
    <col min="777" max="1024" width="11.42578125" style="3"/>
    <col min="1025" max="1025" width="15.85546875" style="3" customWidth="1"/>
    <col min="1026" max="1026" width="14.85546875" style="3" customWidth="1"/>
    <col min="1027" max="1027" width="13.28515625" style="3" customWidth="1"/>
    <col min="1028" max="1028" width="11.42578125" style="3"/>
    <col min="1029" max="1029" width="13.42578125" style="3" customWidth="1"/>
    <col min="1030" max="1030" width="12.7109375" style="3" customWidth="1"/>
    <col min="1031" max="1031" width="14" style="3" customWidth="1"/>
    <col min="1032" max="1032" width="7.42578125" style="3" customWidth="1"/>
    <col min="1033" max="1280" width="11.42578125" style="3"/>
    <col min="1281" max="1281" width="15.85546875" style="3" customWidth="1"/>
    <col min="1282" max="1282" width="14.85546875" style="3" customWidth="1"/>
    <col min="1283" max="1283" width="13.28515625" style="3" customWidth="1"/>
    <col min="1284" max="1284" width="11.42578125" style="3"/>
    <col min="1285" max="1285" width="13.42578125" style="3" customWidth="1"/>
    <col min="1286" max="1286" width="12.7109375" style="3" customWidth="1"/>
    <col min="1287" max="1287" width="14" style="3" customWidth="1"/>
    <col min="1288" max="1288" width="7.42578125" style="3" customWidth="1"/>
    <col min="1289" max="1536" width="11.42578125" style="3"/>
    <col min="1537" max="1537" width="15.85546875" style="3" customWidth="1"/>
    <col min="1538" max="1538" width="14.85546875" style="3" customWidth="1"/>
    <col min="1539" max="1539" width="13.28515625" style="3" customWidth="1"/>
    <col min="1540" max="1540" width="11.42578125" style="3"/>
    <col min="1541" max="1541" width="13.42578125" style="3" customWidth="1"/>
    <col min="1542" max="1542" width="12.7109375" style="3" customWidth="1"/>
    <col min="1543" max="1543" width="14" style="3" customWidth="1"/>
    <col min="1544" max="1544" width="7.42578125" style="3" customWidth="1"/>
    <col min="1545" max="1792" width="11.42578125" style="3"/>
    <col min="1793" max="1793" width="15.85546875" style="3" customWidth="1"/>
    <col min="1794" max="1794" width="14.85546875" style="3" customWidth="1"/>
    <col min="1795" max="1795" width="13.28515625" style="3" customWidth="1"/>
    <col min="1796" max="1796" width="11.42578125" style="3"/>
    <col min="1797" max="1797" width="13.42578125" style="3" customWidth="1"/>
    <col min="1798" max="1798" width="12.7109375" style="3" customWidth="1"/>
    <col min="1799" max="1799" width="14" style="3" customWidth="1"/>
    <col min="1800" max="1800" width="7.42578125" style="3" customWidth="1"/>
    <col min="1801" max="2048" width="11.42578125" style="3"/>
    <col min="2049" max="2049" width="15.85546875" style="3" customWidth="1"/>
    <col min="2050" max="2050" width="14.85546875" style="3" customWidth="1"/>
    <col min="2051" max="2051" width="13.28515625" style="3" customWidth="1"/>
    <col min="2052" max="2052" width="11.42578125" style="3"/>
    <col min="2053" max="2053" width="13.42578125" style="3" customWidth="1"/>
    <col min="2054" max="2054" width="12.7109375" style="3" customWidth="1"/>
    <col min="2055" max="2055" width="14" style="3" customWidth="1"/>
    <col min="2056" max="2056" width="7.42578125" style="3" customWidth="1"/>
    <col min="2057" max="2304" width="11.42578125" style="3"/>
    <col min="2305" max="2305" width="15.85546875" style="3" customWidth="1"/>
    <col min="2306" max="2306" width="14.85546875" style="3" customWidth="1"/>
    <col min="2307" max="2307" width="13.28515625" style="3" customWidth="1"/>
    <col min="2308" max="2308" width="11.42578125" style="3"/>
    <col min="2309" max="2309" width="13.42578125" style="3" customWidth="1"/>
    <col min="2310" max="2310" width="12.7109375" style="3" customWidth="1"/>
    <col min="2311" max="2311" width="14" style="3" customWidth="1"/>
    <col min="2312" max="2312" width="7.42578125" style="3" customWidth="1"/>
    <col min="2313" max="2560" width="11.42578125" style="3"/>
    <col min="2561" max="2561" width="15.85546875" style="3" customWidth="1"/>
    <col min="2562" max="2562" width="14.85546875" style="3" customWidth="1"/>
    <col min="2563" max="2563" width="13.28515625" style="3" customWidth="1"/>
    <col min="2564" max="2564" width="11.42578125" style="3"/>
    <col min="2565" max="2565" width="13.42578125" style="3" customWidth="1"/>
    <col min="2566" max="2566" width="12.7109375" style="3" customWidth="1"/>
    <col min="2567" max="2567" width="14" style="3" customWidth="1"/>
    <col min="2568" max="2568" width="7.42578125" style="3" customWidth="1"/>
    <col min="2569" max="2816" width="11.42578125" style="3"/>
    <col min="2817" max="2817" width="15.85546875" style="3" customWidth="1"/>
    <col min="2818" max="2818" width="14.85546875" style="3" customWidth="1"/>
    <col min="2819" max="2819" width="13.28515625" style="3" customWidth="1"/>
    <col min="2820" max="2820" width="11.42578125" style="3"/>
    <col min="2821" max="2821" width="13.42578125" style="3" customWidth="1"/>
    <col min="2822" max="2822" width="12.7109375" style="3" customWidth="1"/>
    <col min="2823" max="2823" width="14" style="3" customWidth="1"/>
    <col min="2824" max="2824" width="7.42578125" style="3" customWidth="1"/>
    <col min="2825" max="3072" width="11.42578125" style="3"/>
    <col min="3073" max="3073" width="15.85546875" style="3" customWidth="1"/>
    <col min="3074" max="3074" width="14.85546875" style="3" customWidth="1"/>
    <col min="3075" max="3075" width="13.28515625" style="3" customWidth="1"/>
    <col min="3076" max="3076" width="11.42578125" style="3"/>
    <col min="3077" max="3077" width="13.42578125" style="3" customWidth="1"/>
    <col min="3078" max="3078" width="12.7109375" style="3" customWidth="1"/>
    <col min="3079" max="3079" width="14" style="3" customWidth="1"/>
    <col min="3080" max="3080" width="7.42578125" style="3" customWidth="1"/>
    <col min="3081" max="3328" width="11.42578125" style="3"/>
    <col min="3329" max="3329" width="15.85546875" style="3" customWidth="1"/>
    <col min="3330" max="3330" width="14.85546875" style="3" customWidth="1"/>
    <col min="3331" max="3331" width="13.28515625" style="3" customWidth="1"/>
    <col min="3332" max="3332" width="11.42578125" style="3"/>
    <col min="3333" max="3333" width="13.42578125" style="3" customWidth="1"/>
    <col min="3334" max="3334" width="12.7109375" style="3" customWidth="1"/>
    <col min="3335" max="3335" width="14" style="3" customWidth="1"/>
    <col min="3336" max="3336" width="7.42578125" style="3" customWidth="1"/>
    <col min="3337" max="3584" width="11.42578125" style="3"/>
    <col min="3585" max="3585" width="15.85546875" style="3" customWidth="1"/>
    <col min="3586" max="3586" width="14.85546875" style="3" customWidth="1"/>
    <col min="3587" max="3587" width="13.28515625" style="3" customWidth="1"/>
    <col min="3588" max="3588" width="11.42578125" style="3"/>
    <col min="3589" max="3589" width="13.42578125" style="3" customWidth="1"/>
    <col min="3590" max="3590" width="12.7109375" style="3" customWidth="1"/>
    <col min="3591" max="3591" width="14" style="3" customWidth="1"/>
    <col min="3592" max="3592" width="7.42578125" style="3" customWidth="1"/>
    <col min="3593" max="3840" width="11.42578125" style="3"/>
    <col min="3841" max="3841" width="15.85546875" style="3" customWidth="1"/>
    <col min="3842" max="3842" width="14.85546875" style="3" customWidth="1"/>
    <col min="3843" max="3843" width="13.28515625" style="3" customWidth="1"/>
    <col min="3844" max="3844" width="11.42578125" style="3"/>
    <col min="3845" max="3845" width="13.42578125" style="3" customWidth="1"/>
    <col min="3846" max="3846" width="12.7109375" style="3" customWidth="1"/>
    <col min="3847" max="3847" width="14" style="3" customWidth="1"/>
    <col min="3848" max="3848" width="7.42578125" style="3" customWidth="1"/>
    <col min="3849" max="4096" width="11.42578125" style="3"/>
    <col min="4097" max="4097" width="15.85546875" style="3" customWidth="1"/>
    <col min="4098" max="4098" width="14.85546875" style="3" customWidth="1"/>
    <col min="4099" max="4099" width="13.28515625" style="3" customWidth="1"/>
    <col min="4100" max="4100" width="11.42578125" style="3"/>
    <col min="4101" max="4101" width="13.42578125" style="3" customWidth="1"/>
    <col min="4102" max="4102" width="12.7109375" style="3" customWidth="1"/>
    <col min="4103" max="4103" width="14" style="3" customWidth="1"/>
    <col min="4104" max="4104" width="7.42578125" style="3" customWidth="1"/>
    <col min="4105" max="4352" width="11.42578125" style="3"/>
    <col min="4353" max="4353" width="15.85546875" style="3" customWidth="1"/>
    <col min="4354" max="4354" width="14.85546875" style="3" customWidth="1"/>
    <col min="4355" max="4355" width="13.28515625" style="3" customWidth="1"/>
    <col min="4356" max="4356" width="11.42578125" style="3"/>
    <col min="4357" max="4357" width="13.42578125" style="3" customWidth="1"/>
    <col min="4358" max="4358" width="12.7109375" style="3" customWidth="1"/>
    <col min="4359" max="4359" width="14" style="3" customWidth="1"/>
    <col min="4360" max="4360" width="7.42578125" style="3" customWidth="1"/>
    <col min="4361" max="4608" width="11.42578125" style="3"/>
    <col min="4609" max="4609" width="15.85546875" style="3" customWidth="1"/>
    <col min="4610" max="4610" width="14.85546875" style="3" customWidth="1"/>
    <col min="4611" max="4611" width="13.28515625" style="3" customWidth="1"/>
    <col min="4612" max="4612" width="11.42578125" style="3"/>
    <col min="4613" max="4613" width="13.42578125" style="3" customWidth="1"/>
    <col min="4614" max="4614" width="12.7109375" style="3" customWidth="1"/>
    <col min="4615" max="4615" width="14" style="3" customWidth="1"/>
    <col min="4616" max="4616" width="7.42578125" style="3" customWidth="1"/>
    <col min="4617" max="4864" width="11.42578125" style="3"/>
    <col min="4865" max="4865" width="15.85546875" style="3" customWidth="1"/>
    <col min="4866" max="4866" width="14.85546875" style="3" customWidth="1"/>
    <col min="4867" max="4867" width="13.28515625" style="3" customWidth="1"/>
    <col min="4868" max="4868" width="11.42578125" style="3"/>
    <col min="4869" max="4869" width="13.42578125" style="3" customWidth="1"/>
    <col min="4870" max="4870" width="12.7109375" style="3" customWidth="1"/>
    <col min="4871" max="4871" width="14" style="3" customWidth="1"/>
    <col min="4872" max="4872" width="7.42578125" style="3" customWidth="1"/>
    <col min="4873" max="5120" width="11.42578125" style="3"/>
    <col min="5121" max="5121" width="15.85546875" style="3" customWidth="1"/>
    <col min="5122" max="5122" width="14.85546875" style="3" customWidth="1"/>
    <col min="5123" max="5123" width="13.28515625" style="3" customWidth="1"/>
    <col min="5124" max="5124" width="11.42578125" style="3"/>
    <col min="5125" max="5125" width="13.42578125" style="3" customWidth="1"/>
    <col min="5126" max="5126" width="12.7109375" style="3" customWidth="1"/>
    <col min="5127" max="5127" width="14" style="3" customWidth="1"/>
    <col min="5128" max="5128" width="7.42578125" style="3" customWidth="1"/>
    <col min="5129" max="5376" width="11.42578125" style="3"/>
    <col min="5377" max="5377" width="15.85546875" style="3" customWidth="1"/>
    <col min="5378" max="5378" width="14.85546875" style="3" customWidth="1"/>
    <col min="5379" max="5379" width="13.28515625" style="3" customWidth="1"/>
    <col min="5380" max="5380" width="11.42578125" style="3"/>
    <col min="5381" max="5381" width="13.42578125" style="3" customWidth="1"/>
    <col min="5382" max="5382" width="12.7109375" style="3" customWidth="1"/>
    <col min="5383" max="5383" width="14" style="3" customWidth="1"/>
    <col min="5384" max="5384" width="7.42578125" style="3" customWidth="1"/>
    <col min="5385" max="5632" width="11.42578125" style="3"/>
    <col min="5633" max="5633" width="15.85546875" style="3" customWidth="1"/>
    <col min="5634" max="5634" width="14.85546875" style="3" customWidth="1"/>
    <col min="5635" max="5635" width="13.28515625" style="3" customWidth="1"/>
    <col min="5636" max="5636" width="11.42578125" style="3"/>
    <col min="5637" max="5637" width="13.42578125" style="3" customWidth="1"/>
    <col min="5638" max="5638" width="12.7109375" style="3" customWidth="1"/>
    <col min="5639" max="5639" width="14" style="3" customWidth="1"/>
    <col min="5640" max="5640" width="7.42578125" style="3" customWidth="1"/>
    <col min="5641" max="5888" width="11.42578125" style="3"/>
    <col min="5889" max="5889" width="15.85546875" style="3" customWidth="1"/>
    <col min="5890" max="5890" width="14.85546875" style="3" customWidth="1"/>
    <col min="5891" max="5891" width="13.28515625" style="3" customWidth="1"/>
    <col min="5892" max="5892" width="11.42578125" style="3"/>
    <col min="5893" max="5893" width="13.42578125" style="3" customWidth="1"/>
    <col min="5894" max="5894" width="12.7109375" style="3" customWidth="1"/>
    <col min="5895" max="5895" width="14" style="3" customWidth="1"/>
    <col min="5896" max="5896" width="7.42578125" style="3" customWidth="1"/>
    <col min="5897" max="6144" width="11.42578125" style="3"/>
    <col min="6145" max="6145" width="15.85546875" style="3" customWidth="1"/>
    <col min="6146" max="6146" width="14.85546875" style="3" customWidth="1"/>
    <col min="6147" max="6147" width="13.28515625" style="3" customWidth="1"/>
    <col min="6148" max="6148" width="11.42578125" style="3"/>
    <col min="6149" max="6149" width="13.42578125" style="3" customWidth="1"/>
    <col min="6150" max="6150" width="12.7109375" style="3" customWidth="1"/>
    <col min="6151" max="6151" width="14" style="3" customWidth="1"/>
    <col min="6152" max="6152" width="7.42578125" style="3" customWidth="1"/>
    <col min="6153" max="6400" width="11.42578125" style="3"/>
    <col min="6401" max="6401" width="15.85546875" style="3" customWidth="1"/>
    <col min="6402" max="6402" width="14.85546875" style="3" customWidth="1"/>
    <col min="6403" max="6403" width="13.28515625" style="3" customWidth="1"/>
    <col min="6404" max="6404" width="11.42578125" style="3"/>
    <col min="6405" max="6405" width="13.42578125" style="3" customWidth="1"/>
    <col min="6406" max="6406" width="12.7109375" style="3" customWidth="1"/>
    <col min="6407" max="6407" width="14" style="3" customWidth="1"/>
    <col min="6408" max="6408" width="7.42578125" style="3" customWidth="1"/>
    <col min="6409" max="6656" width="11.42578125" style="3"/>
    <col min="6657" max="6657" width="15.85546875" style="3" customWidth="1"/>
    <col min="6658" max="6658" width="14.85546875" style="3" customWidth="1"/>
    <col min="6659" max="6659" width="13.28515625" style="3" customWidth="1"/>
    <col min="6660" max="6660" width="11.42578125" style="3"/>
    <col min="6661" max="6661" width="13.42578125" style="3" customWidth="1"/>
    <col min="6662" max="6662" width="12.7109375" style="3" customWidth="1"/>
    <col min="6663" max="6663" width="14" style="3" customWidth="1"/>
    <col min="6664" max="6664" width="7.42578125" style="3" customWidth="1"/>
    <col min="6665" max="6912" width="11.42578125" style="3"/>
    <col min="6913" max="6913" width="15.85546875" style="3" customWidth="1"/>
    <col min="6914" max="6914" width="14.85546875" style="3" customWidth="1"/>
    <col min="6915" max="6915" width="13.28515625" style="3" customWidth="1"/>
    <col min="6916" max="6916" width="11.42578125" style="3"/>
    <col min="6917" max="6917" width="13.42578125" style="3" customWidth="1"/>
    <col min="6918" max="6918" width="12.7109375" style="3" customWidth="1"/>
    <col min="6919" max="6919" width="14" style="3" customWidth="1"/>
    <col min="6920" max="6920" width="7.42578125" style="3" customWidth="1"/>
    <col min="6921" max="7168" width="11.42578125" style="3"/>
    <col min="7169" max="7169" width="15.85546875" style="3" customWidth="1"/>
    <col min="7170" max="7170" width="14.85546875" style="3" customWidth="1"/>
    <col min="7171" max="7171" width="13.28515625" style="3" customWidth="1"/>
    <col min="7172" max="7172" width="11.42578125" style="3"/>
    <col min="7173" max="7173" width="13.42578125" style="3" customWidth="1"/>
    <col min="7174" max="7174" width="12.7109375" style="3" customWidth="1"/>
    <col min="7175" max="7175" width="14" style="3" customWidth="1"/>
    <col min="7176" max="7176" width="7.42578125" style="3" customWidth="1"/>
    <col min="7177" max="7424" width="11.42578125" style="3"/>
    <col min="7425" max="7425" width="15.85546875" style="3" customWidth="1"/>
    <col min="7426" max="7426" width="14.85546875" style="3" customWidth="1"/>
    <col min="7427" max="7427" width="13.28515625" style="3" customWidth="1"/>
    <col min="7428" max="7428" width="11.42578125" style="3"/>
    <col min="7429" max="7429" width="13.42578125" style="3" customWidth="1"/>
    <col min="7430" max="7430" width="12.7109375" style="3" customWidth="1"/>
    <col min="7431" max="7431" width="14" style="3" customWidth="1"/>
    <col min="7432" max="7432" width="7.42578125" style="3" customWidth="1"/>
    <col min="7433" max="7680" width="11.42578125" style="3"/>
    <col min="7681" max="7681" width="15.85546875" style="3" customWidth="1"/>
    <col min="7682" max="7682" width="14.85546875" style="3" customWidth="1"/>
    <col min="7683" max="7683" width="13.28515625" style="3" customWidth="1"/>
    <col min="7684" max="7684" width="11.42578125" style="3"/>
    <col min="7685" max="7685" width="13.42578125" style="3" customWidth="1"/>
    <col min="7686" max="7686" width="12.7109375" style="3" customWidth="1"/>
    <col min="7687" max="7687" width="14" style="3" customWidth="1"/>
    <col min="7688" max="7688" width="7.42578125" style="3" customWidth="1"/>
    <col min="7689" max="7936" width="11.42578125" style="3"/>
    <col min="7937" max="7937" width="15.85546875" style="3" customWidth="1"/>
    <col min="7938" max="7938" width="14.85546875" style="3" customWidth="1"/>
    <col min="7939" max="7939" width="13.28515625" style="3" customWidth="1"/>
    <col min="7940" max="7940" width="11.42578125" style="3"/>
    <col min="7941" max="7941" width="13.42578125" style="3" customWidth="1"/>
    <col min="7942" max="7942" width="12.7109375" style="3" customWidth="1"/>
    <col min="7943" max="7943" width="14" style="3" customWidth="1"/>
    <col min="7944" max="7944" width="7.42578125" style="3" customWidth="1"/>
    <col min="7945" max="8192" width="11.42578125" style="3"/>
    <col min="8193" max="8193" width="15.85546875" style="3" customWidth="1"/>
    <col min="8194" max="8194" width="14.85546875" style="3" customWidth="1"/>
    <col min="8195" max="8195" width="13.28515625" style="3" customWidth="1"/>
    <col min="8196" max="8196" width="11.42578125" style="3"/>
    <col min="8197" max="8197" width="13.42578125" style="3" customWidth="1"/>
    <col min="8198" max="8198" width="12.7109375" style="3" customWidth="1"/>
    <col min="8199" max="8199" width="14" style="3" customWidth="1"/>
    <col min="8200" max="8200" width="7.42578125" style="3" customWidth="1"/>
    <col min="8201" max="8448" width="11.42578125" style="3"/>
    <col min="8449" max="8449" width="15.85546875" style="3" customWidth="1"/>
    <col min="8450" max="8450" width="14.85546875" style="3" customWidth="1"/>
    <col min="8451" max="8451" width="13.28515625" style="3" customWidth="1"/>
    <col min="8452" max="8452" width="11.42578125" style="3"/>
    <col min="8453" max="8453" width="13.42578125" style="3" customWidth="1"/>
    <col min="8454" max="8454" width="12.7109375" style="3" customWidth="1"/>
    <col min="8455" max="8455" width="14" style="3" customWidth="1"/>
    <col min="8456" max="8456" width="7.42578125" style="3" customWidth="1"/>
    <col min="8457" max="8704" width="11.42578125" style="3"/>
    <col min="8705" max="8705" width="15.85546875" style="3" customWidth="1"/>
    <col min="8706" max="8706" width="14.85546875" style="3" customWidth="1"/>
    <col min="8707" max="8707" width="13.28515625" style="3" customWidth="1"/>
    <col min="8708" max="8708" width="11.42578125" style="3"/>
    <col min="8709" max="8709" width="13.42578125" style="3" customWidth="1"/>
    <col min="8710" max="8710" width="12.7109375" style="3" customWidth="1"/>
    <col min="8711" max="8711" width="14" style="3" customWidth="1"/>
    <col min="8712" max="8712" width="7.42578125" style="3" customWidth="1"/>
    <col min="8713" max="8960" width="11.42578125" style="3"/>
    <col min="8961" max="8961" width="15.85546875" style="3" customWidth="1"/>
    <col min="8962" max="8962" width="14.85546875" style="3" customWidth="1"/>
    <col min="8963" max="8963" width="13.28515625" style="3" customWidth="1"/>
    <col min="8964" max="8964" width="11.42578125" style="3"/>
    <col min="8965" max="8965" width="13.42578125" style="3" customWidth="1"/>
    <col min="8966" max="8966" width="12.7109375" style="3" customWidth="1"/>
    <col min="8967" max="8967" width="14" style="3" customWidth="1"/>
    <col min="8968" max="8968" width="7.42578125" style="3" customWidth="1"/>
    <col min="8969" max="9216" width="11.42578125" style="3"/>
    <col min="9217" max="9217" width="15.85546875" style="3" customWidth="1"/>
    <col min="9218" max="9218" width="14.85546875" style="3" customWidth="1"/>
    <col min="9219" max="9219" width="13.28515625" style="3" customWidth="1"/>
    <col min="9220" max="9220" width="11.42578125" style="3"/>
    <col min="9221" max="9221" width="13.42578125" style="3" customWidth="1"/>
    <col min="9222" max="9222" width="12.7109375" style="3" customWidth="1"/>
    <col min="9223" max="9223" width="14" style="3" customWidth="1"/>
    <col min="9224" max="9224" width="7.42578125" style="3" customWidth="1"/>
    <col min="9225" max="9472" width="11.42578125" style="3"/>
    <col min="9473" max="9473" width="15.85546875" style="3" customWidth="1"/>
    <col min="9474" max="9474" width="14.85546875" style="3" customWidth="1"/>
    <col min="9475" max="9475" width="13.28515625" style="3" customWidth="1"/>
    <col min="9476" max="9476" width="11.42578125" style="3"/>
    <col min="9477" max="9477" width="13.42578125" style="3" customWidth="1"/>
    <col min="9478" max="9478" width="12.7109375" style="3" customWidth="1"/>
    <col min="9479" max="9479" width="14" style="3" customWidth="1"/>
    <col min="9480" max="9480" width="7.42578125" style="3" customWidth="1"/>
    <col min="9481" max="9728" width="11.42578125" style="3"/>
    <col min="9729" max="9729" width="15.85546875" style="3" customWidth="1"/>
    <col min="9730" max="9730" width="14.85546875" style="3" customWidth="1"/>
    <col min="9731" max="9731" width="13.28515625" style="3" customWidth="1"/>
    <col min="9732" max="9732" width="11.42578125" style="3"/>
    <col min="9733" max="9733" width="13.42578125" style="3" customWidth="1"/>
    <col min="9734" max="9734" width="12.7109375" style="3" customWidth="1"/>
    <col min="9735" max="9735" width="14" style="3" customWidth="1"/>
    <col min="9736" max="9736" width="7.42578125" style="3" customWidth="1"/>
    <col min="9737" max="9984" width="11.42578125" style="3"/>
    <col min="9985" max="9985" width="15.85546875" style="3" customWidth="1"/>
    <col min="9986" max="9986" width="14.85546875" style="3" customWidth="1"/>
    <col min="9987" max="9987" width="13.28515625" style="3" customWidth="1"/>
    <col min="9988" max="9988" width="11.42578125" style="3"/>
    <col min="9989" max="9989" width="13.42578125" style="3" customWidth="1"/>
    <col min="9990" max="9990" width="12.7109375" style="3" customWidth="1"/>
    <col min="9991" max="9991" width="14" style="3" customWidth="1"/>
    <col min="9992" max="9992" width="7.42578125" style="3" customWidth="1"/>
    <col min="9993" max="10240" width="11.42578125" style="3"/>
    <col min="10241" max="10241" width="15.85546875" style="3" customWidth="1"/>
    <col min="10242" max="10242" width="14.85546875" style="3" customWidth="1"/>
    <col min="10243" max="10243" width="13.28515625" style="3" customWidth="1"/>
    <col min="10244" max="10244" width="11.42578125" style="3"/>
    <col min="10245" max="10245" width="13.42578125" style="3" customWidth="1"/>
    <col min="10246" max="10246" width="12.7109375" style="3" customWidth="1"/>
    <col min="10247" max="10247" width="14" style="3" customWidth="1"/>
    <col min="10248" max="10248" width="7.42578125" style="3" customWidth="1"/>
    <col min="10249" max="10496" width="11.42578125" style="3"/>
    <col min="10497" max="10497" width="15.85546875" style="3" customWidth="1"/>
    <col min="10498" max="10498" width="14.85546875" style="3" customWidth="1"/>
    <col min="10499" max="10499" width="13.28515625" style="3" customWidth="1"/>
    <col min="10500" max="10500" width="11.42578125" style="3"/>
    <col min="10501" max="10501" width="13.42578125" style="3" customWidth="1"/>
    <col min="10502" max="10502" width="12.7109375" style="3" customWidth="1"/>
    <col min="10503" max="10503" width="14" style="3" customWidth="1"/>
    <col min="10504" max="10504" width="7.42578125" style="3" customWidth="1"/>
    <col min="10505" max="10752" width="11.42578125" style="3"/>
    <col min="10753" max="10753" width="15.85546875" style="3" customWidth="1"/>
    <col min="10754" max="10754" width="14.85546875" style="3" customWidth="1"/>
    <col min="10755" max="10755" width="13.28515625" style="3" customWidth="1"/>
    <col min="10756" max="10756" width="11.42578125" style="3"/>
    <col min="10757" max="10757" width="13.42578125" style="3" customWidth="1"/>
    <col min="10758" max="10758" width="12.7109375" style="3" customWidth="1"/>
    <col min="10759" max="10759" width="14" style="3" customWidth="1"/>
    <col min="10760" max="10760" width="7.42578125" style="3" customWidth="1"/>
    <col min="10761" max="11008" width="11.42578125" style="3"/>
    <col min="11009" max="11009" width="15.85546875" style="3" customWidth="1"/>
    <col min="11010" max="11010" width="14.85546875" style="3" customWidth="1"/>
    <col min="11011" max="11011" width="13.28515625" style="3" customWidth="1"/>
    <col min="11012" max="11012" width="11.42578125" style="3"/>
    <col min="11013" max="11013" width="13.42578125" style="3" customWidth="1"/>
    <col min="11014" max="11014" width="12.7109375" style="3" customWidth="1"/>
    <col min="11015" max="11015" width="14" style="3" customWidth="1"/>
    <col min="11016" max="11016" width="7.42578125" style="3" customWidth="1"/>
    <col min="11017" max="11264" width="11.42578125" style="3"/>
    <col min="11265" max="11265" width="15.85546875" style="3" customWidth="1"/>
    <col min="11266" max="11266" width="14.85546875" style="3" customWidth="1"/>
    <col min="11267" max="11267" width="13.28515625" style="3" customWidth="1"/>
    <col min="11268" max="11268" width="11.42578125" style="3"/>
    <col min="11269" max="11269" width="13.42578125" style="3" customWidth="1"/>
    <col min="11270" max="11270" width="12.7109375" style="3" customWidth="1"/>
    <col min="11271" max="11271" width="14" style="3" customWidth="1"/>
    <col min="11272" max="11272" width="7.42578125" style="3" customWidth="1"/>
    <col min="11273" max="11520" width="11.42578125" style="3"/>
    <col min="11521" max="11521" width="15.85546875" style="3" customWidth="1"/>
    <col min="11522" max="11522" width="14.85546875" style="3" customWidth="1"/>
    <col min="11523" max="11523" width="13.28515625" style="3" customWidth="1"/>
    <col min="11524" max="11524" width="11.42578125" style="3"/>
    <col min="11525" max="11525" width="13.42578125" style="3" customWidth="1"/>
    <col min="11526" max="11526" width="12.7109375" style="3" customWidth="1"/>
    <col min="11527" max="11527" width="14" style="3" customWidth="1"/>
    <col min="11528" max="11528" width="7.42578125" style="3" customWidth="1"/>
    <col min="11529" max="11776" width="11.42578125" style="3"/>
    <col min="11777" max="11777" width="15.85546875" style="3" customWidth="1"/>
    <col min="11778" max="11778" width="14.85546875" style="3" customWidth="1"/>
    <col min="11779" max="11779" width="13.28515625" style="3" customWidth="1"/>
    <col min="11780" max="11780" width="11.42578125" style="3"/>
    <col min="11781" max="11781" width="13.42578125" style="3" customWidth="1"/>
    <col min="11782" max="11782" width="12.7109375" style="3" customWidth="1"/>
    <col min="11783" max="11783" width="14" style="3" customWidth="1"/>
    <col min="11784" max="11784" width="7.42578125" style="3" customWidth="1"/>
    <col min="11785" max="12032" width="11.42578125" style="3"/>
    <col min="12033" max="12033" width="15.85546875" style="3" customWidth="1"/>
    <col min="12034" max="12034" width="14.85546875" style="3" customWidth="1"/>
    <col min="12035" max="12035" width="13.28515625" style="3" customWidth="1"/>
    <col min="12036" max="12036" width="11.42578125" style="3"/>
    <col min="12037" max="12037" width="13.42578125" style="3" customWidth="1"/>
    <col min="12038" max="12038" width="12.7109375" style="3" customWidth="1"/>
    <col min="12039" max="12039" width="14" style="3" customWidth="1"/>
    <col min="12040" max="12040" width="7.42578125" style="3" customWidth="1"/>
    <col min="12041" max="12288" width="11.42578125" style="3"/>
    <col min="12289" max="12289" width="15.85546875" style="3" customWidth="1"/>
    <col min="12290" max="12290" width="14.85546875" style="3" customWidth="1"/>
    <col min="12291" max="12291" width="13.28515625" style="3" customWidth="1"/>
    <col min="12292" max="12292" width="11.42578125" style="3"/>
    <col min="12293" max="12293" width="13.42578125" style="3" customWidth="1"/>
    <col min="12294" max="12294" width="12.7109375" style="3" customWidth="1"/>
    <col min="12295" max="12295" width="14" style="3" customWidth="1"/>
    <col min="12296" max="12296" width="7.42578125" style="3" customWidth="1"/>
    <col min="12297" max="12544" width="11.42578125" style="3"/>
    <col min="12545" max="12545" width="15.85546875" style="3" customWidth="1"/>
    <col min="12546" max="12546" width="14.85546875" style="3" customWidth="1"/>
    <col min="12547" max="12547" width="13.28515625" style="3" customWidth="1"/>
    <col min="12548" max="12548" width="11.42578125" style="3"/>
    <col min="12549" max="12549" width="13.42578125" style="3" customWidth="1"/>
    <col min="12550" max="12550" width="12.7109375" style="3" customWidth="1"/>
    <col min="12551" max="12551" width="14" style="3" customWidth="1"/>
    <col min="12552" max="12552" width="7.42578125" style="3" customWidth="1"/>
    <col min="12553" max="12800" width="11.42578125" style="3"/>
    <col min="12801" max="12801" width="15.85546875" style="3" customWidth="1"/>
    <col min="12802" max="12802" width="14.85546875" style="3" customWidth="1"/>
    <col min="12803" max="12803" width="13.28515625" style="3" customWidth="1"/>
    <col min="12804" max="12804" width="11.42578125" style="3"/>
    <col min="12805" max="12805" width="13.42578125" style="3" customWidth="1"/>
    <col min="12806" max="12806" width="12.7109375" style="3" customWidth="1"/>
    <col min="12807" max="12807" width="14" style="3" customWidth="1"/>
    <col min="12808" max="12808" width="7.42578125" style="3" customWidth="1"/>
    <col min="12809" max="13056" width="11.42578125" style="3"/>
    <col min="13057" max="13057" width="15.85546875" style="3" customWidth="1"/>
    <col min="13058" max="13058" width="14.85546875" style="3" customWidth="1"/>
    <col min="13059" max="13059" width="13.28515625" style="3" customWidth="1"/>
    <col min="13060" max="13060" width="11.42578125" style="3"/>
    <col min="13061" max="13061" width="13.42578125" style="3" customWidth="1"/>
    <col min="13062" max="13062" width="12.7109375" style="3" customWidth="1"/>
    <col min="13063" max="13063" width="14" style="3" customWidth="1"/>
    <col min="13064" max="13064" width="7.42578125" style="3" customWidth="1"/>
    <col min="13065" max="13312" width="11.42578125" style="3"/>
    <col min="13313" max="13313" width="15.85546875" style="3" customWidth="1"/>
    <col min="13314" max="13314" width="14.85546875" style="3" customWidth="1"/>
    <col min="13315" max="13315" width="13.28515625" style="3" customWidth="1"/>
    <col min="13316" max="13316" width="11.42578125" style="3"/>
    <col min="13317" max="13317" width="13.42578125" style="3" customWidth="1"/>
    <col min="13318" max="13318" width="12.7109375" style="3" customWidth="1"/>
    <col min="13319" max="13319" width="14" style="3" customWidth="1"/>
    <col min="13320" max="13320" width="7.42578125" style="3" customWidth="1"/>
    <col min="13321" max="13568" width="11.42578125" style="3"/>
    <col min="13569" max="13569" width="15.85546875" style="3" customWidth="1"/>
    <col min="13570" max="13570" width="14.85546875" style="3" customWidth="1"/>
    <col min="13571" max="13571" width="13.28515625" style="3" customWidth="1"/>
    <col min="13572" max="13572" width="11.42578125" style="3"/>
    <col min="13573" max="13573" width="13.42578125" style="3" customWidth="1"/>
    <col min="13574" max="13574" width="12.7109375" style="3" customWidth="1"/>
    <col min="13575" max="13575" width="14" style="3" customWidth="1"/>
    <col min="13576" max="13576" width="7.42578125" style="3" customWidth="1"/>
    <col min="13577" max="13824" width="11.42578125" style="3"/>
    <col min="13825" max="13825" width="15.85546875" style="3" customWidth="1"/>
    <col min="13826" max="13826" width="14.85546875" style="3" customWidth="1"/>
    <col min="13827" max="13827" width="13.28515625" style="3" customWidth="1"/>
    <col min="13828" max="13828" width="11.42578125" style="3"/>
    <col min="13829" max="13829" width="13.42578125" style="3" customWidth="1"/>
    <col min="13830" max="13830" width="12.7109375" style="3" customWidth="1"/>
    <col min="13831" max="13831" width="14" style="3" customWidth="1"/>
    <col min="13832" max="13832" width="7.42578125" style="3" customWidth="1"/>
    <col min="13833" max="14080" width="11.42578125" style="3"/>
    <col min="14081" max="14081" width="15.85546875" style="3" customWidth="1"/>
    <col min="14082" max="14082" width="14.85546875" style="3" customWidth="1"/>
    <col min="14083" max="14083" width="13.28515625" style="3" customWidth="1"/>
    <col min="14084" max="14084" width="11.42578125" style="3"/>
    <col min="14085" max="14085" width="13.42578125" style="3" customWidth="1"/>
    <col min="14086" max="14086" width="12.7109375" style="3" customWidth="1"/>
    <col min="14087" max="14087" width="14" style="3" customWidth="1"/>
    <col min="14088" max="14088" width="7.42578125" style="3" customWidth="1"/>
    <col min="14089" max="14336" width="11.42578125" style="3"/>
    <col min="14337" max="14337" width="15.85546875" style="3" customWidth="1"/>
    <col min="14338" max="14338" width="14.85546875" style="3" customWidth="1"/>
    <col min="14339" max="14339" width="13.28515625" style="3" customWidth="1"/>
    <col min="14340" max="14340" width="11.42578125" style="3"/>
    <col min="14341" max="14341" width="13.42578125" style="3" customWidth="1"/>
    <col min="14342" max="14342" width="12.7109375" style="3" customWidth="1"/>
    <col min="14343" max="14343" width="14" style="3" customWidth="1"/>
    <col min="14344" max="14344" width="7.42578125" style="3" customWidth="1"/>
    <col min="14345" max="14592" width="11.42578125" style="3"/>
    <col min="14593" max="14593" width="15.85546875" style="3" customWidth="1"/>
    <col min="14594" max="14594" width="14.85546875" style="3" customWidth="1"/>
    <col min="14595" max="14595" width="13.28515625" style="3" customWidth="1"/>
    <col min="14596" max="14596" width="11.42578125" style="3"/>
    <col min="14597" max="14597" width="13.42578125" style="3" customWidth="1"/>
    <col min="14598" max="14598" width="12.7109375" style="3" customWidth="1"/>
    <col min="14599" max="14599" width="14" style="3" customWidth="1"/>
    <col min="14600" max="14600" width="7.42578125" style="3" customWidth="1"/>
    <col min="14601" max="14848" width="11.42578125" style="3"/>
    <col min="14849" max="14849" width="15.85546875" style="3" customWidth="1"/>
    <col min="14850" max="14850" width="14.85546875" style="3" customWidth="1"/>
    <col min="14851" max="14851" width="13.28515625" style="3" customWidth="1"/>
    <col min="14852" max="14852" width="11.42578125" style="3"/>
    <col min="14853" max="14853" width="13.42578125" style="3" customWidth="1"/>
    <col min="14854" max="14854" width="12.7109375" style="3" customWidth="1"/>
    <col min="14855" max="14855" width="14" style="3" customWidth="1"/>
    <col min="14856" max="14856" width="7.42578125" style="3" customWidth="1"/>
    <col min="14857" max="15104" width="11.42578125" style="3"/>
    <col min="15105" max="15105" width="15.85546875" style="3" customWidth="1"/>
    <col min="15106" max="15106" width="14.85546875" style="3" customWidth="1"/>
    <col min="15107" max="15107" width="13.28515625" style="3" customWidth="1"/>
    <col min="15108" max="15108" width="11.42578125" style="3"/>
    <col min="15109" max="15109" width="13.42578125" style="3" customWidth="1"/>
    <col min="15110" max="15110" width="12.7109375" style="3" customWidth="1"/>
    <col min="15111" max="15111" width="14" style="3" customWidth="1"/>
    <col min="15112" max="15112" width="7.42578125" style="3" customWidth="1"/>
    <col min="15113" max="15360" width="11.42578125" style="3"/>
    <col min="15361" max="15361" width="15.85546875" style="3" customWidth="1"/>
    <col min="15362" max="15362" width="14.85546875" style="3" customWidth="1"/>
    <col min="15363" max="15363" width="13.28515625" style="3" customWidth="1"/>
    <col min="15364" max="15364" width="11.42578125" style="3"/>
    <col min="15365" max="15365" width="13.42578125" style="3" customWidth="1"/>
    <col min="15366" max="15366" width="12.7109375" style="3" customWidth="1"/>
    <col min="15367" max="15367" width="14" style="3" customWidth="1"/>
    <col min="15368" max="15368" width="7.42578125" style="3" customWidth="1"/>
    <col min="15369" max="15616" width="11.42578125" style="3"/>
    <col min="15617" max="15617" width="15.85546875" style="3" customWidth="1"/>
    <col min="15618" max="15618" width="14.85546875" style="3" customWidth="1"/>
    <col min="15619" max="15619" width="13.28515625" style="3" customWidth="1"/>
    <col min="15620" max="15620" width="11.42578125" style="3"/>
    <col min="15621" max="15621" width="13.42578125" style="3" customWidth="1"/>
    <col min="15622" max="15622" width="12.7109375" style="3" customWidth="1"/>
    <col min="15623" max="15623" width="14" style="3" customWidth="1"/>
    <col min="15624" max="15624" width="7.42578125" style="3" customWidth="1"/>
    <col min="15625" max="15872" width="11.42578125" style="3"/>
    <col min="15873" max="15873" width="15.85546875" style="3" customWidth="1"/>
    <col min="15874" max="15874" width="14.85546875" style="3" customWidth="1"/>
    <col min="15875" max="15875" width="13.28515625" style="3" customWidth="1"/>
    <col min="15876" max="15876" width="11.42578125" style="3"/>
    <col min="15877" max="15877" width="13.42578125" style="3" customWidth="1"/>
    <col min="15878" max="15878" width="12.7109375" style="3" customWidth="1"/>
    <col min="15879" max="15879" width="14" style="3" customWidth="1"/>
    <col min="15880" max="15880" width="7.42578125" style="3" customWidth="1"/>
    <col min="15881" max="16128" width="11.42578125" style="3"/>
    <col min="16129" max="16129" width="15.85546875" style="3" customWidth="1"/>
    <col min="16130" max="16130" width="14.85546875" style="3" customWidth="1"/>
    <col min="16131" max="16131" width="13.28515625" style="3" customWidth="1"/>
    <col min="16132" max="16132" width="11.42578125" style="3"/>
    <col min="16133" max="16133" width="13.42578125" style="3" customWidth="1"/>
    <col min="16134" max="16134" width="12.7109375" style="3" customWidth="1"/>
    <col min="16135" max="16135" width="14" style="3" customWidth="1"/>
    <col min="16136" max="16136" width="7.42578125" style="3" customWidth="1"/>
    <col min="16137" max="16384" width="11.42578125" style="3"/>
  </cols>
  <sheetData>
    <row r="1" spans="1:21" ht="20.25">
      <c r="A1" s="1346" t="str">
        <f>PPTO!D3</f>
        <v>PRESUPUESTO
MUNICIPIO EL BAGRE (ANTIOQUIA).</v>
      </c>
      <c r="B1" s="1347"/>
      <c r="C1" s="1347"/>
      <c r="D1" s="1347"/>
      <c r="E1" s="1347"/>
      <c r="F1" s="1347"/>
      <c r="G1" s="1348"/>
      <c r="H1" s="1"/>
      <c r="I1" s="2"/>
    </row>
    <row r="2" spans="1:21" ht="18" customHeight="1">
      <c r="A2" s="1362" t="s">
        <v>16</v>
      </c>
      <c r="B2" s="1363"/>
      <c r="C2" s="1363"/>
      <c r="D2" s="1363"/>
      <c r="E2" s="1363"/>
      <c r="F2" s="1363"/>
      <c r="G2" s="1364"/>
      <c r="H2" s="1"/>
      <c r="I2" s="2"/>
    </row>
    <row r="3" spans="1:21" ht="27" customHeight="1">
      <c r="A3" s="1367" t="str">
        <f>+PPTO!$D$5</f>
        <v>PROYECTO DE MEJORAMIENTO VIAL, ESPACIO PUBLICO Y OBRAS COMPLEMENTARIAS DE LA AVENIDA LA JUVENTUD Y TRAMOS ADYACENTES Y PRIORITARIOS DEL SECTOR URBANO EN EL MUNICIPIO EL BAGRE ANTIOQUIA.</v>
      </c>
      <c r="B3" s="1368"/>
      <c r="C3" s="1368"/>
      <c r="D3" s="1368"/>
      <c r="E3" s="1368"/>
      <c r="F3" s="1368"/>
      <c r="G3" s="1369"/>
      <c r="H3" s="1"/>
      <c r="I3" s="2"/>
    </row>
    <row r="4" spans="1:21" ht="16.5" customHeight="1">
      <c r="A4" s="1370"/>
      <c r="B4" s="1368"/>
      <c r="C4" s="1368"/>
      <c r="D4" s="1368"/>
      <c r="E4" s="1368"/>
      <c r="F4" s="1368"/>
      <c r="G4" s="1369"/>
      <c r="H4" s="1"/>
      <c r="I4" s="2"/>
    </row>
    <row r="5" spans="1:21" ht="6.75" customHeight="1">
      <c r="A5" s="222"/>
      <c r="B5" s="6"/>
      <c r="C5" s="24"/>
      <c r="D5" s="25"/>
      <c r="E5" s="6"/>
      <c r="F5" s="6"/>
      <c r="G5" s="223"/>
      <c r="H5" s="9"/>
    </row>
    <row r="6" spans="1:21" ht="33" customHeight="1">
      <c r="A6" s="368">
        <v>6.57</v>
      </c>
      <c r="B6" s="1349" t="str">
        <f>VLOOKUP(A6,PPTO!D9:I136,2,FALSE)</f>
        <v>KIT SILLA YEE Ø18" x Ø6" (INCLUYE HIDROSELLOS Y LUBRICANTES)</v>
      </c>
      <c r="C6" s="1350"/>
      <c r="D6" s="1350"/>
      <c r="E6" s="1351"/>
      <c r="F6" s="192" t="s">
        <v>118</v>
      </c>
      <c r="G6" s="248" t="str">
        <f>VLOOKUP(A6,PPTO!D9:I136,3,FALSE)</f>
        <v>m</v>
      </c>
      <c r="H6" s="9"/>
    </row>
    <row r="7" spans="1:21" ht="3.75" customHeight="1">
      <c r="A7" s="226"/>
      <c r="B7" s="4"/>
      <c r="C7" s="6"/>
      <c r="D7" s="4"/>
      <c r="E7" s="4"/>
      <c r="F7" s="4"/>
      <c r="G7" s="227"/>
      <c r="H7" s="9"/>
    </row>
    <row r="8" spans="1:21" ht="22.5" customHeight="1">
      <c r="A8" s="1354" t="s">
        <v>69</v>
      </c>
      <c r="B8" s="1355"/>
      <c r="C8" s="1355"/>
      <c r="D8" s="1355"/>
      <c r="E8" s="1355"/>
      <c r="F8" s="1355"/>
      <c r="G8" s="1356"/>
      <c r="H8" s="9"/>
    </row>
    <row r="9" spans="1:21" ht="4.5" customHeight="1">
      <c r="A9" s="226"/>
      <c r="B9" s="4"/>
      <c r="C9" s="6"/>
      <c r="D9" s="4"/>
      <c r="E9" s="4"/>
      <c r="F9" s="4"/>
      <c r="G9" s="227"/>
      <c r="H9" s="9"/>
      <c r="I9" s="5"/>
      <c r="J9" s="5"/>
      <c r="K9" s="5"/>
      <c r="L9" s="26"/>
      <c r="M9" s="5"/>
      <c r="N9" s="5"/>
      <c r="O9" s="5"/>
      <c r="P9" s="5"/>
    </row>
    <row r="10" spans="1:21">
      <c r="A10" s="1373" t="s">
        <v>17</v>
      </c>
      <c r="B10" s="1374"/>
      <c r="C10" s="1374"/>
      <c r="D10" s="353" t="s">
        <v>18</v>
      </c>
      <c r="E10" s="353" t="s">
        <v>19</v>
      </c>
      <c r="F10" s="353" t="s">
        <v>20</v>
      </c>
      <c r="G10" s="228" t="s">
        <v>21</v>
      </c>
      <c r="H10" s="27"/>
      <c r="I10" s="28"/>
      <c r="J10" s="29"/>
      <c r="K10" s="30"/>
      <c r="L10" s="30"/>
      <c r="M10" s="30"/>
      <c r="N10" s="30"/>
      <c r="O10" s="30"/>
      <c r="P10" s="5"/>
    </row>
    <row r="11" spans="1:21">
      <c r="A11" s="1352" t="s">
        <v>47</v>
      </c>
      <c r="B11" s="1353"/>
      <c r="C11" s="1353"/>
      <c r="D11" s="353"/>
      <c r="E11" s="83"/>
      <c r="F11" s="97"/>
      <c r="G11" s="229">
        <f>+G39*10%</f>
        <v>3054</v>
      </c>
      <c r="H11" s="9"/>
      <c r="I11" s="30"/>
      <c r="J11" s="31"/>
      <c r="K11" s="30"/>
      <c r="L11" s="30"/>
      <c r="M11" s="30"/>
      <c r="N11" s="30"/>
      <c r="O11" s="30"/>
      <c r="P11" s="5"/>
    </row>
    <row r="12" spans="1:21">
      <c r="A12" s="1371"/>
      <c r="B12" s="1372"/>
      <c r="C12" s="1372"/>
      <c r="D12" s="83"/>
      <c r="E12" s="83"/>
      <c r="F12" s="93"/>
      <c r="G12" s="229"/>
      <c r="H12" s="9"/>
      <c r="I12" s="16"/>
      <c r="J12" s="13"/>
      <c r="K12" s="8"/>
      <c r="L12" s="8"/>
      <c r="M12" s="8"/>
      <c r="N12" s="8"/>
      <c r="O12" s="8"/>
      <c r="P12" s="5"/>
    </row>
    <row r="13" spans="1:21">
      <c r="A13" s="1371"/>
      <c r="B13" s="1372"/>
      <c r="C13" s="1372"/>
      <c r="D13" s="83"/>
      <c r="E13" s="83"/>
      <c r="F13" s="93"/>
      <c r="G13" s="229"/>
      <c r="H13" s="9"/>
      <c r="I13" s="13"/>
      <c r="J13" s="13"/>
      <c r="K13" s="13"/>
      <c r="L13" s="13"/>
      <c r="M13" s="13"/>
      <c r="N13" s="13"/>
      <c r="O13" s="13"/>
      <c r="P13" s="5"/>
    </row>
    <row r="14" spans="1:21">
      <c r="A14" s="1371"/>
      <c r="B14" s="1372"/>
      <c r="C14" s="1372"/>
      <c r="D14" s="83"/>
      <c r="E14" s="83"/>
      <c r="F14" s="93"/>
      <c r="G14" s="229"/>
      <c r="H14" s="9"/>
      <c r="I14" s="8"/>
      <c r="J14" s="14"/>
      <c r="K14" s="32"/>
      <c r="L14" s="14"/>
      <c r="M14" s="15"/>
      <c r="N14" s="15"/>
      <c r="O14" s="19"/>
      <c r="P14" s="5"/>
    </row>
    <row r="15" spans="1:21">
      <c r="A15" s="1371"/>
      <c r="B15" s="1372"/>
      <c r="C15" s="1372"/>
      <c r="D15" s="83"/>
      <c r="E15" s="83"/>
      <c r="F15" s="98"/>
      <c r="G15" s="229"/>
      <c r="H15" s="9"/>
      <c r="I15" s="8"/>
      <c r="J15" s="33"/>
      <c r="K15" s="32"/>
      <c r="L15" s="14"/>
      <c r="M15" s="15"/>
      <c r="N15" s="15"/>
      <c r="O15" s="19"/>
      <c r="P15" s="5"/>
      <c r="Q15" s="5"/>
      <c r="R15" s="5"/>
      <c r="S15" s="5"/>
      <c r="T15" s="5"/>
      <c r="U15" s="5"/>
    </row>
    <row r="16" spans="1:21">
      <c r="A16" s="1371"/>
      <c r="B16" s="1372"/>
      <c r="C16" s="1372"/>
      <c r="D16" s="85" t="s">
        <v>37</v>
      </c>
      <c r="E16" s="50"/>
      <c r="F16" s="49"/>
      <c r="G16" s="230">
        <f>SUM(G11:G15)</f>
        <v>3054</v>
      </c>
      <c r="H16" s="9"/>
      <c r="I16" s="34"/>
      <c r="J16" s="34"/>
      <c r="K16" s="35"/>
      <c r="L16" s="36"/>
      <c r="M16" s="7"/>
      <c r="N16" s="7"/>
      <c r="O16" s="19"/>
      <c r="P16" s="5"/>
      <c r="Q16" s="5"/>
      <c r="R16" s="5"/>
      <c r="S16" s="5"/>
      <c r="T16" s="5"/>
      <c r="U16" s="5"/>
    </row>
    <row r="17" spans="1:21" ht="4.5" customHeight="1">
      <c r="A17" s="226"/>
      <c r="B17" s="4"/>
      <c r="C17" s="6"/>
      <c r="D17" s="4"/>
      <c r="E17" s="4"/>
      <c r="F17" s="4"/>
      <c r="G17" s="227"/>
      <c r="H17" s="9"/>
      <c r="I17" s="34"/>
      <c r="J17" s="34"/>
      <c r="K17" s="35"/>
      <c r="L17" s="36"/>
      <c r="M17" s="7"/>
      <c r="N17" s="7"/>
      <c r="O17" s="19"/>
      <c r="P17" s="5"/>
      <c r="Q17" s="5"/>
      <c r="R17" s="5"/>
      <c r="S17" s="5"/>
      <c r="T17" s="5"/>
      <c r="U17" s="5"/>
    </row>
    <row r="18" spans="1:21" ht="22.5" customHeight="1">
      <c r="A18" s="1354" t="s">
        <v>70</v>
      </c>
      <c r="B18" s="1355"/>
      <c r="C18" s="1355"/>
      <c r="D18" s="1355"/>
      <c r="E18" s="1355"/>
      <c r="F18" s="1355"/>
      <c r="G18" s="1356"/>
      <c r="H18" s="9"/>
    </row>
    <row r="19" spans="1:21" ht="4.5" customHeight="1">
      <c r="A19" s="226"/>
      <c r="B19" s="4"/>
      <c r="C19" s="6"/>
      <c r="D19" s="4"/>
      <c r="E19" s="4"/>
      <c r="F19" s="38"/>
      <c r="G19" s="227"/>
      <c r="H19" s="9"/>
      <c r="I19" s="34"/>
      <c r="J19" s="34"/>
      <c r="K19" s="35"/>
      <c r="L19" s="39"/>
      <c r="M19" s="7"/>
      <c r="N19" s="7"/>
      <c r="O19" s="8"/>
      <c r="P19" s="5"/>
      <c r="Q19" s="5"/>
      <c r="R19" s="5"/>
      <c r="S19" s="5"/>
      <c r="T19" s="5"/>
      <c r="U19" s="5"/>
    </row>
    <row r="20" spans="1:21">
      <c r="A20" s="1373" t="s">
        <v>17</v>
      </c>
      <c r="B20" s="1374"/>
      <c r="C20" s="1374"/>
      <c r="D20" s="353" t="s">
        <v>3</v>
      </c>
      <c r="E20" s="353" t="s">
        <v>4</v>
      </c>
      <c r="F20" s="353" t="s">
        <v>25</v>
      </c>
      <c r="G20" s="228" t="s">
        <v>21</v>
      </c>
      <c r="H20" s="27"/>
      <c r="I20" s="34"/>
      <c r="J20" s="34"/>
      <c r="K20" s="35"/>
      <c r="L20" s="39"/>
      <c r="M20" s="7"/>
      <c r="N20" s="7"/>
      <c r="O20" s="8"/>
      <c r="P20" s="5"/>
      <c r="Q20" s="5"/>
      <c r="R20" s="5"/>
      <c r="S20" s="5"/>
      <c r="T20" s="5"/>
      <c r="U20" s="5"/>
    </row>
    <row r="21" spans="1:21" ht="31.5" customHeight="1">
      <c r="A21" s="1441" t="str">
        <f>B6</f>
        <v>KIT SILLA YEE Ø18" x Ø6" (INCLUYE HIDROSELLOS Y LUBRICANTES)</v>
      </c>
      <c r="B21" s="1442"/>
      <c r="C21" s="1443"/>
      <c r="D21" s="118" t="s">
        <v>119</v>
      </c>
      <c r="E21" s="119">
        <v>1</v>
      </c>
      <c r="F21" s="87">
        <v>276100</v>
      </c>
      <c r="G21" s="231">
        <f>ROUND(F21*E21,0)</f>
        <v>276100</v>
      </c>
      <c r="H21" s="9"/>
      <c r="I21" s="34"/>
      <c r="J21" s="34"/>
      <c r="K21" s="35"/>
      <c r="L21" s="36"/>
      <c r="M21" s="7"/>
      <c r="N21" s="7"/>
      <c r="O21" s="19"/>
      <c r="P21" s="5"/>
      <c r="Q21" s="5"/>
      <c r="R21" s="5"/>
      <c r="S21" s="5"/>
      <c r="T21" s="5"/>
      <c r="U21" s="5"/>
    </row>
    <row r="22" spans="1:21" ht="27.75" customHeight="1">
      <c r="A22" s="1444"/>
      <c r="B22" s="1403"/>
      <c r="C22" s="1404"/>
      <c r="D22" s="116"/>
      <c r="E22" s="117"/>
      <c r="F22" s="91"/>
      <c r="G22" s="231"/>
      <c r="H22" s="9"/>
      <c r="I22" s="10"/>
      <c r="J22" s="10"/>
      <c r="K22" s="12"/>
      <c r="L22" s="39"/>
      <c r="M22" s="7"/>
      <c r="N22" s="7"/>
      <c r="O22" s="15"/>
      <c r="P22" s="5"/>
      <c r="Q22" s="5"/>
      <c r="R22" s="5"/>
      <c r="S22" s="5"/>
      <c r="T22" s="5"/>
      <c r="U22" s="5"/>
    </row>
    <row r="23" spans="1:21">
      <c r="A23" s="1386" t="s">
        <v>131</v>
      </c>
      <c r="B23" s="1353"/>
      <c r="C23" s="1353"/>
      <c r="D23" s="79"/>
      <c r="E23" s="82">
        <v>1</v>
      </c>
      <c r="F23" s="83">
        <v>5000</v>
      </c>
      <c r="G23" s="67">
        <f>+F23*E23</f>
        <v>5000</v>
      </c>
      <c r="H23" s="9"/>
      <c r="I23" s="10"/>
      <c r="J23" s="10"/>
      <c r="K23" s="12"/>
      <c r="L23" s="39"/>
      <c r="M23" s="7"/>
      <c r="N23" s="7"/>
      <c r="O23" s="15"/>
      <c r="P23" s="5"/>
      <c r="Q23" s="5"/>
      <c r="R23" s="5"/>
      <c r="S23" s="5"/>
      <c r="T23" s="5"/>
      <c r="U23" s="5"/>
    </row>
    <row r="24" spans="1:21">
      <c r="A24" s="1352"/>
      <c r="B24" s="1353"/>
      <c r="C24" s="1353"/>
      <c r="D24" s="81"/>
      <c r="E24" s="88"/>
      <c r="F24" s="78"/>
      <c r="G24" s="231"/>
      <c r="H24" s="9"/>
      <c r="I24" s="10"/>
      <c r="J24" s="40"/>
      <c r="K24" s="12"/>
      <c r="L24" s="13"/>
      <c r="M24" s="14"/>
      <c r="N24" s="14"/>
      <c r="O24" s="15"/>
      <c r="P24" s="5"/>
      <c r="Q24" s="5"/>
      <c r="R24" s="5"/>
      <c r="S24" s="5"/>
      <c r="T24" s="5"/>
      <c r="U24" s="5"/>
    </row>
    <row r="25" spans="1:21">
      <c r="A25" s="1352"/>
      <c r="B25" s="1353"/>
      <c r="C25" s="1353"/>
      <c r="D25" s="81"/>
      <c r="E25" s="82"/>
      <c r="F25" s="78"/>
      <c r="G25" s="231"/>
      <c r="H25" s="9"/>
      <c r="I25" s="10"/>
      <c r="J25" s="11"/>
      <c r="K25" s="12"/>
      <c r="L25" s="13"/>
      <c r="M25" s="14"/>
      <c r="N25" s="14"/>
      <c r="O25" s="15"/>
      <c r="P25" s="5"/>
      <c r="Q25" s="5"/>
      <c r="R25" s="5"/>
      <c r="S25" s="5"/>
      <c r="T25" s="5"/>
      <c r="U25" s="5"/>
    </row>
    <row r="26" spans="1:21">
      <c r="A26" s="1352"/>
      <c r="B26" s="1353"/>
      <c r="C26" s="1353"/>
      <c r="D26" s="79"/>
      <c r="E26" s="82"/>
      <c r="F26" s="78"/>
      <c r="G26" s="231"/>
      <c r="H26" s="9"/>
      <c r="I26" s="10"/>
      <c r="J26" s="11"/>
      <c r="K26" s="12"/>
      <c r="L26" s="13"/>
      <c r="M26" s="14"/>
      <c r="N26" s="14"/>
      <c r="O26" s="15"/>
      <c r="P26" s="5"/>
      <c r="Q26" s="5"/>
      <c r="R26" s="5"/>
      <c r="S26" s="5"/>
      <c r="T26" s="5"/>
      <c r="U26" s="5"/>
    </row>
    <row r="27" spans="1:21">
      <c r="A27" s="1352"/>
      <c r="B27" s="1353"/>
      <c r="C27" s="1353"/>
      <c r="D27" s="79"/>
      <c r="E27" s="82"/>
      <c r="F27" s="78"/>
      <c r="G27" s="231"/>
      <c r="H27" s="9"/>
      <c r="I27" s="10"/>
      <c r="J27" s="11"/>
      <c r="K27" s="12"/>
      <c r="L27" s="13"/>
      <c r="M27" s="14"/>
      <c r="N27" s="14"/>
      <c r="O27" s="15"/>
      <c r="P27" s="5"/>
      <c r="Q27" s="5"/>
      <c r="R27" s="5"/>
      <c r="S27" s="5"/>
      <c r="T27" s="5"/>
      <c r="U27" s="5"/>
    </row>
    <row r="28" spans="1:21">
      <c r="A28" s="1352"/>
      <c r="B28" s="1353"/>
      <c r="C28" s="1353"/>
      <c r="D28" s="79"/>
      <c r="E28" s="82"/>
      <c r="F28" s="83"/>
      <c r="G28" s="231"/>
      <c r="H28" s="9"/>
      <c r="I28" s="41"/>
      <c r="J28" s="41"/>
      <c r="K28" s="12"/>
      <c r="L28" s="13"/>
      <c r="M28" s="14"/>
      <c r="N28" s="14"/>
      <c r="O28" s="15"/>
      <c r="P28" s="5"/>
      <c r="Q28" s="5"/>
      <c r="R28" s="5"/>
      <c r="S28" s="5"/>
      <c r="T28" s="5"/>
      <c r="U28" s="5"/>
    </row>
    <row r="29" spans="1:21">
      <c r="A29" s="1352"/>
      <c r="B29" s="1353"/>
      <c r="C29" s="1353"/>
      <c r="D29" s="84"/>
      <c r="E29" s="84"/>
      <c r="F29" s="83"/>
      <c r="G29" s="231"/>
      <c r="H29" s="9"/>
      <c r="I29" s="42"/>
      <c r="J29" s="42"/>
      <c r="K29" s="42"/>
      <c r="L29" s="13"/>
      <c r="M29" s="14"/>
      <c r="N29" s="14"/>
      <c r="O29" s="15"/>
      <c r="P29" s="5"/>
      <c r="Q29" s="5"/>
      <c r="R29" s="5"/>
      <c r="S29" s="5"/>
      <c r="T29" s="5"/>
      <c r="U29" s="5"/>
    </row>
    <row r="30" spans="1:21">
      <c r="A30" s="1352"/>
      <c r="B30" s="1353"/>
      <c r="C30" s="1353"/>
      <c r="D30" s="85" t="s">
        <v>28</v>
      </c>
      <c r="E30" s="50"/>
      <c r="F30" s="49"/>
      <c r="G30" s="230">
        <f>SUM(G21:G29)</f>
        <v>281100</v>
      </c>
      <c r="H30" s="9"/>
      <c r="I30" s="8"/>
      <c r="J30" s="13"/>
      <c r="K30" s="8"/>
      <c r="L30" s="13"/>
      <c r="M30" s="14"/>
      <c r="N30" s="14"/>
      <c r="O30" s="15"/>
      <c r="P30" s="5"/>
    </row>
    <row r="31" spans="1:21" ht="3.75" customHeight="1">
      <c r="A31" s="226"/>
      <c r="B31" s="4"/>
      <c r="C31" s="6"/>
      <c r="D31" s="4"/>
      <c r="E31" s="4"/>
      <c r="F31" s="4"/>
      <c r="G31" s="227"/>
      <c r="H31" s="9"/>
      <c r="I31" s="8"/>
      <c r="J31" s="13"/>
      <c r="K31" s="18"/>
      <c r="L31" s="13"/>
      <c r="M31" s="33"/>
      <c r="N31" s="33"/>
      <c r="O31" s="15"/>
      <c r="P31" s="5"/>
    </row>
    <row r="32" spans="1:21" ht="22.5" customHeight="1">
      <c r="A32" s="1354" t="s">
        <v>71</v>
      </c>
      <c r="B32" s="1355"/>
      <c r="C32" s="1355"/>
      <c r="D32" s="1355"/>
      <c r="E32" s="1355"/>
      <c r="F32" s="1355"/>
      <c r="G32" s="1356"/>
      <c r="H32" s="9"/>
    </row>
    <row r="33" spans="1:16" ht="3.75" customHeight="1">
      <c r="A33" s="226"/>
      <c r="B33" s="4"/>
      <c r="C33" s="6"/>
      <c r="D33" s="4"/>
      <c r="E33" s="4"/>
      <c r="F33" s="4"/>
      <c r="G33" s="227"/>
      <c r="H33" s="9"/>
      <c r="I33" s="8"/>
      <c r="J33" s="13"/>
      <c r="K33" s="8"/>
      <c r="L33" s="8"/>
      <c r="M33" s="8"/>
      <c r="N33" s="8"/>
      <c r="O33" s="15"/>
      <c r="P33" s="5"/>
    </row>
    <row r="34" spans="1:16">
      <c r="A34" s="232" t="s">
        <v>5</v>
      </c>
      <c r="B34" s="60" t="s">
        <v>29</v>
      </c>
      <c r="C34" s="60" t="s">
        <v>30</v>
      </c>
      <c r="D34" s="60" t="s">
        <v>31</v>
      </c>
      <c r="E34" s="60" t="s">
        <v>32</v>
      </c>
      <c r="F34" s="60" t="s">
        <v>20</v>
      </c>
      <c r="G34" s="228" t="s">
        <v>33</v>
      </c>
      <c r="H34" s="27"/>
      <c r="I34" s="8"/>
      <c r="J34" s="13"/>
      <c r="K34" s="8"/>
      <c r="L34" s="8"/>
      <c r="M34" s="8"/>
      <c r="N34" s="8"/>
      <c r="O34" s="15"/>
      <c r="P34" s="5"/>
    </row>
    <row r="35" spans="1:16">
      <c r="A35" s="233" t="s">
        <v>41</v>
      </c>
      <c r="B35" s="63">
        <f>BOF</f>
        <v>51749</v>
      </c>
      <c r="C35" s="68">
        <f>ffpp</f>
        <v>0.64539999999999997</v>
      </c>
      <c r="D35" s="72">
        <v>1</v>
      </c>
      <c r="E35" s="66">
        <f>OF</f>
        <v>88696</v>
      </c>
      <c r="F35" s="65">
        <v>10</v>
      </c>
      <c r="G35" s="231">
        <f>ROUND(+D35*E35/F35,0)</f>
        <v>8870</v>
      </c>
      <c r="H35" s="9"/>
      <c r="I35" s="16"/>
      <c r="J35" s="13"/>
      <c r="K35" s="8"/>
      <c r="L35" s="8"/>
      <c r="M35" s="8"/>
      <c r="N35" s="8"/>
      <c r="O35" s="15"/>
      <c r="P35" s="5"/>
    </row>
    <row r="36" spans="1:16">
      <c r="A36" s="233" t="s">
        <v>38</v>
      </c>
      <c r="B36" s="63">
        <f>BOB</f>
        <v>41749</v>
      </c>
      <c r="C36" s="68">
        <f>ffpp</f>
        <v>0.64539999999999997</v>
      </c>
      <c r="D36" s="72">
        <v>3</v>
      </c>
      <c r="E36" s="66">
        <f>OB</f>
        <v>72242</v>
      </c>
      <c r="F36" s="65">
        <f>F35</f>
        <v>10</v>
      </c>
      <c r="G36" s="231">
        <f>ROUND(+D36*E36/F36,0)</f>
        <v>21673</v>
      </c>
      <c r="H36" s="9"/>
      <c r="I36" s="8"/>
      <c r="J36" s="8"/>
      <c r="K36" s="13"/>
      <c r="L36" s="13"/>
      <c r="M36" s="13"/>
      <c r="N36" s="13"/>
      <c r="O36" s="13"/>
      <c r="P36" s="5"/>
    </row>
    <row r="37" spans="1:16">
      <c r="A37" s="234"/>
      <c r="B37" s="50"/>
      <c r="C37" s="961"/>
      <c r="D37" s="50"/>
      <c r="E37" s="66"/>
      <c r="F37" s="65"/>
      <c r="G37" s="231"/>
      <c r="H37" s="9"/>
      <c r="I37" s="8"/>
      <c r="J37" s="13"/>
      <c r="K37" s="13"/>
      <c r="L37" s="13"/>
      <c r="M37" s="33"/>
      <c r="N37" s="33"/>
      <c r="O37" s="43"/>
      <c r="P37" s="5"/>
    </row>
    <row r="38" spans="1:16">
      <c r="A38" s="233"/>
      <c r="B38" s="65"/>
      <c r="C38" s="68"/>
      <c r="D38" s="65"/>
      <c r="E38" s="69"/>
      <c r="F38" s="69"/>
      <c r="G38" s="236"/>
      <c r="H38" s="9"/>
      <c r="I38" s="8"/>
      <c r="J38" s="13"/>
      <c r="K38" s="13"/>
      <c r="L38" s="13"/>
      <c r="M38" s="33"/>
      <c r="N38" s="33"/>
      <c r="O38" s="43"/>
      <c r="P38" s="5"/>
    </row>
    <row r="39" spans="1:16">
      <c r="A39" s="249"/>
      <c r="B39" s="71"/>
      <c r="C39" s="71"/>
      <c r="D39" s="71" t="s">
        <v>34</v>
      </c>
      <c r="E39" s="71"/>
      <c r="F39" s="71"/>
      <c r="G39" s="250">
        <f>SUM(G35:G38)</f>
        <v>30543</v>
      </c>
      <c r="H39" s="9"/>
      <c r="I39" s="8"/>
      <c r="J39" s="13"/>
      <c r="K39" s="13"/>
      <c r="L39" s="13"/>
      <c r="M39" s="14"/>
      <c r="N39" s="14"/>
      <c r="O39" s="15"/>
      <c r="P39" s="5"/>
    </row>
    <row r="40" spans="1:16">
      <c r="A40" s="226"/>
      <c r="B40" s="4"/>
      <c r="C40" s="6"/>
      <c r="D40" s="4"/>
      <c r="E40" s="4"/>
      <c r="F40" s="4"/>
      <c r="G40" s="227"/>
      <c r="H40" s="9"/>
      <c r="I40" s="8"/>
      <c r="J40" s="13"/>
      <c r="K40" s="13"/>
      <c r="L40" s="13"/>
      <c r="M40" s="14"/>
      <c r="N40" s="14"/>
      <c r="O40" s="19"/>
      <c r="P40" s="5"/>
    </row>
    <row r="41" spans="1:16">
      <c r="A41" s="226"/>
      <c r="B41" s="4"/>
      <c r="C41" s="6"/>
      <c r="D41" s="4"/>
      <c r="E41" s="4"/>
      <c r="F41" s="4"/>
      <c r="G41" s="227"/>
      <c r="H41" s="9"/>
      <c r="I41" s="8"/>
      <c r="J41" s="13"/>
      <c r="K41" s="13"/>
      <c r="L41" s="13"/>
      <c r="M41" s="17"/>
      <c r="N41" s="17"/>
      <c r="O41" s="37"/>
      <c r="P41" s="5"/>
    </row>
    <row r="42" spans="1:16" ht="14.25">
      <c r="A42" s="226"/>
      <c r="B42" s="4"/>
      <c r="C42" s="6"/>
      <c r="D42" s="1357" t="s">
        <v>35</v>
      </c>
      <c r="E42" s="1358"/>
      <c r="F42" s="1359"/>
      <c r="G42" s="239">
        <f>+G39+G30+G16</f>
        <v>314697</v>
      </c>
      <c r="H42" s="9"/>
      <c r="I42" s="48"/>
      <c r="J42" s="20"/>
      <c r="K42" s="8"/>
      <c r="L42" s="8"/>
      <c r="M42" s="8"/>
      <c r="N42" s="8"/>
      <c r="O42" s="8"/>
      <c r="P42" s="5"/>
    </row>
    <row r="43" spans="1:16" ht="14.25">
      <c r="A43" s="240"/>
      <c r="B43" s="57"/>
      <c r="C43" s="58"/>
      <c r="D43" s="99"/>
      <c r="E43" s="99"/>
      <c r="F43" s="99"/>
      <c r="G43" s="251"/>
      <c r="H43" s="9"/>
      <c r="I43" s="48"/>
      <c r="J43" s="20"/>
      <c r="K43" s="8"/>
      <c r="L43" s="8"/>
      <c r="M43" s="8"/>
      <c r="N43" s="8"/>
      <c r="O43" s="8"/>
      <c r="P43" s="5"/>
    </row>
    <row r="44" spans="1:16" ht="14.25">
      <c r="A44" s="374"/>
      <c r="B44" s="375"/>
      <c r="C44" s="375"/>
      <c r="D44" s="99"/>
      <c r="E44" s="99"/>
      <c r="F44" s="99"/>
      <c r="G44" s="251"/>
      <c r="H44" s="9"/>
      <c r="I44" s="48"/>
      <c r="J44" s="20"/>
      <c r="K44" s="8"/>
      <c r="L44" s="8"/>
      <c r="M44" s="8"/>
      <c r="N44" s="8"/>
      <c r="O44" s="8"/>
      <c r="P44" s="5"/>
    </row>
    <row r="45" spans="1:16" ht="14.25">
      <c r="A45" s="373"/>
      <c r="B45" s="376"/>
      <c r="C45" s="376"/>
      <c r="D45" s="99"/>
      <c r="E45" s="99"/>
      <c r="F45" s="99"/>
      <c r="G45" s="251"/>
      <c r="H45" s="9"/>
      <c r="I45" s="48"/>
      <c r="J45" s="20"/>
      <c r="K45" s="8"/>
      <c r="L45" s="8"/>
      <c r="M45" s="8"/>
      <c r="N45" s="8"/>
      <c r="O45" s="8"/>
      <c r="P45" s="5"/>
    </row>
    <row r="46" spans="1:16" ht="14.25">
      <c r="A46" s="373"/>
      <c r="B46" s="376"/>
      <c r="C46" s="376"/>
      <c r="D46" s="44"/>
      <c r="E46" s="45"/>
      <c r="F46" s="45"/>
      <c r="G46" s="251"/>
      <c r="H46" s="9"/>
      <c r="I46" s="8"/>
      <c r="J46" s="13"/>
      <c r="K46" s="8"/>
      <c r="L46" s="8"/>
      <c r="M46" s="8"/>
      <c r="N46" s="8"/>
      <c r="O46" s="8"/>
      <c r="P46" s="5"/>
    </row>
    <row r="47" spans="1:16" ht="15" thickBot="1">
      <c r="A47" s="242"/>
      <c r="B47" s="243"/>
      <c r="C47" s="244"/>
      <c r="D47" s="245"/>
      <c r="E47" s="246"/>
      <c r="F47" s="246"/>
      <c r="G47" s="247"/>
      <c r="H47" s="9"/>
      <c r="I47" s="8"/>
      <c r="J47" s="13"/>
      <c r="K47" s="8"/>
      <c r="L47" s="8"/>
      <c r="M47" s="8"/>
      <c r="N47" s="8"/>
      <c r="O47" s="8"/>
      <c r="P47" s="5"/>
    </row>
    <row r="48" spans="1:16">
      <c r="I48" s="5"/>
      <c r="J48" s="5"/>
      <c r="K48" s="5"/>
      <c r="L48" s="5"/>
      <c r="M48" s="5"/>
      <c r="N48" s="5"/>
      <c r="O48" s="5"/>
      <c r="P48" s="5"/>
    </row>
    <row r="49" spans="9:16">
      <c r="I49" s="5"/>
      <c r="J49" s="5"/>
      <c r="K49" s="5"/>
      <c r="L49" s="5"/>
      <c r="M49" s="5"/>
      <c r="N49" s="5"/>
      <c r="O49" s="5"/>
      <c r="P49" s="5"/>
    </row>
  </sheetData>
  <mergeCells count="26">
    <mergeCell ref="A10:C10"/>
    <mergeCell ref="A1:G1"/>
    <mergeCell ref="A2:G2"/>
    <mergeCell ref="A3:G4"/>
    <mergeCell ref="B6:E6"/>
    <mergeCell ref="A8:G8"/>
    <mergeCell ref="A24:C24"/>
    <mergeCell ref="A11:C11"/>
    <mergeCell ref="A12:C12"/>
    <mergeCell ref="A13:C13"/>
    <mergeCell ref="A14:C14"/>
    <mergeCell ref="A15:C15"/>
    <mergeCell ref="A16:C16"/>
    <mergeCell ref="A18:G18"/>
    <mergeCell ref="A20:C20"/>
    <mergeCell ref="A21:C21"/>
    <mergeCell ref="A22:C22"/>
    <mergeCell ref="A23:C23"/>
    <mergeCell ref="A32:G32"/>
    <mergeCell ref="D42:F42"/>
    <mergeCell ref="A25:C25"/>
    <mergeCell ref="A26:C26"/>
    <mergeCell ref="A27:C27"/>
    <mergeCell ref="A28:C28"/>
    <mergeCell ref="A29:C29"/>
    <mergeCell ref="A30:C30"/>
  </mergeCells>
  <printOptions horizontalCentered="1" verticalCentered="1"/>
  <pageMargins left="0.74803149606299213" right="0.74803149606299213" top="0" bottom="0.98425196850393704" header="0" footer="0"/>
  <pageSetup scale="90" orientation="portrait" r:id="rId1"/>
  <headerFooter alignWithMargins="0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01"/>
  <dimension ref="A1:U49"/>
  <sheetViews>
    <sheetView view="pageBreakPreview" topLeftCell="A9" zoomScaleNormal="100" zoomScaleSheetLayoutView="100" workbookViewId="0">
      <selection activeCell="I7" sqref="I7"/>
    </sheetView>
  </sheetViews>
  <sheetFormatPr baseColWidth="10" defaultColWidth="10.7109375" defaultRowHeight="12.75"/>
  <cols>
    <col min="1" max="1" width="15.85546875" style="3" customWidth="1"/>
    <col min="2" max="2" width="14.85546875" style="3" customWidth="1"/>
    <col min="3" max="3" width="13.28515625" style="3" customWidth="1"/>
    <col min="4" max="4" width="11.42578125" style="3"/>
    <col min="5" max="5" width="13.42578125" style="3" customWidth="1"/>
    <col min="6" max="6" width="12.7109375" style="3" customWidth="1"/>
    <col min="7" max="7" width="14" style="3" customWidth="1"/>
    <col min="8" max="8" width="7.42578125" style="3" customWidth="1"/>
    <col min="9" max="256" width="11.42578125" style="3"/>
    <col min="257" max="257" width="15.85546875" style="3" customWidth="1"/>
    <col min="258" max="258" width="14.85546875" style="3" customWidth="1"/>
    <col min="259" max="259" width="13.28515625" style="3" customWidth="1"/>
    <col min="260" max="260" width="11.42578125" style="3"/>
    <col min="261" max="261" width="13.42578125" style="3" customWidth="1"/>
    <col min="262" max="262" width="12.7109375" style="3" customWidth="1"/>
    <col min="263" max="263" width="14" style="3" customWidth="1"/>
    <col min="264" max="264" width="7.42578125" style="3" customWidth="1"/>
    <col min="265" max="512" width="11.42578125" style="3"/>
    <col min="513" max="513" width="15.85546875" style="3" customWidth="1"/>
    <col min="514" max="514" width="14.85546875" style="3" customWidth="1"/>
    <col min="515" max="515" width="13.28515625" style="3" customWidth="1"/>
    <col min="516" max="516" width="11.42578125" style="3"/>
    <col min="517" max="517" width="13.42578125" style="3" customWidth="1"/>
    <col min="518" max="518" width="12.7109375" style="3" customWidth="1"/>
    <col min="519" max="519" width="14" style="3" customWidth="1"/>
    <col min="520" max="520" width="7.42578125" style="3" customWidth="1"/>
    <col min="521" max="768" width="11.42578125" style="3"/>
    <col min="769" max="769" width="15.85546875" style="3" customWidth="1"/>
    <col min="770" max="770" width="14.85546875" style="3" customWidth="1"/>
    <col min="771" max="771" width="13.28515625" style="3" customWidth="1"/>
    <col min="772" max="772" width="11.42578125" style="3"/>
    <col min="773" max="773" width="13.42578125" style="3" customWidth="1"/>
    <col min="774" max="774" width="12.7109375" style="3" customWidth="1"/>
    <col min="775" max="775" width="14" style="3" customWidth="1"/>
    <col min="776" max="776" width="7.42578125" style="3" customWidth="1"/>
    <col min="777" max="1024" width="11.42578125" style="3"/>
    <col min="1025" max="1025" width="15.85546875" style="3" customWidth="1"/>
    <col min="1026" max="1026" width="14.85546875" style="3" customWidth="1"/>
    <col min="1027" max="1027" width="13.28515625" style="3" customWidth="1"/>
    <col min="1028" max="1028" width="11.42578125" style="3"/>
    <col min="1029" max="1029" width="13.42578125" style="3" customWidth="1"/>
    <col min="1030" max="1030" width="12.7109375" style="3" customWidth="1"/>
    <col min="1031" max="1031" width="14" style="3" customWidth="1"/>
    <col min="1032" max="1032" width="7.42578125" style="3" customWidth="1"/>
    <col min="1033" max="1280" width="11.42578125" style="3"/>
    <col min="1281" max="1281" width="15.85546875" style="3" customWidth="1"/>
    <col min="1282" max="1282" width="14.85546875" style="3" customWidth="1"/>
    <col min="1283" max="1283" width="13.28515625" style="3" customWidth="1"/>
    <col min="1284" max="1284" width="11.42578125" style="3"/>
    <col min="1285" max="1285" width="13.42578125" style="3" customWidth="1"/>
    <col min="1286" max="1286" width="12.7109375" style="3" customWidth="1"/>
    <col min="1287" max="1287" width="14" style="3" customWidth="1"/>
    <col min="1288" max="1288" width="7.42578125" style="3" customWidth="1"/>
    <col min="1289" max="1536" width="11.42578125" style="3"/>
    <col min="1537" max="1537" width="15.85546875" style="3" customWidth="1"/>
    <col min="1538" max="1538" width="14.85546875" style="3" customWidth="1"/>
    <col min="1539" max="1539" width="13.28515625" style="3" customWidth="1"/>
    <col min="1540" max="1540" width="11.42578125" style="3"/>
    <col min="1541" max="1541" width="13.42578125" style="3" customWidth="1"/>
    <col min="1542" max="1542" width="12.7109375" style="3" customWidth="1"/>
    <col min="1543" max="1543" width="14" style="3" customWidth="1"/>
    <col min="1544" max="1544" width="7.42578125" style="3" customWidth="1"/>
    <col min="1545" max="1792" width="11.42578125" style="3"/>
    <col min="1793" max="1793" width="15.85546875" style="3" customWidth="1"/>
    <col min="1794" max="1794" width="14.85546875" style="3" customWidth="1"/>
    <col min="1795" max="1795" width="13.28515625" style="3" customWidth="1"/>
    <col min="1796" max="1796" width="11.42578125" style="3"/>
    <col min="1797" max="1797" width="13.42578125" style="3" customWidth="1"/>
    <col min="1798" max="1798" width="12.7109375" style="3" customWidth="1"/>
    <col min="1799" max="1799" width="14" style="3" customWidth="1"/>
    <col min="1800" max="1800" width="7.42578125" style="3" customWidth="1"/>
    <col min="1801" max="2048" width="11.42578125" style="3"/>
    <col min="2049" max="2049" width="15.85546875" style="3" customWidth="1"/>
    <col min="2050" max="2050" width="14.85546875" style="3" customWidth="1"/>
    <col min="2051" max="2051" width="13.28515625" style="3" customWidth="1"/>
    <col min="2052" max="2052" width="11.42578125" style="3"/>
    <col min="2053" max="2053" width="13.42578125" style="3" customWidth="1"/>
    <col min="2054" max="2054" width="12.7109375" style="3" customWidth="1"/>
    <col min="2055" max="2055" width="14" style="3" customWidth="1"/>
    <col min="2056" max="2056" width="7.42578125" style="3" customWidth="1"/>
    <col min="2057" max="2304" width="11.42578125" style="3"/>
    <col min="2305" max="2305" width="15.85546875" style="3" customWidth="1"/>
    <col min="2306" max="2306" width="14.85546875" style="3" customWidth="1"/>
    <col min="2307" max="2307" width="13.28515625" style="3" customWidth="1"/>
    <col min="2308" max="2308" width="11.42578125" style="3"/>
    <col min="2309" max="2309" width="13.42578125" style="3" customWidth="1"/>
    <col min="2310" max="2310" width="12.7109375" style="3" customWidth="1"/>
    <col min="2311" max="2311" width="14" style="3" customWidth="1"/>
    <col min="2312" max="2312" width="7.42578125" style="3" customWidth="1"/>
    <col min="2313" max="2560" width="11.42578125" style="3"/>
    <col min="2561" max="2561" width="15.85546875" style="3" customWidth="1"/>
    <col min="2562" max="2562" width="14.85546875" style="3" customWidth="1"/>
    <col min="2563" max="2563" width="13.28515625" style="3" customWidth="1"/>
    <col min="2564" max="2564" width="11.42578125" style="3"/>
    <col min="2565" max="2565" width="13.42578125" style="3" customWidth="1"/>
    <col min="2566" max="2566" width="12.7109375" style="3" customWidth="1"/>
    <col min="2567" max="2567" width="14" style="3" customWidth="1"/>
    <col min="2568" max="2568" width="7.42578125" style="3" customWidth="1"/>
    <col min="2569" max="2816" width="11.42578125" style="3"/>
    <col min="2817" max="2817" width="15.85546875" style="3" customWidth="1"/>
    <col min="2818" max="2818" width="14.85546875" style="3" customWidth="1"/>
    <col min="2819" max="2819" width="13.28515625" style="3" customWidth="1"/>
    <col min="2820" max="2820" width="11.42578125" style="3"/>
    <col min="2821" max="2821" width="13.42578125" style="3" customWidth="1"/>
    <col min="2822" max="2822" width="12.7109375" style="3" customWidth="1"/>
    <col min="2823" max="2823" width="14" style="3" customWidth="1"/>
    <col min="2824" max="2824" width="7.42578125" style="3" customWidth="1"/>
    <col min="2825" max="3072" width="11.42578125" style="3"/>
    <col min="3073" max="3073" width="15.85546875" style="3" customWidth="1"/>
    <col min="3074" max="3074" width="14.85546875" style="3" customWidth="1"/>
    <col min="3075" max="3075" width="13.28515625" style="3" customWidth="1"/>
    <col min="3076" max="3076" width="11.42578125" style="3"/>
    <col min="3077" max="3077" width="13.42578125" style="3" customWidth="1"/>
    <col min="3078" max="3078" width="12.7109375" style="3" customWidth="1"/>
    <col min="3079" max="3079" width="14" style="3" customWidth="1"/>
    <col min="3080" max="3080" width="7.42578125" style="3" customWidth="1"/>
    <col min="3081" max="3328" width="11.42578125" style="3"/>
    <col min="3329" max="3329" width="15.85546875" style="3" customWidth="1"/>
    <col min="3330" max="3330" width="14.85546875" style="3" customWidth="1"/>
    <col min="3331" max="3331" width="13.28515625" style="3" customWidth="1"/>
    <col min="3332" max="3332" width="11.42578125" style="3"/>
    <col min="3333" max="3333" width="13.42578125" style="3" customWidth="1"/>
    <col min="3334" max="3334" width="12.7109375" style="3" customWidth="1"/>
    <col min="3335" max="3335" width="14" style="3" customWidth="1"/>
    <col min="3336" max="3336" width="7.42578125" style="3" customWidth="1"/>
    <col min="3337" max="3584" width="11.42578125" style="3"/>
    <col min="3585" max="3585" width="15.85546875" style="3" customWidth="1"/>
    <col min="3586" max="3586" width="14.85546875" style="3" customWidth="1"/>
    <col min="3587" max="3587" width="13.28515625" style="3" customWidth="1"/>
    <col min="3588" max="3588" width="11.42578125" style="3"/>
    <col min="3589" max="3589" width="13.42578125" style="3" customWidth="1"/>
    <col min="3590" max="3590" width="12.7109375" style="3" customWidth="1"/>
    <col min="3591" max="3591" width="14" style="3" customWidth="1"/>
    <col min="3592" max="3592" width="7.42578125" style="3" customWidth="1"/>
    <col min="3593" max="3840" width="11.42578125" style="3"/>
    <col min="3841" max="3841" width="15.85546875" style="3" customWidth="1"/>
    <col min="3842" max="3842" width="14.85546875" style="3" customWidth="1"/>
    <col min="3843" max="3843" width="13.28515625" style="3" customWidth="1"/>
    <col min="3844" max="3844" width="11.42578125" style="3"/>
    <col min="3845" max="3845" width="13.42578125" style="3" customWidth="1"/>
    <col min="3846" max="3846" width="12.7109375" style="3" customWidth="1"/>
    <col min="3847" max="3847" width="14" style="3" customWidth="1"/>
    <col min="3848" max="3848" width="7.42578125" style="3" customWidth="1"/>
    <col min="3849" max="4096" width="11.42578125" style="3"/>
    <col min="4097" max="4097" width="15.85546875" style="3" customWidth="1"/>
    <col min="4098" max="4098" width="14.85546875" style="3" customWidth="1"/>
    <col min="4099" max="4099" width="13.28515625" style="3" customWidth="1"/>
    <col min="4100" max="4100" width="11.42578125" style="3"/>
    <col min="4101" max="4101" width="13.42578125" style="3" customWidth="1"/>
    <col min="4102" max="4102" width="12.7109375" style="3" customWidth="1"/>
    <col min="4103" max="4103" width="14" style="3" customWidth="1"/>
    <col min="4104" max="4104" width="7.42578125" style="3" customWidth="1"/>
    <col min="4105" max="4352" width="11.42578125" style="3"/>
    <col min="4353" max="4353" width="15.85546875" style="3" customWidth="1"/>
    <col min="4354" max="4354" width="14.85546875" style="3" customWidth="1"/>
    <col min="4355" max="4355" width="13.28515625" style="3" customWidth="1"/>
    <col min="4356" max="4356" width="11.42578125" style="3"/>
    <col min="4357" max="4357" width="13.42578125" style="3" customWidth="1"/>
    <col min="4358" max="4358" width="12.7109375" style="3" customWidth="1"/>
    <col min="4359" max="4359" width="14" style="3" customWidth="1"/>
    <col min="4360" max="4360" width="7.42578125" style="3" customWidth="1"/>
    <col min="4361" max="4608" width="11.42578125" style="3"/>
    <col min="4609" max="4609" width="15.85546875" style="3" customWidth="1"/>
    <col min="4610" max="4610" width="14.85546875" style="3" customWidth="1"/>
    <col min="4611" max="4611" width="13.28515625" style="3" customWidth="1"/>
    <col min="4612" max="4612" width="11.42578125" style="3"/>
    <col min="4613" max="4613" width="13.42578125" style="3" customWidth="1"/>
    <col min="4614" max="4614" width="12.7109375" style="3" customWidth="1"/>
    <col min="4615" max="4615" width="14" style="3" customWidth="1"/>
    <col min="4616" max="4616" width="7.42578125" style="3" customWidth="1"/>
    <col min="4617" max="4864" width="11.42578125" style="3"/>
    <col min="4865" max="4865" width="15.85546875" style="3" customWidth="1"/>
    <col min="4866" max="4866" width="14.85546875" style="3" customWidth="1"/>
    <col min="4867" max="4867" width="13.28515625" style="3" customWidth="1"/>
    <col min="4868" max="4868" width="11.42578125" style="3"/>
    <col min="4869" max="4869" width="13.42578125" style="3" customWidth="1"/>
    <col min="4870" max="4870" width="12.7109375" style="3" customWidth="1"/>
    <col min="4871" max="4871" width="14" style="3" customWidth="1"/>
    <col min="4872" max="4872" width="7.42578125" style="3" customWidth="1"/>
    <col min="4873" max="5120" width="11.42578125" style="3"/>
    <col min="5121" max="5121" width="15.85546875" style="3" customWidth="1"/>
    <col min="5122" max="5122" width="14.85546875" style="3" customWidth="1"/>
    <col min="5123" max="5123" width="13.28515625" style="3" customWidth="1"/>
    <col min="5124" max="5124" width="11.42578125" style="3"/>
    <col min="5125" max="5125" width="13.42578125" style="3" customWidth="1"/>
    <col min="5126" max="5126" width="12.7109375" style="3" customWidth="1"/>
    <col min="5127" max="5127" width="14" style="3" customWidth="1"/>
    <col min="5128" max="5128" width="7.42578125" style="3" customWidth="1"/>
    <col min="5129" max="5376" width="11.42578125" style="3"/>
    <col min="5377" max="5377" width="15.85546875" style="3" customWidth="1"/>
    <col min="5378" max="5378" width="14.85546875" style="3" customWidth="1"/>
    <col min="5379" max="5379" width="13.28515625" style="3" customWidth="1"/>
    <col min="5380" max="5380" width="11.42578125" style="3"/>
    <col min="5381" max="5381" width="13.42578125" style="3" customWidth="1"/>
    <col min="5382" max="5382" width="12.7109375" style="3" customWidth="1"/>
    <col min="5383" max="5383" width="14" style="3" customWidth="1"/>
    <col min="5384" max="5384" width="7.42578125" style="3" customWidth="1"/>
    <col min="5385" max="5632" width="11.42578125" style="3"/>
    <col min="5633" max="5633" width="15.85546875" style="3" customWidth="1"/>
    <col min="5634" max="5634" width="14.85546875" style="3" customWidth="1"/>
    <col min="5635" max="5635" width="13.28515625" style="3" customWidth="1"/>
    <col min="5636" max="5636" width="11.42578125" style="3"/>
    <col min="5637" max="5637" width="13.42578125" style="3" customWidth="1"/>
    <col min="5638" max="5638" width="12.7109375" style="3" customWidth="1"/>
    <col min="5639" max="5639" width="14" style="3" customWidth="1"/>
    <col min="5640" max="5640" width="7.42578125" style="3" customWidth="1"/>
    <col min="5641" max="5888" width="11.42578125" style="3"/>
    <col min="5889" max="5889" width="15.85546875" style="3" customWidth="1"/>
    <col min="5890" max="5890" width="14.85546875" style="3" customWidth="1"/>
    <col min="5891" max="5891" width="13.28515625" style="3" customWidth="1"/>
    <col min="5892" max="5892" width="11.42578125" style="3"/>
    <col min="5893" max="5893" width="13.42578125" style="3" customWidth="1"/>
    <col min="5894" max="5894" width="12.7109375" style="3" customWidth="1"/>
    <col min="5895" max="5895" width="14" style="3" customWidth="1"/>
    <col min="5896" max="5896" width="7.42578125" style="3" customWidth="1"/>
    <col min="5897" max="6144" width="11.42578125" style="3"/>
    <col min="6145" max="6145" width="15.85546875" style="3" customWidth="1"/>
    <col min="6146" max="6146" width="14.85546875" style="3" customWidth="1"/>
    <col min="6147" max="6147" width="13.28515625" style="3" customWidth="1"/>
    <col min="6148" max="6148" width="11.42578125" style="3"/>
    <col min="6149" max="6149" width="13.42578125" style="3" customWidth="1"/>
    <col min="6150" max="6150" width="12.7109375" style="3" customWidth="1"/>
    <col min="6151" max="6151" width="14" style="3" customWidth="1"/>
    <col min="6152" max="6152" width="7.42578125" style="3" customWidth="1"/>
    <col min="6153" max="6400" width="11.42578125" style="3"/>
    <col min="6401" max="6401" width="15.85546875" style="3" customWidth="1"/>
    <col min="6402" max="6402" width="14.85546875" style="3" customWidth="1"/>
    <col min="6403" max="6403" width="13.28515625" style="3" customWidth="1"/>
    <col min="6404" max="6404" width="11.42578125" style="3"/>
    <col min="6405" max="6405" width="13.42578125" style="3" customWidth="1"/>
    <col min="6406" max="6406" width="12.7109375" style="3" customWidth="1"/>
    <col min="6407" max="6407" width="14" style="3" customWidth="1"/>
    <col min="6408" max="6408" width="7.42578125" style="3" customWidth="1"/>
    <col min="6409" max="6656" width="11.42578125" style="3"/>
    <col min="6657" max="6657" width="15.85546875" style="3" customWidth="1"/>
    <col min="6658" max="6658" width="14.85546875" style="3" customWidth="1"/>
    <col min="6659" max="6659" width="13.28515625" style="3" customWidth="1"/>
    <col min="6660" max="6660" width="11.42578125" style="3"/>
    <col min="6661" max="6661" width="13.42578125" style="3" customWidth="1"/>
    <col min="6662" max="6662" width="12.7109375" style="3" customWidth="1"/>
    <col min="6663" max="6663" width="14" style="3" customWidth="1"/>
    <col min="6664" max="6664" width="7.42578125" style="3" customWidth="1"/>
    <col min="6665" max="6912" width="11.42578125" style="3"/>
    <col min="6913" max="6913" width="15.85546875" style="3" customWidth="1"/>
    <col min="6914" max="6914" width="14.85546875" style="3" customWidth="1"/>
    <col min="6915" max="6915" width="13.28515625" style="3" customWidth="1"/>
    <col min="6916" max="6916" width="11.42578125" style="3"/>
    <col min="6917" max="6917" width="13.42578125" style="3" customWidth="1"/>
    <col min="6918" max="6918" width="12.7109375" style="3" customWidth="1"/>
    <col min="6919" max="6919" width="14" style="3" customWidth="1"/>
    <col min="6920" max="6920" width="7.42578125" style="3" customWidth="1"/>
    <col min="6921" max="7168" width="11.42578125" style="3"/>
    <col min="7169" max="7169" width="15.85546875" style="3" customWidth="1"/>
    <col min="7170" max="7170" width="14.85546875" style="3" customWidth="1"/>
    <col min="7171" max="7171" width="13.28515625" style="3" customWidth="1"/>
    <col min="7172" max="7172" width="11.42578125" style="3"/>
    <col min="7173" max="7173" width="13.42578125" style="3" customWidth="1"/>
    <col min="7174" max="7174" width="12.7109375" style="3" customWidth="1"/>
    <col min="7175" max="7175" width="14" style="3" customWidth="1"/>
    <col min="7176" max="7176" width="7.42578125" style="3" customWidth="1"/>
    <col min="7177" max="7424" width="11.42578125" style="3"/>
    <col min="7425" max="7425" width="15.85546875" style="3" customWidth="1"/>
    <col min="7426" max="7426" width="14.85546875" style="3" customWidth="1"/>
    <col min="7427" max="7427" width="13.28515625" style="3" customWidth="1"/>
    <col min="7428" max="7428" width="11.42578125" style="3"/>
    <col min="7429" max="7429" width="13.42578125" style="3" customWidth="1"/>
    <col min="7430" max="7430" width="12.7109375" style="3" customWidth="1"/>
    <col min="7431" max="7431" width="14" style="3" customWidth="1"/>
    <col min="7432" max="7432" width="7.42578125" style="3" customWidth="1"/>
    <col min="7433" max="7680" width="11.42578125" style="3"/>
    <col min="7681" max="7681" width="15.85546875" style="3" customWidth="1"/>
    <col min="7682" max="7682" width="14.85546875" style="3" customWidth="1"/>
    <col min="7683" max="7683" width="13.28515625" style="3" customWidth="1"/>
    <col min="7684" max="7684" width="11.42578125" style="3"/>
    <col min="7685" max="7685" width="13.42578125" style="3" customWidth="1"/>
    <col min="7686" max="7686" width="12.7109375" style="3" customWidth="1"/>
    <col min="7687" max="7687" width="14" style="3" customWidth="1"/>
    <col min="7688" max="7688" width="7.42578125" style="3" customWidth="1"/>
    <col min="7689" max="7936" width="11.42578125" style="3"/>
    <col min="7937" max="7937" width="15.85546875" style="3" customWidth="1"/>
    <col min="7938" max="7938" width="14.85546875" style="3" customWidth="1"/>
    <col min="7939" max="7939" width="13.28515625" style="3" customWidth="1"/>
    <col min="7940" max="7940" width="11.42578125" style="3"/>
    <col min="7941" max="7941" width="13.42578125" style="3" customWidth="1"/>
    <col min="7942" max="7942" width="12.7109375" style="3" customWidth="1"/>
    <col min="7943" max="7943" width="14" style="3" customWidth="1"/>
    <col min="7944" max="7944" width="7.42578125" style="3" customWidth="1"/>
    <col min="7945" max="8192" width="11.42578125" style="3"/>
    <col min="8193" max="8193" width="15.85546875" style="3" customWidth="1"/>
    <col min="8194" max="8194" width="14.85546875" style="3" customWidth="1"/>
    <col min="8195" max="8195" width="13.28515625" style="3" customWidth="1"/>
    <col min="8196" max="8196" width="11.42578125" style="3"/>
    <col min="8197" max="8197" width="13.42578125" style="3" customWidth="1"/>
    <col min="8198" max="8198" width="12.7109375" style="3" customWidth="1"/>
    <col min="8199" max="8199" width="14" style="3" customWidth="1"/>
    <col min="8200" max="8200" width="7.42578125" style="3" customWidth="1"/>
    <col min="8201" max="8448" width="11.42578125" style="3"/>
    <col min="8449" max="8449" width="15.85546875" style="3" customWidth="1"/>
    <col min="8450" max="8450" width="14.85546875" style="3" customWidth="1"/>
    <col min="8451" max="8451" width="13.28515625" style="3" customWidth="1"/>
    <col min="8452" max="8452" width="11.42578125" style="3"/>
    <col min="8453" max="8453" width="13.42578125" style="3" customWidth="1"/>
    <col min="8454" max="8454" width="12.7109375" style="3" customWidth="1"/>
    <col min="8455" max="8455" width="14" style="3" customWidth="1"/>
    <col min="8456" max="8456" width="7.42578125" style="3" customWidth="1"/>
    <col min="8457" max="8704" width="11.42578125" style="3"/>
    <col min="8705" max="8705" width="15.85546875" style="3" customWidth="1"/>
    <col min="8706" max="8706" width="14.85546875" style="3" customWidth="1"/>
    <col min="8707" max="8707" width="13.28515625" style="3" customWidth="1"/>
    <col min="8708" max="8708" width="11.42578125" style="3"/>
    <col min="8709" max="8709" width="13.42578125" style="3" customWidth="1"/>
    <col min="8710" max="8710" width="12.7109375" style="3" customWidth="1"/>
    <col min="8711" max="8711" width="14" style="3" customWidth="1"/>
    <col min="8712" max="8712" width="7.42578125" style="3" customWidth="1"/>
    <col min="8713" max="8960" width="11.42578125" style="3"/>
    <col min="8961" max="8961" width="15.85546875" style="3" customWidth="1"/>
    <col min="8962" max="8962" width="14.85546875" style="3" customWidth="1"/>
    <col min="8963" max="8963" width="13.28515625" style="3" customWidth="1"/>
    <col min="8964" max="8964" width="11.42578125" style="3"/>
    <col min="8965" max="8965" width="13.42578125" style="3" customWidth="1"/>
    <col min="8966" max="8966" width="12.7109375" style="3" customWidth="1"/>
    <col min="8967" max="8967" width="14" style="3" customWidth="1"/>
    <col min="8968" max="8968" width="7.42578125" style="3" customWidth="1"/>
    <col min="8969" max="9216" width="11.42578125" style="3"/>
    <col min="9217" max="9217" width="15.85546875" style="3" customWidth="1"/>
    <col min="9218" max="9218" width="14.85546875" style="3" customWidth="1"/>
    <col min="9219" max="9219" width="13.28515625" style="3" customWidth="1"/>
    <col min="9220" max="9220" width="11.42578125" style="3"/>
    <col min="9221" max="9221" width="13.42578125" style="3" customWidth="1"/>
    <col min="9222" max="9222" width="12.7109375" style="3" customWidth="1"/>
    <col min="9223" max="9223" width="14" style="3" customWidth="1"/>
    <col min="9224" max="9224" width="7.42578125" style="3" customWidth="1"/>
    <col min="9225" max="9472" width="11.42578125" style="3"/>
    <col min="9473" max="9473" width="15.85546875" style="3" customWidth="1"/>
    <col min="9474" max="9474" width="14.85546875" style="3" customWidth="1"/>
    <col min="9475" max="9475" width="13.28515625" style="3" customWidth="1"/>
    <col min="9476" max="9476" width="11.42578125" style="3"/>
    <col min="9477" max="9477" width="13.42578125" style="3" customWidth="1"/>
    <col min="9478" max="9478" width="12.7109375" style="3" customWidth="1"/>
    <col min="9479" max="9479" width="14" style="3" customWidth="1"/>
    <col min="9480" max="9480" width="7.42578125" style="3" customWidth="1"/>
    <col min="9481" max="9728" width="11.42578125" style="3"/>
    <col min="9729" max="9729" width="15.85546875" style="3" customWidth="1"/>
    <col min="9730" max="9730" width="14.85546875" style="3" customWidth="1"/>
    <col min="9731" max="9731" width="13.28515625" style="3" customWidth="1"/>
    <col min="9732" max="9732" width="11.42578125" style="3"/>
    <col min="9733" max="9733" width="13.42578125" style="3" customWidth="1"/>
    <col min="9734" max="9734" width="12.7109375" style="3" customWidth="1"/>
    <col min="9735" max="9735" width="14" style="3" customWidth="1"/>
    <col min="9736" max="9736" width="7.42578125" style="3" customWidth="1"/>
    <col min="9737" max="9984" width="11.42578125" style="3"/>
    <col min="9985" max="9985" width="15.85546875" style="3" customWidth="1"/>
    <col min="9986" max="9986" width="14.85546875" style="3" customWidth="1"/>
    <col min="9987" max="9987" width="13.28515625" style="3" customWidth="1"/>
    <col min="9988" max="9988" width="11.42578125" style="3"/>
    <col min="9989" max="9989" width="13.42578125" style="3" customWidth="1"/>
    <col min="9990" max="9990" width="12.7109375" style="3" customWidth="1"/>
    <col min="9991" max="9991" width="14" style="3" customWidth="1"/>
    <col min="9992" max="9992" width="7.42578125" style="3" customWidth="1"/>
    <col min="9993" max="10240" width="11.42578125" style="3"/>
    <col min="10241" max="10241" width="15.85546875" style="3" customWidth="1"/>
    <col min="10242" max="10242" width="14.85546875" style="3" customWidth="1"/>
    <col min="10243" max="10243" width="13.28515625" style="3" customWidth="1"/>
    <col min="10244" max="10244" width="11.42578125" style="3"/>
    <col min="10245" max="10245" width="13.42578125" style="3" customWidth="1"/>
    <col min="10246" max="10246" width="12.7109375" style="3" customWidth="1"/>
    <col min="10247" max="10247" width="14" style="3" customWidth="1"/>
    <col min="10248" max="10248" width="7.42578125" style="3" customWidth="1"/>
    <col min="10249" max="10496" width="11.42578125" style="3"/>
    <col min="10497" max="10497" width="15.85546875" style="3" customWidth="1"/>
    <col min="10498" max="10498" width="14.85546875" style="3" customWidth="1"/>
    <col min="10499" max="10499" width="13.28515625" style="3" customWidth="1"/>
    <col min="10500" max="10500" width="11.42578125" style="3"/>
    <col min="10501" max="10501" width="13.42578125" style="3" customWidth="1"/>
    <col min="10502" max="10502" width="12.7109375" style="3" customWidth="1"/>
    <col min="10503" max="10503" width="14" style="3" customWidth="1"/>
    <col min="10504" max="10504" width="7.42578125" style="3" customWidth="1"/>
    <col min="10505" max="10752" width="11.42578125" style="3"/>
    <col min="10753" max="10753" width="15.85546875" style="3" customWidth="1"/>
    <col min="10754" max="10754" width="14.85546875" style="3" customWidth="1"/>
    <col min="10755" max="10755" width="13.28515625" style="3" customWidth="1"/>
    <col min="10756" max="10756" width="11.42578125" style="3"/>
    <col min="10757" max="10757" width="13.42578125" style="3" customWidth="1"/>
    <col min="10758" max="10758" width="12.7109375" style="3" customWidth="1"/>
    <col min="10759" max="10759" width="14" style="3" customWidth="1"/>
    <col min="10760" max="10760" width="7.42578125" style="3" customWidth="1"/>
    <col min="10761" max="11008" width="11.42578125" style="3"/>
    <col min="11009" max="11009" width="15.85546875" style="3" customWidth="1"/>
    <col min="11010" max="11010" width="14.85546875" style="3" customWidth="1"/>
    <col min="11011" max="11011" width="13.28515625" style="3" customWidth="1"/>
    <col min="11012" max="11012" width="11.42578125" style="3"/>
    <col min="11013" max="11013" width="13.42578125" style="3" customWidth="1"/>
    <col min="11014" max="11014" width="12.7109375" style="3" customWidth="1"/>
    <col min="11015" max="11015" width="14" style="3" customWidth="1"/>
    <col min="11016" max="11016" width="7.42578125" style="3" customWidth="1"/>
    <col min="11017" max="11264" width="11.42578125" style="3"/>
    <col min="11265" max="11265" width="15.85546875" style="3" customWidth="1"/>
    <col min="11266" max="11266" width="14.85546875" style="3" customWidth="1"/>
    <col min="11267" max="11267" width="13.28515625" style="3" customWidth="1"/>
    <col min="11268" max="11268" width="11.42578125" style="3"/>
    <col min="11269" max="11269" width="13.42578125" style="3" customWidth="1"/>
    <col min="11270" max="11270" width="12.7109375" style="3" customWidth="1"/>
    <col min="11271" max="11271" width="14" style="3" customWidth="1"/>
    <col min="11272" max="11272" width="7.42578125" style="3" customWidth="1"/>
    <col min="11273" max="11520" width="11.42578125" style="3"/>
    <col min="11521" max="11521" width="15.85546875" style="3" customWidth="1"/>
    <col min="11522" max="11522" width="14.85546875" style="3" customWidth="1"/>
    <col min="11523" max="11523" width="13.28515625" style="3" customWidth="1"/>
    <col min="11524" max="11524" width="11.42578125" style="3"/>
    <col min="11525" max="11525" width="13.42578125" style="3" customWidth="1"/>
    <col min="11526" max="11526" width="12.7109375" style="3" customWidth="1"/>
    <col min="11527" max="11527" width="14" style="3" customWidth="1"/>
    <col min="11528" max="11528" width="7.42578125" style="3" customWidth="1"/>
    <col min="11529" max="11776" width="11.42578125" style="3"/>
    <col min="11777" max="11777" width="15.85546875" style="3" customWidth="1"/>
    <col min="11778" max="11778" width="14.85546875" style="3" customWidth="1"/>
    <col min="11779" max="11779" width="13.28515625" style="3" customWidth="1"/>
    <col min="11780" max="11780" width="11.42578125" style="3"/>
    <col min="11781" max="11781" width="13.42578125" style="3" customWidth="1"/>
    <col min="11782" max="11782" width="12.7109375" style="3" customWidth="1"/>
    <col min="11783" max="11783" width="14" style="3" customWidth="1"/>
    <col min="11784" max="11784" width="7.42578125" style="3" customWidth="1"/>
    <col min="11785" max="12032" width="11.42578125" style="3"/>
    <col min="12033" max="12033" width="15.85546875" style="3" customWidth="1"/>
    <col min="12034" max="12034" width="14.85546875" style="3" customWidth="1"/>
    <col min="12035" max="12035" width="13.28515625" style="3" customWidth="1"/>
    <col min="12036" max="12036" width="11.42578125" style="3"/>
    <col min="12037" max="12037" width="13.42578125" style="3" customWidth="1"/>
    <col min="12038" max="12038" width="12.7109375" style="3" customWidth="1"/>
    <col min="12039" max="12039" width="14" style="3" customWidth="1"/>
    <col min="12040" max="12040" width="7.42578125" style="3" customWidth="1"/>
    <col min="12041" max="12288" width="11.42578125" style="3"/>
    <col min="12289" max="12289" width="15.85546875" style="3" customWidth="1"/>
    <col min="12290" max="12290" width="14.85546875" style="3" customWidth="1"/>
    <col min="12291" max="12291" width="13.28515625" style="3" customWidth="1"/>
    <col min="12292" max="12292" width="11.42578125" style="3"/>
    <col min="12293" max="12293" width="13.42578125" style="3" customWidth="1"/>
    <col min="12294" max="12294" width="12.7109375" style="3" customWidth="1"/>
    <col min="12295" max="12295" width="14" style="3" customWidth="1"/>
    <col min="12296" max="12296" width="7.42578125" style="3" customWidth="1"/>
    <col min="12297" max="12544" width="11.42578125" style="3"/>
    <col min="12545" max="12545" width="15.85546875" style="3" customWidth="1"/>
    <col min="12546" max="12546" width="14.85546875" style="3" customWidth="1"/>
    <col min="12547" max="12547" width="13.28515625" style="3" customWidth="1"/>
    <col min="12548" max="12548" width="11.42578125" style="3"/>
    <col min="12549" max="12549" width="13.42578125" style="3" customWidth="1"/>
    <col min="12550" max="12550" width="12.7109375" style="3" customWidth="1"/>
    <col min="12551" max="12551" width="14" style="3" customWidth="1"/>
    <col min="12552" max="12552" width="7.42578125" style="3" customWidth="1"/>
    <col min="12553" max="12800" width="11.42578125" style="3"/>
    <col min="12801" max="12801" width="15.85546875" style="3" customWidth="1"/>
    <col min="12802" max="12802" width="14.85546875" style="3" customWidth="1"/>
    <col min="12803" max="12803" width="13.28515625" style="3" customWidth="1"/>
    <col min="12804" max="12804" width="11.42578125" style="3"/>
    <col min="12805" max="12805" width="13.42578125" style="3" customWidth="1"/>
    <col min="12806" max="12806" width="12.7109375" style="3" customWidth="1"/>
    <col min="12807" max="12807" width="14" style="3" customWidth="1"/>
    <col min="12808" max="12808" width="7.42578125" style="3" customWidth="1"/>
    <col min="12809" max="13056" width="11.42578125" style="3"/>
    <col min="13057" max="13057" width="15.85546875" style="3" customWidth="1"/>
    <col min="13058" max="13058" width="14.85546875" style="3" customWidth="1"/>
    <col min="13059" max="13059" width="13.28515625" style="3" customWidth="1"/>
    <col min="13060" max="13060" width="11.42578125" style="3"/>
    <col min="13061" max="13061" width="13.42578125" style="3" customWidth="1"/>
    <col min="13062" max="13062" width="12.7109375" style="3" customWidth="1"/>
    <col min="13063" max="13063" width="14" style="3" customWidth="1"/>
    <col min="13064" max="13064" width="7.42578125" style="3" customWidth="1"/>
    <col min="13065" max="13312" width="11.42578125" style="3"/>
    <col min="13313" max="13313" width="15.85546875" style="3" customWidth="1"/>
    <col min="13314" max="13314" width="14.85546875" style="3" customWidth="1"/>
    <col min="13315" max="13315" width="13.28515625" style="3" customWidth="1"/>
    <col min="13316" max="13316" width="11.42578125" style="3"/>
    <col min="13317" max="13317" width="13.42578125" style="3" customWidth="1"/>
    <col min="13318" max="13318" width="12.7109375" style="3" customWidth="1"/>
    <col min="13319" max="13319" width="14" style="3" customWidth="1"/>
    <col min="13320" max="13320" width="7.42578125" style="3" customWidth="1"/>
    <col min="13321" max="13568" width="11.42578125" style="3"/>
    <col min="13569" max="13569" width="15.85546875" style="3" customWidth="1"/>
    <col min="13570" max="13570" width="14.85546875" style="3" customWidth="1"/>
    <col min="13571" max="13571" width="13.28515625" style="3" customWidth="1"/>
    <col min="13572" max="13572" width="11.42578125" style="3"/>
    <col min="13573" max="13573" width="13.42578125" style="3" customWidth="1"/>
    <col min="13574" max="13574" width="12.7109375" style="3" customWidth="1"/>
    <col min="13575" max="13575" width="14" style="3" customWidth="1"/>
    <col min="13576" max="13576" width="7.42578125" style="3" customWidth="1"/>
    <col min="13577" max="13824" width="11.42578125" style="3"/>
    <col min="13825" max="13825" width="15.85546875" style="3" customWidth="1"/>
    <col min="13826" max="13826" width="14.85546875" style="3" customWidth="1"/>
    <col min="13827" max="13827" width="13.28515625" style="3" customWidth="1"/>
    <col min="13828" max="13828" width="11.42578125" style="3"/>
    <col min="13829" max="13829" width="13.42578125" style="3" customWidth="1"/>
    <col min="13830" max="13830" width="12.7109375" style="3" customWidth="1"/>
    <col min="13831" max="13831" width="14" style="3" customWidth="1"/>
    <col min="13832" max="13832" width="7.42578125" style="3" customWidth="1"/>
    <col min="13833" max="14080" width="11.42578125" style="3"/>
    <col min="14081" max="14081" width="15.85546875" style="3" customWidth="1"/>
    <col min="14082" max="14082" width="14.85546875" style="3" customWidth="1"/>
    <col min="14083" max="14083" width="13.28515625" style="3" customWidth="1"/>
    <col min="14084" max="14084" width="11.42578125" style="3"/>
    <col min="14085" max="14085" width="13.42578125" style="3" customWidth="1"/>
    <col min="14086" max="14086" width="12.7109375" style="3" customWidth="1"/>
    <col min="14087" max="14087" width="14" style="3" customWidth="1"/>
    <col min="14088" max="14088" width="7.42578125" style="3" customWidth="1"/>
    <col min="14089" max="14336" width="11.42578125" style="3"/>
    <col min="14337" max="14337" width="15.85546875" style="3" customWidth="1"/>
    <col min="14338" max="14338" width="14.85546875" style="3" customWidth="1"/>
    <col min="14339" max="14339" width="13.28515625" style="3" customWidth="1"/>
    <col min="14340" max="14340" width="11.42578125" style="3"/>
    <col min="14341" max="14341" width="13.42578125" style="3" customWidth="1"/>
    <col min="14342" max="14342" width="12.7109375" style="3" customWidth="1"/>
    <col min="14343" max="14343" width="14" style="3" customWidth="1"/>
    <col min="14344" max="14344" width="7.42578125" style="3" customWidth="1"/>
    <col min="14345" max="14592" width="11.42578125" style="3"/>
    <col min="14593" max="14593" width="15.85546875" style="3" customWidth="1"/>
    <col min="14594" max="14594" width="14.85546875" style="3" customWidth="1"/>
    <col min="14595" max="14595" width="13.28515625" style="3" customWidth="1"/>
    <col min="14596" max="14596" width="11.42578125" style="3"/>
    <col min="14597" max="14597" width="13.42578125" style="3" customWidth="1"/>
    <col min="14598" max="14598" width="12.7109375" style="3" customWidth="1"/>
    <col min="14599" max="14599" width="14" style="3" customWidth="1"/>
    <col min="14600" max="14600" width="7.42578125" style="3" customWidth="1"/>
    <col min="14601" max="14848" width="11.42578125" style="3"/>
    <col min="14849" max="14849" width="15.85546875" style="3" customWidth="1"/>
    <col min="14850" max="14850" width="14.85546875" style="3" customWidth="1"/>
    <col min="14851" max="14851" width="13.28515625" style="3" customWidth="1"/>
    <col min="14852" max="14852" width="11.42578125" style="3"/>
    <col min="14853" max="14853" width="13.42578125" style="3" customWidth="1"/>
    <col min="14854" max="14854" width="12.7109375" style="3" customWidth="1"/>
    <col min="14855" max="14855" width="14" style="3" customWidth="1"/>
    <col min="14856" max="14856" width="7.42578125" style="3" customWidth="1"/>
    <col min="14857" max="15104" width="11.42578125" style="3"/>
    <col min="15105" max="15105" width="15.85546875" style="3" customWidth="1"/>
    <col min="15106" max="15106" width="14.85546875" style="3" customWidth="1"/>
    <col min="15107" max="15107" width="13.28515625" style="3" customWidth="1"/>
    <col min="15108" max="15108" width="11.42578125" style="3"/>
    <col min="15109" max="15109" width="13.42578125" style="3" customWidth="1"/>
    <col min="15110" max="15110" width="12.7109375" style="3" customWidth="1"/>
    <col min="15111" max="15111" width="14" style="3" customWidth="1"/>
    <col min="15112" max="15112" width="7.42578125" style="3" customWidth="1"/>
    <col min="15113" max="15360" width="11.42578125" style="3"/>
    <col min="15361" max="15361" width="15.85546875" style="3" customWidth="1"/>
    <col min="15362" max="15362" width="14.85546875" style="3" customWidth="1"/>
    <col min="15363" max="15363" width="13.28515625" style="3" customWidth="1"/>
    <col min="15364" max="15364" width="11.42578125" style="3"/>
    <col min="15365" max="15365" width="13.42578125" style="3" customWidth="1"/>
    <col min="15366" max="15366" width="12.7109375" style="3" customWidth="1"/>
    <col min="15367" max="15367" width="14" style="3" customWidth="1"/>
    <col min="15368" max="15368" width="7.42578125" style="3" customWidth="1"/>
    <col min="15369" max="15616" width="11.42578125" style="3"/>
    <col min="15617" max="15617" width="15.85546875" style="3" customWidth="1"/>
    <col min="15618" max="15618" width="14.85546875" style="3" customWidth="1"/>
    <col min="15619" max="15619" width="13.28515625" style="3" customWidth="1"/>
    <col min="15620" max="15620" width="11.42578125" style="3"/>
    <col min="15621" max="15621" width="13.42578125" style="3" customWidth="1"/>
    <col min="15622" max="15622" width="12.7109375" style="3" customWidth="1"/>
    <col min="15623" max="15623" width="14" style="3" customWidth="1"/>
    <col min="15624" max="15624" width="7.42578125" style="3" customWidth="1"/>
    <col min="15625" max="15872" width="11.42578125" style="3"/>
    <col min="15873" max="15873" width="15.85546875" style="3" customWidth="1"/>
    <col min="15874" max="15874" width="14.85546875" style="3" customWidth="1"/>
    <col min="15875" max="15875" width="13.28515625" style="3" customWidth="1"/>
    <col min="15876" max="15876" width="11.42578125" style="3"/>
    <col min="15877" max="15877" width="13.42578125" style="3" customWidth="1"/>
    <col min="15878" max="15878" width="12.7109375" style="3" customWidth="1"/>
    <col min="15879" max="15879" width="14" style="3" customWidth="1"/>
    <col min="15880" max="15880" width="7.42578125" style="3" customWidth="1"/>
    <col min="15881" max="16128" width="11.42578125" style="3"/>
    <col min="16129" max="16129" width="15.85546875" style="3" customWidth="1"/>
    <col min="16130" max="16130" width="14.85546875" style="3" customWidth="1"/>
    <col min="16131" max="16131" width="13.28515625" style="3" customWidth="1"/>
    <col min="16132" max="16132" width="11.42578125" style="3"/>
    <col min="16133" max="16133" width="13.42578125" style="3" customWidth="1"/>
    <col min="16134" max="16134" width="12.7109375" style="3" customWidth="1"/>
    <col min="16135" max="16135" width="14" style="3" customWidth="1"/>
    <col min="16136" max="16136" width="7.42578125" style="3" customWidth="1"/>
    <col min="16137" max="16384" width="11.42578125" style="3"/>
  </cols>
  <sheetData>
    <row r="1" spans="1:21" ht="20.25">
      <c r="A1" s="1346" t="str">
        <f>PPTO!D3</f>
        <v>PRESUPUESTO
MUNICIPIO EL BAGRE (ANTIOQUIA).</v>
      </c>
      <c r="B1" s="1347"/>
      <c r="C1" s="1347"/>
      <c r="D1" s="1347"/>
      <c r="E1" s="1347"/>
      <c r="F1" s="1347"/>
      <c r="G1" s="1348"/>
      <c r="H1" s="1"/>
      <c r="I1" s="2"/>
    </row>
    <row r="2" spans="1:21" ht="18" customHeight="1">
      <c r="A2" s="1362" t="s">
        <v>16</v>
      </c>
      <c r="B2" s="1363"/>
      <c r="C2" s="1363"/>
      <c r="D2" s="1363"/>
      <c r="E2" s="1363"/>
      <c r="F2" s="1363"/>
      <c r="G2" s="1364"/>
      <c r="H2" s="1"/>
      <c r="I2" s="2"/>
    </row>
    <row r="3" spans="1:21" ht="27" customHeight="1">
      <c r="A3" s="1367" t="str">
        <f>+PPTO!$D$5</f>
        <v>PROYECTO DE MEJORAMIENTO VIAL, ESPACIO PUBLICO Y OBRAS COMPLEMENTARIAS DE LA AVENIDA LA JUVENTUD Y TRAMOS ADYACENTES Y PRIORITARIOS DEL SECTOR URBANO EN EL MUNICIPIO EL BAGRE ANTIOQUIA.</v>
      </c>
      <c r="B3" s="1368"/>
      <c r="C3" s="1368"/>
      <c r="D3" s="1368"/>
      <c r="E3" s="1368"/>
      <c r="F3" s="1368"/>
      <c r="G3" s="1369"/>
      <c r="H3" s="1"/>
      <c r="I3" s="2"/>
    </row>
    <row r="4" spans="1:21" ht="18.75" customHeight="1">
      <c r="A4" s="1370"/>
      <c r="B4" s="1368"/>
      <c r="C4" s="1368"/>
      <c r="D4" s="1368"/>
      <c r="E4" s="1368"/>
      <c r="F4" s="1368"/>
      <c r="G4" s="1369"/>
      <c r="H4" s="1"/>
      <c r="I4" s="2"/>
    </row>
    <row r="5" spans="1:21" ht="6.75" customHeight="1">
      <c r="A5" s="222"/>
      <c r="B5" s="6"/>
      <c r="C5" s="24"/>
      <c r="D5" s="25"/>
      <c r="E5" s="6"/>
      <c r="F5" s="6"/>
      <c r="G5" s="223"/>
      <c r="H5" s="9"/>
    </row>
    <row r="6" spans="1:21">
      <c r="A6" s="368">
        <v>6.58</v>
      </c>
      <c r="B6" s="1349" t="str">
        <f>VLOOKUP(A6,PPTO!D9:I136,2,FALSE)</f>
        <v>Reposicion de Cajas de Inspeccion Domiciliarias</v>
      </c>
      <c r="C6" s="1350"/>
      <c r="D6" s="1350"/>
      <c r="E6" s="1351"/>
      <c r="F6" s="192" t="s">
        <v>118</v>
      </c>
      <c r="G6" s="248" t="str">
        <f>VLOOKUP(A6,PPTO!D9:I136,3,FALSE)</f>
        <v>und</v>
      </c>
      <c r="H6" s="9"/>
    </row>
    <row r="7" spans="1:21" ht="3.75" customHeight="1">
      <c r="A7" s="226"/>
      <c r="B7" s="4"/>
      <c r="C7" s="6"/>
      <c r="D7" s="4"/>
      <c r="E7" s="4"/>
      <c r="F7" s="4"/>
      <c r="G7" s="227"/>
      <c r="H7" s="9"/>
    </row>
    <row r="8" spans="1:21" ht="22.5" customHeight="1">
      <c r="A8" s="1354" t="s">
        <v>69</v>
      </c>
      <c r="B8" s="1355"/>
      <c r="C8" s="1355"/>
      <c r="D8" s="1355"/>
      <c r="E8" s="1355"/>
      <c r="F8" s="1355"/>
      <c r="G8" s="1356"/>
      <c r="H8" s="9"/>
    </row>
    <row r="9" spans="1:21" ht="4.5" customHeight="1">
      <c r="A9" s="226"/>
      <c r="B9" s="4"/>
      <c r="C9" s="6"/>
      <c r="D9" s="4"/>
      <c r="E9" s="4"/>
      <c r="F9" s="4"/>
      <c r="G9" s="227"/>
      <c r="H9" s="9"/>
      <c r="I9" s="5"/>
      <c r="J9" s="5"/>
      <c r="K9" s="5"/>
      <c r="L9" s="26"/>
      <c r="M9" s="5"/>
      <c r="N9" s="5"/>
      <c r="O9" s="5"/>
      <c r="P9" s="5"/>
    </row>
    <row r="10" spans="1:21">
      <c r="A10" s="1373" t="s">
        <v>17</v>
      </c>
      <c r="B10" s="1374"/>
      <c r="C10" s="1374"/>
      <c r="D10" s="353" t="s">
        <v>18</v>
      </c>
      <c r="E10" s="353" t="s">
        <v>19</v>
      </c>
      <c r="F10" s="353" t="s">
        <v>20</v>
      </c>
      <c r="G10" s="228" t="s">
        <v>21</v>
      </c>
      <c r="H10" s="27"/>
      <c r="I10" s="28"/>
      <c r="J10" s="29"/>
      <c r="K10" s="30"/>
      <c r="L10" s="30"/>
      <c r="M10" s="30"/>
      <c r="N10" s="30"/>
      <c r="O10" s="30"/>
      <c r="P10" s="5"/>
    </row>
    <row r="11" spans="1:21">
      <c r="A11" s="1352" t="s">
        <v>47</v>
      </c>
      <c r="B11" s="1353"/>
      <c r="C11" s="1353"/>
      <c r="D11" s="353"/>
      <c r="E11" s="83"/>
      <c r="F11" s="97"/>
      <c r="G11" s="229">
        <f>+G39*10%</f>
        <v>10181</v>
      </c>
      <c r="H11" s="9"/>
      <c r="I11" s="30"/>
      <c r="J11" s="31"/>
      <c r="K11" s="30"/>
      <c r="L11" s="30"/>
      <c r="M11" s="30"/>
      <c r="N11" s="30"/>
      <c r="O11" s="30"/>
      <c r="P11" s="5"/>
    </row>
    <row r="12" spans="1:21">
      <c r="A12" s="1371"/>
      <c r="B12" s="1372"/>
      <c r="C12" s="1372"/>
      <c r="D12" s="83"/>
      <c r="E12" s="83"/>
      <c r="F12" s="93"/>
      <c r="G12" s="229"/>
      <c r="H12" s="9"/>
      <c r="I12" s="16"/>
      <c r="J12" s="13"/>
      <c r="K12" s="8"/>
      <c r="L12" s="8"/>
      <c r="M12" s="8"/>
      <c r="N12" s="8"/>
      <c r="O12" s="8"/>
      <c r="P12" s="5"/>
    </row>
    <row r="13" spans="1:21">
      <c r="A13" s="1371"/>
      <c r="B13" s="1372"/>
      <c r="C13" s="1372"/>
      <c r="D13" s="83"/>
      <c r="E13" s="83"/>
      <c r="F13" s="93"/>
      <c r="G13" s="229"/>
      <c r="H13" s="9"/>
      <c r="I13" s="13"/>
      <c r="J13" s="13"/>
      <c r="K13" s="13"/>
      <c r="L13" s="13"/>
      <c r="M13" s="13"/>
      <c r="N13" s="13"/>
      <c r="O13" s="13"/>
      <c r="P13" s="5"/>
    </row>
    <row r="14" spans="1:21">
      <c r="A14" s="1371"/>
      <c r="B14" s="1372"/>
      <c r="C14" s="1372"/>
      <c r="D14" s="83"/>
      <c r="E14" s="83"/>
      <c r="F14" s="93"/>
      <c r="G14" s="229"/>
      <c r="H14" s="9"/>
      <c r="I14" s="8"/>
      <c r="J14" s="14"/>
      <c r="K14" s="32"/>
      <c r="L14" s="14"/>
      <c r="M14" s="15"/>
      <c r="N14" s="15"/>
      <c r="O14" s="19"/>
      <c r="P14" s="5"/>
    </row>
    <row r="15" spans="1:21">
      <c r="A15" s="1371"/>
      <c r="B15" s="1372"/>
      <c r="C15" s="1372"/>
      <c r="D15" s="83"/>
      <c r="E15" s="83"/>
      <c r="F15" s="98"/>
      <c r="G15" s="229"/>
      <c r="H15" s="9"/>
      <c r="I15" s="8"/>
      <c r="J15" s="33"/>
      <c r="K15" s="32"/>
      <c r="L15" s="14"/>
      <c r="M15" s="15"/>
      <c r="N15" s="15"/>
      <c r="O15" s="19"/>
      <c r="P15" s="5"/>
      <c r="Q15" s="5"/>
      <c r="R15" s="5"/>
      <c r="S15" s="5"/>
      <c r="T15" s="5"/>
      <c r="U15" s="5"/>
    </row>
    <row r="16" spans="1:21">
      <c r="A16" s="1371"/>
      <c r="B16" s="1372"/>
      <c r="C16" s="1372"/>
      <c r="D16" s="85" t="s">
        <v>37</v>
      </c>
      <c r="E16" s="50"/>
      <c r="F16" s="49"/>
      <c r="G16" s="230">
        <f>SUM(G11:G15)</f>
        <v>10181</v>
      </c>
      <c r="H16" s="9"/>
      <c r="I16" s="34"/>
      <c r="J16" s="34"/>
      <c r="K16" s="35"/>
      <c r="L16" s="36"/>
      <c r="M16" s="7"/>
      <c r="N16" s="7"/>
      <c r="O16" s="19"/>
      <c r="P16" s="5"/>
      <c r="Q16" s="5"/>
      <c r="R16" s="5"/>
      <c r="S16" s="5"/>
      <c r="T16" s="5"/>
      <c r="U16" s="5"/>
    </row>
    <row r="17" spans="1:21" ht="4.5" customHeight="1">
      <c r="A17" s="226"/>
      <c r="B17" s="4"/>
      <c r="C17" s="6"/>
      <c r="D17" s="4"/>
      <c r="E17" s="4"/>
      <c r="F17" s="4"/>
      <c r="G17" s="227"/>
      <c r="H17" s="9"/>
      <c r="I17" s="34"/>
      <c r="J17" s="34"/>
      <c r="K17" s="35"/>
      <c r="L17" s="36"/>
      <c r="M17" s="7"/>
      <c r="N17" s="7"/>
      <c r="O17" s="19"/>
      <c r="P17" s="5"/>
      <c r="Q17" s="5"/>
      <c r="R17" s="5"/>
      <c r="S17" s="5"/>
      <c r="T17" s="5"/>
      <c r="U17" s="5"/>
    </row>
    <row r="18" spans="1:21" ht="22.5" customHeight="1">
      <c r="A18" s="1354" t="s">
        <v>70</v>
      </c>
      <c r="B18" s="1355"/>
      <c r="C18" s="1355"/>
      <c r="D18" s="1355"/>
      <c r="E18" s="1355"/>
      <c r="F18" s="1355"/>
      <c r="G18" s="1356"/>
      <c r="H18" s="9"/>
    </row>
    <row r="19" spans="1:21" ht="4.5" customHeight="1">
      <c r="A19" s="226"/>
      <c r="B19" s="4"/>
      <c r="C19" s="6"/>
      <c r="D19" s="4"/>
      <c r="E19" s="4"/>
      <c r="F19" s="38"/>
      <c r="G19" s="227"/>
      <c r="H19" s="9"/>
      <c r="I19" s="34"/>
      <c r="J19" s="34"/>
      <c r="K19" s="35"/>
      <c r="L19" s="39"/>
      <c r="M19" s="7"/>
      <c r="N19" s="7"/>
      <c r="O19" s="8"/>
      <c r="P19" s="5"/>
      <c r="Q19" s="5"/>
      <c r="R19" s="5"/>
      <c r="S19" s="5"/>
      <c r="T19" s="5"/>
      <c r="U19" s="5"/>
    </row>
    <row r="20" spans="1:21">
      <c r="A20" s="1373" t="s">
        <v>17</v>
      </c>
      <c r="B20" s="1374"/>
      <c r="C20" s="1374"/>
      <c r="D20" s="353" t="s">
        <v>3</v>
      </c>
      <c r="E20" s="353" t="s">
        <v>4</v>
      </c>
      <c r="F20" s="353" t="s">
        <v>25</v>
      </c>
      <c r="G20" s="228" t="s">
        <v>21</v>
      </c>
      <c r="H20" s="27"/>
      <c r="I20" s="34"/>
      <c r="J20" s="34"/>
      <c r="K20" s="35"/>
      <c r="L20" s="39"/>
      <c r="M20" s="7"/>
      <c r="N20" s="7"/>
      <c r="O20" s="8"/>
      <c r="P20" s="5"/>
      <c r="Q20" s="5"/>
      <c r="R20" s="5"/>
      <c r="S20" s="5"/>
      <c r="T20" s="5"/>
      <c r="U20" s="5"/>
    </row>
    <row r="21" spans="1:21" ht="31.5" customHeight="1">
      <c r="A21" s="1441" t="s">
        <v>258</v>
      </c>
      <c r="B21" s="1442"/>
      <c r="C21" s="1443"/>
      <c r="D21" s="118" t="s">
        <v>2</v>
      </c>
      <c r="E21" s="119">
        <f>0.8*2*0.8+0.6*2*0.8</f>
        <v>2.2400000000000002</v>
      </c>
      <c r="F21" s="87"/>
      <c r="G21" s="231"/>
      <c r="H21" s="9"/>
      <c r="I21" s="34"/>
      <c r="J21" s="34"/>
      <c r="K21" s="35"/>
      <c r="L21" s="36"/>
      <c r="M21" s="7"/>
      <c r="N21" s="7"/>
      <c r="O21" s="19"/>
      <c r="P21" s="5"/>
      <c r="Q21" s="5"/>
      <c r="R21" s="5"/>
      <c r="S21" s="5"/>
      <c r="T21" s="5"/>
      <c r="U21" s="5"/>
    </row>
    <row r="22" spans="1:21" ht="27.75" customHeight="1">
      <c r="A22" s="1444" t="s">
        <v>259</v>
      </c>
      <c r="B22" s="1403"/>
      <c r="C22" s="1404"/>
      <c r="D22" s="116" t="s">
        <v>119</v>
      </c>
      <c r="E22" s="117">
        <f>1/(0.08*0.26)*E21</f>
        <v>107.69</v>
      </c>
      <c r="F22" s="91">
        <v>1000</v>
      </c>
      <c r="G22" s="67">
        <f>+F22*E22</f>
        <v>107690</v>
      </c>
      <c r="H22" s="9"/>
      <c r="I22" s="10"/>
      <c r="J22" s="10"/>
      <c r="K22" s="12"/>
      <c r="L22" s="39"/>
      <c r="M22" s="7"/>
      <c r="N22" s="7"/>
      <c r="O22" s="15"/>
      <c r="P22" s="5"/>
      <c r="Q22" s="5"/>
      <c r="R22" s="5"/>
      <c r="S22" s="5"/>
      <c r="T22" s="5"/>
      <c r="U22" s="5"/>
    </row>
    <row r="23" spans="1:21">
      <c r="A23" s="1386" t="s">
        <v>260</v>
      </c>
      <c r="B23" s="1353"/>
      <c r="C23" s="1353"/>
      <c r="D23" s="79" t="s">
        <v>44</v>
      </c>
      <c r="E23" s="82">
        <f>E22*(0.08*0.02+0.26*0.02)*0.26</f>
        <v>0.19</v>
      </c>
      <c r="F23" s="83">
        <f>'MORTERO DE PEGA'!G43</f>
        <v>334386</v>
      </c>
      <c r="G23" s="67">
        <f>+F23*E23</f>
        <v>63533</v>
      </c>
      <c r="H23" s="9"/>
      <c r="I23" s="10"/>
      <c r="J23" s="10"/>
      <c r="K23" s="12"/>
      <c r="L23" s="39"/>
      <c r="M23" s="7"/>
      <c r="N23" s="7"/>
      <c r="O23" s="15"/>
      <c r="P23" s="5"/>
      <c r="Q23" s="5"/>
      <c r="R23" s="5"/>
      <c r="S23" s="5"/>
      <c r="T23" s="5"/>
      <c r="U23" s="5"/>
    </row>
    <row r="24" spans="1:21" ht="27" customHeight="1">
      <c r="A24" s="1377" t="s">
        <v>338</v>
      </c>
      <c r="B24" s="1378"/>
      <c r="C24" s="1378"/>
      <c r="D24" s="509" t="s">
        <v>44</v>
      </c>
      <c r="E24" s="510">
        <f>0.8*0.8*0.08*2</f>
        <v>0.10199999999999999</v>
      </c>
      <c r="F24" s="87">
        <f>'CONC 3000 PSI'!G43</f>
        <v>360849</v>
      </c>
      <c r="G24" s="67">
        <f>+F24*E24</f>
        <v>36807</v>
      </c>
      <c r="H24" s="9"/>
      <c r="I24" s="10"/>
      <c r="J24" s="40"/>
      <c r="K24" s="12"/>
      <c r="L24" s="13"/>
      <c r="M24" s="14"/>
      <c r="N24" s="14"/>
      <c r="O24" s="15"/>
      <c r="P24" s="5"/>
      <c r="Q24" s="5"/>
      <c r="R24" s="5"/>
      <c r="S24" s="5"/>
      <c r="T24" s="5"/>
      <c r="U24" s="5"/>
    </row>
    <row r="25" spans="1:21">
      <c r="A25" s="1352"/>
      <c r="B25" s="1353"/>
      <c r="C25" s="1353"/>
      <c r="D25" s="81"/>
      <c r="E25" s="82"/>
      <c r="F25" s="78"/>
      <c r="G25" s="67"/>
      <c r="H25" s="9"/>
      <c r="I25" s="10"/>
      <c r="J25" s="11"/>
      <c r="K25" s="12"/>
      <c r="L25" s="13"/>
      <c r="M25" s="14"/>
      <c r="N25" s="14"/>
      <c r="O25" s="15"/>
      <c r="P25" s="5"/>
      <c r="Q25" s="5"/>
      <c r="R25" s="5"/>
      <c r="S25" s="5"/>
      <c r="T25" s="5"/>
      <c r="U25" s="5"/>
    </row>
    <row r="26" spans="1:21">
      <c r="A26" s="1352" t="s">
        <v>263</v>
      </c>
      <c r="B26" s="1353"/>
      <c r="C26" s="1353"/>
      <c r="D26" s="79" t="s">
        <v>72</v>
      </c>
      <c r="E26" s="82">
        <f>E21*0.02</f>
        <v>0.04</v>
      </c>
      <c r="F26" s="78">
        <f>F23</f>
        <v>334386</v>
      </c>
      <c r="G26" s="67">
        <f>+F26*E26</f>
        <v>13375</v>
      </c>
      <c r="H26" s="9"/>
      <c r="I26" s="10"/>
      <c r="J26" s="11"/>
      <c r="K26" s="12"/>
      <c r="L26" s="13"/>
      <c r="M26" s="14"/>
      <c r="N26" s="14"/>
      <c r="O26" s="15"/>
      <c r="P26" s="5"/>
      <c r="Q26" s="5"/>
      <c r="R26" s="5"/>
      <c r="S26" s="5"/>
      <c r="T26" s="5"/>
      <c r="U26" s="5"/>
    </row>
    <row r="27" spans="1:21">
      <c r="A27" s="1352"/>
      <c r="B27" s="1353"/>
      <c r="C27" s="1353"/>
      <c r="D27" s="79"/>
      <c r="E27" s="82"/>
      <c r="F27" s="78"/>
      <c r="G27" s="231"/>
      <c r="H27" s="9"/>
      <c r="I27" s="10"/>
      <c r="J27" s="11"/>
      <c r="K27" s="12"/>
      <c r="L27" s="13"/>
      <c r="M27" s="14"/>
      <c r="N27" s="14"/>
      <c r="O27" s="15"/>
      <c r="P27" s="5"/>
      <c r="Q27" s="5"/>
      <c r="R27" s="5"/>
      <c r="S27" s="5"/>
      <c r="T27" s="5"/>
      <c r="U27" s="5"/>
    </row>
    <row r="28" spans="1:21">
      <c r="A28" s="1352"/>
      <c r="B28" s="1353"/>
      <c r="C28" s="1353"/>
      <c r="D28" s="79"/>
      <c r="E28" s="82"/>
      <c r="F28" s="83"/>
      <c r="G28" s="231"/>
      <c r="H28" s="9"/>
      <c r="I28" s="41"/>
      <c r="J28" s="41"/>
      <c r="K28" s="12"/>
      <c r="L28" s="13"/>
      <c r="M28" s="14"/>
      <c r="N28" s="14"/>
      <c r="O28" s="15"/>
      <c r="P28" s="5"/>
      <c r="Q28" s="5"/>
      <c r="R28" s="5"/>
      <c r="S28" s="5"/>
      <c r="T28" s="5"/>
      <c r="U28" s="5"/>
    </row>
    <row r="29" spans="1:21">
      <c r="A29" s="1352"/>
      <c r="B29" s="1353"/>
      <c r="C29" s="1353"/>
      <c r="D29" s="84"/>
      <c r="E29" s="84"/>
      <c r="F29" s="83"/>
      <c r="G29" s="231"/>
      <c r="H29" s="9"/>
      <c r="I29" s="42"/>
      <c r="J29" s="42"/>
      <c r="K29" s="42"/>
      <c r="L29" s="13"/>
      <c r="M29" s="14"/>
      <c r="N29" s="14"/>
      <c r="O29" s="15"/>
      <c r="P29" s="5"/>
      <c r="Q29" s="5"/>
      <c r="R29" s="5"/>
      <c r="S29" s="5"/>
      <c r="T29" s="5"/>
      <c r="U29" s="5"/>
    </row>
    <row r="30" spans="1:21">
      <c r="A30" s="1352"/>
      <c r="B30" s="1353"/>
      <c r="C30" s="1353"/>
      <c r="D30" s="85" t="s">
        <v>28</v>
      </c>
      <c r="E30" s="50"/>
      <c r="F30" s="49"/>
      <c r="G30" s="230">
        <f>SUM(G21:G29)</f>
        <v>221405</v>
      </c>
      <c r="H30" s="9"/>
      <c r="I30" s="8"/>
      <c r="J30" s="13"/>
      <c r="K30" s="8"/>
      <c r="L30" s="13"/>
      <c r="M30" s="14"/>
      <c r="N30" s="14"/>
      <c r="O30" s="15"/>
      <c r="P30" s="5"/>
    </row>
    <row r="31" spans="1:21" ht="3.75" customHeight="1">
      <c r="A31" s="226"/>
      <c r="B31" s="4"/>
      <c r="C31" s="6"/>
      <c r="D31" s="4"/>
      <c r="E31" s="4"/>
      <c r="F31" s="4"/>
      <c r="G31" s="227"/>
      <c r="H31" s="9"/>
      <c r="I31" s="8"/>
      <c r="J31" s="13"/>
      <c r="K31" s="18"/>
      <c r="L31" s="13"/>
      <c r="M31" s="33"/>
      <c r="N31" s="33"/>
      <c r="O31" s="15"/>
      <c r="P31" s="5"/>
    </row>
    <row r="32" spans="1:21" ht="22.5" customHeight="1">
      <c r="A32" s="1354" t="s">
        <v>71</v>
      </c>
      <c r="B32" s="1355"/>
      <c r="C32" s="1355"/>
      <c r="D32" s="1355"/>
      <c r="E32" s="1355"/>
      <c r="F32" s="1355"/>
      <c r="G32" s="1356"/>
      <c r="H32" s="9"/>
    </row>
    <row r="33" spans="1:16" ht="3.75" customHeight="1">
      <c r="A33" s="226"/>
      <c r="B33" s="4"/>
      <c r="C33" s="6"/>
      <c r="D33" s="4"/>
      <c r="E33" s="4"/>
      <c r="F33" s="4"/>
      <c r="G33" s="227"/>
      <c r="H33" s="9"/>
      <c r="I33" s="8"/>
      <c r="J33" s="13"/>
      <c r="K33" s="8"/>
      <c r="L33" s="8"/>
      <c r="M33" s="8"/>
      <c r="N33" s="8"/>
      <c r="O33" s="15"/>
      <c r="P33" s="5"/>
    </row>
    <row r="34" spans="1:16">
      <c r="A34" s="232" t="s">
        <v>5</v>
      </c>
      <c r="B34" s="60" t="s">
        <v>29</v>
      </c>
      <c r="C34" s="60" t="s">
        <v>30</v>
      </c>
      <c r="D34" s="60" t="s">
        <v>31</v>
      </c>
      <c r="E34" s="60" t="s">
        <v>32</v>
      </c>
      <c r="F34" s="60" t="s">
        <v>20</v>
      </c>
      <c r="G34" s="228" t="s">
        <v>33</v>
      </c>
      <c r="H34" s="27"/>
      <c r="I34" s="8"/>
      <c r="J34" s="13"/>
      <c r="K34" s="8"/>
      <c r="L34" s="8"/>
      <c r="M34" s="8"/>
      <c r="N34" s="8"/>
      <c r="O34" s="15"/>
      <c r="P34" s="5"/>
    </row>
    <row r="35" spans="1:16">
      <c r="A35" s="233" t="s">
        <v>41</v>
      </c>
      <c r="B35" s="63">
        <f>BOF</f>
        <v>51749</v>
      </c>
      <c r="C35" s="68">
        <f>ffpp</f>
        <v>0.64539999999999997</v>
      </c>
      <c r="D35" s="72">
        <v>1</v>
      </c>
      <c r="E35" s="66">
        <f>OF</f>
        <v>88696</v>
      </c>
      <c r="F35" s="65">
        <v>3</v>
      </c>
      <c r="G35" s="231">
        <f>ROUND(+D35*E35/F35,0)</f>
        <v>29565</v>
      </c>
      <c r="H35" s="9"/>
      <c r="I35" s="16"/>
      <c r="J35" s="13"/>
      <c r="K35" s="8"/>
      <c r="L35" s="8"/>
      <c r="M35" s="8"/>
      <c r="N35" s="8"/>
      <c r="O35" s="15"/>
      <c r="P35" s="5"/>
    </row>
    <row r="36" spans="1:16">
      <c r="A36" s="233" t="s">
        <v>38</v>
      </c>
      <c r="B36" s="63">
        <f>BOB</f>
        <v>41749</v>
      </c>
      <c r="C36" s="68">
        <f>ffpp</f>
        <v>0.64539999999999997</v>
      </c>
      <c r="D36" s="72">
        <v>3</v>
      </c>
      <c r="E36" s="66">
        <f>OB</f>
        <v>72242</v>
      </c>
      <c r="F36" s="65">
        <f>F35</f>
        <v>3</v>
      </c>
      <c r="G36" s="231">
        <f>ROUND(+D36*E36/F36,0)</f>
        <v>72242</v>
      </c>
      <c r="H36" s="9"/>
      <c r="I36" s="8"/>
      <c r="J36" s="8"/>
      <c r="K36" s="13"/>
      <c r="L36" s="13"/>
      <c r="M36" s="13"/>
      <c r="N36" s="13"/>
      <c r="O36" s="13"/>
      <c r="P36" s="5"/>
    </row>
    <row r="37" spans="1:16">
      <c r="A37" s="234"/>
      <c r="B37" s="50"/>
      <c r="C37" s="961"/>
      <c r="D37" s="50"/>
      <c r="E37" s="66"/>
      <c r="F37" s="65"/>
      <c r="G37" s="231"/>
      <c r="H37" s="9"/>
      <c r="I37" s="8"/>
      <c r="J37" s="13"/>
      <c r="K37" s="13"/>
      <c r="L37" s="13"/>
      <c r="M37" s="33"/>
      <c r="N37" s="33"/>
      <c r="O37" s="43"/>
      <c r="P37" s="5"/>
    </row>
    <row r="38" spans="1:16">
      <c r="A38" s="233"/>
      <c r="B38" s="65"/>
      <c r="C38" s="68"/>
      <c r="D38" s="65"/>
      <c r="E38" s="69"/>
      <c r="F38" s="69"/>
      <c r="G38" s="236"/>
      <c r="H38" s="9"/>
      <c r="I38" s="8"/>
      <c r="J38" s="13"/>
      <c r="K38" s="13"/>
      <c r="L38" s="13"/>
      <c r="M38" s="33"/>
      <c r="N38" s="33"/>
      <c r="O38" s="43"/>
      <c r="P38" s="5"/>
    </row>
    <row r="39" spans="1:16">
      <c r="A39" s="249"/>
      <c r="B39" s="71"/>
      <c r="C39" s="71"/>
      <c r="D39" s="71" t="s">
        <v>34</v>
      </c>
      <c r="E39" s="71"/>
      <c r="F39" s="71"/>
      <c r="G39" s="250">
        <f>SUM(G35:G38)</f>
        <v>101807</v>
      </c>
      <c r="H39" s="9"/>
      <c r="I39" s="8"/>
      <c r="J39" s="13"/>
      <c r="K39" s="13"/>
      <c r="L39" s="13"/>
      <c r="M39" s="14"/>
      <c r="N39" s="14"/>
      <c r="O39" s="15"/>
      <c r="P39" s="5"/>
    </row>
    <row r="40" spans="1:16">
      <c r="A40" s="226"/>
      <c r="B40" s="4"/>
      <c r="C40" s="6"/>
      <c r="D40" s="4"/>
      <c r="E40" s="4"/>
      <c r="F40" s="4"/>
      <c r="G40" s="227"/>
      <c r="H40" s="9"/>
      <c r="I40" s="8"/>
      <c r="J40" s="13"/>
      <c r="K40" s="13"/>
      <c r="L40" s="13"/>
      <c r="M40" s="14"/>
      <c r="N40" s="14"/>
      <c r="O40" s="19"/>
      <c r="P40" s="5"/>
    </row>
    <row r="41" spans="1:16">
      <c r="A41" s="226"/>
      <c r="B41" s="4"/>
      <c r="C41" s="6"/>
      <c r="D41" s="4"/>
      <c r="E41" s="4"/>
      <c r="F41" s="4"/>
      <c r="G41" s="227"/>
      <c r="H41" s="9"/>
      <c r="I41" s="8"/>
      <c r="J41" s="13"/>
      <c r="K41" s="13"/>
      <c r="L41" s="13"/>
      <c r="M41" s="17"/>
      <c r="N41" s="17"/>
      <c r="O41" s="37"/>
      <c r="P41" s="5"/>
    </row>
    <row r="42" spans="1:16" ht="14.25">
      <c r="A42" s="226"/>
      <c r="B42" s="4"/>
      <c r="C42" s="6"/>
      <c r="D42" s="1357" t="s">
        <v>35</v>
      </c>
      <c r="E42" s="1358"/>
      <c r="F42" s="1359"/>
      <c r="G42" s="239">
        <f>+G39+G30+G16</f>
        <v>333393</v>
      </c>
      <c r="H42" s="9"/>
      <c r="I42" s="48"/>
      <c r="J42" s="20"/>
      <c r="K42" s="8"/>
      <c r="L42" s="8"/>
      <c r="M42" s="8"/>
      <c r="N42" s="8"/>
      <c r="O42" s="8"/>
      <c r="P42" s="5"/>
    </row>
    <row r="43" spans="1:16" ht="14.25">
      <c r="A43" s="240"/>
      <c r="B43" s="57"/>
      <c r="C43" s="58"/>
      <c r="D43" s="99"/>
      <c r="E43" s="99"/>
      <c r="F43" s="99"/>
      <c r="G43" s="251"/>
      <c r="H43" s="9"/>
      <c r="I43" s="48"/>
      <c r="J43" s="20"/>
      <c r="K43" s="8"/>
      <c r="L43" s="8"/>
      <c r="M43" s="8"/>
      <c r="N43" s="8"/>
      <c r="O43" s="8"/>
      <c r="P43" s="5"/>
    </row>
    <row r="44" spans="1:16" ht="14.25">
      <c r="A44" s="374"/>
      <c r="B44" s="375"/>
      <c r="C44" s="375"/>
      <c r="D44" s="99"/>
      <c r="E44" s="99"/>
      <c r="F44" s="99"/>
      <c r="G44" s="251"/>
      <c r="H44" s="9"/>
      <c r="I44" s="48"/>
      <c r="J44" s="20"/>
      <c r="K44" s="8"/>
      <c r="L44" s="8"/>
      <c r="M44" s="8"/>
      <c r="N44" s="8"/>
      <c r="O44" s="8"/>
      <c r="P44" s="5"/>
    </row>
    <row r="45" spans="1:16" ht="14.25">
      <c r="A45" s="373"/>
      <c r="B45" s="376"/>
      <c r="C45" s="376"/>
      <c r="D45" s="99"/>
      <c r="E45" s="99"/>
      <c r="F45" s="99"/>
      <c r="G45" s="251"/>
      <c r="H45" s="9"/>
      <c r="I45" s="48"/>
      <c r="J45" s="20"/>
      <c r="K45" s="8"/>
      <c r="L45" s="8"/>
      <c r="M45" s="8"/>
      <c r="N45" s="8"/>
      <c r="O45" s="8"/>
      <c r="P45" s="5"/>
    </row>
    <row r="46" spans="1:16" ht="14.25">
      <c r="A46" s="373"/>
      <c r="B46" s="376"/>
      <c r="C46" s="376"/>
      <c r="D46" s="44"/>
      <c r="E46" s="45"/>
      <c r="F46" s="45"/>
      <c r="G46" s="251"/>
      <c r="H46" s="9"/>
      <c r="I46" s="8"/>
      <c r="J46" s="13"/>
      <c r="K46" s="8"/>
      <c r="L46" s="8"/>
      <c r="M46" s="8"/>
      <c r="N46" s="8"/>
      <c r="O46" s="8"/>
      <c r="P46" s="5"/>
    </row>
    <row r="47" spans="1:16" ht="15" thickBot="1">
      <c r="A47" s="242"/>
      <c r="B47" s="243"/>
      <c r="C47" s="244"/>
      <c r="D47" s="245"/>
      <c r="E47" s="246"/>
      <c r="F47" s="246"/>
      <c r="G47" s="247"/>
      <c r="H47" s="9"/>
      <c r="I47" s="8"/>
      <c r="J47" s="13"/>
      <c r="K47" s="8"/>
      <c r="L47" s="8"/>
      <c r="M47" s="8"/>
      <c r="N47" s="8"/>
      <c r="O47" s="8"/>
      <c r="P47" s="5"/>
    </row>
    <row r="48" spans="1:16">
      <c r="I48" s="5"/>
      <c r="J48" s="5"/>
      <c r="K48" s="5"/>
      <c r="L48" s="5"/>
      <c r="M48" s="5"/>
      <c r="N48" s="5"/>
      <c r="O48" s="5"/>
      <c r="P48" s="5"/>
    </row>
    <row r="49" spans="9:16">
      <c r="I49" s="5"/>
      <c r="J49" s="5"/>
      <c r="K49" s="5"/>
      <c r="L49" s="5"/>
      <c r="M49" s="5"/>
      <c r="N49" s="5"/>
      <c r="O49" s="5"/>
      <c r="P49" s="5"/>
    </row>
  </sheetData>
  <mergeCells count="26">
    <mergeCell ref="A10:C10"/>
    <mergeCell ref="A1:G1"/>
    <mergeCell ref="A2:G2"/>
    <mergeCell ref="A3:G4"/>
    <mergeCell ref="B6:E6"/>
    <mergeCell ref="A8:G8"/>
    <mergeCell ref="A24:C24"/>
    <mergeCell ref="A11:C11"/>
    <mergeCell ref="A12:C12"/>
    <mergeCell ref="A13:C13"/>
    <mergeCell ref="A14:C14"/>
    <mergeCell ref="A15:C15"/>
    <mergeCell ref="A16:C16"/>
    <mergeCell ref="A18:G18"/>
    <mergeCell ref="A20:C20"/>
    <mergeCell ref="A21:C21"/>
    <mergeCell ref="A22:C22"/>
    <mergeCell ref="A23:C23"/>
    <mergeCell ref="A32:G32"/>
    <mergeCell ref="D42:F42"/>
    <mergeCell ref="A25:C25"/>
    <mergeCell ref="A26:C26"/>
    <mergeCell ref="A27:C27"/>
    <mergeCell ref="A28:C28"/>
    <mergeCell ref="A29:C29"/>
    <mergeCell ref="A30:C30"/>
  </mergeCells>
  <printOptions horizontalCentered="1" verticalCentered="1"/>
  <pageMargins left="0.74803149606299213" right="0.74803149606299213" top="0" bottom="0.98425196850393704" header="0" footer="0"/>
  <pageSetup scale="90" orientation="portrait" r:id="rId1"/>
  <headerFooter alignWithMargins="0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02"/>
  <dimension ref="A1:U49"/>
  <sheetViews>
    <sheetView view="pageBreakPreview" topLeftCell="A9" zoomScaleNormal="100" zoomScaleSheetLayoutView="100" workbookViewId="0">
      <selection activeCell="I7" sqref="I7"/>
    </sheetView>
  </sheetViews>
  <sheetFormatPr baseColWidth="10" defaultColWidth="10.7109375" defaultRowHeight="12.75"/>
  <cols>
    <col min="1" max="1" width="15.85546875" style="3" customWidth="1"/>
    <col min="2" max="2" width="14.85546875" style="3" customWidth="1"/>
    <col min="3" max="3" width="13.28515625" style="3" customWidth="1"/>
    <col min="4" max="4" width="11.42578125" style="3"/>
    <col min="5" max="5" width="13.42578125" style="3" customWidth="1"/>
    <col min="6" max="6" width="12.7109375" style="3" customWidth="1"/>
    <col min="7" max="7" width="14" style="3" customWidth="1"/>
    <col min="8" max="8" width="7.42578125" style="3" customWidth="1"/>
    <col min="9" max="256" width="11.42578125" style="3"/>
    <col min="257" max="257" width="15.85546875" style="3" customWidth="1"/>
    <col min="258" max="258" width="14.85546875" style="3" customWidth="1"/>
    <col min="259" max="259" width="13.28515625" style="3" customWidth="1"/>
    <col min="260" max="260" width="11.42578125" style="3"/>
    <col min="261" max="261" width="13.42578125" style="3" customWidth="1"/>
    <col min="262" max="262" width="12.7109375" style="3" customWidth="1"/>
    <col min="263" max="263" width="14" style="3" customWidth="1"/>
    <col min="264" max="264" width="7.42578125" style="3" customWidth="1"/>
    <col min="265" max="512" width="11.42578125" style="3"/>
    <col min="513" max="513" width="15.85546875" style="3" customWidth="1"/>
    <col min="514" max="514" width="14.85546875" style="3" customWidth="1"/>
    <col min="515" max="515" width="13.28515625" style="3" customWidth="1"/>
    <col min="516" max="516" width="11.42578125" style="3"/>
    <col min="517" max="517" width="13.42578125" style="3" customWidth="1"/>
    <col min="518" max="518" width="12.7109375" style="3" customWidth="1"/>
    <col min="519" max="519" width="14" style="3" customWidth="1"/>
    <col min="520" max="520" width="7.42578125" style="3" customWidth="1"/>
    <col min="521" max="768" width="11.42578125" style="3"/>
    <col min="769" max="769" width="15.85546875" style="3" customWidth="1"/>
    <col min="770" max="770" width="14.85546875" style="3" customWidth="1"/>
    <col min="771" max="771" width="13.28515625" style="3" customWidth="1"/>
    <col min="772" max="772" width="11.42578125" style="3"/>
    <col min="773" max="773" width="13.42578125" style="3" customWidth="1"/>
    <col min="774" max="774" width="12.7109375" style="3" customWidth="1"/>
    <col min="775" max="775" width="14" style="3" customWidth="1"/>
    <col min="776" max="776" width="7.42578125" style="3" customWidth="1"/>
    <col min="777" max="1024" width="11.42578125" style="3"/>
    <col min="1025" max="1025" width="15.85546875" style="3" customWidth="1"/>
    <col min="1026" max="1026" width="14.85546875" style="3" customWidth="1"/>
    <col min="1027" max="1027" width="13.28515625" style="3" customWidth="1"/>
    <col min="1028" max="1028" width="11.42578125" style="3"/>
    <col min="1029" max="1029" width="13.42578125" style="3" customWidth="1"/>
    <col min="1030" max="1030" width="12.7109375" style="3" customWidth="1"/>
    <col min="1031" max="1031" width="14" style="3" customWidth="1"/>
    <col min="1032" max="1032" width="7.42578125" style="3" customWidth="1"/>
    <col min="1033" max="1280" width="11.42578125" style="3"/>
    <col min="1281" max="1281" width="15.85546875" style="3" customWidth="1"/>
    <col min="1282" max="1282" width="14.85546875" style="3" customWidth="1"/>
    <col min="1283" max="1283" width="13.28515625" style="3" customWidth="1"/>
    <col min="1284" max="1284" width="11.42578125" style="3"/>
    <col min="1285" max="1285" width="13.42578125" style="3" customWidth="1"/>
    <col min="1286" max="1286" width="12.7109375" style="3" customWidth="1"/>
    <col min="1287" max="1287" width="14" style="3" customWidth="1"/>
    <col min="1288" max="1288" width="7.42578125" style="3" customWidth="1"/>
    <col min="1289" max="1536" width="11.42578125" style="3"/>
    <col min="1537" max="1537" width="15.85546875" style="3" customWidth="1"/>
    <col min="1538" max="1538" width="14.85546875" style="3" customWidth="1"/>
    <col min="1539" max="1539" width="13.28515625" style="3" customWidth="1"/>
    <col min="1540" max="1540" width="11.42578125" style="3"/>
    <col min="1541" max="1541" width="13.42578125" style="3" customWidth="1"/>
    <col min="1542" max="1542" width="12.7109375" style="3" customWidth="1"/>
    <col min="1543" max="1543" width="14" style="3" customWidth="1"/>
    <col min="1544" max="1544" width="7.42578125" style="3" customWidth="1"/>
    <col min="1545" max="1792" width="11.42578125" style="3"/>
    <col min="1793" max="1793" width="15.85546875" style="3" customWidth="1"/>
    <col min="1794" max="1794" width="14.85546875" style="3" customWidth="1"/>
    <col min="1795" max="1795" width="13.28515625" style="3" customWidth="1"/>
    <col min="1796" max="1796" width="11.42578125" style="3"/>
    <col min="1797" max="1797" width="13.42578125" style="3" customWidth="1"/>
    <col min="1798" max="1798" width="12.7109375" style="3" customWidth="1"/>
    <col min="1799" max="1799" width="14" style="3" customWidth="1"/>
    <col min="1800" max="1800" width="7.42578125" style="3" customWidth="1"/>
    <col min="1801" max="2048" width="11.42578125" style="3"/>
    <col min="2049" max="2049" width="15.85546875" style="3" customWidth="1"/>
    <col min="2050" max="2050" width="14.85546875" style="3" customWidth="1"/>
    <col min="2051" max="2051" width="13.28515625" style="3" customWidth="1"/>
    <col min="2052" max="2052" width="11.42578125" style="3"/>
    <col min="2053" max="2053" width="13.42578125" style="3" customWidth="1"/>
    <col min="2054" max="2054" width="12.7109375" style="3" customWidth="1"/>
    <col min="2055" max="2055" width="14" style="3" customWidth="1"/>
    <col min="2056" max="2056" width="7.42578125" style="3" customWidth="1"/>
    <col min="2057" max="2304" width="11.42578125" style="3"/>
    <col min="2305" max="2305" width="15.85546875" style="3" customWidth="1"/>
    <col min="2306" max="2306" width="14.85546875" style="3" customWidth="1"/>
    <col min="2307" max="2307" width="13.28515625" style="3" customWidth="1"/>
    <col min="2308" max="2308" width="11.42578125" style="3"/>
    <col min="2309" max="2309" width="13.42578125" style="3" customWidth="1"/>
    <col min="2310" max="2310" width="12.7109375" style="3" customWidth="1"/>
    <col min="2311" max="2311" width="14" style="3" customWidth="1"/>
    <col min="2312" max="2312" width="7.42578125" style="3" customWidth="1"/>
    <col min="2313" max="2560" width="11.42578125" style="3"/>
    <col min="2561" max="2561" width="15.85546875" style="3" customWidth="1"/>
    <col min="2562" max="2562" width="14.85546875" style="3" customWidth="1"/>
    <col min="2563" max="2563" width="13.28515625" style="3" customWidth="1"/>
    <col min="2564" max="2564" width="11.42578125" style="3"/>
    <col min="2565" max="2565" width="13.42578125" style="3" customWidth="1"/>
    <col min="2566" max="2566" width="12.7109375" style="3" customWidth="1"/>
    <col min="2567" max="2567" width="14" style="3" customWidth="1"/>
    <col min="2568" max="2568" width="7.42578125" style="3" customWidth="1"/>
    <col min="2569" max="2816" width="11.42578125" style="3"/>
    <col min="2817" max="2817" width="15.85546875" style="3" customWidth="1"/>
    <col min="2818" max="2818" width="14.85546875" style="3" customWidth="1"/>
    <col min="2819" max="2819" width="13.28515625" style="3" customWidth="1"/>
    <col min="2820" max="2820" width="11.42578125" style="3"/>
    <col min="2821" max="2821" width="13.42578125" style="3" customWidth="1"/>
    <col min="2822" max="2822" width="12.7109375" style="3" customWidth="1"/>
    <col min="2823" max="2823" width="14" style="3" customWidth="1"/>
    <col min="2824" max="2824" width="7.42578125" style="3" customWidth="1"/>
    <col min="2825" max="3072" width="11.42578125" style="3"/>
    <col min="3073" max="3073" width="15.85546875" style="3" customWidth="1"/>
    <col min="3074" max="3074" width="14.85546875" style="3" customWidth="1"/>
    <col min="3075" max="3075" width="13.28515625" style="3" customWidth="1"/>
    <col min="3076" max="3076" width="11.42578125" style="3"/>
    <col min="3077" max="3077" width="13.42578125" style="3" customWidth="1"/>
    <col min="3078" max="3078" width="12.7109375" style="3" customWidth="1"/>
    <col min="3079" max="3079" width="14" style="3" customWidth="1"/>
    <col min="3080" max="3080" width="7.42578125" style="3" customWidth="1"/>
    <col min="3081" max="3328" width="11.42578125" style="3"/>
    <col min="3329" max="3329" width="15.85546875" style="3" customWidth="1"/>
    <col min="3330" max="3330" width="14.85546875" style="3" customWidth="1"/>
    <col min="3331" max="3331" width="13.28515625" style="3" customWidth="1"/>
    <col min="3332" max="3332" width="11.42578125" style="3"/>
    <col min="3333" max="3333" width="13.42578125" style="3" customWidth="1"/>
    <col min="3334" max="3334" width="12.7109375" style="3" customWidth="1"/>
    <col min="3335" max="3335" width="14" style="3" customWidth="1"/>
    <col min="3336" max="3336" width="7.42578125" style="3" customWidth="1"/>
    <col min="3337" max="3584" width="11.42578125" style="3"/>
    <col min="3585" max="3585" width="15.85546875" style="3" customWidth="1"/>
    <col min="3586" max="3586" width="14.85546875" style="3" customWidth="1"/>
    <col min="3587" max="3587" width="13.28515625" style="3" customWidth="1"/>
    <col min="3588" max="3588" width="11.42578125" style="3"/>
    <col min="3589" max="3589" width="13.42578125" style="3" customWidth="1"/>
    <col min="3590" max="3590" width="12.7109375" style="3" customWidth="1"/>
    <col min="3591" max="3591" width="14" style="3" customWidth="1"/>
    <col min="3592" max="3592" width="7.42578125" style="3" customWidth="1"/>
    <col min="3593" max="3840" width="11.42578125" style="3"/>
    <col min="3841" max="3841" width="15.85546875" style="3" customWidth="1"/>
    <col min="3842" max="3842" width="14.85546875" style="3" customWidth="1"/>
    <col min="3843" max="3843" width="13.28515625" style="3" customWidth="1"/>
    <col min="3844" max="3844" width="11.42578125" style="3"/>
    <col min="3845" max="3845" width="13.42578125" style="3" customWidth="1"/>
    <col min="3846" max="3846" width="12.7109375" style="3" customWidth="1"/>
    <col min="3847" max="3847" width="14" style="3" customWidth="1"/>
    <col min="3848" max="3848" width="7.42578125" style="3" customWidth="1"/>
    <col min="3849" max="4096" width="11.42578125" style="3"/>
    <col min="4097" max="4097" width="15.85546875" style="3" customWidth="1"/>
    <col min="4098" max="4098" width="14.85546875" style="3" customWidth="1"/>
    <col min="4099" max="4099" width="13.28515625" style="3" customWidth="1"/>
    <col min="4100" max="4100" width="11.42578125" style="3"/>
    <col min="4101" max="4101" width="13.42578125" style="3" customWidth="1"/>
    <col min="4102" max="4102" width="12.7109375" style="3" customWidth="1"/>
    <col min="4103" max="4103" width="14" style="3" customWidth="1"/>
    <col min="4104" max="4104" width="7.42578125" style="3" customWidth="1"/>
    <col min="4105" max="4352" width="11.42578125" style="3"/>
    <col min="4353" max="4353" width="15.85546875" style="3" customWidth="1"/>
    <col min="4354" max="4354" width="14.85546875" style="3" customWidth="1"/>
    <col min="4355" max="4355" width="13.28515625" style="3" customWidth="1"/>
    <col min="4356" max="4356" width="11.42578125" style="3"/>
    <col min="4357" max="4357" width="13.42578125" style="3" customWidth="1"/>
    <col min="4358" max="4358" width="12.7109375" style="3" customWidth="1"/>
    <col min="4359" max="4359" width="14" style="3" customWidth="1"/>
    <col min="4360" max="4360" width="7.42578125" style="3" customWidth="1"/>
    <col min="4361" max="4608" width="11.42578125" style="3"/>
    <col min="4609" max="4609" width="15.85546875" style="3" customWidth="1"/>
    <col min="4610" max="4610" width="14.85546875" style="3" customWidth="1"/>
    <col min="4611" max="4611" width="13.28515625" style="3" customWidth="1"/>
    <col min="4612" max="4612" width="11.42578125" style="3"/>
    <col min="4613" max="4613" width="13.42578125" style="3" customWidth="1"/>
    <col min="4614" max="4614" width="12.7109375" style="3" customWidth="1"/>
    <col min="4615" max="4615" width="14" style="3" customWidth="1"/>
    <col min="4616" max="4616" width="7.42578125" style="3" customWidth="1"/>
    <col min="4617" max="4864" width="11.42578125" style="3"/>
    <col min="4865" max="4865" width="15.85546875" style="3" customWidth="1"/>
    <col min="4866" max="4866" width="14.85546875" style="3" customWidth="1"/>
    <col min="4867" max="4867" width="13.28515625" style="3" customWidth="1"/>
    <col min="4868" max="4868" width="11.42578125" style="3"/>
    <col min="4869" max="4869" width="13.42578125" style="3" customWidth="1"/>
    <col min="4870" max="4870" width="12.7109375" style="3" customWidth="1"/>
    <col min="4871" max="4871" width="14" style="3" customWidth="1"/>
    <col min="4872" max="4872" width="7.42578125" style="3" customWidth="1"/>
    <col min="4873" max="5120" width="11.42578125" style="3"/>
    <col min="5121" max="5121" width="15.85546875" style="3" customWidth="1"/>
    <col min="5122" max="5122" width="14.85546875" style="3" customWidth="1"/>
    <col min="5123" max="5123" width="13.28515625" style="3" customWidth="1"/>
    <col min="5124" max="5124" width="11.42578125" style="3"/>
    <col min="5125" max="5125" width="13.42578125" style="3" customWidth="1"/>
    <col min="5126" max="5126" width="12.7109375" style="3" customWidth="1"/>
    <col min="5127" max="5127" width="14" style="3" customWidth="1"/>
    <col min="5128" max="5128" width="7.42578125" style="3" customWidth="1"/>
    <col min="5129" max="5376" width="11.42578125" style="3"/>
    <col min="5377" max="5377" width="15.85546875" style="3" customWidth="1"/>
    <col min="5378" max="5378" width="14.85546875" style="3" customWidth="1"/>
    <col min="5379" max="5379" width="13.28515625" style="3" customWidth="1"/>
    <col min="5380" max="5380" width="11.42578125" style="3"/>
    <col min="5381" max="5381" width="13.42578125" style="3" customWidth="1"/>
    <col min="5382" max="5382" width="12.7109375" style="3" customWidth="1"/>
    <col min="5383" max="5383" width="14" style="3" customWidth="1"/>
    <col min="5384" max="5384" width="7.42578125" style="3" customWidth="1"/>
    <col min="5385" max="5632" width="11.42578125" style="3"/>
    <col min="5633" max="5633" width="15.85546875" style="3" customWidth="1"/>
    <col min="5634" max="5634" width="14.85546875" style="3" customWidth="1"/>
    <col min="5635" max="5635" width="13.28515625" style="3" customWidth="1"/>
    <col min="5636" max="5636" width="11.42578125" style="3"/>
    <col min="5637" max="5637" width="13.42578125" style="3" customWidth="1"/>
    <col min="5638" max="5638" width="12.7109375" style="3" customWidth="1"/>
    <col min="5639" max="5639" width="14" style="3" customWidth="1"/>
    <col min="5640" max="5640" width="7.42578125" style="3" customWidth="1"/>
    <col min="5641" max="5888" width="11.42578125" style="3"/>
    <col min="5889" max="5889" width="15.85546875" style="3" customWidth="1"/>
    <col min="5890" max="5890" width="14.85546875" style="3" customWidth="1"/>
    <col min="5891" max="5891" width="13.28515625" style="3" customWidth="1"/>
    <col min="5892" max="5892" width="11.42578125" style="3"/>
    <col min="5893" max="5893" width="13.42578125" style="3" customWidth="1"/>
    <col min="5894" max="5894" width="12.7109375" style="3" customWidth="1"/>
    <col min="5895" max="5895" width="14" style="3" customWidth="1"/>
    <col min="5896" max="5896" width="7.42578125" style="3" customWidth="1"/>
    <col min="5897" max="6144" width="11.42578125" style="3"/>
    <col min="6145" max="6145" width="15.85546875" style="3" customWidth="1"/>
    <col min="6146" max="6146" width="14.85546875" style="3" customWidth="1"/>
    <col min="6147" max="6147" width="13.28515625" style="3" customWidth="1"/>
    <col min="6148" max="6148" width="11.42578125" style="3"/>
    <col min="6149" max="6149" width="13.42578125" style="3" customWidth="1"/>
    <col min="6150" max="6150" width="12.7109375" style="3" customWidth="1"/>
    <col min="6151" max="6151" width="14" style="3" customWidth="1"/>
    <col min="6152" max="6152" width="7.42578125" style="3" customWidth="1"/>
    <col min="6153" max="6400" width="11.42578125" style="3"/>
    <col min="6401" max="6401" width="15.85546875" style="3" customWidth="1"/>
    <col min="6402" max="6402" width="14.85546875" style="3" customWidth="1"/>
    <col min="6403" max="6403" width="13.28515625" style="3" customWidth="1"/>
    <col min="6404" max="6404" width="11.42578125" style="3"/>
    <col min="6405" max="6405" width="13.42578125" style="3" customWidth="1"/>
    <col min="6406" max="6406" width="12.7109375" style="3" customWidth="1"/>
    <col min="6407" max="6407" width="14" style="3" customWidth="1"/>
    <col min="6408" max="6408" width="7.42578125" style="3" customWidth="1"/>
    <col min="6409" max="6656" width="11.42578125" style="3"/>
    <col min="6657" max="6657" width="15.85546875" style="3" customWidth="1"/>
    <col min="6658" max="6658" width="14.85546875" style="3" customWidth="1"/>
    <col min="6659" max="6659" width="13.28515625" style="3" customWidth="1"/>
    <col min="6660" max="6660" width="11.42578125" style="3"/>
    <col min="6661" max="6661" width="13.42578125" style="3" customWidth="1"/>
    <col min="6662" max="6662" width="12.7109375" style="3" customWidth="1"/>
    <col min="6663" max="6663" width="14" style="3" customWidth="1"/>
    <col min="6664" max="6664" width="7.42578125" style="3" customWidth="1"/>
    <col min="6665" max="6912" width="11.42578125" style="3"/>
    <col min="6913" max="6913" width="15.85546875" style="3" customWidth="1"/>
    <col min="6914" max="6914" width="14.85546875" style="3" customWidth="1"/>
    <col min="6915" max="6915" width="13.28515625" style="3" customWidth="1"/>
    <col min="6916" max="6916" width="11.42578125" style="3"/>
    <col min="6917" max="6917" width="13.42578125" style="3" customWidth="1"/>
    <col min="6918" max="6918" width="12.7109375" style="3" customWidth="1"/>
    <col min="6919" max="6919" width="14" style="3" customWidth="1"/>
    <col min="6920" max="6920" width="7.42578125" style="3" customWidth="1"/>
    <col min="6921" max="7168" width="11.42578125" style="3"/>
    <col min="7169" max="7169" width="15.85546875" style="3" customWidth="1"/>
    <col min="7170" max="7170" width="14.85546875" style="3" customWidth="1"/>
    <col min="7171" max="7171" width="13.28515625" style="3" customWidth="1"/>
    <col min="7172" max="7172" width="11.42578125" style="3"/>
    <col min="7173" max="7173" width="13.42578125" style="3" customWidth="1"/>
    <col min="7174" max="7174" width="12.7109375" style="3" customWidth="1"/>
    <col min="7175" max="7175" width="14" style="3" customWidth="1"/>
    <col min="7176" max="7176" width="7.42578125" style="3" customWidth="1"/>
    <col min="7177" max="7424" width="11.42578125" style="3"/>
    <col min="7425" max="7425" width="15.85546875" style="3" customWidth="1"/>
    <col min="7426" max="7426" width="14.85546875" style="3" customWidth="1"/>
    <col min="7427" max="7427" width="13.28515625" style="3" customWidth="1"/>
    <col min="7428" max="7428" width="11.42578125" style="3"/>
    <col min="7429" max="7429" width="13.42578125" style="3" customWidth="1"/>
    <col min="7430" max="7430" width="12.7109375" style="3" customWidth="1"/>
    <col min="7431" max="7431" width="14" style="3" customWidth="1"/>
    <col min="7432" max="7432" width="7.42578125" style="3" customWidth="1"/>
    <col min="7433" max="7680" width="11.42578125" style="3"/>
    <col min="7681" max="7681" width="15.85546875" style="3" customWidth="1"/>
    <col min="7682" max="7682" width="14.85546875" style="3" customWidth="1"/>
    <col min="7683" max="7683" width="13.28515625" style="3" customWidth="1"/>
    <col min="7684" max="7684" width="11.42578125" style="3"/>
    <col min="7685" max="7685" width="13.42578125" style="3" customWidth="1"/>
    <col min="7686" max="7686" width="12.7109375" style="3" customWidth="1"/>
    <col min="7687" max="7687" width="14" style="3" customWidth="1"/>
    <col min="7688" max="7688" width="7.42578125" style="3" customWidth="1"/>
    <col min="7689" max="7936" width="11.42578125" style="3"/>
    <col min="7937" max="7937" width="15.85546875" style="3" customWidth="1"/>
    <col min="7938" max="7938" width="14.85546875" style="3" customWidth="1"/>
    <col min="7939" max="7939" width="13.28515625" style="3" customWidth="1"/>
    <col min="7940" max="7940" width="11.42578125" style="3"/>
    <col min="7941" max="7941" width="13.42578125" style="3" customWidth="1"/>
    <col min="7942" max="7942" width="12.7109375" style="3" customWidth="1"/>
    <col min="7943" max="7943" width="14" style="3" customWidth="1"/>
    <col min="7944" max="7944" width="7.42578125" style="3" customWidth="1"/>
    <col min="7945" max="8192" width="11.42578125" style="3"/>
    <col min="8193" max="8193" width="15.85546875" style="3" customWidth="1"/>
    <col min="8194" max="8194" width="14.85546875" style="3" customWidth="1"/>
    <col min="8195" max="8195" width="13.28515625" style="3" customWidth="1"/>
    <col min="8196" max="8196" width="11.42578125" style="3"/>
    <col min="8197" max="8197" width="13.42578125" style="3" customWidth="1"/>
    <col min="8198" max="8198" width="12.7109375" style="3" customWidth="1"/>
    <col min="8199" max="8199" width="14" style="3" customWidth="1"/>
    <col min="8200" max="8200" width="7.42578125" style="3" customWidth="1"/>
    <col min="8201" max="8448" width="11.42578125" style="3"/>
    <col min="8449" max="8449" width="15.85546875" style="3" customWidth="1"/>
    <col min="8450" max="8450" width="14.85546875" style="3" customWidth="1"/>
    <col min="8451" max="8451" width="13.28515625" style="3" customWidth="1"/>
    <col min="8452" max="8452" width="11.42578125" style="3"/>
    <col min="8453" max="8453" width="13.42578125" style="3" customWidth="1"/>
    <col min="8454" max="8454" width="12.7109375" style="3" customWidth="1"/>
    <col min="8455" max="8455" width="14" style="3" customWidth="1"/>
    <col min="8456" max="8456" width="7.42578125" style="3" customWidth="1"/>
    <col min="8457" max="8704" width="11.42578125" style="3"/>
    <col min="8705" max="8705" width="15.85546875" style="3" customWidth="1"/>
    <col min="8706" max="8706" width="14.85546875" style="3" customWidth="1"/>
    <col min="8707" max="8707" width="13.28515625" style="3" customWidth="1"/>
    <col min="8708" max="8708" width="11.42578125" style="3"/>
    <col min="8709" max="8709" width="13.42578125" style="3" customWidth="1"/>
    <col min="8710" max="8710" width="12.7109375" style="3" customWidth="1"/>
    <col min="8711" max="8711" width="14" style="3" customWidth="1"/>
    <col min="8712" max="8712" width="7.42578125" style="3" customWidth="1"/>
    <col min="8713" max="8960" width="11.42578125" style="3"/>
    <col min="8961" max="8961" width="15.85546875" style="3" customWidth="1"/>
    <col min="8962" max="8962" width="14.85546875" style="3" customWidth="1"/>
    <col min="8963" max="8963" width="13.28515625" style="3" customWidth="1"/>
    <col min="8964" max="8964" width="11.42578125" style="3"/>
    <col min="8965" max="8965" width="13.42578125" style="3" customWidth="1"/>
    <col min="8966" max="8966" width="12.7109375" style="3" customWidth="1"/>
    <col min="8967" max="8967" width="14" style="3" customWidth="1"/>
    <col min="8968" max="8968" width="7.42578125" style="3" customWidth="1"/>
    <col min="8969" max="9216" width="11.42578125" style="3"/>
    <col min="9217" max="9217" width="15.85546875" style="3" customWidth="1"/>
    <col min="9218" max="9218" width="14.85546875" style="3" customWidth="1"/>
    <col min="9219" max="9219" width="13.28515625" style="3" customWidth="1"/>
    <col min="9220" max="9220" width="11.42578125" style="3"/>
    <col min="9221" max="9221" width="13.42578125" style="3" customWidth="1"/>
    <col min="9222" max="9222" width="12.7109375" style="3" customWidth="1"/>
    <col min="9223" max="9223" width="14" style="3" customWidth="1"/>
    <col min="9224" max="9224" width="7.42578125" style="3" customWidth="1"/>
    <col min="9225" max="9472" width="11.42578125" style="3"/>
    <col min="9473" max="9473" width="15.85546875" style="3" customWidth="1"/>
    <col min="9474" max="9474" width="14.85546875" style="3" customWidth="1"/>
    <col min="9475" max="9475" width="13.28515625" style="3" customWidth="1"/>
    <col min="9476" max="9476" width="11.42578125" style="3"/>
    <col min="9477" max="9477" width="13.42578125" style="3" customWidth="1"/>
    <col min="9478" max="9478" width="12.7109375" style="3" customWidth="1"/>
    <col min="9479" max="9479" width="14" style="3" customWidth="1"/>
    <col min="9480" max="9480" width="7.42578125" style="3" customWidth="1"/>
    <col min="9481" max="9728" width="11.42578125" style="3"/>
    <col min="9729" max="9729" width="15.85546875" style="3" customWidth="1"/>
    <col min="9730" max="9730" width="14.85546875" style="3" customWidth="1"/>
    <col min="9731" max="9731" width="13.28515625" style="3" customWidth="1"/>
    <col min="9732" max="9732" width="11.42578125" style="3"/>
    <col min="9733" max="9733" width="13.42578125" style="3" customWidth="1"/>
    <col min="9734" max="9734" width="12.7109375" style="3" customWidth="1"/>
    <col min="9735" max="9735" width="14" style="3" customWidth="1"/>
    <col min="9736" max="9736" width="7.42578125" style="3" customWidth="1"/>
    <col min="9737" max="9984" width="11.42578125" style="3"/>
    <col min="9985" max="9985" width="15.85546875" style="3" customWidth="1"/>
    <col min="9986" max="9986" width="14.85546875" style="3" customWidth="1"/>
    <col min="9987" max="9987" width="13.28515625" style="3" customWidth="1"/>
    <col min="9988" max="9988" width="11.42578125" style="3"/>
    <col min="9989" max="9989" width="13.42578125" style="3" customWidth="1"/>
    <col min="9990" max="9990" width="12.7109375" style="3" customWidth="1"/>
    <col min="9991" max="9991" width="14" style="3" customWidth="1"/>
    <col min="9992" max="9992" width="7.42578125" style="3" customWidth="1"/>
    <col min="9993" max="10240" width="11.42578125" style="3"/>
    <col min="10241" max="10241" width="15.85546875" style="3" customWidth="1"/>
    <col min="10242" max="10242" width="14.85546875" style="3" customWidth="1"/>
    <col min="10243" max="10243" width="13.28515625" style="3" customWidth="1"/>
    <col min="10244" max="10244" width="11.42578125" style="3"/>
    <col min="10245" max="10245" width="13.42578125" style="3" customWidth="1"/>
    <col min="10246" max="10246" width="12.7109375" style="3" customWidth="1"/>
    <col min="10247" max="10247" width="14" style="3" customWidth="1"/>
    <col min="10248" max="10248" width="7.42578125" style="3" customWidth="1"/>
    <col min="10249" max="10496" width="11.42578125" style="3"/>
    <col min="10497" max="10497" width="15.85546875" style="3" customWidth="1"/>
    <col min="10498" max="10498" width="14.85546875" style="3" customWidth="1"/>
    <col min="10499" max="10499" width="13.28515625" style="3" customWidth="1"/>
    <col min="10500" max="10500" width="11.42578125" style="3"/>
    <col min="10501" max="10501" width="13.42578125" style="3" customWidth="1"/>
    <col min="10502" max="10502" width="12.7109375" style="3" customWidth="1"/>
    <col min="10503" max="10503" width="14" style="3" customWidth="1"/>
    <col min="10504" max="10504" width="7.42578125" style="3" customWidth="1"/>
    <col min="10505" max="10752" width="11.42578125" style="3"/>
    <col min="10753" max="10753" width="15.85546875" style="3" customWidth="1"/>
    <col min="10754" max="10754" width="14.85546875" style="3" customWidth="1"/>
    <col min="10755" max="10755" width="13.28515625" style="3" customWidth="1"/>
    <col min="10756" max="10756" width="11.42578125" style="3"/>
    <col min="10757" max="10757" width="13.42578125" style="3" customWidth="1"/>
    <col min="10758" max="10758" width="12.7109375" style="3" customWidth="1"/>
    <col min="10759" max="10759" width="14" style="3" customWidth="1"/>
    <col min="10760" max="10760" width="7.42578125" style="3" customWidth="1"/>
    <col min="10761" max="11008" width="11.42578125" style="3"/>
    <col min="11009" max="11009" width="15.85546875" style="3" customWidth="1"/>
    <col min="11010" max="11010" width="14.85546875" style="3" customWidth="1"/>
    <col min="11011" max="11011" width="13.28515625" style="3" customWidth="1"/>
    <col min="11012" max="11012" width="11.42578125" style="3"/>
    <col min="11013" max="11013" width="13.42578125" style="3" customWidth="1"/>
    <col min="11014" max="11014" width="12.7109375" style="3" customWidth="1"/>
    <col min="11015" max="11015" width="14" style="3" customWidth="1"/>
    <col min="11016" max="11016" width="7.42578125" style="3" customWidth="1"/>
    <col min="11017" max="11264" width="11.42578125" style="3"/>
    <col min="11265" max="11265" width="15.85546875" style="3" customWidth="1"/>
    <col min="11266" max="11266" width="14.85546875" style="3" customWidth="1"/>
    <col min="11267" max="11267" width="13.28515625" style="3" customWidth="1"/>
    <col min="11268" max="11268" width="11.42578125" style="3"/>
    <col min="11269" max="11269" width="13.42578125" style="3" customWidth="1"/>
    <col min="11270" max="11270" width="12.7109375" style="3" customWidth="1"/>
    <col min="11271" max="11271" width="14" style="3" customWidth="1"/>
    <col min="11272" max="11272" width="7.42578125" style="3" customWidth="1"/>
    <col min="11273" max="11520" width="11.42578125" style="3"/>
    <col min="11521" max="11521" width="15.85546875" style="3" customWidth="1"/>
    <col min="11522" max="11522" width="14.85546875" style="3" customWidth="1"/>
    <col min="11523" max="11523" width="13.28515625" style="3" customWidth="1"/>
    <col min="11524" max="11524" width="11.42578125" style="3"/>
    <col min="11525" max="11525" width="13.42578125" style="3" customWidth="1"/>
    <col min="11526" max="11526" width="12.7109375" style="3" customWidth="1"/>
    <col min="11527" max="11527" width="14" style="3" customWidth="1"/>
    <col min="11528" max="11528" width="7.42578125" style="3" customWidth="1"/>
    <col min="11529" max="11776" width="11.42578125" style="3"/>
    <col min="11777" max="11777" width="15.85546875" style="3" customWidth="1"/>
    <col min="11778" max="11778" width="14.85546875" style="3" customWidth="1"/>
    <col min="11779" max="11779" width="13.28515625" style="3" customWidth="1"/>
    <col min="11780" max="11780" width="11.42578125" style="3"/>
    <col min="11781" max="11781" width="13.42578125" style="3" customWidth="1"/>
    <col min="11782" max="11782" width="12.7109375" style="3" customWidth="1"/>
    <col min="11783" max="11783" width="14" style="3" customWidth="1"/>
    <col min="11784" max="11784" width="7.42578125" style="3" customWidth="1"/>
    <col min="11785" max="12032" width="11.42578125" style="3"/>
    <col min="12033" max="12033" width="15.85546875" style="3" customWidth="1"/>
    <col min="12034" max="12034" width="14.85546875" style="3" customWidth="1"/>
    <col min="12035" max="12035" width="13.28515625" style="3" customWidth="1"/>
    <col min="12036" max="12036" width="11.42578125" style="3"/>
    <col min="12037" max="12037" width="13.42578125" style="3" customWidth="1"/>
    <col min="12038" max="12038" width="12.7109375" style="3" customWidth="1"/>
    <col min="12039" max="12039" width="14" style="3" customWidth="1"/>
    <col min="12040" max="12040" width="7.42578125" style="3" customWidth="1"/>
    <col min="12041" max="12288" width="11.42578125" style="3"/>
    <col min="12289" max="12289" width="15.85546875" style="3" customWidth="1"/>
    <col min="12290" max="12290" width="14.85546875" style="3" customWidth="1"/>
    <col min="12291" max="12291" width="13.28515625" style="3" customWidth="1"/>
    <col min="12292" max="12292" width="11.42578125" style="3"/>
    <col min="12293" max="12293" width="13.42578125" style="3" customWidth="1"/>
    <col min="12294" max="12294" width="12.7109375" style="3" customWidth="1"/>
    <col min="12295" max="12295" width="14" style="3" customWidth="1"/>
    <col min="12296" max="12296" width="7.42578125" style="3" customWidth="1"/>
    <col min="12297" max="12544" width="11.42578125" style="3"/>
    <col min="12545" max="12545" width="15.85546875" style="3" customWidth="1"/>
    <col min="12546" max="12546" width="14.85546875" style="3" customWidth="1"/>
    <col min="12547" max="12547" width="13.28515625" style="3" customWidth="1"/>
    <col min="12548" max="12548" width="11.42578125" style="3"/>
    <col min="12549" max="12549" width="13.42578125" style="3" customWidth="1"/>
    <col min="12550" max="12550" width="12.7109375" style="3" customWidth="1"/>
    <col min="12551" max="12551" width="14" style="3" customWidth="1"/>
    <col min="12552" max="12552" width="7.42578125" style="3" customWidth="1"/>
    <col min="12553" max="12800" width="11.42578125" style="3"/>
    <col min="12801" max="12801" width="15.85546875" style="3" customWidth="1"/>
    <col min="12802" max="12802" width="14.85546875" style="3" customWidth="1"/>
    <col min="12803" max="12803" width="13.28515625" style="3" customWidth="1"/>
    <col min="12804" max="12804" width="11.42578125" style="3"/>
    <col min="12805" max="12805" width="13.42578125" style="3" customWidth="1"/>
    <col min="12806" max="12806" width="12.7109375" style="3" customWidth="1"/>
    <col min="12807" max="12807" width="14" style="3" customWidth="1"/>
    <col min="12808" max="12808" width="7.42578125" style="3" customWidth="1"/>
    <col min="12809" max="13056" width="11.42578125" style="3"/>
    <col min="13057" max="13057" width="15.85546875" style="3" customWidth="1"/>
    <col min="13058" max="13058" width="14.85546875" style="3" customWidth="1"/>
    <col min="13059" max="13059" width="13.28515625" style="3" customWidth="1"/>
    <col min="13060" max="13060" width="11.42578125" style="3"/>
    <col min="13061" max="13061" width="13.42578125" style="3" customWidth="1"/>
    <col min="13062" max="13062" width="12.7109375" style="3" customWidth="1"/>
    <col min="13063" max="13063" width="14" style="3" customWidth="1"/>
    <col min="13064" max="13064" width="7.42578125" style="3" customWidth="1"/>
    <col min="13065" max="13312" width="11.42578125" style="3"/>
    <col min="13313" max="13313" width="15.85546875" style="3" customWidth="1"/>
    <col min="13314" max="13314" width="14.85546875" style="3" customWidth="1"/>
    <col min="13315" max="13315" width="13.28515625" style="3" customWidth="1"/>
    <col min="13316" max="13316" width="11.42578125" style="3"/>
    <col min="13317" max="13317" width="13.42578125" style="3" customWidth="1"/>
    <col min="13318" max="13318" width="12.7109375" style="3" customWidth="1"/>
    <col min="13319" max="13319" width="14" style="3" customWidth="1"/>
    <col min="13320" max="13320" width="7.42578125" style="3" customWidth="1"/>
    <col min="13321" max="13568" width="11.42578125" style="3"/>
    <col min="13569" max="13569" width="15.85546875" style="3" customWidth="1"/>
    <col min="13570" max="13570" width="14.85546875" style="3" customWidth="1"/>
    <col min="13571" max="13571" width="13.28515625" style="3" customWidth="1"/>
    <col min="13572" max="13572" width="11.42578125" style="3"/>
    <col min="13573" max="13573" width="13.42578125" style="3" customWidth="1"/>
    <col min="13574" max="13574" width="12.7109375" style="3" customWidth="1"/>
    <col min="13575" max="13575" width="14" style="3" customWidth="1"/>
    <col min="13576" max="13576" width="7.42578125" style="3" customWidth="1"/>
    <col min="13577" max="13824" width="11.42578125" style="3"/>
    <col min="13825" max="13825" width="15.85546875" style="3" customWidth="1"/>
    <col min="13826" max="13826" width="14.85546875" style="3" customWidth="1"/>
    <col min="13827" max="13827" width="13.28515625" style="3" customWidth="1"/>
    <col min="13828" max="13828" width="11.42578125" style="3"/>
    <col min="13829" max="13829" width="13.42578125" style="3" customWidth="1"/>
    <col min="13830" max="13830" width="12.7109375" style="3" customWidth="1"/>
    <col min="13831" max="13831" width="14" style="3" customWidth="1"/>
    <col min="13832" max="13832" width="7.42578125" style="3" customWidth="1"/>
    <col min="13833" max="14080" width="11.42578125" style="3"/>
    <col min="14081" max="14081" width="15.85546875" style="3" customWidth="1"/>
    <col min="14082" max="14082" width="14.85546875" style="3" customWidth="1"/>
    <col min="14083" max="14083" width="13.28515625" style="3" customWidth="1"/>
    <col min="14084" max="14084" width="11.42578125" style="3"/>
    <col min="14085" max="14085" width="13.42578125" style="3" customWidth="1"/>
    <col min="14086" max="14086" width="12.7109375" style="3" customWidth="1"/>
    <col min="14087" max="14087" width="14" style="3" customWidth="1"/>
    <col min="14088" max="14088" width="7.42578125" style="3" customWidth="1"/>
    <col min="14089" max="14336" width="11.42578125" style="3"/>
    <col min="14337" max="14337" width="15.85546875" style="3" customWidth="1"/>
    <col min="14338" max="14338" width="14.85546875" style="3" customWidth="1"/>
    <col min="14339" max="14339" width="13.28515625" style="3" customWidth="1"/>
    <col min="14340" max="14340" width="11.42578125" style="3"/>
    <col min="14341" max="14341" width="13.42578125" style="3" customWidth="1"/>
    <col min="14342" max="14342" width="12.7109375" style="3" customWidth="1"/>
    <col min="14343" max="14343" width="14" style="3" customWidth="1"/>
    <col min="14344" max="14344" width="7.42578125" style="3" customWidth="1"/>
    <col min="14345" max="14592" width="11.42578125" style="3"/>
    <col min="14593" max="14593" width="15.85546875" style="3" customWidth="1"/>
    <col min="14594" max="14594" width="14.85546875" style="3" customWidth="1"/>
    <col min="14595" max="14595" width="13.28515625" style="3" customWidth="1"/>
    <col min="14596" max="14596" width="11.42578125" style="3"/>
    <col min="14597" max="14597" width="13.42578125" style="3" customWidth="1"/>
    <col min="14598" max="14598" width="12.7109375" style="3" customWidth="1"/>
    <col min="14599" max="14599" width="14" style="3" customWidth="1"/>
    <col min="14600" max="14600" width="7.42578125" style="3" customWidth="1"/>
    <col min="14601" max="14848" width="11.42578125" style="3"/>
    <col min="14849" max="14849" width="15.85546875" style="3" customWidth="1"/>
    <col min="14850" max="14850" width="14.85546875" style="3" customWidth="1"/>
    <col min="14851" max="14851" width="13.28515625" style="3" customWidth="1"/>
    <col min="14852" max="14852" width="11.42578125" style="3"/>
    <col min="14853" max="14853" width="13.42578125" style="3" customWidth="1"/>
    <col min="14854" max="14854" width="12.7109375" style="3" customWidth="1"/>
    <col min="14855" max="14855" width="14" style="3" customWidth="1"/>
    <col min="14856" max="14856" width="7.42578125" style="3" customWidth="1"/>
    <col min="14857" max="15104" width="11.42578125" style="3"/>
    <col min="15105" max="15105" width="15.85546875" style="3" customWidth="1"/>
    <col min="15106" max="15106" width="14.85546875" style="3" customWidth="1"/>
    <col min="15107" max="15107" width="13.28515625" style="3" customWidth="1"/>
    <col min="15108" max="15108" width="11.42578125" style="3"/>
    <col min="15109" max="15109" width="13.42578125" style="3" customWidth="1"/>
    <col min="15110" max="15110" width="12.7109375" style="3" customWidth="1"/>
    <col min="15111" max="15111" width="14" style="3" customWidth="1"/>
    <col min="15112" max="15112" width="7.42578125" style="3" customWidth="1"/>
    <col min="15113" max="15360" width="11.42578125" style="3"/>
    <col min="15361" max="15361" width="15.85546875" style="3" customWidth="1"/>
    <col min="15362" max="15362" width="14.85546875" style="3" customWidth="1"/>
    <col min="15363" max="15363" width="13.28515625" style="3" customWidth="1"/>
    <col min="15364" max="15364" width="11.42578125" style="3"/>
    <col min="15365" max="15365" width="13.42578125" style="3" customWidth="1"/>
    <col min="15366" max="15366" width="12.7109375" style="3" customWidth="1"/>
    <col min="15367" max="15367" width="14" style="3" customWidth="1"/>
    <col min="15368" max="15368" width="7.42578125" style="3" customWidth="1"/>
    <col min="15369" max="15616" width="11.42578125" style="3"/>
    <col min="15617" max="15617" width="15.85546875" style="3" customWidth="1"/>
    <col min="15618" max="15618" width="14.85546875" style="3" customWidth="1"/>
    <col min="15619" max="15619" width="13.28515625" style="3" customWidth="1"/>
    <col min="15620" max="15620" width="11.42578125" style="3"/>
    <col min="15621" max="15621" width="13.42578125" style="3" customWidth="1"/>
    <col min="15622" max="15622" width="12.7109375" style="3" customWidth="1"/>
    <col min="15623" max="15623" width="14" style="3" customWidth="1"/>
    <col min="15624" max="15624" width="7.42578125" style="3" customWidth="1"/>
    <col min="15625" max="15872" width="11.42578125" style="3"/>
    <col min="15873" max="15873" width="15.85546875" style="3" customWidth="1"/>
    <col min="15874" max="15874" width="14.85546875" style="3" customWidth="1"/>
    <col min="15875" max="15875" width="13.28515625" style="3" customWidth="1"/>
    <col min="15876" max="15876" width="11.42578125" style="3"/>
    <col min="15877" max="15877" width="13.42578125" style="3" customWidth="1"/>
    <col min="15878" max="15878" width="12.7109375" style="3" customWidth="1"/>
    <col min="15879" max="15879" width="14" style="3" customWidth="1"/>
    <col min="15880" max="15880" width="7.42578125" style="3" customWidth="1"/>
    <col min="15881" max="16128" width="11.42578125" style="3"/>
    <col min="16129" max="16129" width="15.85546875" style="3" customWidth="1"/>
    <col min="16130" max="16130" width="14.85546875" style="3" customWidth="1"/>
    <col min="16131" max="16131" width="13.28515625" style="3" customWidth="1"/>
    <col min="16132" max="16132" width="11.42578125" style="3"/>
    <col min="16133" max="16133" width="13.42578125" style="3" customWidth="1"/>
    <col min="16134" max="16134" width="12.7109375" style="3" customWidth="1"/>
    <col min="16135" max="16135" width="14" style="3" customWidth="1"/>
    <col min="16136" max="16136" width="7.42578125" style="3" customWidth="1"/>
    <col min="16137" max="16384" width="11.42578125" style="3"/>
  </cols>
  <sheetData>
    <row r="1" spans="1:21" ht="20.25">
      <c r="A1" s="1346" t="str">
        <f>PPTO!D3</f>
        <v>PRESUPUESTO
MUNICIPIO EL BAGRE (ANTIOQUIA).</v>
      </c>
      <c r="B1" s="1347"/>
      <c r="C1" s="1347"/>
      <c r="D1" s="1347"/>
      <c r="E1" s="1347"/>
      <c r="F1" s="1347"/>
      <c r="G1" s="1348"/>
      <c r="H1" s="1"/>
      <c r="I1" s="2"/>
    </row>
    <row r="2" spans="1:21" ht="18" customHeight="1">
      <c r="A2" s="1362" t="s">
        <v>16</v>
      </c>
      <c r="B2" s="1363"/>
      <c r="C2" s="1363"/>
      <c r="D2" s="1363"/>
      <c r="E2" s="1363"/>
      <c r="F2" s="1363"/>
      <c r="G2" s="1364"/>
      <c r="H2" s="1"/>
      <c r="I2" s="2"/>
    </row>
    <row r="3" spans="1:21" ht="27" customHeight="1">
      <c r="A3" s="1367" t="str">
        <f>+PPTO!$D$5</f>
        <v>PROYECTO DE MEJORAMIENTO VIAL, ESPACIO PUBLICO Y OBRAS COMPLEMENTARIAS DE LA AVENIDA LA JUVENTUD Y TRAMOS ADYACENTES Y PRIORITARIOS DEL SECTOR URBANO EN EL MUNICIPIO EL BAGRE ANTIOQUIA.</v>
      </c>
      <c r="B3" s="1368"/>
      <c r="C3" s="1368"/>
      <c r="D3" s="1368"/>
      <c r="E3" s="1368"/>
      <c r="F3" s="1368"/>
      <c r="G3" s="1369"/>
      <c r="H3" s="1"/>
      <c r="I3" s="2"/>
    </row>
    <row r="4" spans="1:21">
      <c r="A4" s="1370"/>
      <c r="B4" s="1368"/>
      <c r="C4" s="1368"/>
      <c r="D4" s="1368"/>
      <c r="E4" s="1368"/>
      <c r="F4" s="1368"/>
      <c r="G4" s="1369"/>
      <c r="H4" s="1"/>
      <c r="I4" s="2"/>
    </row>
    <row r="5" spans="1:21" ht="6.75" customHeight="1">
      <c r="A5" s="222"/>
      <c r="B5" s="6"/>
      <c r="C5" s="24"/>
      <c r="D5" s="25"/>
      <c r="E5" s="6"/>
      <c r="F5" s="6"/>
      <c r="G5" s="223"/>
      <c r="H5" s="9"/>
    </row>
    <row r="6" spans="1:21" ht="29.25" customHeight="1">
      <c r="A6" s="368">
        <v>6.59</v>
      </c>
      <c r="B6" s="1349" t="str">
        <f>VLOOKUP(A6,PPTO!D9:I136,2,FALSE)</f>
        <v>Pozos de Inspeccion D=2.00</v>
      </c>
      <c r="C6" s="1350"/>
      <c r="D6" s="1350"/>
      <c r="E6" s="1351"/>
      <c r="F6" s="192" t="s">
        <v>118</v>
      </c>
      <c r="G6" s="248" t="str">
        <f>VLOOKUP(A6,PPTO!D9:I136,3,FALSE)</f>
        <v>m</v>
      </c>
      <c r="H6" s="9"/>
    </row>
    <row r="7" spans="1:21" ht="3.75" customHeight="1">
      <c r="A7" s="226"/>
      <c r="B7" s="4"/>
      <c r="C7" s="6"/>
      <c r="D7" s="4"/>
      <c r="E7" s="4"/>
      <c r="F7" s="4"/>
      <c r="G7" s="227"/>
      <c r="H7" s="9"/>
    </row>
    <row r="8" spans="1:21" ht="22.5" customHeight="1">
      <c r="A8" s="1354" t="s">
        <v>69</v>
      </c>
      <c r="B8" s="1355"/>
      <c r="C8" s="1355"/>
      <c r="D8" s="1355"/>
      <c r="E8" s="1355"/>
      <c r="F8" s="1355"/>
      <c r="G8" s="1356"/>
      <c r="H8" s="9"/>
    </row>
    <row r="9" spans="1:21" ht="4.5" customHeight="1">
      <c r="A9" s="226"/>
      <c r="B9" s="4"/>
      <c r="C9" s="6"/>
      <c r="D9" s="4"/>
      <c r="E9" s="4"/>
      <c r="F9" s="4"/>
      <c r="G9" s="227"/>
      <c r="H9" s="9"/>
      <c r="I9" s="5"/>
      <c r="J9" s="5"/>
      <c r="K9" s="5"/>
      <c r="L9" s="26"/>
      <c r="M9" s="5"/>
      <c r="N9" s="5"/>
      <c r="O9" s="5"/>
      <c r="P9" s="5"/>
    </row>
    <row r="10" spans="1:21">
      <c r="A10" s="1373" t="s">
        <v>17</v>
      </c>
      <c r="B10" s="1374"/>
      <c r="C10" s="1374"/>
      <c r="D10" s="752" t="s">
        <v>18</v>
      </c>
      <c r="E10" s="752" t="s">
        <v>19</v>
      </c>
      <c r="F10" s="752" t="s">
        <v>20</v>
      </c>
      <c r="G10" s="228" t="s">
        <v>21</v>
      </c>
      <c r="H10" s="27"/>
      <c r="I10" s="28"/>
      <c r="J10" s="29"/>
      <c r="K10" s="30"/>
      <c r="L10" s="30"/>
      <c r="M10" s="30"/>
      <c r="N10" s="30"/>
      <c r="O10" s="30"/>
      <c r="P10" s="5"/>
    </row>
    <row r="11" spans="1:21">
      <c r="A11" s="1352" t="s">
        <v>47</v>
      </c>
      <c r="B11" s="1353"/>
      <c r="C11" s="1353"/>
      <c r="D11" s="752"/>
      <c r="E11" s="83"/>
      <c r="F11" s="97"/>
      <c r="G11" s="229">
        <f>+G39*10%</f>
        <v>7636</v>
      </c>
      <c r="H11" s="9"/>
      <c r="I11" s="30"/>
      <c r="J11" s="31"/>
      <c r="K11" s="30"/>
      <c r="L11" s="30"/>
      <c r="M11" s="30"/>
      <c r="N11" s="30"/>
      <c r="O11" s="30"/>
      <c r="P11" s="5"/>
    </row>
    <row r="12" spans="1:21">
      <c r="A12" s="1371"/>
      <c r="B12" s="1372"/>
      <c r="C12" s="1372"/>
      <c r="D12" s="83"/>
      <c r="E12" s="83"/>
      <c r="F12" s="93"/>
      <c r="G12" s="229"/>
      <c r="H12" s="9"/>
      <c r="I12" s="16"/>
      <c r="J12" s="13"/>
      <c r="K12" s="8"/>
      <c r="L12" s="8"/>
      <c r="M12" s="8"/>
      <c r="N12" s="8"/>
      <c r="O12" s="8"/>
      <c r="P12" s="5"/>
    </row>
    <row r="13" spans="1:21">
      <c r="A13" s="1371"/>
      <c r="B13" s="1372"/>
      <c r="C13" s="1372"/>
      <c r="D13" s="83"/>
      <c r="E13" s="83"/>
      <c r="F13" s="93"/>
      <c r="G13" s="229"/>
      <c r="H13" s="9"/>
      <c r="I13" s="13"/>
      <c r="J13" s="13"/>
      <c r="K13" s="13"/>
      <c r="L13" s="13"/>
      <c r="M13" s="13"/>
      <c r="N13" s="13"/>
      <c r="O13" s="13"/>
      <c r="P13" s="5"/>
    </row>
    <row r="14" spans="1:21">
      <c r="A14" s="1371"/>
      <c r="B14" s="1372"/>
      <c r="C14" s="1372"/>
      <c r="D14" s="83"/>
      <c r="E14" s="83"/>
      <c r="F14" s="93"/>
      <c r="G14" s="229"/>
      <c r="H14" s="9"/>
      <c r="I14" s="8"/>
      <c r="J14" s="14"/>
      <c r="K14" s="32"/>
      <c r="L14" s="14"/>
      <c r="M14" s="15"/>
      <c r="N14" s="15"/>
      <c r="O14" s="19"/>
      <c r="P14" s="5"/>
    </row>
    <row r="15" spans="1:21">
      <c r="A15" s="1371"/>
      <c r="B15" s="1372"/>
      <c r="C15" s="1372"/>
      <c r="D15" s="83"/>
      <c r="E15" s="83"/>
      <c r="F15" s="98"/>
      <c r="G15" s="229"/>
      <c r="H15" s="9"/>
      <c r="I15" s="8"/>
      <c r="J15" s="33"/>
      <c r="K15" s="32"/>
      <c r="L15" s="14"/>
      <c r="M15" s="15"/>
      <c r="N15" s="15"/>
      <c r="O15" s="19"/>
      <c r="P15" s="5"/>
      <c r="Q15" s="5"/>
      <c r="R15" s="5"/>
      <c r="S15" s="5"/>
      <c r="T15" s="5"/>
      <c r="U15" s="5"/>
    </row>
    <row r="16" spans="1:21">
      <c r="A16" s="1371"/>
      <c r="B16" s="1372"/>
      <c r="C16" s="1372"/>
      <c r="D16" s="85" t="s">
        <v>37</v>
      </c>
      <c r="E16" s="50"/>
      <c r="F16" s="49"/>
      <c r="G16" s="230">
        <f>SUM(G11:G15)</f>
        <v>7636</v>
      </c>
      <c r="H16" s="9"/>
      <c r="I16" s="34"/>
      <c r="J16" s="34"/>
      <c r="K16" s="35"/>
      <c r="L16" s="36"/>
      <c r="M16" s="7"/>
      <c r="N16" s="7"/>
      <c r="O16" s="19"/>
      <c r="P16" s="5"/>
      <c r="Q16" s="5"/>
      <c r="R16" s="5"/>
      <c r="S16" s="5"/>
      <c r="T16" s="5"/>
      <c r="U16" s="5"/>
    </row>
    <row r="17" spans="1:21" ht="4.5" customHeight="1">
      <c r="A17" s="226"/>
      <c r="B17" s="4"/>
      <c r="C17" s="6"/>
      <c r="D17" s="4"/>
      <c r="E17" s="4"/>
      <c r="F17" s="4"/>
      <c r="G17" s="227"/>
      <c r="H17" s="9"/>
      <c r="I17" s="34"/>
      <c r="J17" s="34"/>
      <c r="K17" s="35"/>
      <c r="L17" s="36"/>
      <c r="M17" s="7"/>
      <c r="N17" s="7"/>
      <c r="O17" s="19"/>
      <c r="P17" s="5"/>
      <c r="Q17" s="5"/>
      <c r="R17" s="5"/>
      <c r="S17" s="5"/>
      <c r="T17" s="5"/>
      <c r="U17" s="5"/>
    </row>
    <row r="18" spans="1:21" ht="22.5" customHeight="1">
      <c r="A18" s="1354" t="s">
        <v>70</v>
      </c>
      <c r="B18" s="1355"/>
      <c r="C18" s="1355"/>
      <c r="D18" s="1355"/>
      <c r="E18" s="1355"/>
      <c r="F18" s="1355"/>
      <c r="G18" s="1356"/>
      <c r="H18" s="9"/>
    </row>
    <row r="19" spans="1:21" ht="4.5" customHeight="1">
      <c r="A19" s="226"/>
      <c r="B19" s="4"/>
      <c r="C19" s="6"/>
      <c r="D19" s="4"/>
      <c r="E19" s="4"/>
      <c r="F19" s="38"/>
      <c r="G19" s="227"/>
      <c r="H19" s="9"/>
      <c r="I19" s="34"/>
      <c r="J19" s="34"/>
      <c r="K19" s="35"/>
      <c r="L19" s="39"/>
      <c r="M19" s="7"/>
      <c r="N19" s="7"/>
      <c r="O19" s="8"/>
      <c r="P19" s="5"/>
      <c r="Q19" s="5"/>
      <c r="R19" s="5"/>
      <c r="S19" s="5"/>
      <c r="T19" s="5"/>
      <c r="U19" s="5"/>
    </row>
    <row r="20" spans="1:21">
      <c r="A20" s="1373" t="s">
        <v>17</v>
      </c>
      <c r="B20" s="1374"/>
      <c r="C20" s="1374"/>
      <c r="D20" s="752" t="s">
        <v>3</v>
      </c>
      <c r="E20" s="752" t="s">
        <v>4</v>
      </c>
      <c r="F20" s="752" t="s">
        <v>25</v>
      </c>
      <c r="G20" s="228" t="s">
        <v>21</v>
      </c>
      <c r="H20" s="27"/>
      <c r="I20" s="34"/>
      <c r="J20" s="34"/>
      <c r="K20" s="35"/>
      <c r="L20" s="39"/>
      <c r="M20" s="7"/>
      <c r="N20" s="7"/>
      <c r="O20" s="8"/>
      <c r="P20" s="5"/>
      <c r="Q20" s="5"/>
      <c r="R20" s="5"/>
      <c r="S20" s="5"/>
      <c r="T20" s="5"/>
      <c r="U20" s="5"/>
    </row>
    <row r="21" spans="1:21" ht="31.5" customHeight="1">
      <c r="A21" s="1441" t="s">
        <v>258</v>
      </c>
      <c r="B21" s="1442"/>
      <c r="C21" s="1443"/>
      <c r="D21" s="118" t="s">
        <v>2</v>
      </c>
      <c r="E21" s="119">
        <f>2*PI()*1</f>
        <v>6.28</v>
      </c>
      <c r="F21" s="87"/>
      <c r="G21" s="231"/>
      <c r="H21" s="9"/>
      <c r="I21" s="34"/>
      <c r="J21" s="34"/>
      <c r="K21" s="35"/>
      <c r="L21" s="36"/>
      <c r="M21" s="7"/>
      <c r="N21" s="7"/>
      <c r="O21" s="19"/>
      <c r="P21" s="5"/>
      <c r="Q21" s="5"/>
      <c r="R21" s="5"/>
      <c r="S21" s="5"/>
      <c r="T21" s="5"/>
      <c r="U21" s="5"/>
    </row>
    <row r="22" spans="1:21" ht="27.75" customHeight="1">
      <c r="A22" s="1444" t="s">
        <v>259</v>
      </c>
      <c r="B22" s="1403"/>
      <c r="C22" s="1404"/>
      <c r="D22" s="116" t="s">
        <v>119</v>
      </c>
      <c r="E22" s="117">
        <f>1/(0.08*0.14)*E21</f>
        <v>560.71</v>
      </c>
      <c r="F22" s="91">
        <v>1000</v>
      </c>
      <c r="G22" s="67">
        <f>+F22*E22</f>
        <v>560710</v>
      </c>
      <c r="H22" s="9"/>
      <c r="I22" s="10"/>
      <c r="J22" s="10"/>
      <c r="K22" s="12"/>
      <c r="L22" s="39"/>
      <c r="M22" s="7"/>
      <c r="N22" s="7"/>
      <c r="O22" s="15"/>
      <c r="P22" s="5"/>
      <c r="Q22" s="5"/>
      <c r="R22" s="5"/>
      <c r="S22" s="5"/>
      <c r="T22" s="5"/>
      <c r="U22" s="5"/>
    </row>
    <row r="23" spans="1:21">
      <c r="A23" s="1386" t="s">
        <v>260</v>
      </c>
      <c r="B23" s="1353"/>
      <c r="C23" s="1353"/>
      <c r="D23" s="79" t="s">
        <v>44</v>
      </c>
      <c r="E23" s="82">
        <f>E22*(0.08*0.02+0.14*0.02)*0.26</f>
        <v>0.64</v>
      </c>
      <c r="F23" s="83">
        <f>'MORTERO DE PEGA'!G43</f>
        <v>334386</v>
      </c>
      <c r="G23" s="67">
        <f>+F23*E23</f>
        <v>214007</v>
      </c>
      <c r="H23" s="9"/>
      <c r="I23" s="10"/>
      <c r="J23" s="10"/>
      <c r="K23" s="12"/>
      <c r="L23" s="39"/>
      <c r="M23" s="7"/>
      <c r="N23" s="7"/>
      <c r="O23" s="15"/>
      <c r="P23" s="5"/>
      <c r="Q23" s="5"/>
      <c r="R23" s="5"/>
      <c r="S23" s="5"/>
      <c r="T23" s="5"/>
      <c r="U23" s="5"/>
    </row>
    <row r="24" spans="1:21" ht="27" customHeight="1">
      <c r="A24" s="1377" t="s">
        <v>261</v>
      </c>
      <c r="B24" s="1378"/>
      <c r="C24" s="1378"/>
      <c r="D24" s="81" t="s">
        <v>122</v>
      </c>
      <c r="E24" s="88">
        <f>1/0.4</f>
        <v>2.5</v>
      </c>
      <c r="F24" s="78">
        <f>10780</f>
        <v>10780</v>
      </c>
      <c r="G24" s="67">
        <f>+F24*E24</f>
        <v>26950</v>
      </c>
      <c r="H24" s="9"/>
      <c r="I24" s="10"/>
      <c r="J24" s="40"/>
      <c r="K24" s="12"/>
      <c r="L24" s="13"/>
      <c r="M24" s="14"/>
      <c r="N24" s="14"/>
      <c r="O24" s="15"/>
      <c r="P24" s="5"/>
      <c r="Q24" s="5"/>
      <c r="R24" s="5"/>
      <c r="S24" s="5"/>
      <c r="T24" s="5"/>
      <c r="U24" s="5"/>
    </row>
    <row r="25" spans="1:21">
      <c r="A25" s="1352" t="s">
        <v>262</v>
      </c>
      <c r="B25" s="1353"/>
      <c r="C25" s="1353"/>
      <c r="D25" s="81" t="s">
        <v>122</v>
      </c>
      <c r="E25" s="82">
        <v>1</v>
      </c>
      <c r="F25" s="78">
        <f>61425/6*IPC</f>
        <v>10563</v>
      </c>
      <c r="G25" s="67">
        <f>+F25*E25</f>
        <v>10563</v>
      </c>
      <c r="H25" s="9"/>
      <c r="I25" s="10"/>
      <c r="J25" s="11"/>
      <c r="K25" s="12"/>
      <c r="L25" s="13"/>
      <c r="M25" s="14"/>
      <c r="N25" s="14"/>
      <c r="O25" s="15"/>
      <c r="P25" s="5"/>
      <c r="Q25" s="5"/>
      <c r="R25" s="5"/>
      <c r="S25" s="5"/>
      <c r="T25" s="5"/>
      <c r="U25" s="5"/>
    </row>
    <row r="26" spans="1:21">
      <c r="A26" s="1352" t="s">
        <v>263</v>
      </c>
      <c r="B26" s="1353"/>
      <c r="C26" s="1353"/>
      <c r="D26" s="79" t="s">
        <v>72</v>
      </c>
      <c r="E26" s="82">
        <f>E21*0.02</f>
        <v>0.13</v>
      </c>
      <c r="F26" s="78">
        <f>F23</f>
        <v>334386</v>
      </c>
      <c r="G26" s="67">
        <f>+F26*E26</f>
        <v>43470</v>
      </c>
      <c r="H26" s="9"/>
      <c r="I26" s="10"/>
      <c r="J26" s="11"/>
      <c r="K26" s="12"/>
      <c r="L26" s="13"/>
      <c r="M26" s="14"/>
      <c r="N26" s="14"/>
      <c r="O26" s="15"/>
      <c r="P26" s="5"/>
      <c r="Q26" s="5"/>
      <c r="R26" s="5"/>
      <c r="S26" s="5"/>
      <c r="T26" s="5"/>
      <c r="U26" s="5"/>
    </row>
    <row r="27" spans="1:21">
      <c r="A27" s="1352"/>
      <c r="B27" s="1353"/>
      <c r="C27" s="1353"/>
      <c r="D27" s="79"/>
      <c r="E27" s="82"/>
      <c r="F27" s="78"/>
      <c r="G27" s="231"/>
      <c r="H27" s="9"/>
      <c r="I27" s="10"/>
      <c r="J27" s="11"/>
      <c r="K27" s="12"/>
      <c r="L27" s="13"/>
      <c r="M27" s="14"/>
      <c r="N27" s="14"/>
      <c r="O27" s="15"/>
      <c r="P27" s="5"/>
      <c r="Q27" s="5"/>
      <c r="R27" s="5"/>
      <c r="S27" s="5"/>
      <c r="T27" s="5"/>
      <c r="U27" s="5"/>
    </row>
    <row r="28" spans="1:21">
      <c r="A28" s="1352"/>
      <c r="B28" s="1353"/>
      <c r="C28" s="1353"/>
      <c r="D28" s="79"/>
      <c r="E28" s="82"/>
      <c r="F28" s="83"/>
      <c r="G28" s="231"/>
      <c r="H28" s="9"/>
      <c r="I28" s="41"/>
      <c r="J28" s="41"/>
      <c r="K28" s="12"/>
      <c r="L28" s="13"/>
      <c r="M28" s="14"/>
      <c r="N28" s="14"/>
      <c r="O28" s="15"/>
      <c r="P28" s="5"/>
      <c r="Q28" s="5"/>
      <c r="R28" s="5"/>
      <c r="S28" s="5"/>
      <c r="T28" s="5"/>
      <c r="U28" s="5"/>
    </row>
    <row r="29" spans="1:21">
      <c r="A29" s="1352"/>
      <c r="B29" s="1353"/>
      <c r="C29" s="1353"/>
      <c r="D29" s="84"/>
      <c r="E29" s="84"/>
      <c r="F29" s="83"/>
      <c r="G29" s="231"/>
      <c r="H29" s="9"/>
      <c r="I29" s="42"/>
      <c r="J29" s="42"/>
      <c r="K29" s="42"/>
      <c r="L29" s="13"/>
      <c r="M29" s="14"/>
      <c r="N29" s="14"/>
      <c r="O29" s="15"/>
      <c r="P29" s="5"/>
      <c r="Q29" s="5"/>
      <c r="R29" s="5"/>
      <c r="S29" s="5"/>
      <c r="T29" s="5"/>
      <c r="U29" s="5"/>
    </row>
    <row r="30" spans="1:21">
      <c r="A30" s="1352"/>
      <c r="B30" s="1353"/>
      <c r="C30" s="1353"/>
      <c r="D30" s="85" t="s">
        <v>28</v>
      </c>
      <c r="E30" s="50"/>
      <c r="F30" s="49"/>
      <c r="G30" s="230">
        <f>SUM(G21:G29)</f>
        <v>855700</v>
      </c>
      <c r="H30" s="9"/>
      <c r="I30" s="8"/>
      <c r="J30" s="13"/>
      <c r="K30" s="8"/>
      <c r="L30" s="13"/>
      <c r="M30" s="14"/>
      <c r="N30" s="14"/>
      <c r="O30" s="15"/>
      <c r="P30" s="5"/>
    </row>
    <row r="31" spans="1:21" ht="3.75" customHeight="1">
      <c r="A31" s="226"/>
      <c r="B31" s="4"/>
      <c r="C31" s="6"/>
      <c r="D31" s="4"/>
      <c r="E31" s="4"/>
      <c r="F31" s="4"/>
      <c r="G31" s="227"/>
      <c r="H31" s="9"/>
      <c r="I31" s="8"/>
      <c r="J31" s="13"/>
      <c r="K31" s="18"/>
      <c r="L31" s="13"/>
      <c r="M31" s="33"/>
      <c r="N31" s="33"/>
      <c r="O31" s="15"/>
      <c r="P31" s="5"/>
    </row>
    <row r="32" spans="1:21" ht="22.5" customHeight="1">
      <c r="A32" s="1354" t="s">
        <v>71</v>
      </c>
      <c r="B32" s="1355"/>
      <c r="C32" s="1355"/>
      <c r="D32" s="1355"/>
      <c r="E32" s="1355"/>
      <c r="F32" s="1355"/>
      <c r="G32" s="1356"/>
      <c r="H32" s="9"/>
    </row>
    <row r="33" spans="1:16" ht="3.75" customHeight="1">
      <c r="A33" s="226"/>
      <c r="B33" s="4"/>
      <c r="C33" s="6"/>
      <c r="D33" s="4"/>
      <c r="E33" s="4"/>
      <c r="F33" s="4"/>
      <c r="G33" s="227"/>
      <c r="H33" s="9"/>
      <c r="I33" s="8"/>
      <c r="J33" s="13"/>
      <c r="K33" s="8"/>
      <c r="L33" s="8"/>
      <c r="M33" s="8"/>
      <c r="N33" s="8"/>
      <c r="O33" s="15"/>
      <c r="P33" s="5"/>
    </row>
    <row r="34" spans="1:16">
      <c r="A34" s="232" t="s">
        <v>5</v>
      </c>
      <c r="B34" s="60" t="s">
        <v>29</v>
      </c>
      <c r="C34" s="60" t="s">
        <v>30</v>
      </c>
      <c r="D34" s="60" t="s">
        <v>31</v>
      </c>
      <c r="E34" s="60" t="s">
        <v>32</v>
      </c>
      <c r="F34" s="60" t="s">
        <v>20</v>
      </c>
      <c r="G34" s="228" t="s">
        <v>33</v>
      </c>
      <c r="H34" s="27"/>
      <c r="I34" s="8"/>
      <c r="J34" s="13"/>
      <c r="K34" s="8"/>
      <c r="L34" s="8"/>
      <c r="M34" s="8"/>
      <c r="N34" s="8"/>
      <c r="O34" s="15"/>
      <c r="P34" s="5"/>
    </row>
    <row r="35" spans="1:16">
      <c r="A35" s="233" t="s">
        <v>41</v>
      </c>
      <c r="B35" s="63">
        <f>BOF</f>
        <v>51749</v>
      </c>
      <c r="C35" s="68">
        <f>ffpp</f>
        <v>0.64539999999999997</v>
      </c>
      <c r="D35" s="72">
        <v>1</v>
      </c>
      <c r="E35" s="66">
        <f>OF</f>
        <v>88696</v>
      </c>
      <c r="F35" s="65">
        <v>4</v>
      </c>
      <c r="G35" s="231">
        <f>ROUND(+D35*E35/F35,0)</f>
        <v>22174</v>
      </c>
      <c r="H35" s="9"/>
      <c r="I35" s="16"/>
      <c r="J35" s="13"/>
      <c r="K35" s="8"/>
      <c r="L35" s="8"/>
      <c r="M35" s="8"/>
      <c r="N35" s="8"/>
      <c r="O35" s="15"/>
      <c r="P35" s="5"/>
    </row>
    <row r="36" spans="1:16">
      <c r="A36" s="233" t="s">
        <v>38</v>
      </c>
      <c r="B36" s="63">
        <f>BOB</f>
        <v>41749</v>
      </c>
      <c r="C36" s="68">
        <f>ffpp</f>
        <v>0.64539999999999997</v>
      </c>
      <c r="D36" s="72">
        <v>3</v>
      </c>
      <c r="E36" s="66">
        <f>OB</f>
        <v>72242</v>
      </c>
      <c r="F36" s="65">
        <f>F35</f>
        <v>4</v>
      </c>
      <c r="G36" s="231">
        <f>ROUND(+D36*E36/F36,0)</f>
        <v>54182</v>
      </c>
      <c r="H36" s="9"/>
      <c r="I36" s="8"/>
      <c r="J36" s="8"/>
      <c r="K36" s="13"/>
      <c r="L36" s="13"/>
      <c r="M36" s="13"/>
      <c r="N36" s="13"/>
      <c r="O36" s="13"/>
      <c r="P36" s="5"/>
    </row>
    <row r="37" spans="1:16">
      <c r="A37" s="234"/>
      <c r="B37" s="50"/>
      <c r="C37" s="961"/>
      <c r="D37" s="50"/>
      <c r="E37" s="66"/>
      <c r="F37" s="65"/>
      <c r="G37" s="231"/>
      <c r="H37" s="9"/>
      <c r="I37" s="8"/>
      <c r="J37" s="13"/>
      <c r="K37" s="13"/>
      <c r="L37" s="13"/>
      <c r="M37" s="33"/>
      <c r="N37" s="33"/>
      <c r="O37" s="43"/>
      <c r="P37" s="5"/>
    </row>
    <row r="38" spans="1:16">
      <c r="A38" s="233"/>
      <c r="B38" s="65"/>
      <c r="C38" s="68"/>
      <c r="D38" s="65"/>
      <c r="E38" s="69"/>
      <c r="F38" s="69"/>
      <c r="G38" s="236"/>
      <c r="H38" s="9"/>
      <c r="I38" s="8"/>
      <c r="J38" s="13"/>
      <c r="K38" s="13"/>
      <c r="L38" s="13"/>
      <c r="M38" s="33"/>
      <c r="N38" s="33"/>
      <c r="O38" s="43"/>
      <c r="P38" s="5"/>
    </row>
    <row r="39" spans="1:16">
      <c r="A39" s="249"/>
      <c r="B39" s="71"/>
      <c r="C39" s="71"/>
      <c r="D39" s="71" t="s">
        <v>34</v>
      </c>
      <c r="E39" s="71"/>
      <c r="F39" s="71"/>
      <c r="G39" s="250">
        <f>SUM(G35:G38)</f>
        <v>76356</v>
      </c>
      <c r="H39" s="9"/>
      <c r="I39" s="8"/>
      <c r="J39" s="13"/>
      <c r="K39" s="13"/>
      <c r="L39" s="13"/>
      <c r="M39" s="14"/>
      <c r="N39" s="14"/>
      <c r="O39" s="15"/>
      <c r="P39" s="5"/>
    </row>
    <row r="40" spans="1:16">
      <c r="A40" s="226"/>
      <c r="B40" s="4"/>
      <c r="C40" s="6"/>
      <c r="D40" s="4"/>
      <c r="E40" s="4"/>
      <c r="F40" s="4"/>
      <c r="G40" s="227"/>
      <c r="H40" s="9"/>
      <c r="I40" s="8"/>
      <c r="J40" s="13"/>
      <c r="K40" s="13"/>
      <c r="L40" s="13"/>
      <c r="M40" s="14"/>
      <c r="N40" s="14"/>
      <c r="O40" s="19"/>
      <c r="P40" s="5"/>
    </row>
    <row r="41" spans="1:16">
      <c r="A41" s="226"/>
      <c r="B41" s="4"/>
      <c r="C41" s="6"/>
      <c r="D41" s="4"/>
      <c r="E41" s="4"/>
      <c r="F41" s="4"/>
      <c r="G41" s="227"/>
      <c r="H41" s="9"/>
      <c r="I41" s="8"/>
      <c r="J41" s="13"/>
      <c r="K41" s="13"/>
      <c r="L41" s="13"/>
      <c r="M41" s="17"/>
      <c r="N41" s="17"/>
      <c r="O41" s="37"/>
      <c r="P41" s="5"/>
    </row>
    <row r="42" spans="1:16" ht="14.25">
      <c r="A42" s="226"/>
      <c r="B42" s="4"/>
      <c r="C42" s="6"/>
      <c r="D42" s="1357" t="s">
        <v>35</v>
      </c>
      <c r="E42" s="1358"/>
      <c r="F42" s="1359"/>
      <c r="G42" s="239">
        <f>+G39+G30+G16</f>
        <v>939692</v>
      </c>
      <c r="H42" s="9"/>
      <c r="I42" s="48"/>
      <c r="J42" s="20"/>
      <c r="K42" s="8"/>
      <c r="L42" s="8"/>
      <c r="M42" s="8"/>
      <c r="N42" s="8"/>
      <c r="O42" s="8"/>
      <c r="P42" s="5"/>
    </row>
    <row r="43" spans="1:16" ht="14.25">
      <c r="A43" s="240"/>
      <c r="B43" s="57"/>
      <c r="C43" s="58"/>
      <c r="D43" s="99"/>
      <c r="E43" s="99"/>
      <c r="F43" s="99"/>
      <c r="G43" s="251"/>
      <c r="H43" s="9"/>
      <c r="I43" s="48"/>
      <c r="J43" s="20"/>
      <c r="K43" s="8"/>
      <c r="L43" s="8"/>
      <c r="M43" s="8"/>
      <c r="N43" s="8"/>
      <c r="O43" s="8"/>
      <c r="P43" s="5"/>
    </row>
    <row r="44" spans="1:16" ht="14.25">
      <c r="A44" s="374"/>
      <c r="B44" s="375"/>
      <c r="C44" s="375"/>
      <c r="D44" s="99"/>
      <c r="E44" s="99"/>
      <c r="F44" s="99"/>
      <c r="G44" s="251"/>
      <c r="H44" s="9"/>
      <c r="I44" s="48"/>
      <c r="J44" s="20"/>
      <c r="K44" s="8"/>
      <c r="L44" s="8"/>
      <c r="M44" s="8"/>
      <c r="N44" s="8"/>
      <c r="O44" s="8"/>
      <c r="P44" s="5"/>
    </row>
    <row r="45" spans="1:16" ht="14.25">
      <c r="A45" s="373"/>
      <c r="B45" s="376"/>
      <c r="C45" s="376"/>
      <c r="D45" s="99"/>
      <c r="E45" s="99"/>
      <c r="F45" s="99"/>
      <c r="G45" s="251"/>
      <c r="H45" s="9"/>
      <c r="I45" s="48"/>
      <c r="J45" s="20"/>
      <c r="K45" s="8"/>
      <c r="L45" s="8"/>
      <c r="M45" s="8"/>
      <c r="N45" s="8"/>
      <c r="O45" s="8"/>
      <c r="P45" s="5"/>
    </row>
    <row r="46" spans="1:16" ht="14.25">
      <c r="A46" s="373"/>
      <c r="B46" s="376"/>
      <c r="C46" s="376"/>
      <c r="D46" s="44"/>
      <c r="E46" s="45"/>
      <c r="F46" s="45"/>
      <c r="G46" s="251"/>
      <c r="H46" s="9"/>
      <c r="I46" s="8"/>
      <c r="J46" s="13"/>
      <c r="K46" s="8"/>
      <c r="L46" s="8"/>
      <c r="M46" s="8"/>
      <c r="N46" s="8"/>
      <c r="O46" s="8"/>
      <c r="P46" s="5"/>
    </row>
    <row r="47" spans="1:16" ht="15" thickBot="1">
      <c r="A47" s="242"/>
      <c r="B47" s="243"/>
      <c r="C47" s="244"/>
      <c r="D47" s="245"/>
      <c r="E47" s="246"/>
      <c r="F47" s="246"/>
      <c r="G47" s="247"/>
      <c r="H47" s="9"/>
      <c r="I47" s="8"/>
      <c r="J47" s="13"/>
      <c r="K47" s="8"/>
      <c r="L47" s="8"/>
      <c r="M47" s="8"/>
      <c r="N47" s="8"/>
      <c r="O47" s="8"/>
      <c r="P47" s="5"/>
    </row>
    <row r="48" spans="1:16">
      <c r="I48" s="5"/>
      <c r="J48" s="5"/>
      <c r="K48" s="5"/>
      <c r="L48" s="5"/>
      <c r="M48" s="5"/>
      <c r="N48" s="5"/>
      <c r="O48" s="5"/>
      <c r="P48" s="5"/>
    </row>
    <row r="49" spans="9:16">
      <c r="I49" s="5"/>
      <c r="J49" s="5"/>
      <c r="K49" s="5"/>
      <c r="L49" s="5"/>
      <c r="M49" s="5"/>
      <c r="N49" s="5"/>
      <c r="O49" s="5"/>
      <c r="P49" s="5"/>
    </row>
  </sheetData>
  <mergeCells count="26">
    <mergeCell ref="A10:C10"/>
    <mergeCell ref="A1:G1"/>
    <mergeCell ref="A2:G2"/>
    <mergeCell ref="A3:G4"/>
    <mergeCell ref="B6:E6"/>
    <mergeCell ref="A8:G8"/>
    <mergeCell ref="A24:C24"/>
    <mergeCell ref="A11:C11"/>
    <mergeCell ref="A12:C12"/>
    <mergeCell ref="A13:C13"/>
    <mergeCell ref="A14:C14"/>
    <mergeCell ref="A15:C15"/>
    <mergeCell ref="A16:C16"/>
    <mergeCell ref="A18:G18"/>
    <mergeCell ref="A20:C20"/>
    <mergeCell ref="A21:C21"/>
    <mergeCell ref="A22:C22"/>
    <mergeCell ref="A23:C23"/>
    <mergeCell ref="A32:G32"/>
    <mergeCell ref="D42:F42"/>
    <mergeCell ref="A25:C25"/>
    <mergeCell ref="A26:C26"/>
    <mergeCell ref="A27:C27"/>
    <mergeCell ref="A28:C28"/>
    <mergeCell ref="A29:C29"/>
    <mergeCell ref="A30:C30"/>
  </mergeCells>
  <printOptions horizontalCentered="1" verticalCentered="1"/>
  <pageMargins left="0.74803149606299213" right="0.74803149606299213" top="0" bottom="0.98425196850393704" header="0" footer="0"/>
  <pageSetup scale="90" orientation="portrait" r:id="rId1"/>
  <headerFooter alignWithMargins="0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03"/>
  <dimension ref="A1:U49"/>
  <sheetViews>
    <sheetView view="pageBreakPreview" topLeftCell="A9" zoomScaleNormal="100" zoomScaleSheetLayoutView="100" workbookViewId="0">
      <selection activeCell="I7" sqref="I7"/>
    </sheetView>
  </sheetViews>
  <sheetFormatPr baseColWidth="10" defaultColWidth="10.7109375" defaultRowHeight="12.75"/>
  <cols>
    <col min="1" max="1" width="15.85546875" style="3" customWidth="1"/>
    <col min="2" max="2" width="14.85546875" style="3" customWidth="1"/>
    <col min="3" max="3" width="13.28515625" style="3" customWidth="1"/>
    <col min="4" max="4" width="11.42578125" style="3"/>
    <col min="5" max="5" width="13.42578125" style="3" customWidth="1"/>
    <col min="6" max="6" width="12.7109375" style="3" customWidth="1"/>
    <col min="7" max="7" width="14" style="3" customWidth="1"/>
    <col min="8" max="8" width="7.42578125" style="3" customWidth="1"/>
    <col min="9" max="256" width="11.42578125" style="3"/>
    <col min="257" max="257" width="15.85546875" style="3" customWidth="1"/>
    <col min="258" max="258" width="14.85546875" style="3" customWidth="1"/>
    <col min="259" max="259" width="13.28515625" style="3" customWidth="1"/>
    <col min="260" max="260" width="11.42578125" style="3"/>
    <col min="261" max="261" width="13.42578125" style="3" customWidth="1"/>
    <col min="262" max="262" width="12.7109375" style="3" customWidth="1"/>
    <col min="263" max="263" width="14" style="3" customWidth="1"/>
    <col min="264" max="264" width="7.42578125" style="3" customWidth="1"/>
    <col min="265" max="512" width="11.42578125" style="3"/>
    <col min="513" max="513" width="15.85546875" style="3" customWidth="1"/>
    <col min="514" max="514" width="14.85546875" style="3" customWidth="1"/>
    <col min="515" max="515" width="13.28515625" style="3" customWidth="1"/>
    <col min="516" max="516" width="11.42578125" style="3"/>
    <col min="517" max="517" width="13.42578125" style="3" customWidth="1"/>
    <col min="518" max="518" width="12.7109375" style="3" customWidth="1"/>
    <col min="519" max="519" width="14" style="3" customWidth="1"/>
    <col min="520" max="520" width="7.42578125" style="3" customWidth="1"/>
    <col min="521" max="768" width="11.42578125" style="3"/>
    <col min="769" max="769" width="15.85546875" style="3" customWidth="1"/>
    <col min="770" max="770" width="14.85546875" style="3" customWidth="1"/>
    <col min="771" max="771" width="13.28515625" style="3" customWidth="1"/>
    <col min="772" max="772" width="11.42578125" style="3"/>
    <col min="773" max="773" width="13.42578125" style="3" customWidth="1"/>
    <col min="774" max="774" width="12.7109375" style="3" customWidth="1"/>
    <col min="775" max="775" width="14" style="3" customWidth="1"/>
    <col min="776" max="776" width="7.42578125" style="3" customWidth="1"/>
    <col min="777" max="1024" width="11.42578125" style="3"/>
    <col min="1025" max="1025" width="15.85546875" style="3" customWidth="1"/>
    <col min="1026" max="1026" width="14.85546875" style="3" customWidth="1"/>
    <col min="1027" max="1027" width="13.28515625" style="3" customWidth="1"/>
    <col min="1028" max="1028" width="11.42578125" style="3"/>
    <col min="1029" max="1029" width="13.42578125" style="3" customWidth="1"/>
    <col min="1030" max="1030" width="12.7109375" style="3" customWidth="1"/>
    <col min="1031" max="1031" width="14" style="3" customWidth="1"/>
    <col min="1032" max="1032" width="7.42578125" style="3" customWidth="1"/>
    <col min="1033" max="1280" width="11.42578125" style="3"/>
    <col min="1281" max="1281" width="15.85546875" style="3" customWidth="1"/>
    <col min="1282" max="1282" width="14.85546875" style="3" customWidth="1"/>
    <col min="1283" max="1283" width="13.28515625" style="3" customWidth="1"/>
    <col min="1284" max="1284" width="11.42578125" style="3"/>
    <col min="1285" max="1285" width="13.42578125" style="3" customWidth="1"/>
    <col min="1286" max="1286" width="12.7109375" style="3" customWidth="1"/>
    <col min="1287" max="1287" width="14" style="3" customWidth="1"/>
    <col min="1288" max="1288" width="7.42578125" style="3" customWidth="1"/>
    <col min="1289" max="1536" width="11.42578125" style="3"/>
    <col min="1537" max="1537" width="15.85546875" style="3" customWidth="1"/>
    <col min="1538" max="1538" width="14.85546875" style="3" customWidth="1"/>
    <col min="1539" max="1539" width="13.28515625" style="3" customWidth="1"/>
    <col min="1540" max="1540" width="11.42578125" style="3"/>
    <col min="1541" max="1541" width="13.42578125" style="3" customWidth="1"/>
    <col min="1542" max="1542" width="12.7109375" style="3" customWidth="1"/>
    <col min="1543" max="1543" width="14" style="3" customWidth="1"/>
    <col min="1544" max="1544" width="7.42578125" style="3" customWidth="1"/>
    <col min="1545" max="1792" width="11.42578125" style="3"/>
    <col min="1793" max="1793" width="15.85546875" style="3" customWidth="1"/>
    <col min="1794" max="1794" width="14.85546875" style="3" customWidth="1"/>
    <col min="1795" max="1795" width="13.28515625" style="3" customWidth="1"/>
    <col min="1796" max="1796" width="11.42578125" style="3"/>
    <col min="1797" max="1797" width="13.42578125" style="3" customWidth="1"/>
    <col min="1798" max="1798" width="12.7109375" style="3" customWidth="1"/>
    <col min="1799" max="1799" width="14" style="3" customWidth="1"/>
    <col min="1800" max="1800" width="7.42578125" style="3" customWidth="1"/>
    <col min="1801" max="2048" width="11.42578125" style="3"/>
    <col min="2049" max="2049" width="15.85546875" style="3" customWidth="1"/>
    <col min="2050" max="2050" width="14.85546875" style="3" customWidth="1"/>
    <col min="2051" max="2051" width="13.28515625" style="3" customWidth="1"/>
    <col min="2052" max="2052" width="11.42578125" style="3"/>
    <col min="2053" max="2053" width="13.42578125" style="3" customWidth="1"/>
    <col min="2054" max="2054" width="12.7109375" style="3" customWidth="1"/>
    <col min="2055" max="2055" width="14" style="3" customWidth="1"/>
    <col min="2056" max="2056" width="7.42578125" style="3" customWidth="1"/>
    <col min="2057" max="2304" width="11.42578125" style="3"/>
    <col min="2305" max="2305" width="15.85546875" style="3" customWidth="1"/>
    <col min="2306" max="2306" width="14.85546875" style="3" customWidth="1"/>
    <col min="2307" max="2307" width="13.28515625" style="3" customWidth="1"/>
    <col min="2308" max="2308" width="11.42578125" style="3"/>
    <col min="2309" max="2309" width="13.42578125" style="3" customWidth="1"/>
    <col min="2310" max="2310" width="12.7109375" style="3" customWidth="1"/>
    <col min="2311" max="2311" width="14" style="3" customWidth="1"/>
    <col min="2312" max="2312" width="7.42578125" style="3" customWidth="1"/>
    <col min="2313" max="2560" width="11.42578125" style="3"/>
    <col min="2561" max="2561" width="15.85546875" style="3" customWidth="1"/>
    <col min="2562" max="2562" width="14.85546875" style="3" customWidth="1"/>
    <col min="2563" max="2563" width="13.28515625" style="3" customWidth="1"/>
    <col min="2564" max="2564" width="11.42578125" style="3"/>
    <col min="2565" max="2565" width="13.42578125" style="3" customWidth="1"/>
    <col min="2566" max="2566" width="12.7109375" style="3" customWidth="1"/>
    <col min="2567" max="2567" width="14" style="3" customWidth="1"/>
    <col min="2568" max="2568" width="7.42578125" style="3" customWidth="1"/>
    <col min="2569" max="2816" width="11.42578125" style="3"/>
    <col min="2817" max="2817" width="15.85546875" style="3" customWidth="1"/>
    <col min="2818" max="2818" width="14.85546875" style="3" customWidth="1"/>
    <col min="2819" max="2819" width="13.28515625" style="3" customWidth="1"/>
    <col min="2820" max="2820" width="11.42578125" style="3"/>
    <col min="2821" max="2821" width="13.42578125" style="3" customWidth="1"/>
    <col min="2822" max="2822" width="12.7109375" style="3" customWidth="1"/>
    <col min="2823" max="2823" width="14" style="3" customWidth="1"/>
    <col min="2824" max="2824" width="7.42578125" style="3" customWidth="1"/>
    <col min="2825" max="3072" width="11.42578125" style="3"/>
    <col min="3073" max="3073" width="15.85546875" style="3" customWidth="1"/>
    <col min="3074" max="3074" width="14.85546875" style="3" customWidth="1"/>
    <col min="3075" max="3075" width="13.28515625" style="3" customWidth="1"/>
    <col min="3076" max="3076" width="11.42578125" style="3"/>
    <col min="3077" max="3077" width="13.42578125" style="3" customWidth="1"/>
    <col min="3078" max="3078" width="12.7109375" style="3" customWidth="1"/>
    <col min="3079" max="3079" width="14" style="3" customWidth="1"/>
    <col min="3080" max="3080" width="7.42578125" style="3" customWidth="1"/>
    <col min="3081" max="3328" width="11.42578125" style="3"/>
    <col min="3329" max="3329" width="15.85546875" style="3" customWidth="1"/>
    <col min="3330" max="3330" width="14.85546875" style="3" customWidth="1"/>
    <col min="3331" max="3331" width="13.28515625" style="3" customWidth="1"/>
    <col min="3332" max="3332" width="11.42578125" style="3"/>
    <col min="3333" max="3333" width="13.42578125" style="3" customWidth="1"/>
    <col min="3334" max="3334" width="12.7109375" style="3" customWidth="1"/>
    <col min="3335" max="3335" width="14" style="3" customWidth="1"/>
    <col min="3336" max="3336" width="7.42578125" style="3" customWidth="1"/>
    <col min="3337" max="3584" width="11.42578125" style="3"/>
    <col min="3585" max="3585" width="15.85546875" style="3" customWidth="1"/>
    <col min="3586" max="3586" width="14.85546875" style="3" customWidth="1"/>
    <col min="3587" max="3587" width="13.28515625" style="3" customWidth="1"/>
    <col min="3588" max="3588" width="11.42578125" style="3"/>
    <col min="3589" max="3589" width="13.42578125" style="3" customWidth="1"/>
    <col min="3590" max="3590" width="12.7109375" style="3" customWidth="1"/>
    <col min="3591" max="3591" width="14" style="3" customWidth="1"/>
    <col min="3592" max="3592" width="7.42578125" style="3" customWidth="1"/>
    <col min="3593" max="3840" width="11.42578125" style="3"/>
    <col min="3841" max="3841" width="15.85546875" style="3" customWidth="1"/>
    <col min="3842" max="3842" width="14.85546875" style="3" customWidth="1"/>
    <col min="3843" max="3843" width="13.28515625" style="3" customWidth="1"/>
    <col min="3844" max="3844" width="11.42578125" style="3"/>
    <col min="3845" max="3845" width="13.42578125" style="3" customWidth="1"/>
    <col min="3846" max="3846" width="12.7109375" style="3" customWidth="1"/>
    <col min="3847" max="3847" width="14" style="3" customWidth="1"/>
    <col min="3848" max="3848" width="7.42578125" style="3" customWidth="1"/>
    <col min="3849" max="4096" width="11.42578125" style="3"/>
    <col min="4097" max="4097" width="15.85546875" style="3" customWidth="1"/>
    <col min="4098" max="4098" width="14.85546875" style="3" customWidth="1"/>
    <col min="4099" max="4099" width="13.28515625" style="3" customWidth="1"/>
    <col min="4100" max="4100" width="11.42578125" style="3"/>
    <col min="4101" max="4101" width="13.42578125" style="3" customWidth="1"/>
    <col min="4102" max="4102" width="12.7109375" style="3" customWidth="1"/>
    <col min="4103" max="4103" width="14" style="3" customWidth="1"/>
    <col min="4104" max="4104" width="7.42578125" style="3" customWidth="1"/>
    <col min="4105" max="4352" width="11.42578125" style="3"/>
    <col min="4353" max="4353" width="15.85546875" style="3" customWidth="1"/>
    <col min="4354" max="4354" width="14.85546875" style="3" customWidth="1"/>
    <col min="4355" max="4355" width="13.28515625" style="3" customWidth="1"/>
    <col min="4356" max="4356" width="11.42578125" style="3"/>
    <col min="4357" max="4357" width="13.42578125" style="3" customWidth="1"/>
    <col min="4358" max="4358" width="12.7109375" style="3" customWidth="1"/>
    <col min="4359" max="4359" width="14" style="3" customWidth="1"/>
    <col min="4360" max="4360" width="7.42578125" style="3" customWidth="1"/>
    <col min="4361" max="4608" width="11.42578125" style="3"/>
    <col min="4609" max="4609" width="15.85546875" style="3" customWidth="1"/>
    <col min="4610" max="4610" width="14.85546875" style="3" customWidth="1"/>
    <col min="4611" max="4611" width="13.28515625" style="3" customWidth="1"/>
    <col min="4612" max="4612" width="11.42578125" style="3"/>
    <col min="4613" max="4613" width="13.42578125" style="3" customWidth="1"/>
    <col min="4614" max="4614" width="12.7109375" style="3" customWidth="1"/>
    <col min="4615" max="4615" width="14" style="3" customWidth="1"/>
    <col min="4616" max="4616" width="7.42578125" style="3" customWidth="1"/>
    <col min="4617" max="4864" width="11.42578125" style="3"/>
    <col min="4865" max="4865" width="15.85546875" style="3" customWidth="1"/>
    <col min="4866" max="4866" width="14.85546875" style="3" customWidth="1"/>
    <col min="4867" max="4867" width="13.28515625" style="3" customWidth="1"/>
    <col min="4868" max="4868" width="11.42578125" style="3"/>
    <col min="4869" max="4869" width="13.42578125" style="3" customWidth="1"/>
    <col min="4870" max="4870" width="12.7109375" style="3" customWidth="1"/>
    <col min="4871" max="4871" width="14" style="3" customWidth="1"/>
    <col min="4872" max="4872" width="7.42578125" style="3" customWidth="1"/>
    <col min="4873" max="5120" width="11.42578125" style="3"/>
    <col min="5121" max="5121" width="15.85546875" style="3" customWidth="1"/>
    <col min="5122" max="5122" width="14.85546875" style="3" customWidth="1"/>
    <col min="5123" max="5123" width="13.28515625" style="3" customWidth="1"/>
    <col min="5124" max="5124" width="11.42578125" style="3"/>
    <col min="5125" max="5125" width="13.42578125" style="3" customWidth="1"/>
    <col min="5126" max="5126" width="12.7109375" style="3" customWidth="1"/>
    <col min="5127" max="5127" width="14" style="3" customWidth="1"/>
    <col min="5128" max="5128" width="7.42578125" style="3" customWidth="1"/>
    <col min="5129" max="5376" width="11.42578125" style="3"/>
    <col min="5377" max="5377" width="15.85546875" style="3" customWidth="1"/>
    <col min="5378" max="5378" width="14.85546875" style="3" customWidth="1"/>
    <col min="5379" max="5379" width="13.28515625" style="3" customWidth="1"/>
    <col min="5380" max="5380" width="11.42578125" style="3"/>
    <col min="5381" max="5381" width="13.42578125" style="3" customWidth="1"/>
    <col min="5382" max="5382" width="12.7109375" style="3" customWidth="1"/>
    <col min="5383" max="5383" width="14" style="3" customWidth="1"/>
    <col min="5384" max="5384" width="7.42578125" style="3" customWidth="1"/>
    <col min="5385" max="5632" width="11.42578125" style="3"/>
    <col min="5633" max="5633" width="15.85546875" style="3" customWidth="1"/>
    <col min="5634" max="5634" width="14.85546875" style="3" customWidth="1"/>
    <col min="5635" max="5635" width="13.28515625" style="3" customWidth="1"/>
    <col min="5636" max="5636" width="11.42578125" style="3"/>
    <col min="5637" max="5637" width="13.42578125" style="3" customWidth="1"/>
    <col min="5638" max="5638" width="12.7109375" style="3" customWidth="1"/>
    <col min="5639" max="5639" width="14" style="3" customWidth="1"/>
    <col min="5640" max="5640" width="7.42578125" style="3" customWidth="1"/>
    <col min="5641" max="5888" width="11.42578125" style="3"/>
    <col min="5889" max="5889" width="15.85546875" style="3" customWidth="1"/>
    <col min="5890" max="5890" width="14.85546875" style="3" customWidth="1"/>
    <col min="5891" max="5891" width="13.28515625" style="3" customWidth="1"/>
    <col min="5892" max="5892" width="11.42578125" style="3"/>
    <col min="5893" max="5893" width="13.42578125" style="3" customWidth="1"/>
    <col min="5894" max="5894" width="12.7109375" style="3" customWidth="1"/>
    <col min="5895" max="5895" width="14" style="3" customWidth="1"/>
    <col min="5896" max="5896" width="7.42578125" style="3" customWidth="1"/>
    <col min="5897" max="6144" width="11.42578125" style="3"/>
    <col min="6145" max="6145" width="15.85546875" style="3" customWidth="1"/>
    <col min="6146" max="6146" width="14.85546875" style="3" customWidth="1"/>
    <col min="6147" max="6147" width="13.28515625" style="3" customWidth="1"/>
    <col min="6148" max="6148" width="11.42578125" style="3"/>
    <col min="6149" max="6149" width="13.42578125" style="3" customWidth="1"/>
    <col min="6150" max="6150" width="12.7109375" style="3" customWidth="1"/>
    <col min="6151" max="6151" width="14" style="3" customWidth="1"/>
    <col min="6152" max="6152" width="7.42578125" style="3" customWidth="1"/>
    <col min="6153" max="6400" width="11.42578125" style="3"/>
    <col min="6401" max="6401" width="15.85546875" style="3" customWidth="1"/>
    <col min="6402" max="6402" width="14.85546875" style="3" customWidth="1"/>
    <col min="6403" max="6403" width="13.28515625" style="3" customWidth="1"/>
    <col min="6404" max="6404" width="11.42578125" style="3"/>
    <col min="6405" max="6405" width="13.42578125" style="3" customWidth="1"/>
    <col min="6406" max="6406" width="12.7109375" style="3" customWidth="1"/>
    <col min="6407" max="6407" width="14" style="3" customWidth="1"/>
    <col min="6408" max="6408" width="7.42578125" style="3" customWidth="1"/>
    <col min="6409" max="6656" width="11.42578125" style="3"/>
    <col min="6657" max="6657" width="15.85546875" style="3" customWidth="1"/>
    <col min="6658" max="6658" width="14.85546875" style="3" customWidth="1"/>
    <col min="6659" max="6659" width="13.28515625" style="3" customWidth="1"/>
    <col min="6660" max="6660" width="11.42578125" style="3"/>
    <col min="6661" max="6661" width="13.42578125" style="3" customWidth="1"/>
    <col min="6662" max="6662" width="12.7109375" style="3" customWidth="1"/>
    <col min="6663" max="6663" width="14" style="3" customWidth="1"/>
    <col min="6664" max="6664" width="7.42578125" style="3" customWidth="1"/>
    <col min="6665" max="6912" width="11.42578125" style="3"/>
    <col min="6913" max="6913" width="15.85546875" style="3" customWidth="1"/>
    <col min="6914" max="6914" width="14.85546875" style="3" customWidth="1"/>
    <col min="6915" max="6915" width="13.28515625" style="3" customWidth="1"/>
    <col min="6916" max="6916" width="11.42578125" style="3"/>
    <col min="6917" max="6917" width="13.42578125" style="3" customWidth="1"/>
    <col min="6918" max="6918" width="12.7109375" style="3" customWidth="1"/>
    <col min="6919" max="6919" width="14" style="3" customWidth="1"/>
    <col min="6920" max="6920" width="7.42578125" style="3" customWidth="1"/>
    <col min="6921" max="7168" width="11.42578125" style="3"/>
    <col min="7169" max="7169" width="15.85546875" style="3" customWidth="1"/>
    <col min="7170" max="7170" width="14.85546875" style="3" customWidth="1"/>
    <col min="7171" max="7171" width="13.28515625" style="3" customWidth="1"/>
    <col min="7172" max="7172" width="11.42578125" style="3"/>
    <col min="7173" max="7173" width="13.42578125" style="3" customWidth="1"/>
    <col min="7174" max="7174" width="12.7109375" style="3" customWidth="1"/>
    <col min="7175" max="7175" width="14" style="3" customWidth="1"/>
    <col min="7176" max="7176" width="7.42578125" style="3" customWidth="1"/>
    <col min="7177" max="7424" width="11.42578125" style="3"/>
    <col min="7425" max="7425" width="15.85546875" style="3" customWidth="1"/>
    <col min="7426" max="7426" width="14.85546875" style="3" customWidth="1"/>
    <col min="7427" max="7427" width="13.28515625" style="3" customWidth="1"/>
    <col min="7428" max="7428" width="11.42578125" style="3"/>
    <col min="7429" max="7429" width="13.42578125" style="3" customWidth="1"/>
    <col min="7430" max="7430" width="12.7109375" style="3" customWidth="1"/>
    <col min="7431" max="7431" width="14" style="3" customWidth="1"/>
    <col min="7432" max="7432" width="7.42578125" style="3" customWidth="1"/>
    <col min="7433" max="7680" width="11.42578125" style="3"/>
    <col min="7681" max="7681" width="15.85546875" style="3" customWidth="1"/>
    <col min="7682" max="7682" width="14.85546875" style="3" customWidth="1"/>
    <col min="7683" max="7683" width="13.28515625" style="3" customWidth="1"/>
    <col min="7684" max="7684" width="11.42578125" style="3"/>
    <col min="7685" max="7685" width="13.42578125" style="3" customWidth="1"/>
    <col min="7686" max="7686" width="12.7109375" style="3" customWidth="1"/>
    <col min="7687" max="7687" width="14" style="3" customWidth="1"/>
    <col min="7688" max="7688" width="7.42578125" style="3" customWidth="1"/>
    <col min="7689" max="7936" width="11.42578125" style="3"/>
    <col min="7937" max="7937" width="15.85546875" style="3" customWidth="1"/>
    <col min="7938" max="7938" width="14.85546875" style="3" customWidth="1"/>
    <col min="7939" max="7939" width="13.28515625" style="3" customWidth="1"/>
    <col min="7940" max="7940" width="11.42578125" style="3"/>
    <col min="7941" max="7941" width="13.42578125" style="3" customWidth="1"/>
    <col min="7942" max="7942" width="12.7109375" style="3" customWidth="1"/>
    <col min="7943" max="7943" width="14" style="3" customWidth="1"/>
    <col min="7944" max="7944" width="7.42578125" style="3" customWidth="1"/>
    <col min="7945" max="8192" width="11.42578125" style="3"/>
    <col min="8193" max="8193" width="15.85546875" style="3" customWidth="1"/>
    <col min="8194" max="8194" width="14.85546875" style="3" customWidth="1"/>
    <col min="8195" max="8195" width="13.28515625" style="3" customWidth="1"/>
    <col min="8196" max="8196" width="11.42578125" style="3"/>
    <col min="8197" max="8197" width="13.42578125" style="3" customWidth="1"/>
    <col min="8198" max="8198" width="12.7109375" style="3" customWidth="1"/>
    <col min="8199" max="8199" width="14" style="3" customWidth="1"/>
    <col min="8200" max="8200" width="7.42578125" style="3" customWidth="1"/>
    <col min="8201" max="8448" width="11.42578125" style="3"/>
    <col min="8449" max="8449" width="15.85546875" style="3" customWidth="1"/>
    <col min="8450" max="8450" width="14.85546875" style="3" customWidth="1"/>
    <col min="8451" max="8451" width="13.28515625" style="3" customWidth="1"/>
    <col min="8452" max="8452" width="11.42578125" style="3"/>
    <col min="8453" max="8453" width="13.42578125" style="3" customWidth="1"/>
    <col min="8454" max="8454" width="12.7109375" style="3" customWidth="1"/>
    <col min="8455" max="8455" width="14" style="3" customWidth="1"/>
    <col min="8456" max="8456" width="7.42578125" style="3" customWidth="1"/>
    <col min="8457" max="8704" width="11.42578125" style="3"/>
    <col min="8705" max="8705" width="15.85546875" style="3" customWidth="1"/>
    <col min="8706" max="8706" width="14.85546875" style="3" customWidth="1"/>
    <col min="8707" max="8707" width="13.28515625" style="3" customWidth="1"/>
    <col min="8708" max="8708" width="11.42578125" style="3"/>
    <col min="8709" max="8709" width="13.42578125" style="3" customWidth="1"/>
    <col min="8710" max="8710" width="12.7109375" style="3" customWidth="1"/>
    <col min="8711" max="8711" width="14" style="3" customWidth="1"/>
    <col min="8712" max="8712" width="7.42578125" style="3" customWidth="1"/>
    <col min="8713" max="8960" width="11.42578125" style="3"/>
    <col min="8961" max="8961" width="15.85546875" style="3" customWidth="1"/>
    <col min="8962" max="8962" width="14.85546875" style="3" customWidth="1"/>
    <col min="8963" max="8963" width="13.28515625" style="3" customWidth="1"/>
    <col min="8964" max="8964" width="11.42578125" style="3"/>
    <col min="8965" max="8965" width="13.42578125" style="3" customWidth="1"/>
    <col min="8966" max="8966" width="12.7109375" style="3" customWidth="1"/>
    <col min="8967" max="8967" width="14" style="3" customWidth="1"/>
    <col min="8968" max="8968" width="7.42578125" style="3" customWidth="1"/>
    <col min="8969" max="9216" width="11.42578125" style="3"/>
    <col min="9217" max="9217" width="15.85546875" style="3" customWidth="1"/>
    <col min="9218" max="9218" width="14.85546875" style="3" customWidth="1"/>
    <col min="9219" max="9219" width="13.28515625" style="3" customWidth="1"/>
    <col min="9220" max="9220" width="11.42578125" style="3"/>
    <col min="9221" max="9221" width="13.42578125" style="3" customWidth="1"/>
    <col min="9222" max="9222" width="12.7109375" style="3" customWidth="1"/>
    <col min="9223" max="9223" width="14" style="3" customWidth="1"/>
    <col min="9224" max="9224" width="7.42578125" style="3" customWidth="1"/>
    <col min="9225" max="9472" width="11.42578125" style="3"/>
    <col min="9473" max="9473" width="15.85546875" style="3" customWidth="1"/>
    <col min="9474" max="9474" width="14.85546875" style="3" customWidth="1"/>
    <col min="9475" max="9475" width="13.28515625" style="3" customWidth="1"/>
    <col min="9476" max="9476" width="11.42578125" style="3"/>
    <col min="9477" max="9477" width="13.42578125" style="3" customWidth="1"/>
    <col min="9478" max="9478" width="12.7109375" style="3" customWidth="1"/>
    <col min="9479" max="9479" width="14" style="3" customWidth="1"/>
    <col min="9480" max="9480" width="7.42578125" style="3" customWidth="1"/>
    <col min="9481" max="9728" width="11.42578125" style="3"/>
    <col min="9729" max="9729" width="15.85546875" style="3" customWidth="1"/>
    <col min="9730" max="9730" width="14.85546875" style="3" customWidth="1"/>
    <col min="9731" max="9731" width="13.28515625" style="3" customWidth="1"/>
    <col min="9732" max="9732" width="11.42578125" style="3"/>
    <col min="9733" max="9733" width="13.42578125" style="3" customWidth="1"/>
    <col min="9734" max="9734" width="12.7109375" style="3" customWidth="1"/>
    <col min="9735" max="9735" width="14" style="3" customWidth="1"/>
    <col min="9736" max="9736" width="7.42578125" style="3" customWidth="1"/>
    <col min="9737" max="9984" width="11.42578125" style="3"/>
    <col min="9985" max="9985" width="15.85546875" style="3" customWidth="1"/>
    <col min="9986" max="9986" width="14.85546875" style="3" customWidth="1"/>
    <col min="9987" max="9987" width="13.28515625" style="3" customWidth="1"/>
    <col min="9988" max="9988" width="11.42578125" style="3"/>
    <col min="9989" max="9989" width="13.42578125" style="3" customWidth="1"/>
    <col min="9990" max="9990" width="12.7109375" style="3" customWidth="1"/>
    <col min="9991" max="9991" width="14" style="3" customWidth="1"/>
    <col min="9992" max="9992" width="7.42578125" style="3" customWidth="1"/>
    <col min="9993" max="10240" width="11.42578125" style="3"/>
    <col min="10241" max="10241" width="15.85546875" style="3" customWidth="1"/>
    <col min="10242" max="10242" width="14.85546875" style="3" customWidth="1"/>
    <col min="10243" max="10243" width="13.28515625" style="3" customWidth="1"/>
    <col min="10244" max="10244" width="11.42578125" style="3"/>
    <col min="10245" max="10245" width="13.42578125" style="3" customWidth="1"/>
    <col min="10246" max="10246" width="12.7109375" style="3" customWidth="1"/>
    <col min="10247" max="10247" width="14" style="3" customWidth="1"/>
    <col min="10248" max="10248" width="7.42578125" style="3" customWidth="1"/>
    <col min="10249" max="10496" width="11.42578125" style="3"/>
    <col min="10497" max="10497" width="15.85546875" style="3" customWidth="1"/>
    <col min="10498" max="10498" width="14.85546875" style="3" customWidth="1"/>
    <col min="10499" max="10499" width="13.28515625" style="3" customWidth="1"/>
    <col min="10500" max="10500" width="11.42578125" style="3"/>
    <col min="10501" max="10501" width="13.42578125" style="3" customWidth="1"/>
    <col min="10502" max="10502" width="12.7109375" style="3" customWidth="1"/>
    <col min="10503" max="10503" width="14" style="3" customWidth="1"/>
    <col min="10504" max="10504" width="7.42578125" style="3" customWidth="1"/>
    <col min="10505" max="10752" width="11.42578125" style="3"/>
    <col min="10753" max="10753" width="15.85546875" style="3" customWidth="1"/>
    <col min="10754" max="10754" width="14.85546875" style="3" customWidth="1"/>
    <col min="10755" max="10755" width="13.28515625" style="3" customWidth="1"/>
    <col min="10756" max="10756" width="11.42578125" style="3"/>
    <col min="10757" max="10757" width="13.42578125" style="3" customWidth="1"/>
    <col min="10758" max="10758" width="12.7109375" style="3" customWidth="1"/>
    <col min="10759" max="10759" width="14" style="3" customWidth="1"/>
    <col min="10760" max="10760" width="7.42578125" style="3" customWidth="1"/>
    <col min="10761" max="11008" width="11.42578125" style="3"/>
    <col min="11009" max="11009" width="15.85546875" style="3" customWidth="1"/>
    <col min="11010" max="11010" width="14.85546875" style="3" customWidth="1"/>
    <col min="11011" max="11011" width="13.28515625" style="3" customWidth="1"/>
    <col min="11012" max="11012" width="11.42578125" style="3"/>
    <col min="11013" max="11013" width="13.42578125" style="3" customWidth="1"/>
    <col min="11014" max="11014" width="12.7109375" style="3" customWidth="1"/>
    <col min="11015" max="11015" width="14" style="3" customWidth="1"/>
    <col min="11016" max="11016" width="7.42578125" style="3" customWidth="1"/>
    <col min="11017" max="11264" width="11.42578125" style="3"/>
    <col min="11265" max="11265" width="15.85546875" style="3" customWidth="1"/>
    <col min="11266" max="11266" width="14.85546875" style="3" customWidth="1"/>
    <col min="11267" max="11267" width="13.28515625" style="3" customWidth="1"/>
    <col min="11268" max="11268" width="11.42578125" style="3"/>
    <col min="11269" max="11269" width="13.42578125" style="3" customWidth="1"/>
    <col min="11270" max="11270" width="12.7109375" style="3" customWidth="1"/>
    <col min="11271" max="11271" width="14" style="3" customWidth="1"/>
    <col min="11272" max="11272" width="7.42578125" style="3" customWidth="1"/>
    <col min="11273" max="11520" width="11.42578125" style="3"/>
    <col min="11521" max="11521" width="15.85546875" style="3" customWidth="1"/>
    <col min="11522" max="11522" width="14.85546875" style="3" customWidth="1"/>
    <col min="11523" max="11523" width="13.28515625" style="3" customWidth="1"/>
    <col min="11524" max="11524" width="11.42578125" style="3"/>
    <col min="11525" max="11525" width="13.42578125" style="3" customWidth="1"/>
    <col min="11526" max="11526" width="12.7109375" style="3" customWidth="1"/>
    <col min="11527" max="11527" width="14" style="3" customWidth="1"/>
    <col min="11528" max="11528" width="7.42578125" style="3" customWidth="1"/>
    <col min="11529" max="11776" width="11.42578125" style="3"/>
    <col min="11777" max="11777" width="15.85546875" style="3" customWidth="1"/>
    <col min="11778" max="11778" width="14.85546875" style="3" customWidth="1"/>
    <col min="11779" max="11779" width="13.28515625" style="3" customWidth="1"/>
    <col min="11780" max="11780" width="11.42578125" style="3"/>
    <col min="11781" max="11781" width="13.42578125" style="3" customWidth="1"/>
    <col min="11782" max="11782" width="12.7109375" style="3" customWidth="1"/>
    <col min="11783" max="11783" width="14" style="3" customWidth="1"/>
    <col min="11784" max="11784" width="7.42578125" style="3" customWidth="1"/>
    <col min="11785" max="12032" width="11.42578125" style="3"/>
    <col min="12033" max="12033" width="15.85546875" style="3" customWidth="1"/>
    <col min="12034" max="12034" width="14.85546875" style="3" customWidth="1"/>
    <col min="12035" max="12035" width="13.28515625" style="3" customWidth="1"/>
    <col min="12036" max="12036" width="11.42578125" style="3"/>
    <col min="12037" max="12037" width="13.42578125" style="3" customWidth="1"/>
    <col min="12038" max="12038" width="12.7109375" style="3" customWidth="1"/>
    <col min="12039" max="12039" width="14" style="3" customWidth="1"/>
    <col min="12040" max="12040" width="7.42578125" style="3" customWidth="1"/>
    <col min="12041" max="12288" width="11.42578125" style="3"/>
    <col min="12289" max="12289" width="15.85546875" style="3" customWidth="1"/>
    <col min="12290" max="12290" width="14.85546875" style="3" customWidth="1"/>
    <col min="12291" max="12291" width="13.28515625" style="3" customWidth="1"/>
    <col min="12292" max="12292" width="11.42578125" style="3"/>
    <col min="12293" max="12293" width="13.42578125" style="3" customWidth="1"/>
    <col min="12294" max="12294" width="12.7109375" style="3" customWidth="1"/>
    <col min="12295" max="12295" width="14" style="3" customWidth="1"/>
    <col min="12296" max="12296" width="7.42578125" style="3" customWidth="1"/>
    <col min="12297" max="12544" width="11.42578125" style="3"/>
    <col min="12545" max="12545" width="15.85546875" style="3" customWidth="1"/>
    <col min="12546" max="12546" width="14.85546875" style="3" customWidth="1"/>
    <col min="12547" max="12547" width="13.28515625" style="3" customWidth="1"/>
    <col min="12548" max="12548" width="11.42578125" style="3"/>
    <col min="12549" max="12549" width="13.42578125" style="3" customWidth="1"/>
    <col min="12550" max="12550" width="12.7109375" style="3" customWidth="1"/>
    <col min="12551" max="12551" width="14" style="3" customWidth="1"/>
    <col min="12552" max="12552" width="7.42578125" style="3" customWidth="1"/>
    <col min="12553" max="12800" width="11.42578125" style="3"/>
    <col min="12801" max="12801" width="15.85546875" style="3" customWidth="1"/>
    <col min="12802" max="12802" width="14.85546875" style="3" customWidth="1"/>
    <col min="12803" max="12803" width="13.28515625" style="3" customWidth="1"/>
    <col min="12804" max="12804" width="11.42578125" style="3"/>
    <col min="12805" max="12805" width="13.42578125" style="3" customWidth="1"/>
    <col min="12806" max="12806" width="12.7109375" style="3" customWidth="1"/>
    <col min="12807" max="12807" width="14" style="3" customWidth="1"/>
    <col min="12808" max="12808" width="7.42578125" style="3" customWidth="1"/>
    <col min="12809" max="13056" width="11.42578125" style="3"/>
    <col min="13057" max="13057" width="15.85546875" style="3" customWidth="1"/>
    <col min="13058" max="13058" width="14.85546875" style="3" customWidth="1"/>
    <col min="13059" max="13059" width="13.28515625" style="3" customWidth="1"/>
    <col min="13060" max="13060" width="11.42578125" style="3"/>
    <col min="13061" max="13061" width="13.42578125" style="3" customWidth="1"/>
    <col min="13062" max="13062" width="12.7109375" style="3" customWidth="1"/>
    <col min="13063" max="13063" width="14" style="3" customWidth="1"/>
    <col min="13064" max="13064" width="7.42578125" style="3" customWidth="1"/>
    <col min="13065" max="13312" width="11.42578125" style="3"/>
    <col min="13313" max="13313" width="15.85546875" style="3" customWidth="1"/>
    <col min="13314" max="13314" width="14.85546875" style="3" customWidth="1"/>
    <col min="13315" max="13315" width="13.28515625" style="3" customWidth="1"/>
    <col min="13316" max="13316" width="11.42578125" style="3"/>
    <col min="13317" max="13317" width="13.42578125" style="3" customWidth="1"/>
    <col min="13318" max="13318" width="12.7109375" style="3" customWidth="1"/>
    <col min="13319" max="13319" width="14" style="3" customWidth="1"/>
    <col min="13320" max="13320" width="7.42578125" style="3" customWidth="1"/>
    <col min="13321" max="13568" width="11.42578125" style="3"/>
    <col min="13569" max="13569" width="15.85546875" style="3" customWidth="1"/>
    <col min="13570" max="13570" width="14.85546875" style="3" customWidth="1"/>
    <col min="13571" max="13571" width="13.28515625" style="3" customWidth="1"/>
    <col min="13572" max="13572" width="11.42578125" style="3"/>
    <col min="13573" max="13573" width="13.42578125" style="3" customWidth="1"/>
    <col min="13574" max="13574" width="12.7109375" style="3" customWidth="1"/>
    <col min="13575" max="13575" width="14" style="3" customWidth="1"/>
    <col min="13576" max="13576" width="7.42578125" style="3" customWidth="1"/>
    <col min="13577" max="13824" width="11.42578125" style="3"/>
    <col min="13825" max="13825" width="15.85546875" style="3" customWidth="1"/>
    <col min="13826" max="13826" width="14.85546875" style="3" customWidth="1"/>
    <col min="13827" max="13827" width="13.28515625" style="3" customWidth="1"/>
    <col min="13828" max="13828" width="11.42578125" style="3"/>
    <col min="13829" max="13829" width="13.42578125" style="3" customWidth="1"/>
    <col min="13830" max="13830" width="12.7109375" style="3" customWidth="1"/>
    <col min="13831" max="13831" width="14" style="3" customWidth="1"/>
    <col min="13832" max="13832" width="7.42578125" style="3" customWidth="1"/>
    <col min="13833" max="14080" width="11.42578125" style="3"/>
    <col min="14081" max="14081" width="15.85546875" style="3" customWidth="1"/>
    <col min="14082" max="14082" width="14.85546875" style="3" customWidth="1"/>
    <col min="14083" max="14083" width="13.28515625" style="3" customWidth="1"/>
    <col min="14084" max="14084" width="11.42578125" style="3"/>
    <col min="14085" max="14085" width="13.42578125" style="3" customWidth="1"/>
    <col min="14086" max="14086" width="12.7109375" style="3" customWidth="1"/>
    <col min="14087" max="14087" width="14" style="3" customWidth="1"/>
    <col min="14088" max="14088" width="7.42578125" style="3" customWidth="1"/>
    <col min="14089" max="14336" width="11.42578125" style="3"/>
    <col min="14337" max="14337" width="15.85546875" style="3" customWidth="1"/>
    <col min="14338" max="14338" width="14.85546875" style="3" customWidth="1"/>
    <col min="14339" max="14339" width="13.28515625" style="3" customWidth="1"/>
    <col min="14340" max="14340" width="11.42578125" style="3"/>
    <col min="14341" max="14341" width="13.42578125" style="3" customWidth="1"/>
    <col min="14342" max="14342" width="12.7109375" style="3" customWidth="1"/>
    <col min="14343" max="14343" width="14" style="3" customWidth="1"/>
    <col min="14344" max="14344" width="7.42578125" style="3" customWidth="1"/>
    <col min="14345" max="14592" width="11.42578125" style="3"/>
    <col min="14593" max="14593" width="15.85546875" style="3" customWidth="1"/>
    <col min="14594" max="14594" width="14.85546875" style="3" customWidth="1"/>
    <col min="14595" max="14595" width="13.28515625" style="3" customWidth="1"/>
    <col min="14596" max="14596" width="11.42578125" style="3"/>
    <col min="14597" max="14597" width="13.42578125" style="3" customWidth="1"/>
    <col min="14598" max="14598" width="12.7109375" style="3" customWidth="1"/>
    <col min="14599" max="14599" width="14" style="3" customWidth="1"/>
    <col min="14600" max="14600" width="7.42578125" style="3" customWidth="1"/>
    <col min="14601" max="14848" width="11.42578125" style="3"/>
    <col min="14849" max="14849" width="15.85546875" style="3" customWidth="1"/>
    <col min="14850" max="14850" width="14.85546875" style="3" customWidth="1"/>
    <col min="14851" max="14851" width="13.28515625" style="3" customWidth="1"/>
    <col min="14852" max="14852" width="11.42578125" style="3"/>
    <col min="14853" max="14853" width="13.42578125" style="3" customWidth="1"/>
    <col min="14854" max="14854" width="12.7109375" style="3" customWidth="1"/>
    <col min="14855" max="14855" width="14" style="3" customWidth="1"/>
    <col min="14856" max="14856" width="7.42578125" style="3" customWidth="1"/>
    <col min="14857" max="15104" width="11.42578125" style="3"/>
    <col min="15105" max="15105" width="15.85546875" style="3" customWidth="1"/>
    <col min="15106" max="15106" width="14.85546875" style="3" customWidth="1"/>
    <col min="15107" max="15107" width="13.28515625" style="3" customWidth="1"/>
    <col min="15108" max="15108" width="11.42578125" style="3"/>
    <col min="15109" max="15109" width="13.42578125" style="3" customWidth="1"/>
    <col min="15110" max="15110" width="12.7109375" style="3" customWidth="1"/>
    <col min="15111" max="15111" width="14" style="3" customWidth="1"/>
    <col min="15112" max="15112" width="7.42578125" style="3" customWidth="1"/>
    <col min="15113" max="15360" width="11.42578125" style="3"/>
    <col min="15361" max="15361" width="15.85546875" style="3" customWidth="1"/>
    <col min="15362" max="15362" width="14.85546875" style="3" customWidth="1"/>
    <col min="15363" max="15363" width="13.28515625" style="3" customWidth="1"/>
    <col min="15364" max="15364" width="11.42578125" style="3"/>
    <col min="15365" max="15365" width="13.42578125" style="3" customWidth="1"/>
    <col min="15366" max="15366" width="12.7109375" style="3" customWidth="1"/>
    <col min="15367" max="15367" width="14" style="3" customWidth="1"/>
    <col min="15368" max="15368" width="7.42578125" style="3" customWidth="1"/>
    <col min="15369" max="15616" width="11.42578125" style="3"/>
    <col min="15617" max="15617" width="15.85546875" style="3" customWidth="1"/>
    <col min="15618" max="15618" width="14.85546875" style="3" customWidth="1"/>
    <col min="15619" max="15619" width="13.28515625" style="3" customWidth="1"/>
    <col min="15620" max="15620" width="11.42578125" style="3"/>
    <col min="15621" max="15621" width="13.42578125" style="3" customWidth="1"/>
    <col min="15622" max="15622" width="12.7109375" style="3" customWidth="1"/>
    <col min="15623" max="15623" width="14" style="3" customWidth="1"/>
    <col min="15624" max="15624" width="7.42578125" style="3" customWidth="1"/>
    <col min="15625" max="15872" width="11.42578125" style="3"/>
    <col min="15873" max="15873" width="15.85546875" style="3" customWidth="1"/>
    <col min="15874" max="15874" width="14.85546875" style="3" customWidth="1"/>
    <col min="15875" max="15875" width="13.28515625" style="3" customWidth="1"/>
    <col min="15876" max="15876" width="11.42578125" style="3"/>
    <col min="15877" max="15877" width="13.42578125" style="3" customWidth="1"/>
    <col min="15878" max="15878" width="12.7109375" style="3" customWidth="1"/>
    <col min="15879" max="15879" width="14" style="3" customWidth="1"/>
    <col min="15880" max="15880" width="7.42578125" style="3" customWidth="1"/>
    <col min="15881" max="16128" width="11.42578125" style="3"/>
    <col min="16129" max="16129" width="15.85546875" style="3" customWidth="1"/>
    <col min="16130" max="16130" width="14.85546875" style="3" customWidth="1"/>
    <col min="16131" max="16131" width="13.28515625" style="3" customWidth="1"/>
    <col min="16132" max="16132" width="11.42578125" style="3"/>
    <col min="16133" max="16133" width="13.42578125" style="3" customWidth="1"/>
    <col min="16134" max="16134" width="12.7109375" style="3" customWidth="1"/>
    <col min="16135" max="16135" width="14" style="3" customWidth="1"/>
    <col min="16136" max="16136" width="7.42578125" style="3" customWidth="1"/>
    <col min="16137" max="16384" width="11.42578125" style="3"/>
  </cols>
  <sheetData>
    <row r="1" spans="1:21" ht="20.25">
      <c r="A1" s="1346" t="str">
        <f>PPTO!D3</f>
        <v>PRESUPUESTO
MUNICIPIO EL BAGRE (ANTIOQUIA).</v>
      </c>
      <c r="B1" s="1347"/>
      <c r="C1" s="1347"/>
      <c r="D1" s="1347"/>
      <c r="E1" s="1347"/>
      <c r="F1" s="1347"/>
      <c r="G1" s="1348"/>
      <c r="H1" s="1"/>
      <c r="I1" s="2"/>
    </row>
    <row r="2" spans="1:21" ht="18" customHeight="1">
      <c r="A2" s="1362" t="s">
        <v>16</v>
      </c>
      <c r="B2" s="1363"/>
      <c r="C2" s="1363"/>
      <c r="D2" s="1363"/>
      <c r="E2" s="1363"/>
      <c r="F2" s="1363"/>
      <c r="G2" s="1364"/>
      <c r="H2" s="1"/>
      <c r="I2" s="2"/>
    </row>
    <row r="3" spans="1:21" ht="27" customHeight="1">
      <c r="A3" s="1367" t="str">
        <f>+PPTO!$D$5</f>
        <v>PROYECTO DE MEJORAMIENTO VIAL, ESPACIO PUBLICO Y OBRAS COMPLEMENTARIAS DE LA AVENIDA LA JUVENTUD Y TRAMOS ADYACENTES Y PRIORITARIOS DEL SECTOR URBANO EN EL MUNICIPIO EL BAGRE ANTIOQUIA.</v>
      </c>
      <c r="B3" s="1368"/>
      <c r="C3" s="1368"/>
      <c r="D3" s="1368"/>
      <c r="E3" s="1368"/>
      <c r="F3" s="1368"/>
      <c r="G3" s="1369"/>
      <c r="H3" s="1"/>
      <c r="I3" s="2"/>
    </row>
    <row r="4" spans="1:21">
      <c r="A4" s="1370"/>
      <c r="B4" s="1368"/>
      <c r="C4" s="1368"/>
      <c r="D4" s="1368"/>
      <c r="E4" s="1368"/>
      <c r="F4" s="1368"/>
      <c r="G4" s="1369"/>
      <c r="H4" s="1"/>
      <c r="I4" s="2"/>
    </row>
    <row r="5" spans="1:21" ht="6.75" customHeight="1">
      <c r="A5" s="222"/>
      <c r="B5" s="6"/>
      <c r="C5" s="24"/>
      <c r="D5" s="25"/>
      <c r="E5" s="6"/>
      <c r="F5" s="6"/>
      <c r="G5" s="223"/>
      <c r="H5" s="9"/>
    </row>
    <row r="6" spans="1:21" ht="30" customHeight="1">
      <c r="A6" s="371" t="s">
        <v>1023</v>
      </c>
      <c r="B6" s="1349" t="str">
        <f>VLOOKUP(A6,PPTO!D9:I136,2,FALSE)</f>
        <v>Placas de fondo de concreto de 4000 PSI, para pozos de inspeccion D=2.00, e=0.20</v>
      </c>
      <c r="C6" s="1350"/>
      <c r="D6" s="1350"/>
      <c r="E6" s="1351"/>
      <c r="F6" s="192" t="s">
        <v>118</v>
      </c>
      <c r="G6" s="248" t="str">
        <f>VLOOKUP(A6,PPTO!D9:I136,3,FALSE)</f>
        <v>und</v>
      </c>
      <c r="H6" s="9"/>
    </row>
    <row r="7" spans="1:21" ht="3.75" customHeight="1">
      <c r="A7" s="226"/>
      <c r="B7" s="4"/>
      <c r="C7" s="6"/>
      <c r="D7" s="4"/>
      <c r="E7" s="4"/>
      <c r="F7" s="4"/>
      <c r="G7" s="227"/>
      <c r="H7" s="9"/>
    </row>
    <row r="8" spans="1:21" ht="22.5" customHeight="1">
      <c r="A8" s="1354" t="s">
        <v>69</v>
      </c>
      <c r="B8" s="1355"/>
      <c r="C8" s="1355"/>
      <c r="D8" s="1355"/>
      <c r="E8" s="1355"/>
      <c r="F8" s="1355"/>
      <c r="G8" s="1356"/>
      <c r="H8" s="9"/>
    </row>
    <row r="9" spans="1:21" ht="4.5" customHeight="1">
      <c r="A9" s="226"/>
      <c r="B9" s="4"/>
      <c r="C9" s="6"/>
      <c r="D9" s="4"/>
      <c r="E9" s="4"/>
      <c r="F9" s="4"/>
      <c r="G9" s="227"/>
      <c r="H9" s="9"/>
      <c r="I9" s="5"/>
      <c r="J9" s="5"/>
      <c r="K9" s="5"/>
      <c r="L9" s="26"/>
      <c r="M9" s="5"/>
      <c r="N9" s="5"/>
      <c r="O9" s="5"/>
      <c r="P9" s="5"/>
    </row>
    <row r="10" spans="1:21">
      <c r="A10" s="1373" t="s">
        <v>17</v>
      </c>
      <c r="B10" s="1374"/>
      <c r="C10" s="1374"/>
      <c r="D10" s="752" t="s">
        <v>18</v>
      </c>
      <c r="E10" s="752" t="s">
        <v>19</v>
      </c>
      <c r="F10" s="752" t="s">
        <v>20</v>
      </c>
      <c r="G10" s="228" t="s">
        <v>21</v>
      </c>
      <c r="H10" s="27"/>
      <c r="I10" s="28"/>
      <c r="J10" s="29"/>
      <c r="K10" s="30"/>
      <c r="L10" s="30"/>
      <c r="M10" s="30"/>
      <c r="N10" s="30"/>
      <c r="O10" s="30"/>
      <c r="P10" s="5"/>
    </row>
    <row r="11" spans="1:21">
      <c r="A11" s="1352" t="s">
        <v>47</v>
      </c>
      <c r="B11" s="1353"/>
      <c r="C11" s="1353"/>
      <c r="D11" s="752"/>
      <c r="E11" s="83"/>
      <c r="F11" s="97"/>
      <c r="G11" s="229">
        <f>+G39*10%</f>
        <v>30542</v>
      </c>
      <c r="H11" s="9"/>
      <c r="I11" s="30"/>
      <c r="J11" s="31"/>
      <c r="K11" s="30"/>
      <c r="L11" s="30"/>
      <c r="M11" s="30"/>
      <c r="N11" s="30"/>
      <c r="O11" s="30"/>
      <c r="P11" s="5"/>
    </row>
    <row r="12" spans="1:21">
      <c r="A12" s="1371"/>
      <c r="B12" s="1372"/>
      <c r="C12" s="1372"/>
      <c r="D12" s="83"/>
      <c r="E12" s="83"/>
      <c r="F12" s="93"/>
      <c r="G12" s="229"/>
      <c r="H12" s="9"/>
      <c r="I12" s="16"/>
      <c r="J12" s="13"/>
      <c r="K12" s="8"/>
      <c r="L12" s="8"/>
      <c r="M12" s="8"/>
      <c r="N12" s="8"/>
      <c r="O12" s="8"/>
      <c r="P12" s="5"/>
    </row>
    <row r="13" spans="1:21">
      <c r="A13" s="1371"/>
      <c r="B13" s="1372"/>
      <c r="C13" s="1372"/>
      <c r="D13" s="83"/>
      <c r="E13" s="83"/>
      <c r="F13" s="93"/>
      <c r="G13" s="229"/>
      <c r="H13" s="9"/>
      <c r="I13" s="13"/>
      <c r="J13" s="13"/>
      <c r="K13" s="13"/>
      <c r="L13" s="13"/>
      <c r="M13" s="13"/>
      <c r="N13" s="13"/>
      <c r="O13" s="13"/>
      <c r="P13" s="5"/>
    </row>
    <row r="14" spans="1:21">
      <c r="A14" s="1371"/>
      <c r="B14" s="1372"/>
      <c r="C14" s="1372"/>
      <c r="D14" s="83"/>
      <c r="E14" s="83"/>
      <c r="F14" s="93"/>
      <c r="G14" s="229"/>
      <c r="H14" s="9"/>
      <c r="I14" s="8"/>
      <c r="J14" s="14"/>
      <c r="K14" s="32"/>
      <c r="L14" s="14"/>
      <c r="M14" s="15"/>
      <c r="N14" s="15"/>
      <c r="O14" s="19"/>
      <c r="P14" s="5"/>
    </row>
    <row r="15" spans="1:21">
      <c r="A15" s="1371"/>
      <c r="B15" s="1372"/>
      <c r="C15" s="1372"/>
      <c r="D15" s="83"/>
      <c r="E15" s="83"/>
      <c r="F15" s="98"/>
      <c r="G15" s="229"/>
      <c r="H15" s="9"/>
      <c r="I15" s="8"/>
      <c r="J15" s="33"/>
      <c r="K15" s="32"/>
      <c r="L15" s="14"/>
      <c r="M15" s="15"/>
      <c r="N15" s="15"/>
      <c r="O15" s="19"/>
      <c r="P15" s="5"/>
      <c r="Q15" s="5"/>
      <c r="R15" s="5"/>
      <c r="S15" s="5"/>
      <c r="T15" s="5"/>
      <c r="U15" s="5"/>
    </row>
    <row r="16" spans="1:21">
      <c r="A16" s="1371"/>
      <c r="B16" s="1372"/>
      <c r="C16" s="1372"/>
      <c r="D16" s="85" t="s">
        <v>37</v>
      </c>
      <c r="E16" s="50"/>
      <c r="F16" s="49"/>
      <c r="G16" s="230">
        <f>SUM(G11:G15)</f>
        <v>30542</v>
      </c>
      <c r="H16" s="9"/>
      <c r="I16" s="34"/>
      <c r="J16" s="34"/>
      <c r="K16" s="35"/>
      <c r="L16" s="36"/>
      <c r="M16" s="7"/>
      <c r="N16" s="7"/>
      <c r="O16" s="19"/>
      <c r="P16" s="5"/>
      <c r="Q16" s="5"/>
      <c r="R16" s="5"/>
      <c r="S16" s="5"/>
      <c r="T16" s="5"/>
      <c r="U16" s="5"/>
    </row>
    <row r="17" spans="1:21" ht="4.5" customHeight="1">
      <c r="A17" s="226"/>
      <c r="B17" s="4"/>
      <c r="C17" s="6"/>
      <c r="D17" s="4"/>
      <c r="E17" s="4"/>
      <c r="F17" s="4"/>
      <c r="G17" s="227"/>
      <c r="H17" s="9"/>
      <c r="I17" s="34"/>
      <c r="J17" s="34"/>
      <c r="K17" s="35"/>
      <c r="L17" s="36"/>
      <c r="M17" s="7"/>
      <c r="N17" s="7"/>
      <c r="O17" s="19"/>
      <c r="P17" s="5"/>
      <c r="Q17" s="5"/>
      <c r="R17" s="5"/>
      <c r="S17" s="5"/>
      <c r="T17" s="5"/>
      <c r="U17" s="5"/>
    </row>
    <row r="18" spans="1:21" ht="22.5" customHeight="1">
      <c r="A18" s="1354" t="s">
        <v>70</v>
      </c>
      <c r="B18" s="1355"/>
      <c r="C18" s="1355"/>
      <c r="D18" s="1355"/>
      <c r="E18" s="1355"/>
      <c r="F18" s="1355"/>
      <c r="G18" s="1356"/>
      <c r="H18" s="9"/>
    </row>
    <row r="19" spans="1:21" ht="4.5" customHeight="1">
      <c r="A19" s="226"/>
      <c r="B19" s="4"/>
      <c r="C19" s="6"/>
      <c r="D19" s="4"/>
      <c r="E19" s="4"/>
      <c r="F19" s="38"/>
      <c r="G19" s="227"/>
      <c r="H19" s="9"/>
      <c r="I19" s="34"/>
      <c r="J19" s="34"/>
      <c r="K19" s="35"/>
      <c r="L19" s="39"/>
      <c r="M19" s="7"/>
      <c r="N19" s="7"/>
      <c r="O19" s="8"/>
      <c r="P19" s="5"/>
      <c r="Q19" s="5"/>
      <c r="R19" s="5"/>
      <c r="S19" s="5"/>
      <c r="T19" s="5"/>
      <c r="U19" s="5"/>
    </row>
    <row r="20" spans="1:21">
      <c r="A20" s="1373" t="s">
        <v>17</v>
      </c>
      <c r="B20" s="1374"/>
      <c r="C20" s="1374"/>
      <c r="D20" s="752" t="s">
        <v>3</v>
      </c>
      <c r="E20" s="752" t="s">
        <v>4</v>
      </c>
      <c r="F20" s="752" t="s">
        <v>25</v>
      </c>
      <c r="G20" s="228" t="s">
        <v>21</v>
      </c>
      <c r="H20" s="27"/>
      <c r="I20" s="34"/>
      <c r="J20" s="34"/>
      <c r="K20" s="35"/>
      <c r="L20" s="39"/>
      <c r="M20" s="7"/>
      <c r="N20" s="7"/>
      <c r="O20" s="8"/>
      <c r="P20" s="5"/>
      <c r="Q20" s="5"/>
      <c r="R20" s="5"/>
      <c r="S20" s="5"/>
      <c r="T20" s="5"/>
      <c r="U20" s="5"/>
    </row>
    <row r="21" spans="1:21" ht="31.5" customHeight="1">
      <c r="A21" s="1441" t="s">
        <v>266</v>
      </c>
      <c r="B21" s="1442"/>
      <c r="C21" s="1443"/>
      <c r="D21" s="118" t="s">
        <v>44</v>
      </c>
      <c r="E21" s="119">
        <f>PI()*(1+0.26)^2*0.2</f>
        <v>1</v>
      </c>
      <c r="F21" s="87">
        <f>'CONC 4000 PSI '!G43</f>
        <v>461971</v>
      </c>
      <c r="G21" s="67">
        <f>+F21*E21</f>
        <v>461971</v>
      </c>
      <c r="H21" s="9"/>
      <c r="I21" s="34"/>
      <c r="J21" s="34"/>
      <c r="K21" s="35"/>
      <c r="L21" s="36"/>
      <c r="M21" s="7"/>
      <c r="N21" s="7"/>
      <c r="O21" s="19"/>
      <c r="P21" s="5"/>
      <c r="Q21" s="5"/>
      <c r="R21" s="5"/>
      <c r="S21" s="5"/>
      <c r="T21" s="5"/>
      <c r="U21" s="5"/>
    </row>
    <row r="22" spans="1:21" ht="27.75" customHeight="1">
      <c r="A22" s="1444" t="s">
        <v>712</v>
      </c>
      <c r="B22" s="1403"/>
      <c r="C22" s="1404"/>
      <c r="D22" s="116"/>
      <c r="E22" s="117"/>
      <c r="F22" s="91"/>
      <c r="G22" s="67"/>
      <c r="H22" s="9"/>
      <c r="I22" s="10"/>
      <c r="J22" s="10"/>
      <c r="K22" s="12"/>
      <c r="L22" s="39"/>
      <c r="M22" s="7"/>
      <c r="N22" s="7"/>
      <c r="O22" s="15"/>
      <c r="P22" s="5"/>
      <c r="Q22" s="5"/>
      <c r="R22" s="5"/>
      <c r="S22" s="5"/>
      <c r="T22" s="5"/>
      <c r="U22" s="5"/>
    </row>
    <row r="23" spans="1:21">
      <c r="A23" s="1386"/>
      <c r="B23" s="1353"/>
      <c r="C23" s="1353"/>
      <c r="D23" s="79"/>
      <c r="E23" s="82"/>
      <c r="F23" s="83"/>
      <c r="G23" s="67"/>
      <c r="H23" s="9"/>
      <c r="I23" s="10"/>
      <c r="J23" s="10"/>
      <c r="K23" s="12"/>
      <c r="L23" s="39"/>
      <c r="M23" s="7"/>
      <c r="N23" s="7"/>
      <c r="O23" s="15"/>
      <c r="P23" s="5"/>
      <c r="Q23" s="5"/>
      <c r="R23" s="5"/>
      <c r="S23" s="5"/>
      <c r="T23" s="5"/>
      <c r="U23" s="5"/>
    </row>
    <row r="24" spans="1:21" ht="27" customHeight="1">
      <c r="A24" s="1377"/>
      <c r="B24" s="1378"/>
      <c r="C24" s="1378"/>
      <c r="D24" s="81"/>
      <c r="E24" s="88"/>
      <c r="F24" s="78"/>
      <c r="G24" s="67"/>
      <c r="H24" s="9"/>
      <c r="I24" s="10"/>
      <c r="J24" s="40"/>
      <c r="K24" s="12"/>
      <c r="L24" s="13"/>
      <c r="M24" s="14"/>
      <c r="N24" s="14"/>
      <c r="O24" s="15"/>
      <c r="P24" s="5"/>
      <c r="Q24" s="5"/>
      <c r="R24" s="5"/>
      <c r="S24" s="5"/>
      <c r="T24" s="5"/>
      <c r="U24" s="5"/>
    </row>
    <row r="25" spans="1:21">
      <c r="A25" s="1352"/>
      <c r="B25" s="1353"/>
      <c r="C25" s="1353"/>
      <c r="D25" s="81"/>
      <c r="E25" s="82"/>
      <c r="F25" s="78"/>
      <c r="G25" s="67"/>
      <c r="H25" s="9"/>
      <c r="I25" s="10"/>
      <c r="J25" s="11"/>
      <c r="K25" s="12"/>
      <c r="L25" s="13"/>
      <c r="M25" s="14"/>
      <c r="N25" s="14"/>
      <c r="O25" s="15"/>
      <c r="P25" s="5"/>
      <c r="Q25" s="5"/>
      <c r="R25" s="5"/>
      <c r="S25" s="5"/>
      <c r="T25" s="5"/>
      <c r="U25" s="5"/>
    </row>
    <row r="26" spans="1:21">
      <c r="A26" s="1352"/>
      <c r="B26" s="1353"/>
      <c r="C26" s="1353"/>
      <c r="D26" s="79"/>
      <c r="E26" s="82"/>
      <c r="F26" s="78"/>
      <c r="G26" s="67"/>
      <c r="H26" s="9"/>
      <c r="I26" s="10"/>
      <c r="J26" s="11"/>
      <c r="K26" s="12"/>
      <c r="L26" s="13"/>
      <c r="M26" s="14"/>
      <c r="N26" s="14"/>
      <c r="O26" s="15"/>
      <c r="P26" s="5"/>
      <c r="Q26" s="5"/>
      <c r="R26" s="5"/>
      <c r="S26" s="5"/>
      <c r="T26" s="5"/>
      <c r="U26" s="5"/>
    </row>
    <row r="27" spans="1:21">
      <c r="A27" s="1352"/>
      <c r="B27" s="1353"/>
      <c r="C27" s="1353"/>
      <c r="D27" s="79"/>
      <c r="E27" s="82"/>
      <c r="F27" s="78"/>
      <c r="G27" s="231"/>
      <c r="H27" s="9"/>
      <c r="I27" s="10"/>
      <c r="J27" s="11"/>
      <c r="K27" s="12"/>
      <c r="L27" s="13"/>
      <c r="M27" s="14"/>
      <c r="N27" s="14"/>
      <c r="O27" s="15"/>
      <c r="P27" s="5"/>
      <c r="Q27" s="5"/>
      <c r="R27" s="5"/>
      <c r="S27" s="5"/>
      <c r="T27" s="5"/>
      <c r="U27" s="5"/>
    </row>
    <row r="28" spans="1:21">
      <c r="A28" s="1352"/>
      <c r="B28" s="1353"/>
      <c r="C28" s="1353"/>
      <c r="D28" s="79"/>
      <c r="E28" s="82"/>
      <c r="F28" s="83"/>
      <c r="G28" s="231"/>
      <c r="H28" s="9"/>
      <c r="I28" s="41"/>
      <c r="J28" s="41"/>
      <c r="K28" s="12"/>
      <c r="L28" s="13"/>
      <c r="M28" s="14"/>
      <c r="N28" s="14"/>
      <c r="O28" s="15"/>
      <c r="P28" s="5"/>
      <c r="Q28" s="5"/>
      <c r="R28" s="5"/>
      <c r="S28" s="5"/>
      <c r="T28" s="5"/>
      <c r="U28" s="5"/>
    </row>
    <row r="29" spans="1:21">
      <c r="A29" s="1352"/>
      <c r="B29" s="1353"/>
      <c r="C29" s="1353"/>
      <c r="D29" s="84"/>
      <c r="E29" s="84"/>
      <c r="F29" s="83"/>
      <c r="G29" s="231"/>
      <c r="H29" s="9"/>
      <c r="I29" s="42"/>
      <c r="J29" s="42"/>
      <c r="K29" s="42"/>
      <c r="L29" s="13"/>
      <c r="M29" s="14"/>
      <c r="N29" s="14"/>
      <c r="O29" s="15"/>
      <c r="P29" s="5"/>
      <c r="Q29" s="5"/>
      <c r="R29" s="5"/>
      <c r="S29" s="5"/>
      <c r="T29" s="5"/>
      <c r="U29" s="5"/>
    </row>
    <row r="30" spans="1:21">
      <c r="A30" s="1352"/>
      <c r="B30" s="1353"/>
      <c r="C30" s="1353"/>
      <c r="D30" s="85" t="s">
        <v>28</v>
      </c>
      <c r="E30" s="50"/>
      <c r="F30" s="49"/>
      <c r="G30" s="230">
        <f>SUM(G21:G29)</f>
        <v>461971</v>
      </c>
      <c r="H30" s="9"/>
      <c r="I30" s="8"/>
      <c r="J30" s="13"/>
      <c r="K30" s="8"/>
      <c r="L30" s="13"/>
      <c r="M30" s="14"/>
      <c r="N30" s="14"/>
      <c r="O30" s="15"/>
      <c r="P30" s="5"/>
    </row>
    <row r="31" spans="1:21" ht="3.75" customHeight="1">
      <c r="A31" s="226"/>
      <c r="B31" s="4"/>
      <c r="C31" s="6"/>
      <c r="D31" s="4"/>
      <c r="E31" s="4"/>
      <c r="F31" s="4"/>
      <c r="G31" s="227"/>
      <c r="H31" s="9"/>
      <c r="I31" s="8"/>
      <c r="J31" s="13"/>
      <c r="K31" s="18"/>
      <c r="L31" s="13"/>
      <c r="M31" s="33"/>
      <c r="N31" s="33"/>
      <c r="O31" s="15"/>
      <c r="P31" s="5"/>
    </row>
    <row r="32" spans="1:21" ht="22.5" customHeight="1">
      <c r="A32" s="1354" t="s">
        <v>71</v>
      </c>
      <c r="B32" s="1355"/>
      <c r="C32" s="1355"/>
      <c r="D32" s="1355"/>
      <c r="E32" s="1355"/>
      <c r="F32" s="1355"/>
      <c r="G32" s="1356"/>
      <c r="H32" s="9"/>
    </row>
    <row r="33" spans="1:16" ht="3.75" customHeight="1">
      <c r="A33" s="226"/>
      <c r="B33" s="4"/>
      <c r="C33" s="6"/>
      <c r="D33" s="4"/>
      <c r="E33" s="4"/>
      <c r="F33" s="4"/>
      <c r="G33" s="227"/>
      <c r="H33" s="9"/>
      <c r="I33" s="8"/>
      <c r="J33" s="13"/>
      <c r="K33" s="8"/>
      <c r="L33" s="8"/>
      <c r="M33" s="8"/>
      <c r="N33" s="8"/>
      <c r="O33" s="15"/>
      <c r="P33" s="5"/>
    </row>
    <row r="34" spans="1:16">
      <c r="A34" s="232" t="s">
        <v>5</v>
      </c>
      <c r="B34" s="60" t="s">
        <v>29</v>
      </c>
      <c r="C34" s="60" t="s">
        <v>30</v>
      </c>
      <c r="D34" s="60" t="s">
        <v>31</v>
      </c>
      <c r="E34" s="60" t="s">
        <v>32</v>
      </c>
      <c r="F34" s="60" t="s">
        <v>20</v>
      </c>
      <c r="G34" s="228" t="s">
        <v>33</v>
      </c>
      <c r="H34" s="27"/>
      <c r="I34" s="8"/>
      <c r="J34" s="13"/>
      <c r="K34" s="8"/>
      <c r="L34" s="8"/>
      <c r="M34" s="8"/>
      <c r="N34" s="8"/>
      <c r="O34" s="15"/>
      <c r="P34" s="5"/>
    </row>
    <row r="35" spans="1:16">
      <c r="A35" s="233" t="s">
        <v>41</v>
      </c>
      <c r="B35" s="63">
        <f>BOF</f>
        <v>51749</v>
      </c>
      <c r="C35" s="68">
        <f>ffpp</f>
        <v>0.64539999999999997</v>
      </c>
      <c r="D35" s="72">
        <v>1</v>
      </c>
      <c r="E35" s="66">
        <f>OF</f>
        <v>88696</v>
      </c>
      <c r="F35" s="65">
        <v>1</v>
      </c>
      <c r="G35" s="231">
        <f>ROUND(+D35*E35/F35,0)</f>
        <v>88696</v>
      </c>
      <c r="H35" s="9"/>
      <c r="I35" s="16"/>
      <c r="J35" s="13"/>
      <c r="K35" s="8"/>
      <c r="L35" s="8"/>
      <c r="M35" s="8"/>
      <c r="N35" s="8"/>
      <c r="O35" s="15"/>
      <c r="P35" s="5"/>
    </row>
    <row r="36" spans="1:16">
      <c r="A36" s="233" t="s">
        <v>38</v>
      </c>
      <c r="B36" s="63">
        <f>BOB</f>
        <v>41749</v>
      </c>
      <c r="C36" s="68">
        <f>ffpp</f>
        <v>0.64539999999999997</v>
      </c>
      <c r="D36" s="72">
        <v>3</v>
      </c>
      <c r="E36" s="66">
        <f>OB</f>
        <v>72242</v>
      </c>
      <c r="F36" s="65">
        <f>F35</f>
        <v>1</v>
      </c>
      <c r="G36" s="231">
        <f>ROUND(+D36*E36/F36,0)</f>
        <v>216726</v>
      </c>
      <c r="H36" s="9"/>
      <c r="I36" s="8"/>
      <c r="J36" s="8"/>
      <c r="K36" s="13"/>
      <c r="L36" s="13"/>
      <c r="M36" s="13"/>
      <c r="N36" s="13"/>
      <c r="O36" s="13"/>
      <c r="P36" s="5"/>
    </row>
    <row r="37" spans="1:16">
      <c r="A37" s="234"/>
      <c r="B37" s="50"/>
      <c r="C37" s="961"/>
      <c r="D37" s="50"/>
      <c r="E37" s="66"/>
      <c r="F37" s="65"/>
      <c r="G37" s="231"/>
      <c r="H37" s="9"/>
      <c r="I37" s="8"/>
      <c r="J37" s="13"/>
      <c r="K37" s="13"/>
      <c r="L37" s="13"/>
      <c r="M37" s="33"/>
      <c r="N37" s="33"/>
      <c r="O37" s="43"/>
      <c r="P37" s="5"/>
    </row>
    <row r="38" spans="1:16">
      <c r="A38" s="233"/>
      <c r="B38" s="65"/>
      <c r="C38" s="68"/>
      <c r="D38" s="65"/>
      <c r="E38" s="69"/>
      <c r="F38" s="69"/>
      <c r="G38" s="236"/>
      <c r="H38" s="9"/>
      <c r="I38" s="8"/>
      <c r="J38" s="13"/>
      <c r="K38" s="13"/>
      <c r="L38" s="13"/>
      <c r="M38" s="33"/>
      <c r="N38" s="33"/>
      <c r="O38" s="43"/>
      <c r="P38" s="5"/>
    </row>
    <row r="39" spans="1:16">
      <c r="A39" s="249"/>
      <c r="B39" s="71"/>
      <c r="C39" s="71"/>
      <c r="D39" s="71" t="s">
        <v>34</v>
      </c>
      <c r="E39" s="71"/>
      <c r="F39" s="71"/>
      <c r="G39" s="250">
        <f>SUM(G35:G38)</f>
        <v>305422</v>
      </c>
      <c r="H39" s="9"/>
      <c r="I39" s="8"/>
      <c r="J39" s="13"/>
      <c r="K39" s="13"/>
      <c r="L39" s="13"/>
      <c r="M39" s="14"/>
      <c r="N39" s="14"/>
      <c r="O39" s="15"/>
      <c r="P39" s="5"/>
    </row>
    <row r="40" spans="1:16">
      <c r="A40" s="226"/>
      <c r="B40" s="4"/>
      <c r="C40" s="6"/>
      <c r="D40" s="4"/>
      <c r="E40" s="4"/>
      <c r="F40" s="4"/>
      <c r="G40" s="227"/>
      <c r="H40" s="9"/>
      <c r="I40" s="8"/>
      <c r="J40" s="13"/>
      <c r="K40" s="13"/>
      <c r="L40" s="13"/>
      <c r="M40" s="14"/>
      <c r="N40" s="14"/>
      <c r="O40" s="19"/>
      <c r="P40" s="5"/>
    </row>
    <row r="41" spans="1:16">
      <c r="A41" s="226"/>
      <c r="B41" s="4"/>
      <c r="C41" s="6"/>
      <c r="D41" s="4"/>
      <c r="E41" s="4"/>
      <c r="F41" s="4"/>
      <c r="G41" s="227"/>
      <c r="H41" s="9"/>
      <c r="I41" s="8"/>
      <c r="J41" s="13"/>
      <c r="K41" s="13"/>
      <c r="L41" s="13"/>
      <c r="M41" s="17"/>
      <c r="N41" s="17"/>
      <c r="O41" s="37"/>
      <c r="P41" s="5"/>
    </row>
    <row r="42" spans="1:16" ht="14.25">
      <c r="A42" s="226"/>
      <c r="B42" s="4"/>
      <c r="C42" s="6"/>
      <c r="D42" s="1357" t="s">
        <v>35</v>
      </c>
      <c r="E42" s="1358"/>
      <c r="F42" s="1359"/>
      <c r="G42" s="239">
        <f>+G39+G30+G16</f>
        <v>797935</v>
      </c>
      <c r="H42" s="9"/>
      <c r="I42" s="48"/>
      <c r="J42" s="20"/>
      <c r="K42" s="8"/>
      <c r="L42" s="8"/>
      <c r="M42" s="8"/>
      <c r="N42" s="8"/>
      <c r="O42" s="8"/>
      <c r="P42" s="5"/>
    </row>
    <row r="43" spans="1:16" ht="14.25">
      <c r="A43" s="240"/>
      <c r="B43" s="57"/>
      <c r="C43" s="58"/>
      <c r="D43" s="99"/>
      <c r="E43" s="99"/>
      <c r="F43" s="99"/>
      <c r="G43" s="251"/>
      <c r="H43" s="9"/>
      <c r="I43" s="48"/>
      <c r="J43" s="20"/>
      <c r="K43" s="8"/>
      <c r="L43" s="8"/>
      <c r="M43" s="8"/>
      <c r="N43" s="8"/>
      <c r="O43" s="8"/>
      <c r="P43" s="5"/>
    </row>
    <row r="44" spans="1:16" ht="14.25">
      <c r="A44" s="374"/>
      <c r="B44" s="375"/>
      <c r="C44" s="375"/>
      <c r="D44" s="99"/>
      <c r="E44" s="99"/>
      <c r="F44" s="99"/>
      <c r="G44" s="251"/>
      <c r="H44" s="9"/>
      <c r="I44" s="48"/>
      <c r="J44" s="20"/>
      <c r="K44" s="8"/>
      <c r="L44" s="8"/>
      <c r="M44" s="8"/>
      <c r="N44" s="8"/>
      <c r="O44" s="8"/>
      <c r="P44" s="5"/>
    </row>
    <row r="45" spans="1:16" ht="14.25">
      <c r="A45" s="373"/>
      <c r="B45" s="376"/>
      <c r="C45" s="376"/>
      <c r="D45" s="99"/>
      <c r="E45" s="99"/>
      <c r="F45" s="99"/>
      <c r="G45" s="251"/>
      <c r="H45" s="9"/>
      <c r="I45" s="48"/>
      <c r="J45" s="20"/>
      <c r="K45" s="8"/>
      <c r="L45" s="8"/>
      <c r="M45" s="8"/>
      <c r="N45" s="8"/>
      <c r="O45" s="8"/>
      <c r="P45" s="5"/>
    </row>
    <row r="46" spans="1:16" ht="14.25">
      <c r="A46" s="373"/>
      <c r="B46" s="376"/>
      <c r="C46" s="376"/>
      <c r="D46" s="44"/>
      <c r="E46" s="45"/>
      <c r="F46" s="45"/>
      <c r="G46" s="251"/>
      <c r="H46" s="9"/>
      <c r="I46" s="8"/>
      <c r="J46" s="13"/>
      <c r="K46" s="8"/>
      <c r="L46" s="8"/>
      <c r="M46" s="8"/>
      <c r="N46" s="8"/>
      <c r="O46" s="8"/>
      <c r="P46" s="5"/>
    </row>
    <row r="47" spans="1:16" ht="15" thickBot="1">
      <c r="A47" s="242"/>
      <c r="B47" s="243"/>
      <c r="C47" s="244"/>
      <c r="D47" s="245"/>
      <c r="E47" s="246"/>
      <c r="F47" s="246"/>
      <c r="G47" s="247"/>
      <c r="H47" s="9"/>
      <c r="I47" s="8"/>
      <c r="J47" s="13"/>
      <c r="K47" s="8"/>
      <c r="L47" s="8"/>
      <c r="M47" s="8"/>
      <c r="N47" s="8"/>
      <c r="O47" s="8"/>
      <c r="P47" s="5"/>
    </row>
    <row r="48" spans="1:16">
      <c r="I48" s="5"/>
      <c r="J48" s="5"/>
      <c r="K48" s="5"/>
      <c r="L48" s="5"/>
      <c r="M48" s="5"/>
      <c r="N48" s="5"/>
      <c r="O48" s="5"/>
      <c r="P48" s="5"/>
    </row>
    <row r="49" spans="9:16">
      <c r="I49" s="5"/>
      <c r="J49" s="5"/>
      <c r="K49" s="5"/>
      <c r="L49" s="5"/>
      <c r="M49" s="5"/>
      <c r="N49" s="5"/>
      <c r="O49" s="5"/>
      <c r="P49" s="5"/>
    </row>
  </sheetData>
  <mergeCells count="26">
    <mergeCell ref="A10:C10"/>
    <mergeCell ref="A1:G1"/>
    <mergeCell ref="A2:G2"/>
    <mergeCell ref="A3:G4"/>
    <mergeCell ref="B6:E6"/>
    <mergeCell ref="A8:G8"/>
    <mergeCell ref="A24:C24"/>
    <mergeCell ref="A11:C11"/>
    <mergeCell ref="A12:C12"/>
    <mergeCell ref="A13:C13"/>
    <mergeCell ref="A14:C14"/>
    <mergeCell ref="A15:C15"/>
    <mergeCell ref="A16:C16"/>
    <mergeCell ref="A18:G18"/>
    <mergeCell ref="A20:C20"/>
    <mergeCell ref="A21:C21"/>
    <mergeCell ref="A22:C22"/>
    <mergeCell ref="A23:C23"/>
    <mergeCell ref="A32:G32"/>
    <mergeCell ref="D42:F42"/>
    <mergeCell ref="A25:C25"/>
    <mergeCell ref="A26:C26"/>
    <mergeCell ref="A27:C27"/>
    <mergeCell ref="A28:C28"/>
    <mergeCell ref="A29:C29"/>
    <mergeCell ref="A30:C30"/>
  </mergeCells>
  <printOptions horizontalCentered="1" verticalCentered="1"/>
  <pageMargins left="0.74803149606299213" right="0.74803149606299213" top="0" bottom="0.98425196850393704" header="0" footer="0"/>
  <pageSetup scale="90" orientation="portrait" r:id="rId1"/>
  <headerFooter alignWithMargins="0"/>
  <ignoredErrors>
    <ignoredError sqref="A6" numberStoredAsText="1"/>
  </ignoredErrors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04"/>
  <dimension ref="A1:U49"/>
  <sheetViews>
    <sheetView view="pageBreakPreview" topLeftCell="A9" zoomScaleNormal="100" zoomScaleSheetLayoutView="100" workbookViewId="0">
      <selection activeCell="I7" sqref="I7"/>
    </sheetView>
  </sheetViews>
  <sheetFormatPr baseColWidth="10" defaultColWidth="10.7109375" defaultRowHeight="12.75"/>
  <cols>
    <col min="1" max="1" width="15.85546875" style="3" customWidth="1"/>
    <col min="2" max="2" width="14.85546875" style="3" customWidth="1"/>
    <col min="3" max="3" width="13.28515625" style="3" customWidth="1"/>
    <col min="4" max="4" width="11.42578125" style="3"/>
    <col min="5" max="5" width="13.42578125" style="3" customWidth="1"/>
    <col min="6" max="6" width="12.7109375" style="3" customWidth="1"/>
    <col min="7" max="7" width="14" style="3" customWidth="1"/>
    <col min="8" max="8" width="7.42578125" style="3" customWidth="1"/>
    <col min="9" max="256" width="11.42578125" style="3"/>
    <col min="257" max="257" width="15.85546875" style="3" customWidth="1"/>
    <col min="258" max="258" width="14.85546875" style="3" customWidth="1"/>
    <col min="259" max="259" width="13.28515625" style="3" customWidth="1"/>
    <col min="260" max="260" width="11.42578125" style="3"/>
    <col min="261" max="261" width="13.42578125" style="3" customWidth="1"/>
    <col min="262" max="262" width="12.7109375" style="3" customWidth="1"/>
    <col min="263" max="263" width="14" style="3" customWidth="1"/>
    <col min="264" max="264" width="7.42578125" style="3" customWidth="1"/>
    <col min="265" max="512" width="11.42578125" style="3"/>
    <col min="513" max="513" width="15.85546875" style="3" customWidth="1"/>
    <col min="514" max="514" width="14.85546875" style="3" customWidth="1"/>
    <col min="515" max="515" width="13.28515625" style="3" customWidth="1"/>
    <col min="516" max="516" width="11.42578125" style="3"/>
    <col min="517" max="517" width="13.42578125" style="3" customWidth="1"/>
    <col min="518" max="518" width="12.7109375" style="3" customWidth="1"/>
    <col min="519" max="519" width="14" style="3" customWidth="1"/>
    <col min="520" max="520" width="7.42578125" style="3" customWidth="1"/>
    <col min="521" max="768" width="11.42578125" style="3"/>
    <col min="769" max="769" width="15.85546875" style="3" customWidth="1"/>
    <col min="770" max="770" width="14.85546875" style="3" customWidth="1"/>
    <col min="771" max="771" width="13.28515625" style="3" customWidth="1"/>
    <col min="772" max="772" width="11.42578125" style="3"/>
    <col min="773" max="773" width="13.42578125" style="3" customWidth="1"/>
    <col min="774" max="774" width="12.7109375" style="3" customWidth="1"/>
    <col min="775" max="775" width="14" style="3" customWidth="1"/>
    <col min="776" max="776" width="7.42578125" style="3" customWidth="1"/>
    <col min="777" max="1024" width="11.42578125" style="3"/>
    <col min="1025" max="1025" width="15.85546875" style="3" customWidth="1"/>
    <col min="1026" max="1026" width="14.85546875" style="3" customWidth="1"/>
    <col min="1027" max="1027" width="13.28515625" style="3" customWidth="1"/>
    <col min="1028" max="1028" width="11.42578125" style="3"/>
    <col min="1029" max="1029" width="13.42578125" style="3" customWidth="1"/>
    <col min="1030" max="1030" width="12.7109375" style="3" customWidth="1"/>
    <col min="1031" max="1031" width="14" style="3" customWidth="1"/>
    <col min="1032" max="1032" width="7.42578125" style="3" customWidth="1"/>
    <col min="1033" max="1280" width="11.42578125" style="3"/>
    <col min="1281" max="1281" width="15.85546875" style="3" customWidth="1"/>
    <col min="1282" max="1282" width="14.85546875" style="3" customWidth="1"/>
    <col min="1283" max="1283" width="13.28515625" style="3" customWidth="1"/>
    <col min="1284" max="1284" width="11.42578125" style="3"/>
    <col min="1285" max="1285" width="13.42578125" style="3" customWidth="1"/>
    <col min="1286" max="1286" width="12.7109375" style="3" customWidth="1"/>
    <col min="1287" max="1287" width="14" style="3" customWidth="1"/>
    <col min="1288" max="1288" width="7.42578125" style="3" customWidth="1"/>
    <col min="1289" max="1536" width="11.42578125" style="3"/>
    <col min="1537" max="1537" width="15.85546875" style="3" customWidth="1"/>
    <col min="1538" max="1538" width="14.85546875" style="3" customWidth="1"/>
    <col min="1539" max="1539" width="13.28515625" style="3" customWidth="1"/>
    <col min="1540" max="1540" width="11.42578125" style="3"/>
    <col min="1541" max="1541" width="13.42578125" style="3" customWidth="1"/>
    <col min="1542" max="1542" width="12.7109375" style="3" customWidth="1"/>
    <col min="1543" max="1543" width="14" style="3" customWidth="1"/>
    <col min="1544" max="1544" width="7.42578125" style="3" customWidth="1"/>
    <col min="1545" max="1792" width="11.42578125" style="3"/>
    <col min="1793" max="1793" width="15.85546875" style="3" customWidth="1"/>
    <col min="1794" max="1794" width="14.85546875" style="3" customWidth="1"/>
    <col min="1795" max="1795" width="13.28515625" style="3" customWidth="1"/>
    <col min="1796" max="1796" width="11.42578125" style="3"/>
    <col min="1797" max="1797" width="13.42578125" style="3" customWidth="1"/>
    <col min="1798" max="1798" width="12.7109375" style="3" customWidth="1"/>
    <col min="1799" max="1799" width="14" style="3" customWidth="1"/>
    <col min="1800" max="1800" width="7.42578125" style="3" customWidth="1"/>
    <col min="1801" max="2048" width="11.42578125" style="3"/>
    <col min="2049" max="2049" width="15.85546875" style="3" customWidth="1"/>
    <col min="2050" max="2050" width="14.85546875" style="3" customWidth="1"/>
    <col min="2051" max="2051" width="13.28515625" style="3" customWidth="1"/>
    <col min="2052" max="2052" width="11.42578125" style="3"/>
    <col min="2053" max="2053" width="13.42578125" style="3" customWidth="1"/>
    <col min="2054" max="2054" width="12.7109375" style="3" customWidth="1"/>
    <col min="2055" max="2055" width="14" style="3" customWidth="1"/>
    <col min="2056" max="2056" width="7.42578125" style="3" customWidth="1"/>
    <col min="2057" max="2304" width="11.42578125" style="3"/>
    <col min="2305" max="2305" width="15.85546875" style="3" customWidth="1"/>
    <col min="2306" max="2306" width="14.85546875" style="3" customWidth="1"/>
    <col min="2307" max="2307" width="13.28515625" style="3" customWidth="1"/>
    <col min="2308" max="2308" width="11.42578125" style="3"/>
    <col min="2309" max="2309" width="13.42578125" style="3" customWidth="1"/>
    <col min="2310" max="2310" width="12.7109375" style="3" customWidth="1"/>
    <col min="2311" max="2311" width="14" style="3" customWidth="1"/>
    <col min="2312" max="2312" width="7.42578125" style="3" customWidth="1"/>
    <col min="2313" max="2560" width="11.42578125" style="3"/>
    <col min="2561" max="2561" width="15.85546875" style="3" customWidth="1"/>
    <col min="2562" max="2562" width="14.85546875" style="3" customWidth="1"/>
    <col min="2563" max="2563" width="13.28515625" style="3" customWidth="1"/>
    <col min="2564" max="2564" width="11.42578125" style="3"/>
    <col min="2565" max="2565" width="13.42578125" style="3" customWidth="1"/>
    <col min="2566" max="2566" width="12.7109375" style="3" customWidth="1"/>
    <col min="2567" max="2567" width="14" style="3" customWidth="1"/>
    <col min="2568" max="2568" width="7.42578125" style="3" customWidth="1"/>
    <col min="2569" max="2816" width="11.42578125" style="3"/>
    <col min="2817" max="2817" width="15.85546875" style="3" customWidth="1"/>
    <col min="2818" max="2818" width="14.85546875" style="3" customWidth="1"/>
    <col min="2819" max="2819" width="13.28515625" style="3" customWidth="1"/>
    <col min="2820" max="2820" width="11.42578125" style="3"/>
    <col min="2821" max="2821" width="13.42578125" style="3" customWidth="1"/>
    <col min="2822" max="2822" width="12.7109375" style="3" customWidth="1"/>
    <col min="2823" max="2823" width="14" style="3" customWidth="1"/>
    <col min="2824" max="2824" width="7.42578125" style="3" customWidth="1"/>
    <col min="2825" max="3072" width="11.42578125" style="3"/>
    <col min="3073" max="3073" width="15.85546875" style="3" customWidth="1"/>
    <col min="3074" max="3074" width="14.85546875" style="3" customWidth="1"/>
    <col min="3075" max="3075" width="13.28515625" style="3" customWidth="1"/>
    <col min="3076" max="3076" width="11.42578125" style="3"/>
    <col min="3077" max="3077" width="13.42578125" style="3" customWidth="1"/>
    <col min="3078" max="3078" width="12.7109375" style="3" customWidth="1"/>
    <col min="3079" max="3079" width="14" style="3" customWidth="1"/>
    <col min="3080" max="3080" width="7.42578125" style="3" customWidth="1"/>
    <col min="3081" max="3328" width="11.42578125" style="3"/>
    <col min="3329" max="3329" width="15.85546875" style="3" customWidth="1"/>
    <col min="3330" max="3330" width="14.85546875" style="3" customWidth="1"/>
    <col min="3331" max="3331" width="13.28515625" style="3" customWidth="1"/>
    <col min="3332" max="3332" width="11.42578125" style="3"/>
    <col min="3333" max="3333" width="13.42578125" style="3" customWidth="1"/>
    <col min="3334" max="3334" width="12.7109375" style="3" customWidth="1"/>
    <col min="3335" max="3335" width="14" style="3" customWidth="1"/>
    <col min="3336" max="3336" width="7.42578125" style="3" customWidth="1"/>
    <col min="3337" max="3584" width="11.42578125" style="3"/>
    <col min="3585" max="3585" width="15.85546875" style="3" customWidth="1"/>
    <col min="3586" max="3586" width="14.85546875" style="3" customWidth="1"/>
    <col min="3587" max="3587" width="13.28515625" style="3" customWidth="1"/>
    <col min="3588" max="3588" width="11.42578125" style="3"/>
    <col min="3589" max="3589" width="13.42578125" style="3" customWidth="1"/>
    <col min="3590" max="3590" width="12.7109375" style="3" customWidth="1"/>
    <col min="3591" max="3591" width="14" style="3" customWidth="1"/>
    <col min="3592" max="3592" width="7.42578125" style="3" customWidth="1"/>
    <col min="3593" max="3840" width="11.42578125" style="3"/>
    <col min="3841" max="3841" width="15.85546875" style="3" customWidth="1"/>
    <col min="3842" max="3842" width="14.85546875" style="3" customWidth="1"/>
    <col min="3843" max="3843" width="13.28515625" style="3" customWidth="1"/>
    <col min="3844" max="3844" width="11.42578125" style="3"/>
    <col min="3845" max="3845" width="13.42578125" style="3" customWidth="1"/>
    <col min="3846" max="3846" width="12.7109375" style="3" customWidth="1"/>
    <col min="3847" max="3847" width="14" style="3" customWidth="1"/>
    <col min="3848" max="3848" width="7.42578125" style="3" customWidth="1"/>
    <col min="3849" max="4096" width="11.42578125" style="3"/>
    <col min="4097" max="4097" width="15.85546875" style="3" customWidth="1"/>
    <col min="4098" max="4098" width="14.85546875" style="3" customWidth="1"/>
    <col min="4099" max="4099" width="13.28515625" style="3" customWidth="1"/>
    <col min="4100" max="4100" width="11.42578125" style="3"/>
    <col min="4101" max="4101" width="13.42578125" style="3" customWidth="1"/>
    <col min="4102" max="4102" width="12.7109375" style="3" customWidth="1"/>
    <col min="4103" max="4103" width="14" style="3" customWidth="1"/>
    <col min="4104" max="4104" width="7.42578125" style="3" customWidth="1"/>
    <col min="4105" max="4352" width="11.42578125" style="3"/>
    <col min="4353" max="4353" width="15.85546875" style="3" customWidth="1"/>
    <col min="4354" max="4354" width="14.85546875" style="3" customWidth="1"/>
    <col min="4355" max="4355" width="13.28515625" style="3" customWidth="1"/>
    <col min="4356" max="4356" width="11.42578125" style="3"/>
    <col min="4357" max="4357" width="13.42578125" style="3" customWidth="1"/>
    <col min="4358" max="4358" width="12.7109375" style="3" customWidth="1"/>
    <col min="4359" max="4359" width="14" style="3" customWidth="1"/>
    <col min="4360" max="4360" width="7.42578125" style="3" customWidth="1"/>
    <col min="4361" max="4608" width="11.42578125" style="3"/>
    <col min="4609" max="4609" width="15.85546875" style="3" customWidth="1"/>
    <col min="4610" max="4610" width="14.85546875" style="3" customWidth="1"/>
    <col min="4611" max="4611" width="13.28515625" style="3" customWidth="1"/>
    <col min="4612" max="4612" width="11.42578125" style="3"/>
    <col min="4613" max="4613" width="13.42578125" style="3" customWidth="1"/>
    <col min="4614" max="4614" width="12.7109375" style="3" customWidth="1"/>
    <col min="4615" max="4615" width="14" style="3" customWidth="1"/>
    <col min="4616" max="4616" width="7.42578125" style="3" customWidth="1"/>
    <col min="4617" max="4864" width="11.42578125" style="3"/>
    <col min="4865" max="4865" width="15.85546875" style="3" customWidth="1"/>
    <col min="4866" max="4866" width="14.85546875" style="3" customWidth="1"/>
    <col min="4867" max="4867" width="13.28515625" style="3" customWidth="1"/>
    <col min="4868" max="4868" width="11.42578125" style="3"/>
    <col min="4869" max="4869" width="13.42578125" style="3" customWidth="1"/>
    <col min="4870" max="4870" width="12.7109375" style="3" customWidth="1"/>
    <col min="4871" max="4871" width="14" style="3" customWidth="1"/>
    <col min="4872" max="4872" width="7.42578125" style="3" customWidth="1"/>
    <col min="4873" max="5120" width="11.42578125" style="3"/>
    <col min="5121" max="5121" width="15.85546875" style="3" customWidth="1"/>
    <col min="5122" max="5122" width="14.85546875" style="3" customWidth="1"/>
    <col min="5123" max="5123" width="13.28515625" style="3" customWidth="1"/>
    <col min="5124" max="5124" width="11.42578125" style="3"/>
    <col min="5125" max="5125" width="13.42578125" style="3" customWidth="1"/>
    <col min="5126" max="5126" width="12.7109375" style="3" customWidth="1"/>
    <col min="5127" max="5127" width="14" style="3" customWidth="1"/>
    <col min="5128" max="5128" width="7.42578125" style="3" customWidth="1"/>
    <col min="5129" max="5376" width="11.42578125" style="3"/>
    <col min="5377" max="5377" width="15.85546875" style="3" customWidth="1"/>
    <col min="5378" max="5378" width="14.85546875" style="3" customWidth="1"/>
    <col min="5379" max="5379" width="13.28515625" style="3" customWidth="1"/>
    <col min="5380" max="5380" width="11.42578125" style="3"/>
    <col min="5381" max="5381" width="13.42578125" style="3" customWidth="1"/>
    <col min="5382" max="5382" width="12.7109375" style="3" customWidth="1"/>
    <col min="5383" max="5383" width="14" style="3" customWidth="1"/>
    <col min="5384" max="5384" width="7.42578125" style="3" customWidth="1"/>
    <col min="5385" max="5632" width="11.42578125" style="3"/>
    <col min="5633" max="5633" width="15.85546875" style="3" customWidth="1"/>
    <col min="5634" max="5634" width="14.85546875" style="3" customWidth="1"/>
    <col min="5635" max="5635" width="13.28515625" style="3" customWidth="1"/>
    <col min="5636" max="5636" width="11.42578125" style="3"/>
    <col min="5637" max="5637" width="13.42578125" style="3" customWidth="1"/>
    <col min="5638" max="5638" width="12.7109375" style="3" customWidth="1"/>
    <col min="5639" max="5639" width="14" style="3" customWidth="1"/>
    <col min="5640" max="5640" width="7.42578125" style="3" customWidth="1"/>
    <col min="5641" max="5888" width="11.42578125" style="3"/>
    <col min="5889" max="5889" width="15.85546875" style="3" customWidth="1"/>
    <col min="5890" max="5890" width="14.85546875" style="3" customWidth="1"/>
    <col min="5891" max="5891" width="13.28515625" style="3" customWidth="1"/>
    <col min="5892" max="5892" width="11.42578125" style="3"/>
    <col min="5893" max="5893" width="13.42578125" style="3" customWidth="1"/>
    <col min="5894" max="5894" width="12.7109375" style="3" customWidth="1"/>
    <col min="5895" max="5895" width="14" style="3" customWidth="1"/>
    <col min="5896" max="5896" width="7.42578125" style="3" customWidth="1"/>
    <col min="5897" max="6144" width="11.42578125" style="3"/>
    <col min="6145" max="6145" width="15.85546875" style="3" customWidth="1"/>
    <col min="6146" max="6146" width="14.85546875" style="3" customWidth="1"/>
    <col min="6147" max="6147" width="13.28515625" style="3" customWidth="1"/>
    <col min="6148" max="6148" width="11.42578125" style="3"/>
    <col min="6149" max="6149" width="13.42578125" style="3" customWidth="1"/>
    <col min="6150" max="6150" width="12.7109375" style="3" customWidth="1"/>
    <col min="6151" max="6151" width="14" style="3" customWidth="1"/>
    <col min="6152" max="6152" width="7.42578125" style="3" customWidth="1"/>
    <col min="6153" max="6400" width="11.42578125" style="3"/>
    <col min="6401" max="6401" width="15.85546875" style="3" customWidth="1"/>
    <col min="6402" max="6402" width="14.85546875" style="3" customWidth="1"/>
    <col min="6403" max="6403" width="13.28515625" style="3" customWidth="1"/>
    <col min="6404" max="6404" width="11.42578125" style="3"/>
    <col min="6405" max="6405" width="13.42578125" style="3" customWidth="1"/>
    <col min="6406" max="6406" width="12.7109375" style="3" customWidth="1"/>
    <col min="6407" max="6407" width="14" style="3" customWidth="1"/>
    <col min="6408" max="6408" width="7.42578125" style="3" customWidth="1"/>
    <col min="6409" max="6656" width="11.42578125" style="3"/>
    <col min="6657" max="6657" width="15.85546875" style="3" customWidth="1"/>
    <col min="6658" max="6658" width="14.85546875" style="3" customWidth="1"/>
    <col min="6659" max="6659" width="13.28515625" style="3" customWidth="1"/>
    <col min="6660" max="6660" width="11.42578125" style="3"/>
    <col min="6661" max="6661" width="13.42578125" style="3" customWidth="1"/>
    <col min="6662" max="6662" width="12.7109375" style="3" customWidth="1"/>
    <col min="6663" max="6663" width="14" style="3" customWidth="1"/>
    <col min="6664" max="6664" width="7.42578125" style="3" customWidth="1"/>
    <col min="6665" max="6912" width="11.42578125" style="3"/>
    <col min="6913" max="6913" width="15.85546875" style="3" customWidth="1"/>
    <col min="6914" max="6914" width="14.85546875" style="3" customWidth="1"/>
    <col min="6915" max="6915" width="13.28515625" style="3" customWidth="1"/>
    <col min="6916" max="6916" width="11.42578125" style="3"/>
    <col min="6917" max="6917" width="13.42578125" style="3" customWidth="1"/>
    <col min="6918" max="6918" width="12.7109375" style="3" customWidth="1"/>
    <col min="6919" max="6919" width="14" style="3" customWidth="1"/>
    <col min="6920" max="6920" width="7.42578125" style="3" customWidth="1"/>
    <col min="6921" max="7168" width="11.42578125" style="3"/>
    <col min="7169" max="7169" width="15.85546875" style="3" customWidth="1"/>
    <col min="7170" max="7170" width="14.85546875" style="3" customWidth="1"/>
    <col min="7171" max="7171" width="13.28515625" style="3" customWidth="1"/>
    <col min="7172" max="7172" width="11.42578125" style="3"/>
    <col min="7173" max="7173" width="13.42578125" style="3" customWidth="1"/>
    <col min="7174" max="7174" width="12.7109375" style="3" customWidth="1"/>
    <col min="7175" max="7175" width="14" style="3" customWidth="1"/>
    <col min="7176" max="7176" width="7.42578125" style="3" customWidth="1"/>
    <col min="7177" max="7424" width="11.42578125" style="3"/>
    <col min="7425" max="7425" width="15.85546875" style="3" customWidth="1"/>
    <col min="7426" max="7426" width="14.85546875" style="3" customWidth="1"/>
    <col min="7427" max="7427" width="13.28515625" style="3" customWidth="1"/>
    <col min="7428" max="7428" width="11.42578125" style="3"/>
    <col min="7429" max="7429" width="13.42578125" style="3" customWidth="1"/>
    <col min="7430" max="7430" width="12.7109375" style="3" customWidth="1"/>
    <col min="7431" max="7431" width="14" style="3" customWidth="1"/>
    <col min="7432" max="7432" width="7.42578125" style="3" customWidth="1"/>
    <col min="7433" max="7680" width="11.42578125" style="3"/>
    <col min="7681" max="7681" width="15.85546875" style="3" customWidth="1"/>
    <col min="7682" max="7682" width="14.85546875" style="3" customWidth="1"/>
    <col min="7683" max="7683" width="13.28515625" style="3" customWidth="1"/>
    <col min="7684" max="7684" width="11.42578125" style="3"/>
    <col min="7685" max="7685" width="13.42578125" style="3" customWidth="1"/>
    <col min="7686" max="7686" width="12.7109375" style="3" customWidth="1"/>
    <col min="7687" max="7687" width="14" style="3" customWidth="1"/>
    <col min="7688" max="7688" width="7.42578125" style="3" customWidth="1"/>
    <col min="7689" max="7936" width="11.42578125" style="3"/>
    <col min="7937" max="7937" width="15.85546875" style="3" customWidth="1"/>
    <col min="7938" max="7938" width="14.85546875" style="3" customWidth="1"/>
    <col min="7939" max="7939" width="13.28515625" style="3" customWidth="1"/>
    <col min="7940" max="7940" width="11.42578125" style="3"/>
    <col min="7941" max="7941" width="13.42578125" style="3" customWidth="1"/>
    <col min="7942" max="7942" width="12.7109375" style="3" customWidth="1"/>
    <col min="7943" max="7943" width="14" style="3" customWidth="1"/>
    <col min="7944" max="7944" width="7.42578125" style="3" customWidth="1"/>
    <col min="7945" max="8192" width="11.42578125" style="3"/>
    <col min="8193" max="8193" width="15.85546875" style="3" customWidth="1"/>
    <col min="8194" max="8194" width="14.85546875" style="3" customWidth="1"/>
    <col min="8195" max="8195" width="13.28515625" style="3" customWidth="1"/>
    <col min="8196" max="8196" width="11.42578125" style="3"/>
    <col min="8197" max="8197" width="13.42578125" style="3" customWidth="1"/>
    <col min="8198" max="8198" width="12.7109375" style="3" customWidth="1"/>
    <col min="8199" max="8199" width="14" style="3" customWidth="1"/>
    <col min="8200" max="8200" width="7.42578125" style="3" customWidth="1"/>
    <col min="8201" max="8448" width="11.42578125" style="3"/>
    <col min="8449" max="8449" width="15.85546875" style="3" customWidth="1"/>
    <col min="8450" max="8450" width="14.85546875" style="3" customWidth="1"/>
    <col min="8451" max="8451" width="13.28515625" style="3" customWidth="1"/>
    <col min="8452" max="8452" width="11.42578125" style="3"/>
    <col min="8453" max="8453" width="13.42578125" style="3" customWidth="1"/>
    <col min="8454" max="8454" width="12.7109375" style="3" customWidth="1"/>
    <col min="8455" max="8455" width="14" style="3" customWidth="1"/>
    <col min="8456" max="8456" width="7.42578125" style="3" customWidth="1"/>
    <col min="8457" max="8704" width="11.42578125" style="3"/>
    <col min="8705" max="8705" width="15.85546875" style="3" customWidth="1"/>
    <col min="8706" max="8706" width="14.85546875" style="3" customWidth="1"/>
    <col min="8707" max="8707" width="13.28515625" style="3" customWidth="1"/>
    <col min="8708" max="8708" width="11.42578125" style="3"/>
    <col min="8709" max="8709" width="13.42578125" style="3" customWidth="1"/>
    <col min="8710" max="8710" width="12.7109375" style="3" customWidth="1"/>
    <col min="8711" max="8711" width="14" style="3" customWidth="1"/>
    <col min="8712" max="8712" width="7.42578125" style="3" customWidth="1"/>
    <col min="8713" max="8960" width="11.42578125" style="3"/>
    <col min="8961" max="8961" width="15.85546875" style="3" customWidth="1"/>
    <col min="8962" max="8962" width="14.85546875" style="3" customWidth="1"/>
    <col min="8963" max="8963" width="13.28515625" style="3" customWidth="1"/>
    <col min="8964" max="8964" width="11.42578125" style="3"/>
    <col min="8965" max="8965" width="13.42578125" style="3" customWidth="1"/>
    <col min="8966" max="8966" width="12.7109375" style="3" customWidth="1"/>
    <col min="8967" max="8967" width="14" style="3" customWidth="1"/>
    <col min="8968" max="8968" width="7.42578125" style="3" customWidth="1"/>
    <col min="8969" max="9216" width="11.42578125" style="3"/>
    <col min="9217" max="9217" width="15.85546875" style="3" customWidth="1"/>
    <col min="9218" max="9218" width="14.85546875" style="3" customWidth="1"/>
    <col min="9219" max="9219" width="13.28515625" style="3" customWidth="1"/>
    <col min="9220" max="9220" width="11.42578125" style="3"/>
    <col min="9221" max="9221" width="13.42578125" style="3" customWidth="1"/>
    <col min="9222" max="9222" width="12.7109375" style="3" customWidth="1"/>
    <col min="9223" max="9223" width="14" style="3" customWidth="1"/>
    <col min="9224" max="9224" width="7.42578125" style="3" customWidth="1"/>
    <col min="9225" max="9472" width="11.42578125" style="3"/>
    <col min="9473" max="9473" width="15.85546875" style="3" customWidth="1"/>
    <col min="9474" max="9474" width="14.85546875" style="3" customWidth="1"/>
    <col min="9475" max="9475" width="13.28515625" style="3" customWidth="1"/>
    <col min="9476" max="9476" width="11.42578125" style="3"/>
    <col min="9477" max="9477" width="13.42578125" style="3" customWidth="1"/>
    <col min="9478" max="9478" width="12.7109375" style="3" customWidth="1"/>
    <col min="9479" max="9479" width="14" style="3" customWidth="1"/>
    <col min="9480" max="9480" width="7.42578125" style="3" customWidth="1"/>
    <col min="9481" max="9728" width="11.42578125" style="3"/>
    <col min="9729" max="9729" width="15.85546875" style="3" customWidth="1"/>
    <col min="9730" max="9730" width="14.85546875" style="3" customWidth="1"/>
    <col min="9731" max="9731" width="13.28515625" style="3" customWidth="1"/>
    <col min="9732" max="9732" width="11.42578125" style="3"/>
    <col min="9733" max="9733" width="13.42578125" style="3" customWidth="1"/>
    <col min="9734" max="9734" width="12.7109375" style="3" customWidth="1"/>
    <col min="9735" max="9735" width="14" style="3" customWidth="1"/>
    <col min="9736" max="9736" width="7.42578125" style="3" customWidth="1"/>
    <col min="9737" max="9984" width="11.42578125" style="3"/>
    <col min="9985" max="9985" width="15.85546875" style="3" customWidth="1"/>
    <col min="9986" max="9986" width="14.85546875" style="3" customWidth="1"/>
    <col min="9987" max="9987" width="13.28515625" style="3" customWidth="1"/>
    <col min="9988" max="9988" width="11.42578125" style="3"/>
    <col min="9989" max="9989" width="13.42578125" style="3" customWidth="1"/>
    <col min="9990" max="9990" width="12.7109375" style="3" customWidth="1"/>
    <col min="9991" max="9991" width="14" style="3" customWidth="1"/>
    <col min="9992" max="9992" width="7.42578125" style="3" customWidth="1"/>
    <col min="9993" max="10240" width="11.42578125" style="3"/>
    <col min="10241" max="10241" width="15.85546875" style="3" customWidth="1"/>
    <col min="10242" max="10242" width="14.85546875" style="3" customWidth="1"/>
    <col min="10243" max="10243" width="13.28515625" style="3" customWidth="1"/>
    <col min="10244" max="10244" width="11.42578125" style="3"/>
    <col min="10245" max="10245" width="13.42578125" style="3" customWidth="1"/>
    <col min="10246" max="10246" width="12.7109375" style="3" customWidth="1"/>
    <col min="10247" max="10247" width="14" style="3" customWidth="1"/>
    <col min="10248" max="10248" width="7.42578125" style="3" customWidth="1"/>
    <col min="10249" max="10496" width="11.42578125" style="3"/>
    <col min="10497" max="10497" width="15.85546875" style="3" customWidth="1"/>
    <col min="10498" max="10498" width="14.85546875" style="3" customWidth="1"/>
    <col min="10499" max="10499" width="13.28515625" style="3" customWidth="1"/>
    <col min="10500" max="10500" width="11.42578125" style="3"/>
    <col min="10501" max="10501" width="13.42578125" style="3" customWidth="1"/>
    <col min="10502" max="10502" width="12.7109375" style="3" customWidth="1"/>
    <col min="10503" max="10503" width="14" style="3" customWidth="1"/>
    <col min="10504" max="10504" width="7.42578125" style="3" customWidth="1"/>
    <col min="10505" max="10752" width="11.42578125" style="3"/>
    <col min="10753" max="10753" width="15.85546875" style="3" customWidth="1"/>
    <col min="10754" max="10754" width="14.85546875" style="3" customWidth="1"/>
    <col min="10755" max="10755" width="13.28515625" style="3" customWidth="1"/>
    <col min="10756" max="10756" width="11.42578125" style="3"/>
    <col min="10757" max="10757" width="13.42578125" style="3" customWidth="1"/>
    <col min="10758" max="10758" width="12.7109375" style="3" customWidth="1"/>
    <col min="10759" max="10759" width="14" style="3" customWidth="1"/>
    <col min="10760" max="10760" width="7.42578125" style="3" customWidth="1"/>
    <col min="10761" max="11008" width="11.42578125" style="3"/>
    <col min="11009" max="11009" width="15.85546875" style="3" customWidth="1"/>
    <col min="11010" max="11010" width="14.85546875" style="3" customWidth="1"/>
    <col min="11011" max="11011" width="13.28515625" style="3" customWidth="1"/>
    <col min="11012" max="11012" width="11.42578125" style="3"/>
    <col min="11013" max="11013" width="13.42578125" style="3" customWidth="1"/>
    <col min="11014" max="11014" width="12.7109375" style="3" customWidth="1"/>
    <col min="11015" max="11015" width="14" style="3" customWidth="1"/>
    <col min="11016" max="11016" width="7.42578125" style="3" customWidth="1"/>
    <col min="11017" max="11264" width="11.42578125" style="3"/>
    <col min="11265" max="11265" width="15.85546875" style="3" customWidth="1"/>
    <col min="11266" max="11266" width="14.85546875" style="3" customWidth="1"/>
    <col min="11267" max="11267" width="13.28515625" style="3" customWidth="1"/>
    <col min="11268" max="11268" width="11.42578125" style="3"/>
    <col min="11269" max="11269" width="13.42578125" style="3" customWidth="1"/>
    <col min="11270" max="11270" width="12.7109375" style="3" customWidth="1"/>
    <col min="11271" max="11271" width="14" style="3" customWidth="1"/>
    <col min="11272" max="11272" width="7.42578125" style="3" customWidth="1"/>
    <col min="11273" max="11520" width="11.42578125" style="3"/>
    <col min="11521" max="11521" width="15.85546875" style="3" customWidth="1"/>
    <col min="11522" max="11522" width="14.85546875" style="3" customWidth="1"/>
    <col min="11523" max="11523" width="13.28515625" style="3" customWidth="1"/>
    <col min="11524" max="11524" width="11.42578125" style="3"/>
    <col min="11525" max="11525" width="13.42578125" style="3" customWidth="1"/>
    <col min="11526" max="11526" width="12.7109375" style="3" customWidth="1"/>
    <col min="11527" max="11527" width="14" style="3" customWidth="1"/>
    <col min="11528" max="11528" width="7.42578125" style="3" customWidth="1"/>
    <col min="11529" max="11776" width="11.42578125" style="3"/>
    <col min="11777" max="11777" width="15.85546875" style="3" customWidth="1"/>
    <col min="11778" max="11778" width="14.85546875" style="3" customWidth="1"/>
    <col min="11779" max="11779" width="13.28515625" style="3" customWidth="1"/>
    <col min="11780" max="11780" width="11.42578125" style="3"/>
    <col min="11781" max="11781" width="13.42578125" style="3" customWidth="1"/>
    <col min="11782" max="11782" width="12.7109375" style="3" customWidth="1"/>
    <col min="11783" max="11783" width="14" style="3" customWidth="1"/>
    <col min="11784" max="11784" width="7.42578125" style="3" customWidth="1"/>
    <col min="11785" max="12032" width="11.42578125" style="3"/>
    <col min="12033" max="12033" width="15.85546875" style="3" customWidth="1"/>
    <col min="12034" max="12034" width="14.85546875" style="3" customWidth="1"/>
    <col min="12035" max="12035" width="13.28515625" style="3" customWidth="1"/>
    <col min="12036" max="12036" width="11.42578125" style="3"/>
    <col min="12037" max="12037" width="13.42578125" style="3" customWidth="1"/>
    <col min="12038" max="12038" width="12.7109375" style="3" customWidth="1"/>
    <col min="12039" max="12039" width="14" style="3" customWidth="1"/>
    <col min="12040" max="12040" width="7.42578125" style="3" customWidth="1"/>
    <col min="12041" max="12288" width="11.42578125" style="3"/>
    <col min="12289" max="12289" width="15.85546875" style="3" customWidth="1"/>
    <col min="12290" max="12290" width="14.85546875" style="3" customWidth="1"/>
    <col min="12291" max="12291" width="13.28515625" style="3" customWidth="1"/>
    <col min="12292" max="12292" width="11.42578125" style="3"/>
    <col min="12293" max="12293" width="13.42578125" style="3" customWidth="1"/>
    <col min="12294" max="12294" width="12.7109375" style="3" customWidth="1"/>
    <col min="12295" max="12295" width="14" style="3" customWidth="1"/>
    <col min="12296" max="12296" width="7.42578125" style="3" customWidth="1"/>
    <col min="12297" max="12544" width="11.42578125" style="3"/>
    <col min="12545" max="12545" width="15.85546875" style="3" customWidth="1"/>
    <col min="12546" max="12546" width="14.85546875" style="3" customWidth="1"/>
    <col min="12547" max="12547" width="13.28515625" style="3" customWidth="1"/>
    <col min="12548" max="12548" width="11.42578125" style="3"/>
    <col min="12549" max="12549" width="13.42578125" style="3" customWidth="1"/>
    <col min="12550" max="12550" width="12.7109375" style="3" customWidth="1"/>
    <col min="12551" max="12551" width="14" style="3" customWidth="1"/>
    <col min="12552" max="12552" width="7.42578125" style="3" customWidth="1"/>
    <col min="12553" max="12800" width="11.42578125" style="3"/>
    <col min="12801" max="12801" width="15.85546875" style="3" customWidth="1"/>
    <col min="12802" max="12802" width="14.85546875" style="3" customWidth="1"/>
    <col min="12803" max="12803" width="13.28515625" style="3" customWidth="1"/>
    <col min="12804" max="12804" width="11.42578125" style="3"/>
    <col min="12805" max="12805" width="13.42578125" style="3" customWidth="1"/>
    <col min="12806" max="12806" width="12.7109375" style="3" customWidth="1"/>
    <col min="12807" max="12807" width="14" style="3" customWidth="1"/>
    <col min="12808" max="12808" width="7.42578125" style="3" customWidth="1"/>
    <col min="12809" max="13056" width="11.42578125" style="3"/>
    <col min="13057" max="13057" width="15.85546875" style="3" customWidth="1"/>
    <col min="13058" max="13058" width="14.85546875" style="3" customWidth="1"/>
    <col min="13059" max="13059" width="13.28515625" style="3" customWidth="1"/>
    <col min="13060" max="13060" width="11.42578125" style="3"/>
    <col min="13061" max="13061" width="13.42578125" style="3" customWidth="1"/>
    <col min="13062" max="13062" width="12.7109375" style="3" customWidth="1"/>
    <col min="13063" max="13063" width="14" style="3" customWidth="1"/>
    <col min="13064" max="13064" width="7.42578125" style="3" customWidth="1"/>
    <col min="13065" max="13312" width="11.42578125" style="3"/>
    <col min="13313" max="13313" width="15.85546875" style="3" customWidth="1"/>
    <col min="13314" max="13314" width="14.85546875" style="3" customWidth="1"/>
    <col min="13315" max="13315" width="13.28515625" style="3" customWidth="1"/>
    <col min="13316" max="13316" width="11.42578125" style="3"/>
    <col min="13317" max="13317" width="13.42578125" style="3" customWidth="1"/>
    <col min="13318" max="13318" width="12.7109375" style="3" customWidth="1"/>
    <col min="13319" max="13319" width="14" style="3" customWidth="1"/>
    <col min="13320" max="13320" width="7.42578125" style="3" customWidth="1"/>
    <col min="13321" max="13568" width="11.42578125" style="3"/>
    <col min="13569" max="13569" width="15.85546875" style="3" customWidth="1"/>
    <col min="13570" max="13570" width="14.85546875" style="3" customWidth="1"/>
    <col min="13571" max="13571" width="13.28515625" style="3" customWidth="1"/>
    <col min="13572" max="13572" width="11.42578125" style="3"/>
    <col min="13573" max="13573" width="13.42578125" style="3" customWidth="1"/>
    <col min="13574" max="13574" width="12.7109375" style="3" customWidth="1"/>
    <col min="13575" max="13575" width="14" style="3" customWidth="1"/>
    <col min="13576" max="13576" width="7.42578125" style="3" customWidth="1"/>
    <col min="13577" max="13824" width="11.42578125" style="3"/>
    <col min="13825" max="13825" width="15.85546875" style="3" customWidth="1"/>
    <col min="13826" max="13826" width="14.85546875" style="3" customWidth="1"/>
    <col min="13827" max="13827" width="13.28515625" style="3" customWidth="1"/>
    <col min="13828" max="13828" width="11.42578125" style="3"/>
    <col min="13829" max="13829" width="13.42578125" style="3" customWidth="1"/>
    <col min="13830" max="13830" width="12.7109375" style="3" customWidth="1"/>
    <col min="13831" max="13831" width="14" style="3" customWidth="1"/>
    <col min="13832" max="13832" width="7.42578125" style="3" customWidth="1"/>
    <col min="13833" max="14080" width="11.42578125" style="3"/>
    <col min="14081" max="14081" width="15.85546875" style="3" customWidth="1"/>
    <col min="14082" max="14082" width="14.85546875" style="3" customWidth="1"/>
    <col min="14083" max="14083" width="13.28515625" style="3" customWidth="1"/>
    <col min="14084" max="14084" width="11.42578125" style="3"/>
    <col min="14085" max="14085" width="13.42578125" style="3" customWidth="1"/>
    <col min="14086" max="14086" width="12.7109375" style="3" customWidth="1"/>
    <col min="14087" max="14087" width="14" style="3" customWidth="1"/>
    <col min="14088" max="14088" width="7.42578125" style="3" customWidth="1"/>
    <col min="14089" max="14336" width="11.42578125" style="3"/>
    <col min="14337" max="14337" width="15.85546875" style="3" customWidth="1"/>
    <col min="14338" max="14338" width="14.85546875" style="3" customWidth="1"/>
    <col min="14339" max="14339" width="13.28515625" style="3" customWidth="1"/>
    <col min="14340" max="14340" width="11.42578125" style="3"/>
    <col min="14341" max="14341" width="13.42578125" style="3" customWidth="1"/>
    <col min="14342" max="14342" width="12.7109375" style="3" customWidth="1"/>
    <col min="14343" max="14343" width="14" style="3" customWidth="1"/>
    <col min="14344" max="14344" width="7.42578125" style="3" customWidth="1"/>
    <col min="14345" max="14592" width="11.42578125" style="3"/>
    <col min="14593" max="14593" width="15.85546875" style="3" customWidth="1"/>
    <col min="14594" max="14594" width="14.85546875" style="3" customWidth="1"/>
    <col min="14595" max="14595" width="13.28515625" style="3" customWidth="1"/>
    <col min="14596" max="14596" width="11.42578125" style="3"/>
    <col min="14597" max="14597" width="13.42578125" style="3" customWidth="1"/>
    <col min="14598" max="14598" width="12.7109375" style="3" customWidth="1"/>
    <col min="14599" max="14599" width="14" style="3" customWidth="1"/>
    <col min="14600" max="14600" width="7.42578125" style="3" customWidth="1"/>
    <col min="14601" max="14848" width="11.42578125" style="3"/>
    <col min="14849" max="14849" width="15.85546875" style="3" customWidth="1"/>
    <col min="14850" max="14850" width="14.85546875" style="3" customWidth="1"/>
    <col min="14851" max="14851" width="13.28515625" style="3" customWidth="1"/>
    <col min="14852" max="14852" width="11.42578125" style="3"/>
    <col min="14853" max="14853" width="13.42578125" style="3" customWidth="1"/>
    <col min="14854" max="14854" width="12.7109375" style="3" customWidth="1"/>
    <col min="14855" max="14855" width="14" style="3" customWidth="1"/>
    <col min="14856" max="14856" width="7.42578125" style="3" customWidth="1"/>
    <col min="14857" max="15104" width="11.42578125" style="3"/>
    <col min="15105" max="15105" width="15.85546875" style="3" customWidth="1"/>
    <col min="15106" max="15106" width="14.85546875" style="3" customWidth="1"/>
    <col min="15107" max="15107" width="13.28515625" style="3" customWidth="1"/>
    <col min="15108" max="15108" width="11.42578125" style="3"/>
    <col min="15109" max="15109" width="13.42578125" style="3" customWidth="1"/>
    <col min="15110" max="15110" width="12.7109375" style="3" customWidth="1"/>
    <col min="15111" max="15111" width="14" style="3" customWidth="1"/>
    <col min="15112" max="15112" width="7.42578125" style="3" customWidth="1"/>
    <col min="15113" max="15360" width="11.42578125" style="3"/>
    <col min="15361" max="15361" width="15.85546875" style="3" customWidth="1"/>
    <col min="15362" max="15362" width="14.85546875" style="3" customWidth="1"/>
    <col min="15363" max="15363" width="13.28515625" style="3" customWidth="1"/>
    <col min="15364" max="15364" width="11.42578125" style="3"/>
    <col min="15365" max="15365" width="13.42578125" style="3" customWidth="1"/>
    <col min="15366" max="15366" width="12.7109375" style="3" customWidth="1"/>
    <col min="15367" max="15367" width="14" style="3" customWidth="1"/>
    <col min="15368" max="15368" width="7.42578125" style="3" customWidth="1"/>
    <col min="15369" max="15616" width="11.42578125" style="3"/>
    <col min="15617" max="15617" width="15.85546875" style="3" customWidth="1"/>
    <col min="15618" max="15618" width="14.85546875" style="3" customWidth="1"/>
    <col min="15619" max="15619" width="13.28515625" style="3" customWidth="1"/>
    <col min="15620" max="15620" width="11.42578125" style="3"/>
    <col min="15621" max="15621" width="13.42578125" style="3" customWidth="1"/>
    <col min="15622" max="15622" width="12.7109375" style="3" customWidth="1"/>
    <col min="15623" max="15623" width="14" style="3" customWidth="1"/>
    <col min="15624" max="15624" width="7.42578125" style="3" customWidth="1"/>
    <col min="15625" max="15872" width="11.42578125" style="3"/>
    <col min="15873" max="15873" width="15.85546875" style="3" customWidth="1"/>
    <col min="15874" max="15874" width="14.85546875" style="3" customWidth="1"/>
    <col min="15875" max="15875" width="13.28515625" style="3" customWidth="1"/>
    <col min="15876" max="15876" width="11.42578125" style="3"/>
    <col min="15877" max="15877" width="13.42578125" style="3" customWidth="1"/>
    <col min="15878" max="15878" width="12.7109375" style="3" customWidth="1"/>
    <col min="15879" max="15879" width="14" style="3" customWidth="1"/>
    <col min="15880" max="15880" width="7.42578125" style="3" customWidth="1"/>
    <col min="15881" max="16128" width="11.42578125" style="3"/>
    <col min="16129" max="16129" width="15.85546875" style="3" customWidth="1"/>
    <col min="16130" max="16130" width="14.85546875" style="3" customWidth="1"/>
    <col min="16131" max="16131" width="13.28515625" style="3" customWidth="1"/>
    <col min="16132" max="16132" width="11.42578125" style="3"/>
    <col min="16133" max="16133" width="13.42578125" style="3" customWidth="1"/>
    <col min="16134" max="16134" width="12.7109375" style="3" customWidth="1"/>
    <col min="16135" max="16135" width="14" style="3" customWidth="1"/>
    <col min="16136" max="16136" width="7.42578125" style="3" customWidth="1"/>
    <col min="16137" max="16384" width="11.42578125" style="3"/>
  </cols>
  <sheetData>
    <row r="1" spans="1:21" ht="20.25">
      <c r="A1" s="1346" t="str">
        <f>PPTO!D3</f>
        <v>PRESUPUESTO
MUNICIPIO EL BAGRE (ANTIOQUIA).</v>
      </c>
      <c r="B1" s="1347"/>
      <c r="C1" s="1347"/>
      <c r="D1" s="1347"/>
      <c r="E1" s="1347"/>
      <c r="F1" s="1347"/>
      <c r="G1" s="1348"/>
      <c r="H1" s="1"/>
      <c r="I1" s="2"/>
    </row>
    <row r="2" spans="1:21" ht="18" customHeight="1">
      <c r="A2" s="1362" t="s">
        <v>16</v>
      </c>
      <c r="B2" s="1363"/>
      <c r="C2" s="1363"/>
      <c r="D2" s="1363"/>
      <c r="E2" s="1363"/>
      <c r="F2" s="1363"/>
      <c r="G2" s="1364"/>
      <c r="H2" s="1"/>
      <c r="I2" s="2"/>
    </row>
    <row r="3" spans="1:21" ht="27" customHeight="1">
      <c r="A3" s="1367" t="str">
        <f>+PPTO!$D$5</f>
        <v>PROYECTO DE MEJORAMIENTO VIAL, ESPACIO PUBLICO Y OBRAS COMPLEMENTARIAS DE LA AVENIDA LA JUVENTUD Y TRAMOS ADYACENTES Y PRIORITARIOS DEL SECTOR URBANO EN EL MUNICIPIO EL BAGRE ANTIOQUIA.</v>
      </c>
      <c r="B3" s="1368"/>
      <c r="C3" s="1368"/>
      <c r="D3" s="1368"/>
      <c r="E3" s="1368"/>
      <c r="F3" s="1368"/>
      <c r="G3" s="1369"/>
      <c r="H3" s="1"/>
      <c r="I3" s="2"/>
    </row>
    <row r="4" spans="1:21">
      <c r="A4" s="1370"/>
      <c r="B4" s="1368"/>
      <c r="C4" s="1368"/>
      <c r="D4" s="1368"/>
      <c r="E4" s="1368"/>
      <c r="F4" s="1368"/>
      <c r="G4" s="1369"/>
      <c r="H4" s="1"/>
      <c r="I4" s="2"/>
    </row>
    <row r="5" spans="1:21" ht="6.75" customHeight="1">
      <c r="A5" s="222"/>
      <c r="B5" s="6"/>
      <c r="C5" s="24"/>
      <c r="D5" s="25"/>
      <c r="E5" s="6"/>
      <c r="F5" s="6"/>
      <c r="G5" s="223"/>
      <c r="H5" s="9"/>
    </row>
    <row r="6" spans="1:21" ht="31.5" customHeight="1">
      <c r="A6" s="368">
        <v>6.61</v>
      </c>
      <c r="B6" s="1349" t="e">
        <f>VLOOKUP(A6,PPTO!D9:I136,2,FALSE)</f>
        <v>#N/A</v>
      </c>
      <c r="C6" s="1350"/>
      <c r="D6" s="1350"/>
      <c r="E6" s="1351"/>
      <c r="F6" s="192" t="s">
        <v>118</v>
      </c>
      <c r="G6" s="248" t="e">
        <f>VLOOKUP(A6,PPTO!D9:I136,3,FALSE)</f>
        <v>#N/A</v>
      </c>
      <c r="H6" s="9"/>
    </row>
    <row r="7" spans="1:21" ht="3.75" customHeight="1">
      <c r="A7" s="226"/>
      <c r="B7" s="4"/>
      <c r="C7" s="6"/>
      <c r="D7" s="4"/>
      <c r="E7" s="4"/>
      <c r="F7" s="4"/>
      <c r="G7" s="227"/>
      <c r="H7" s="9"/>
    </row>
    <row r="8" spans="1:21" ht="22.5" customHeight="1">
      <c r="A8" s="1354" t="s">
        <v>69</v>
      </c>
      <c r="B8" s="1355"/>
      <c r="C8" s="1355"/>
      <c r="D8" s="1355"/>
      <c r="E8" s="1355"/>
      <c r="F8" s="1355"/>
      <c r="G8" s="1356"/>
      <c r="H8" s="9"/>
    </row>
    <row r="9" spans="1:21" ht="4.5" customHeight="1">
      <c r="A9" s="226"/>
      <c r="B9" s="4"/>
      <c r="C9" s="6"/>
      <c r="D9" s="4"/>
      <c r="E9" s="4"/>
      <c r="F9" s="4"/>
      <c r="G9" s="227"/>
      <c r="H9" s="9"/>
      <c r="I9" s="5"/>
      <c r="J9" s="5"/>
      <c r="K9" s="5"/>
      <c r="L9" s="26"/>
      <c r="M9" s="5"/>
      <c r="N9" s="5"/>
      <c r="O9" s="5"/>
      <c r="P9" s="5"/>
    </row>
    <row r="10" spans="1:21">
      <c r="A10" s="1373" t="s">
        <v>17</v>
      </c>
      <c r="B10" s="1374"/>
      <c r="C10" s="1374"/>
      <c r="D10" s="752" t="s">
        <v>18</v>
      </c>
      <c r="E10" s="752" t="s">
        <v>19</v>
      </c>
      <c r="F10" s="752" t="s">
        <v>20</v>
      </c>
      <c r="G10" s="228" t="s">
        <v>21</v>
      </c>
      <c r="H10" s="27"/>
      <c r="I10" s="28"/>
      <c r="J10" s="29"/>
      <c r="K10" s="30"/>
      <c r="L10" s="30"/>
      <c r="M10" s="30"/>
      <c r="N10" s="30"/>
      <c r="O10" s="30"/>
      <c r="P10" s="5"/>
    </row>
    <row r="11" spans="1:21">
      <c r="A11" s="1352" t="s">
        <v>47</v>
      </c>
      <c r="B11" s="1353"/>
      <c r="C11" s="1353"/>
      <c r="D11" s="752"/>
      <c r="E11" s="83"/>
      <c r="F11" s="97"/>
      <c r="G11" s="229">
        <f>+G39*10%</f>
        <v>10908</v>
      </c>
      <c r="H11" s="9"/>
      <c r="I11" s="30"/>
      <c r="J11" s="31"/>
      <c r="K11" s="30"/>
      <c r="L11" s="30"/>
      <c r="M11" s="30"/>
      <c r="N11" s="30"/>
      <c r="O11" s="30"/>
      <c r="P11" s="5"/>
    </row>
    <row r="12" spans="1:21">
      <c r="A12" s="1371"/>
      <c r="B12" s="1372"/>
      <c r="C12" s="1372"/>
      <c r="D12" s="83"/>
      <c r="E12" s="83"/>
      <c r="F12" s="93"/>
      <c r="G12" s="229"/>
      <c r="H12" s="9"/>
      <c r="I12" s="16"/>
      <c r="J12" s="13"/>
      <c r="K12" s="8"/>
      <c r="L12" s="8"/>
      <c r="M12" s="8"/>
      <c r="N12" s="8"/>
      <c r="O12" s="8"/>
      <c r="P12" s="5"/>
    </row>
    <row r="13" spans="1:21">
      <c r="A13" s="1371"/>
      <c r="B13" s="1372"/>
      <c r="C13" s="1372"/>
      <c r="D13" s="83"/>
      <c r="E13" s="83"/>
      <c r="F13" s="93"/>
      <c r="G13" s="229"/>
      <c r="H13" s="9"/>
      <c r="I13" s="13"/>
      <c r="J13" s="13"/>
      <c r="K13" s="13"/>
      <c r="L13" s="13"/>
      <c r="M13" s="13"/>
      <c r="N13" s="13"/>
      <c r="O13" s="13"/>
      <c r="P13" s="5"/>
    </row>
    <row r="14" spans="1:21">
      <c r="A14" s="1371"/>
      <c r="B14" s="1372"/>
      <c r="C14" s="1372"/>
      <c r="D14" s="83"/>
      <c r="E14" s="83"/>
      <c r="F14" s="93"/>
      <c r="G14" s="229"/>
      <c r="H14" s="9"/>
      <c r="I14" s="8"/>
      <c r="J14" s="14"/>
      <c r="K14" s="32"/>
      <c r="L14" s="14"/>
      <c r="M14" s="15"/>
      <c r="N14" s="15"/>
      <c r="O14" s="19"/>
      <c r="P14" s="5"/>
    </row>
    <row r="15" spans="1:21">
      <c r="A15" s="1371"/>
      <c r="B15" s="1372"/>
      <c r="C15" s="1372"/>
      <c r="D15" s="83"/>
      <c r="E15" s="83"/>
      <c r="F15" s="98"/>
      <c r="G15" s="229"/>
      <c r="H15" s="9"/>
      <c r="I15" s="8"/>
      <c r="J15" s="33"/>
      <c r="K15" s="32"/>
      <c r="L15" s="14"/>
      <c r="M15" s="15"/>
      <c r="N15" s="15"/>
      <c r="O15" s="19"/>
      <c r="P15" s="5"/>
      <c r="Q15" s="5"/>
      <c r="R15" s="5"/>
      <c r="S15" s="5"/>
      <c r="T15" s="5"/>
      <c r="U15" s="5"/>
    </row>
    <row r="16" spans="1:21">
      <c r="A16" s="1371"/>
      <c r="B16" s="1372"/>
      <c r="C16" s="1372"/>
      <c r="D16" s="85" t="s">
        <v>37</v>
      </c>
      <c r="E16" s="50"/>
      <c r="F16" s="49"/>
      <c r="G16" s="230">
        <f>SUM(G11:G15)</f>
        <v>10908</v>
      </c>
      <c r="H16" s="9"/>
      <c r="I16" s="34"/>
      <c r="J16" s="34"/>
      <c r="K16" s="35"/>
      <c r="L16" s="36"/>
      <c r="M16" s="7"/>
      <c r="N16" s="7"/>
      <c r="O16" s="19"/>
      <c r="P16" s="5"/>
      <c r="Q16" s="5"/>
      <c r="R16" s="5"/>
      <c r="S16" s="5"/>
      <c r="T16" s="5"/>
      <c r="U16" s="5"/>
    </row>
    <row r="17" spans="1:21" ht="4.5" customHeight="1">
      <c r="A17" s="226"/>
      <c r="B17" s="4"/>
      <c r="C17" s="6"/>
      <c r="D17" s="4"/>
      <c r="E17" s="4"/>
      <c r="F17" s="4"/>
      <c r="G17" s="227"/>
      <c r="H17" s="9"/>
      <c r="I17" s="34"/>
      <c r="J17" s="34"/>
      <c r="K17" s="35"/>
      <c r="L17" s="36"/>
      <c r="M17" s="7"/>
      <c r="N17" s="7"/>
      <c r="O17" s="19"/>
      <c r="P17" s="5"/>
      <c r="Q17" s="5"/>
      <c r="R17" s="5"/>
      <c r="S17" s="5"/>
      <c r="T17" s="5"/>
      <c r="U17" s="5"/>
    </row>
    <row r="18" spans="1:21" ht="22.5" customHeight="1">
      <c r="A18" s="1354" t="s">
        <v>70</v>
      </c>
      <c r="B18" s="1355"/>
      <c r="C18" s="1355"/>
      <c r="D18" s="1355"/>
      <c r="E18" s="1355"/>
      <c r="F18" s="1355"/>
      <c r="G18" s="1356"/>
      <c r="H18" s="9"/>
    </row>
    <row r="19" spans="1:21" ht="4.5" customHeight="1">
      <c r="A19" s="226"/>
      <c r="B19" s="4"/>
      <c r="C19" s="6"/>
      <c r="D19" s="4"/>
      <c r="E19" s="4"/>
      <c r="F19" s="38"/>
      <c r="G19" s="227"/>
      <c r="H19" s="9"/>
      <c r="I19" s="34"/>
      <c r="J19" s="34"/>
      <c r="K19" s="35"/>
      <c r="L19" s="39"/>
      <c r="M19" s="7"/>
      <c r="N19" s="7"/>
      <c r="O19" s="8"/>
      <c r="P19" s="5"/>
      <c r="Q19" s="5"/>
      <c r="R19" s="5"/>
      <c r="S19" s="5"/>
      <c r="T19" s="5"/>
      <c r="U19" s="5"/>
    </row>
    <row r="20" spans="1:21">
      <c r="A20" s="1373" t="s">
        <v>17</v>
      </c>
      <c r="B20" s="1374"/>
      <c r="C20" s="1374"/>
      <c r="D20" s="752" t="s">
        <v>3</v>
      </c>
      <c r="E20" s="752" t="s">
        <v>4</v>
      </c>
      <c r="F20" s="752" t="s">
        <v>25</v>
      </c>
      <c r="G20" s="228" t="s">
        <v>21</v>
      </c>
      <c r="H20" s="27"/>
      <c r="I20" s="34"/>
      <c r="J20" s="34"/>
      <c r="K20" s="35"/>
      <c r="L20" s="39"/>
      <c r="M20" s="7"/>
      <c r="N20" s="7"/>
      <c r="O20" s="8"/>
      <c r="P20" s="5"/>
      <c r="Q20" s="5"/>
      <c r="R20" s="5"/>
      <c r="S20" s="5"/>
      <c r="T20" s="5"/>
      <c r="U20" s="5"/>
    </row>
    <row r="21" spans="1:21" ht="31.5" customHeight="1">
      <c r="A21" s="1441" t="s">
        <v>267</v>
      </c>
      <c r="B21" s="1442"/>
      <c r="C21" s="1443"/>
      <c r="D21" s="118" t="s">
        <v>44</v>
      </c>
      <c r="E21" s="119">
        <f>(PI()*1^2*0.12)-(PI()*0.3^2*0.12)</f>
        <v>0.34</v>
      </c>
      <c r="F21" s="87">
        <f>'CONC 3000 PSI'!G43</f>
        <v>360849</v>
      </c>
      <c r="G21" s="67">
        <f>+F21*E21</f>
        <v>122689</v>
      </c>
      <c r="H21" s="9"/>
      <c r="I21" s="34"/>
      <c r="J21" s="34"/>
      <c r="K21" s="35"/>
      <c r="L21" s="36"/>
      <c r="M21" s="7"/>
      <c r="N21" s="7"/>
      <c r="O21" s="19"/>
      <c r="P21" s="5"/>
      <c r="Q21" s="5"/>
      <c r="R21" s="5"/>
      <c r="S21" s="5"/>
      <c r="T21" s="5"/>
      <c r="U21" s="5"/>
    </row>
    <row r="22" spans="1:21" ht="27.75" customHeight="1">
      <c r="A22" s="1444" t="s">
        <v>268</v>
      </c>
      <c r="B22" s="1403"/>
      <c r="C22" s="1404"/>
      <c r="D22" s="116" t="s">
        <v>44</v>
      </c>
      <c r="E22" s="117">
        <f>(PI()*0.35^2*0.09)</f>
        <v>0.03</v>
      </c>
      <c r="F22" s="91">
        <f>'CONC 3000 PSI'!G43</f>
        <v>360849</v>
      </c>
      <c r="G22" s="67">
        <f>+F22*E22</f>
        <v>10825</v>
      </c>
      <c r="H22" s="9"/>
      <c r="I22" s="10"/>
      <c r="J22" s="10"/>
      <c r="K22" s="12"/>
      <c r="L22" s="39"/>
      <c r="M22" s="7"/>
      <c r="N22" s="7"/>
      <c r="O22" s="15"/>
      <c r="P22" s="5"/>
      <c r="Q22" s="5"/>
      <c r="R22" s="5"/>
      <c r="S22" s="5"/>
      <c r="T22" s="5"/>
      <c r="U22" s="5"/>
    </row>
    <row r="23" spans="1:21">
      <c r="A23" s="1386" t="s">
        <v>269</v>
      </c>
      <c r="B23" s="1353"/>
      <c r="C23" s="1353"/>
      <c r="D23" s="79" t="s">
        <v>53</v>
      </c>
      <c r="E23" s="82">
        <f>SUM(E21:E22)*120</f>
        <v>44.4</v>
      </c>
      <c r="F23" s="83">
        <f>'4.9'!G42</f>
        <v>7260</v>
      </c>
      <c r="G23" s="67">
        <f>+F23*E23</f>
        <v>322344</v>
      </c>
      <c r="H23" s="9"/>
      <c r="I23" s="10"/>
      <c r="J23" s="10"/>
      <c r="K23" s="12"/>
      <c r="L23" s="39"/>
      <c r="M23" s="7"/>
      <c r="N23" s="7"/>
      <c r="O23" s="15"/>
      <c r="P23" s="5"/>
      <c r="Q23" s="5"/>
      <c r="R23" s="5"/>
      <c r="S23" s="5"/>
      <c r="T23" s="5"/>
      <c r="U23" s="5"/>
    </row>
    <row r="24" spans="1:21" ht="27" customHeight="1">
      <c r="A24" s="1377" t="s">
        <v>270</v>
      </c>
      <c r="B24" s="1378"/>
      <c r="C24" s="1378"/>
      <c r="D24" s="81" t="s">
        <v>53</v>
      </c>
      <c r="E24" s="88">
        <v>21.8</v>
      </c>
      <c r="F24" s="78">
        <v>12000</v>
      </c>
      <c r="G24" s="67">
        <f>+F24*E24</f>
        <v>261600</v>
      </c>
      <c r="H24" s="9"/>
      <c r="I24" s="10"/>
      <c r="J24" s="40"/>
      <c r="K24" s="12"/>
      <c r="L24" s="13"/>
      <c r="M24" s="14"/>
      <c r="N24" s="14"/>
      <c r="O24" s="15"/>
      <c r="P24" s="5"/>
      <c r="Q24" s="5"/>
      <c r="R24" s="5"/>
      <c r="S24" s="5"/>
      <c r="T24" s="5"/>
      <c r="U24" s="5"/>
    </row>
    <row r="25" spans="1:21">
      <c r="A25" s="1352"/>
      <c r="B25" s="1353"/>
      <c r="C25" s="1353"/>
      <c r="D25" s="81"/>
      <c r="E25" s="82"/>
      <c r="F25" s="78"/>
      <c r="G25" s="67"/>
      <c r="H25" s="9"/>
      <c r="I25" s="10"/>
      <c r="J25" s="11"/>
      <c r="K25" s="12"/>
      <c r="L25" s="13"/>
      <c r="M25" s="14"/>
      <c r="N25" s="14"/>
      <c r="O25" s="15"/>
      <c r="P25" s="5"/>
      <c r="Q25" s="5"/>
      <c r="R25" s="5"/>
      <c r="S25" s="5"/>
      <c r="T25" s="5"/>
      <c r="U25" s="5"/>
    </row>
    <row r="26" spans="1:21">
      <c r="A26" s="1352"/>
      <c r="B26" s="1353"/>
      <c r="C26" s="1353"/>
      <c r="D26" s="79"/>
      <c r="E26" s="82"/>
      <c r="F26" s="78"/>
      <c r="G26" s="67"/>
      <c r="H26" s="9"/>
      <c r="I26" s="10"/>
      <c r="J26" s="11"/>
      <c r="K26" s="12"/>
      <c r="L26" s="13"/>
      <c r="M26" s="14"/>
      <c r="N26" s="14"/>
      <c r="O26" s="15"/>
      <c r="P26" s="5"/>
      <c r="Q26" s="5"/>
      <c r="R26" s="5"/>
      <c r="S26" s="5"/>
      <c r="T26" s="5"/>
      <c r="U26" s="5"/>
    </row>
    <row r="27" spans="1:21">
      <c r="A27" s="1352"/>
      <c r="B27" s="1353"/>
      <c r="C27" s="1353"/>
      <c r="D27" s="79"/>
      <c r="E27" s="82"/>
      <c r="F27" s="78"/>
      <c r="G27" s="231"/>
      <c r="H27" s="9"/>
      <c r="I27" s="10"/>
      <c r="J27" s="11"/>
      <c r="K27" s="12"/>
      <c r="L27" s="13"/>
      <c r="M27" s="14"/>
      <c r="N27" s="14"/>
      <c r="O27" s="15"/>
      <c r="P27" s="5"/>
      <c r="Q27" s="5"/>
      <c r="R27" s="5"/>
      <c r="S27" s="5"/>
      <c r="T27" s="5"/>
      <c r="U27" s="5"/>
    </row>
    <row r="28" spans="1:21">
      <c r="A28" s="1352"/>
      <c r="B28" s="1353"/>
      <c r="C28" s="1353"/>
      <c r="D28" s="79"/>
      <c r="E28" s="82"/>
      <c r="F28" s="83"/>
      <c r="G28" s="231"/>
      <c r="H28" s="9"/>
      <c r="I28" s="41"/>
      <c r="J28" s="41"/>
      <c r="K28" s="12"/>
      <c r="L28" s="13"/>
      <c r="M28" s="14"/>
      <c r="N28" s="14"/>
      <c r="O28" s="15"/>
      <c r="P28" s="5"/>
      <c r="Q28" s="5"/>
      <c r="R28" s="5"/>
      <c r="S28" s="5"/>
      <c r="T28" s="5"/>
      <c r="U28" s="5"/>
    </row>
    <row r="29" spans="1:21">
      <c r="A29" s="1352"/>
      <c r="B29" s="1353"/>
      <c r="C29" s="1353"/>
      <c r="D29" s="84"/>
      <c r="E29" s="84"/>
      <c r="F29" s="83"/>
      <c r="G29" s="231"/>
      <c r="H29" s="9"/>
      <c r="I29" s="42"/>
      <c r="J29" s="42"/>
      <c r="K29" s="42"/>
      <c r="L29" s="13"/>
      <c r="M29" s="14"/>
      <c r="N29" s="14"/>
      <c r="O29" s="15"/>
      <c r="P29" s="5"/>
      <c r="Q29" s="5"/>
      <c r="R29" s="5"/>
      <c r="S29" s="5"/>
      <c r="T29" s="5"/>
      <c r="U29" s="5"/>
    </row>
    <row r="30" spans="1:21">
      <c r="A30" s="1352"/>
      <c r="B30" s="1353"/>
      <c r="C30" s="1353"/>
      <c r="D30" s="85" t="s">
        <v>28</v>
      </c>
      <c r="E30" s="50"/>
      <c r="F30" s="49"/>
      <c r="G30" s="230">
        <f>SUM(G21:G29)</f>
        <v>717458</v>
      </c>
      <c r="H30" s="9"/>
      <c r="I30" s="8"/>
      <c r="J30" s="13"/>
      <c r="K30" s="8"/>
      <c r="L30" s="13"/>
      <c r="M30" s="14"/>
      <c r="N30" s="14"/>
      <c r="O30" s="15"/>
      <c r="P30" s="5"/>
    </row>
    <row r="31" spans="1:21" ht="3.75" customHeight="1">
      <c r="A31" s="226"/>
      <c r="B31" s="4"/>
      <c r="C31" s="6"/>
      <c r="D31" s="4"/>
      <c r="E31" s="4"/>
      <c r="F31" s="4"/>
      <c r="G31" s="227"/>
      <c r="H31" s="9"/>
      <c r="I31" s="8"/>
      <c r="J31" s="13"/>
      <c r="K31" s="18"/>
      <c r="L31" s="13"/>
      <c r="M31" s="33"/>
      <c r="N31" s="33"/>
      <c r="O31" s="15"/>
      <c r="P31" s="5"/>
    </row>
    <row r="32" spans="1:21" ht="22.5" customHeight="1">
      <c r="A32" s="1354" t="s">
        <v>71</v>
      </c>
      <c r="B32" s="1355"/>
      <c r="C32" s="1355"/>
      <c r="D32" s="1355"/>
      <c r="E32" s="1355"/>
      <c r="F32" s="1355"/>
      <c r="G32" s="1356"/>
      <c r="H32" s="9"/>
    </row>
    <row r="33" spans="1:16" ht="3.75" customHeight="1">
      <c r="A33" s="226"/>
      <c r="B33" s="4"/>
      <c r="C33" s="6"/>
      <c r="D33" s="4"/>
      <c r="E33" s="4"/>
      <c r="F33" s="4"/>
      <c r="G33" s="227"/>
      <c r="H33" s="9"/>
      <c r="I33" s="8"/>
      <c r="J33" s="13"/>
      <c r="K33" s="8"/>
      <c r="L33" s="8"/>
      <c r="M33" s="8"/>
      <c r="N33" s="8"/>
      <c r="O33" s="15"/>
      <c r="P33" s="5"/>
    </row>
    <row r="34" spans="1:16">
      <c r="A34" s="232" t="s">
        <v>5</v>
      </c>
      <c r="B34" s="60" t="s">
        <v>29</v>
      </c>
      <c r="C34" s="60" t="s">
        <v>30</v>
      </c>
      <c r="D34" s="60" t="s">
        <v>31</v>
      </c>
      <c r="E34" s="60" t="s">
        <v>32</v>
      </c>
      <c r="F34" s="60" t="s">
        <v>20</v>
      </c>
      <c r="G34" s="228" t="s">
        <v>33</v>
      </c>
      <c r="H34" s="27"/>
      <c r="I34" s="8"/>
      <c r="J34" s="13"/>
      <c r="K34" s="8"/>
      <c r="L34" s="8"/>
      <c r="M34" s="8"/>
      <c r="N34" s="8"/>
      <c r="O34" s="15"/>
      <c r="P34" s="5"/>
    </row>
    <row r="35" spans="1:16">
      <c r="A35" s="233" t="s">
        <v>41</v>
      </c>
      <c r="B35" s="63">
        <f>BOF</f>
        <v>51749</v>
      </c>
      <c r="C35" s="68">
        <f>ffpp</f>
        <v>0.64539999999999997</v>
      </c>
      <c r="D35" s="72">
        <v>1</v>
      </c>
      <c r="E35" s="66">
        <f>OF</f>
        <v>88696</v>
      </c>
      <c r="F35" s="65">
        <v>2.8</v>
      </c>
      <c r="G35" s="231">
        <f>ROUND(+D35*E35/F35,0)</f>
        <v>31677</v>
      </c>
      <c r="H35" s="9"/>
      <c r="I35" s="16"/>
      <c r="J35" s="13"/>
      <c r="K35" s="8"/>
      <c r="L35" s="8"/>
      <c r="M35" s="8"/>
      <c r="N35" s="8"/>
      <c r="O35" s="15"/>
      <c r="P35" s="5"/>
    </row>
    <row r="36" spans="1:16">
      <c r="A36" s="233" t="s">
        <v>38</v>
      </c>
      <c r="B36" s="63">
        <f>BOB</f>
        <v>41749</v>
      </c>
      <c r="C36" s="68">
        <f>ffpp</f>
        <v>0.64539999999999997</v>
      </c>
      <c r="D36" s="72">
        <v>3</v>
      </c>
      <c r="E36" s="66">
        <f>OB</f>
        <v>72242</v>
      </c>
      <c r="F36" s="65">
        <f>F35</f>
        <v>2.8</v>
      </c>
      <c r="G36" s="231">
        <f>ROUND(+D36*E36/F36,0)</f>
        <v>77402</v>
      </c>
      <c r="H36" s="9"/>
      <c r="I36" s="8"/>
      <c r="J36" s="8"/>
      <c r="K36" s="13"/>
      <c r="L36" s="13"/>
      <c r="M36" s="13"/>
      <c r="N36" s="13"/>
      <c r="O36" s="13"/>
      <c r="P36" s="5"/>
    </row>
    <row r="37" spans="1:16">
      <c r="A37" s="234"/>
      <c r="B37" s="50"/>
      <c r="C37" s="961"/>
      <c r="D37" s="50"/>
      <c r="E37" s="66"/>
      <c r="F37" s="65"/>
      <c r="G37" s="231"/>
      <c r="H37" s="9"/>
      <c r="I37" s="8"/>
      <c r="J37" s="13"/>
      <c r="K37" s="13"/>
      <c r="L37" s="13"/>
      <c r="M37" s="33"/>
      <c r="N37" s="33"/>
      <c r="O37" s="43"/>
      <c r="P37" s="5"/>
    </row>
    <row r="38" spans="1:16">
      <c r="A38" s="233"/>
      <c r="B38" s="65"/>
      <c r="C38" s="68"/>
      <c r="D38" s="65"/>
      <c r="E38" s="69"/>
      <c r="F38" s="69"/>
      <c r="G38" s="236"/>
      <c r="H38" s="9"/>
      <c r="I38" s="8"/>
      <c r="J38" s="13"/>
      <c r="K38" s="13"/>
      <c r="L38" s="13"/>
      <c r="M38" s="33"/>
      <c r="N38" s="33"/>
      <c r="O38" s="43"/>
      <c r="P38" s="5"/>
    </row>
    <row r="39" spans="1:16">
      <c r="A39" s="249"/>
      <c r="B39" s="71"/>
      <c r="C39" s="71"/>
      <c r="D39" s="71" t="s">
        <v>34</v>
      </c>
      <c r="E39" s="71"/>
      <c r="F39" s="71"/>
      <c r="G39" s="250">
        <f>SUM(G35:G38)</f>
        <v>109079</v>
      </c>
      <c r="H39" s="9"/>
      <c r="I39" s="8"/>
      <c r="J39" s="13"/>
      <c r="K39" s="13"/>
      <c r="L39" s="13"/>
      <c r="M39" s="14"/>
      <c r="N39" s="14"/>
      <c r="O39" s="15"/>
      <c r="P39" s="5"/>
    </row>
    <row r="40" spans="1:16">
      <c r="A40" s="226"/>
      <c r="B40" s="4"/>
      <c r="C40" s="6"/>
      <c r="D40" s="4"/>
      <c r="E40" s="4"/>
      <c r="F40" s="4"/>
      <c r="G40" s="227"/>
      <c r="H40" s="9"/>
      <c r="I40" s="8"/>
      <c r="J40" s="13"/>
      <c r="K40" s="13"/>
      <c r="L40" s="13"/>
      <c r="M40" s="14"/>
      <c r="N40" s="14"/>
      <c r="O40" s="19"/>
      <c r="P40" s="5"/>
    </row>
    <row r="41" spans="1:16">
      <c r="A41" s="226"/>
      <c r="B41" s="4"/>
      <c r="C41" s="6"/>
      <c r="D41" s="4"/>
      <c r="E41" s="4"/>
      <c r="F41" s="4"/>
      <c r="G41" s="227"/>
      <c r="H41" s="9"/>
      <c r="I41" s="8"/>
      <c r="J41" s="13"/>
      <c r="K41" s="13"/>
      <c r="L41" s="13"/>
      <c r="M41" s="17"/>
      <c r="N41" s="17"/>
      <c r="O41" s="37"/>
      <c r="P41" s="5"/>
    </row>
    <row r="42" spans="1:16" ht="14.25">
      <c r="A42" s="226"/>
      <c r="B42" s="4"/>
      <c r="C42" s="6"/>
      <c r="D42" s="1357" t="s">
        <v>35</v>
      </c>
      <c r="E42" s="1358"/>
      <c r="F42" s="1359"/>
      <c r="G42" s="239">
        <f>+G39+G30+G16</f>
        <v>837445</v>
      </c>
      <c r="H42" s="9"/>
      <c r="I42" s="48"/>
      <c r="J42" s="20"/>
      <c r="K42" s="8"/>
      <c r="L42" s="8"/>
      <c r="M42" s="8"/>
      <c r="N42" s="8"/>
      <c r="O42" s="8"/>
      <c r="P42" s="5"/>
    </row>
    <row r="43" spans="1:16" ht="14.25">
      <c r="A43" s="240"/>
      <c r="B43" s="57"/>
      <c r="C43" s="58"/>
      <c r="D43" s="99"/>
      <c r="E43" s="99"/>
      <c r="F43" s="99"/>
      <c r="G43" s="251"/>
      <c r="H43" s="9"/>
      <c r="I43" s="48"/>
      <c r="J43" s="20"/>
      <c r="K43" s="8"/>
      <c r="L43" s="8"/>
      <c r="M43" s="8"/>
      <c r="N43" s="8"/>
      <c r="O43" s="8"/>
      <c r="P43" s="5"/>
    </row>
    <row r="44" spans="1:16" ht="14.25">
      <c r="A44" s="374"/>
      <c r="B44" s="375"/>
      <c r="C44" s="375"/>
      <c r="D44" s="99"/>
      <c r="E44" s="99"/>
      <c r="F44" s="99"/>
      <c r="G44" s="251"/>
      <c r="H44" s="9"/>
      <c r="I44" s="48"/>
      <c r="J44" s="20"/>
      <c r="K44" s="8"/>
      <c r="L44" s="8"/>
      <c r="M44" s="8"/>
      <c r="N44" s="8"/>
      <c r="O44" s="8"/>
      <c r="P44" s="5"/>
    </row>
    <row r="45" spans="1:16" ht="14.25">
      <c r="A45" s="373"/>
      <c r="B45" s="376"/>
      <c r="C45" s="376"/>
      <c r="D45" s="99"/>
      <c r="E45" s="99"/>
      <c r="F45" s="99"/>
      <c r="G45" s="251"/>
      <c r="H45" s="9"/>
      <c r="I45" s="48"/>
      <c r="J45" s="20"/>
      <c r="K45" s="8"/>
      <c r="L45" s="8"/>
      <c r="M45" s="8"/>
      <c r="N45" s="8"/>
      <c r="O45" s="8"/>
      <c r="P45" s="5"/>
    </row>
    <row r="46" spans="1:16" ht="14.25">
      <c r="A46" s="373"/>
      <c r="B46" s="376"/>
      <c r="C46" s="376"/>
      <c r="D46" s="44"/>
      <c r="E46" s="45"/>
      <c r="F46" s="45"/>
      <c r="G46" s="251"/>
      <c r="H46" s="9"/>
      <c r="I46" s="8"/>
      <c r="J46" s="13"/>
      <c r="K46" s="8"/>
      <c r="L46" s="8"/>
      <c r="M46" s="8"/>
      <c r="N46" s="8"/>
      <c r="O46" s="8"/>
      <c r="P46" s="5"/>
    </row>
    <row r="47" spans="1:16" ht="15" thickBot="1">
      <c r="A47" s="242"/>
      <c r="B47" s="243"/>
      <c r="C47" s="244"/>
      <c r="D47" s="245"/>
      <c r="E47" s="246"/>
      <c r="F47" s="246"/>
      <c r="G47" s="247"/>
      <c r="H47" s="9"/>
      <c r="I47" s="8"/>
      <c r="J47" s="13"/>
      <c r="K47" s="8"/>
      <c r="L47" s="8"/>
      <c r="M47" s="8"/>
      <c r="N47" s="8"/>
      <c r="O47" s="8"/>
      <c r="P47" s="5"/>
    </row>
    <row r="48" spans="1:16">
      <c r="I48" s="5"/>
      <c r="J48" s="5"/>
      <c r="K48" s="5"/>
      <c r="L48" s="5"/>
      <c r="M48" s="5"/>
      <c r="N48" s="5"/>
      <c r="O48" s="5"/>
      <c r="P48" s="5"/>
    </row>
    <row r="49" spans="9:16">
      <c r="I49" s="5"/>
      <c r="J49" s="5"/>
      <c r="K49" s="5"/>
      <c r="L49" s="5"/>
      <c r="M49" s="5"/>
      <c r="N49" s="5"/>
      <c r="O49" s="5"/>
      <c r="P49" s="5"/>
    </row>
  </sheetData>
  <mergeCells count="26">
    <mergeCell ref="A10:C10"/>
    <mergeCell ref="A1:G1"/>
    <mergeCell ref="A2:G2"/>
    <mergeCell ref="A3:G4"/>
    <mergeCell ref="B6:E6"/>
    <mergeCell ref="A8:G8"/>
    <mergeCell ref="A24:C24"/>
    <mergeCell ref="A11:C11"/>
    <mergeCell ref="A12:C12"/>
    <mergeCell ref="A13:C13"/>
    <mergeCell ref="A14:C14"/>
    <mergeCell ref="A15:C15"/>
    <mergeCell ref="A16:C16"/>
    <mergeCell ref="A18:G18"/>
    <mergeCell ref="A20:C20"/>
    <mergeCell ref="A21:C21"/>
    <mergeCell ref="A22:C22"/>
    <mergeCell ref="A23:C23"/>
    <mergeCell ref="A32:G32"/>
    <mergeCell ref="D42:F42"/>
    <mergeCell ref="A25:C25"/>
    <mergeCell ref="A26:C26"/>
    <mergeCell ref="A27:C27"/>
    <mergeCell ref="A28:C28"/>
    <mergeCell ref="A29:C29"/>
    <mergeCell ref="A30:C30"/>
  </mergeCells>
  <printOptions horizontalCentered="1" verticalCentered="1"/>
  <pageMargins left="0.74803149606299213" right="0.74803149606299213" top="0" bottom="0.98425196850393704" header="0" footer="0"/>
  <pageSetup scale="90" orientation="portrait" r:id="rId1"/>
  <headerFooter alignWithMargins="0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8"/>
  <sheetViews>
    <sheetView view="pageBreakPreview" topLeftCell="A7" zoomScaleNormal="100" zoomScaleSheetLayoutView="100" workbookViewId="0">
      <selection activeCell="F22" sqref="F22"/>
    </sheetView>
  </sheetViews>
  <sheetFormatPr baseColWidth="10" defaultColWidth="10.7109375" defaultRowHeight="12.75"/>
  <cols>
    <col min="1" max="1" width="18.28515625" style="3" customWidth="1"/>
    <col min="2" max="2" width="14.85546875" style="3" customWidth="1"/>
    <col min="3" max="3" width="13.28515625" style="3" customWidth="1"/>
    <col min="4" max="4" width="11.42578125" style="3"/>
    <col min="5" max="5" width="13.42578125" style="3" customWidth="1"/>
    <col min="6" max="6" width="12.7109375" style="3" customWidth="1"/>
    <col min="7" max="7" width="14" style="3" customWidth="1"/>
    <col min="8" max="8" width="7.42578125" style="3" customWidth="1"/>
    <col min="9" max="256" width="11.42578125" style="3"/>
    <col min="257" max="257" width="15.85546875" style="3" customWidth="1"/>
    <col min="258" max="258" width="14.85546875" style="3" customWidth="1"/>
    <col min="259" max="259" width="13.28515625" style="3" customWidth="1"/>
    <col min="260" max="260" width="11.42578125" style="3"/>
    <col min="261" max="261" width="13.42578125" style="3" customWidth="1"/>
    <col min="262" max="262" width="12.7109375" style="3" customWidth="1"/>
    <col min="263" max="263" width="14" style="3" customWidth="1"/>
    <col min="264" max="264" width="7.42578125" style="3" customWidth="1"/>
    <col min="265" max="512" width="11.42578125" style="3"/>
    <col min="513" max="513" width="15.85546875" style="3" customWidth="1"/>
    <col min="514" max="514" width="14.85546875" style="3" customWidth="1"/>
    <col min="515" max="515" width="13.28515625" style="3" customWidth="1"/>
    <col min="516" max="516" width="11.42578125" style="3"/>
    <col min="517" max="517" width="13.42578125" style="3" customWidth="1"/>
    <col min="518" max="518" width="12.7109375" style="3" customWidth="1"/>
    <col min="519" max="519" width="14" style="3" customWidth="1"/>
    <col min="520" max="520" width="7.42578125" style="3" customWidth="1"/>
    <col min="521" max="768" width="11.42578125" style="3"/>
    <col min="769" max="769" width="15.85546875" style="3" customWidth="1"/>
    <col min="770" max="770" width="14.85546875" style="3" customWidth="1"/>
    <col min="771" max="771" width="13.28515625" style="3" customWidth="1"/>
    <col min="772" max="772" width="11.42578125" style="3"/>
    <col min="773" max="773" width="13.42578125" style="3" customWidth="1"/>
    <col min="774" max="774" width="12.7109375" style="3" customWidth="1"/>
    <col min="775" max="775" width="14" style="3" customWidth="1"/>
    <col min="776" max="776" width="7.42578125" style="3" customWidth="1"/>
    <col min="777" max="1024" width="11.42578125" style="3"/>
    <col min="1025" max="1025" width="15.85546875" style="3" customWidth="1"/>
    <col min="1026" max="1026" width="14.85546875" style="3" customWidth="1"/>
    <col min="1027" max="1027" width="13.28515625" style="3" customWidth="1"/>
    <col min="1028" max="1028" width="11.42578125" style="3"/>
    <col min="1029" max="1029" width="13.42578125" style="3" customWidth="1"/>
    <col min="1030" max="1030" width="12.7109375" style="3" customWidth="1"/>
    <col min="1031" max="1031" width="14" style="3" customWidth="1"/>
    <col min="1032" max="1032" width="7.42578125" style="3" customWidth="1"/>
    <col min="1033" max="1280" width="11.42578125" style="3"/>
    <col min="1281" max="1281" width="15.85546875" style="3" customWidth="1"/>
    <col min="1282" max="1282" width="14.85546875" style="3" customWidth="1"/>
    <col min="1283" max="1283" width="13.28515625" style="3" customWidth="1"/>
    <col min="1284" max="1284" width="11.42578125" style="3"/>
    <col min="1285" max="1285" width="13.42578125" style="3" customWidth="1"/>
    <col min="1286" max="1286" width="12.7109375" style="3" customWidth="1"/>
    <col min="1287" max="1287" width="14" style="3" customWidth="1"/>
    <col min="1288" max="1288" width="7.42578125" style="3" customWidth="1"/>
    <col min="1289" max="1536" width="11.42578125" style="3"/>
    <col min="1537" max="1537" width="15.85546875" style="3" customWidth="1"/>
    <col min="1538" max="1538" width="14.85546875" style="3" customWidth="1"/>
    <col min="1539" max="1539" width="13.28515625" style="3" customWidth="1"/>
    <col min="1540" max="1540" width="11.42578125" style="3"/>
    <col min="1541" max="1541" width="13.42578125" style="3" customWidth="1"/>
    <col min="1542" max="1542" width="12.7109375" style="3" customWidth="1"/>
    <col min="1543" max="1543" width="14" style="3" customWidth="1"/>
    <col min="1544" max="1544" width="7.42578125" style="3" customWidth="1"/>
    <col min="1545" max="1792" width="11.42578125" style="3"/>
    <col min="1793" max="1793" width="15.85546875" style="3" customWidth="1"/>
    <col min="1794" max="1794" width="14.85546875" style="3" customWidth="1"/>
    <col min="1795" max="1795" width="13.28515625" style="3" customWidth="1"/>
    <col min="1796" max="1796" width="11.42578125" style="3"/>
    <col min="1797" max="1797" width="13.42578125" style="3" customWidth="1"/>
    <col min="1798" max="1798" width="12.7109375" style="3" customWidth="1"/>
    <col min="1799" max="1799" width="14" style="3" customWidth="1"/>
    <col min="1800" max="1800" width="7.42578125" style="3" customWidth="1"/>
    <col min="1801" max="2048" width="11.42578125" style="3"/>
    <col min="2049" max="2049" width="15.85546875" style="3" customWidth="1"/>
    <col min="2050" max="2050" width="14.85546875" style="3" customWidth="1"/>
    <col min="2051" max="2051" width="13.28515625" style="3" customWidth="1"/>
    <col min="2052" max="2052" width="11.42578125" style="3"/>
    <col min="2053" max="2053" width="13.42578125" style="3" customWidth="1"/>
    <col min="2054" max="2054" width="12.7109375" style="3" customWidth="1"/>
    <col min="2055" max="2055" width="14" style="3" customWidth="1"/>
    <col min="2056" max="2056" width="7.42578125" style="3" customWidth="1"/>
    <col min="2057" max="2304" width="11.42578125" style="3"/>
    <col min="2305" max="2305" width="15.85546875" style="3" customWidth="1"/>
    <col min="2306" max="2306" width="14.85546875" style="3" customWidth="1"/>
    <col min="2307" max="2307" width="13.28515625" style="3" customWidth="1"/>
    <col min="2308" max="2308" width="11.42578125" style="3"/>
    <col min="2309" max="2309" width="13.42578125" style="3" customWidth="1"/>
    <col min="2310" max="2310" width="12.7109375" style="3" customWidth="1"/>
    <col min="2311" max="2311" width="14" style="3" customWidth="1"/>
    <col min="2312" max="2312" width="7.42578125" style="3" customWidth="1"/>
    <col min="2313" max="2560" width="11.42578125" style="3"/>
    <col min="2561" max="2561" width="15.85546875" style="3" customWidth="1"/>
    <col min="2562" max="2562" width="14.85546875" style="3" customWidth="1"/>
    <col min="2563" max="2563" width="13.28515625" style="3" customWidth="1"/>
    <col min="2564" max="2564" width="11.42578125" style="3"/>
    <col min="2565" max="2565" width="13.42578125" style="3" customWidth="1"/>
    <col min="2566" max="2566" width="12.7109375" style="3" customWidth="1"/>
    <col min="2567" max="2567" width="14" style="3" customWidth="1"/>
    <col min="2568" max="2568" width="7.42578125" style="3" customWidth="1"/>
    <col min="2569" max="2816" width="11.42578125" style="3"/>
    <col min="2817" max="2817" width="15.85546875" style="3" customWidth="1"/>
    <col min="2818" max="2818" width="14.85546875" style="3" customWidth="1"/>
    <col min="2819" max="2819" width="13.28515625" style="3" customWidth="1"/>
    <col min="2820" max="2820" width="11.42578125" style="3"/>
    <col min="2821" max="2821" width="13.42578125" style="3" customWidth="1"/>
    <col min="2822" max="2822" width="12.7109375" style="3" customWidth="1"/>
    <col min="2823" max="2823" width="14" style="3" customWidth="1"/>
    <col min="2824" max="2824" width="7.42578125" style="3" customWidth="1"/>
    <col min="2825" max="3072" width="11.42578125" style="3"/>
    <col min="3073" max="3073" width="15.85546875" style="3" customWidth="1"/>
    <col min="3074" max="3074" width="14.85546875" style="3" customWidth="1"/>
    <col min="3075" max="3075" width="13.28515625" style="3" customWidth="1"/>
    <col min="3076" max="3076" width="11.42578125" style="3"/>
    <col min="3077" max="3077" width="13.42578125" style="3" customWidth="1"/>
    <col min="3078" max="3078" width="12.7109375" style="3" customWidth="1"/>
    <col min="3079" max="3079" width="14" style="3" customWidth="1"/>
    <col min="3080" max="3080" width="7.42578125" style="3" customWidth="1"/>
    <col min="3081" max="3328" width="11.42578125" style="3"/>
    <col min="3329" max="3329" width="15.85546875" style="3" customWidth="1"/>
    <col min="3330" max="3330" width="14.85546875" style="3" customWidth="1"/>
    <col min="3331" max="3331" width="13.28515625" style="3" customWidth="1"/>
    <col min="3332" max="3332" width="11.42578125" style="3"/>
    <col min="3333" max="3333" width="13.42578125" style="3" customWidth="1"/>
    <col min="3334" max="3334" width="12.7109375" style="3" customWidth="1"/>
    <col min="3335" max="3335" width="14" style="3" customWidth="1"/>
    <col min="3336" max="3336" width="7.42578125" style="3" customWidth="1"/>
    <col min="3337" max="3584" width="11.42578125" style="3"/>
    <col min="3585" max="3585" width="15.85546875" style="3" customWidth="1"/>
    <col min="3586" max="3586" width="14.85546875" style="3" customWidth="1"/>
    <col min="3587" max="3587" width="13.28515625" style="3" customWidth="1"/>
    <col min="3588" max="3588" width="11.42578125" style="3"/>
    <col min="3589" max="3589" width="13.42578125" style="3" customWidth="1"/>
    <col min="3590" max="3590" width="12.7109375" style="3" customWidth="1"/>
    <col min="3591" max="3591" width="14" style="3" customWidth="1"/>
    <col min="3592" max="3592" width="7.42578125" style="3" customWidth="1"/>
    <col min="3593" max="3840" width="11.42578125" style="3"/>
    <col min="3841" max="3841" width="15.85546875" style="3" customWidth="1"/>
    <col min="3842" max="3842" width="14.85546875" style="3" customWidth="1"/>
    <col min="3843" max="3843" width="13.28515625" style="3" customWidth="1"/>
    <col min="3844" max="3844" width="11.42578125" style="3"/>
    <col min="3845" max="3845" width="13.42578125" style="3" customWidth="1"/>
    <col min="3846" max="3846" width="12.7109375" style="3" customWidth="1"/>
    <col min="3847" max="3847" width="14" style="3" customWidth="1"/>
    <col min="3848" max="3848" width="7.42578125" style="3" customWidth="1"/>
    <col min="3849" max="4096" width="11.42578125" style="3"/>
    <col min="4097" max="4097" width="15.85546875" style="3" customWidth="1"/>
    <col min="4098" max="4098" width="14.85546875" style="3" customWidth="1"/>
    <col min="4099" max="4099" width="13.28515625" style="3" customWidth="1"/>
    <col min="4100" max="4100" width="11.42578125" style="3"/>
    <col min="4101" max="4101" width="13.42578125" style="3" customWidth="1"/>
    <col min="4102" max="4102" width="12.7109375" style="3" customWidth="1"/>
    <col min="4103" max="4103" width="14" style="3" customWidth="1"/>
    <col min="4104" max="4104" width="7.42578125" style="3" customWidth="1"/>
    <col min="4105" max="4352" width="11.42578125" style="3"/>
    <col min="4353" max="4353" width="15.85546875" style="3" customWidth="1"/>
    <col min="4354" max="4354" width="14.85546875" style="3" customWidth="1"/>
    <col min="4355" max="4355" width="13.28515625" style="3" customWidth="1"/>
    <col min="4356" max="4356" width="11.42578125" style="3"/>
    <col min="4357" max="4357" width="13.42578125" style="3" customWidth="1"/>
    <col min="4358" max="4358" width="12.7109375" style="3" customWidth="1"/>
    <col min="4359" max="4359" width="14" style="3" customWidth="1"/>
    <col min="4360" max="4360" width="7.42578125" style="3" customWidth="1"/>
    <col min="4361" max="4608" width="11.42578125" style="3"/>
    <col min="4609" max="4609" width="15.85546875" style="3" customWidth="1"/>
    <col min="4610" max="4610" width="14.85546875" style="3" customWidth="1"/>
    <col min="4611" max="4611" width="13.28515625" style="3" customWidth="1"/>
    <col min="4612" max="4612" width="11.42578125" style="3"/>
    <col min="4613" max="4613" width="13.42578125" style="3" customWidth="1"/>
    <col min="4614" max="4614" width="12.7109375" style="3" customWidth="1"/>
    <col min="4615" max="4615" width="14" style="3" customWidth="1"/>
    <col min="4616" max="4616" width="7.42578125" style="3" customWidth="1"/>
    <col min="4617" max="4864" width="11.42578125" style="3"/>
    <col min="4865" max="4865" width="15.85546875" style="3" customWidth="1"/>
    <col min="4866" max="4866" width="14.85546875" style="3" customWidth="1"/>
    <col min="4867" max="4867" width="13.28515625" style="3" customWidth="1"/>
    <col min="4868" max="4868" width="11.42578125" style="3"/>
    <col min="4869" max="4869" width="13.42578125" style="3" customWidth="1"/>
    <col min="4870" max="4870" width="12.7109375" style="3" customWidth="1"/>
    <col min="4871" max="4871" width="14" style="3" customWidth="1"/>
    <col min="4872" max="4872" width="7.42578125" style="3" customWidth="1"/>
    <col min="4873" max="5120" width="11.42578125" style="3"/>
    <col min="5121" max="5121" width="15.85546875" style="3" customWidth="1"/>
    <col min="5122" max="5122" width="14.85546875" style="3" customWidth="1"/>
    <col min="5123" max="5123" width="13.28515625" style="3" customWidth="1"/>
    <col min="5124" max="5124" width="11.42578125" style="3"/>
    <col min="5125" max="5125" width="13.42578125" style="3" customWidth="1"/>
    <col min="5126" max="5126" width="12.7109375" style="3" customWidth="1"/>
    <col min="5127" max="5127" width="14" style="3" customWidth="1"/>
    <col min="5128" max="5128" width="7.42578125" style="3" customWidth="1"/>
    <col min="5129" max="5376" width="11.42578125" style="3"/>
    <col min="5377" max="5377" width="15.85546875" style="3" customWidth="1"/>
    <col min="5378" max="5378" width="14.85546875" style="3" customWidth="1"/>
    <col min="5379" max="5379" width="13.28515625" style="3" customWidth="1"/>
    <col min="5380" max="5380" width="11.42578125" style="3"/>
    <col min="5381" max="5381" width="13.42578125" style="3" customWidth="1"/>
    <col min="5382" max="5382" width="12.7109375" style="3" customWidth="1"/>
    <col min="5383" max="5383" width="14" style="3" customWidth="1"/>
    <col min="5384" max="5384" width="7.42578125" style="3" customWidth="1"/>
    <col min="5385" max="5632" width="11.42578125" style="3"/>
    <col min="5633" max="5633" width="15.85546875" style="3" customWidth="1"/>
    <col min="5634" max="5634" width="14.85546875" style="3" customWidth="1"/>
    <col min="5635" max="5635" width="13.28515625" style="3" customWidth="1"/>
    <col min="5636" max="5636" width="11.42578125" style="3"/>
    <col min="5637" max="5637" width="13.42578125" style="3" customWidth="1"/>
    <col min="5638" max="5638" width="12.7109375" style="3" customWidth="1"/>
    <col min="5639" max="5639" width="14" style="3" customWidth="1"/>
    <col min="5640" max="5640" width="7.42578125" style="3" customWidth="1"/>
    <col min="5641" max="5888" width="11.42578125" style="3"/>
    <col min="5889" max="5889" width="15.85546875" style="3" customWidth="1"/>
    <col min="5890" max="5890" width="14.85546875" style="3" customWidth="1"/>
    <col min="5891" max="5891" width="13.28515625" style="3" customWidth="1"/>
    <col min="5892" max="5892" width="11.42578125" style="3"/>
    <col min="5893" max="5893" width="13.42578125" style="3" customWidth="1"/>
    <col min="5894" max="5894" width="12.7109375" style="3" customWidth="1"/>
    <col min="5895" max="5895" width="14" style="3" customWidth="1"/>
    <col min="5896" max="5896" width="7.42578125" style="3" customWidth="1"/>
    <col min="5897" max="6144" width="11.42578125" style="3"/>
    <col min="6145" max="6145" width="15.85546875" style="3" customWidth="1"/>
    <col min="6146" max="6146" width="14.85546875" style="3" customWidth="1"/>
    <col min="6147" max="6147" width="13.28515625" style="3" customWidth="1"/>
    <col min="6148" max="6148" width="11.42578125" style="3"/>
    <col min="6149" max="6149" width="13.42578125" style="3" customWidth="1"/>
    <col min="6150" max="6150" width="12.7109375" style="3" customWidth="1"/>
    <col min="6151" max="6151" width="14" style="3" customWidth="1"/>
    <col min="6152" max="6152" width="7.42578125" style="3" customWidth="1"/>
    <col min="6153" max="6400" width="11.42578125" style="3"/>
    <col min="6401" max="6401" width="15.85546875" style="3" customWidth="1"/>
    <col min="6402" max="6402" width="14.85546875" style="3" customWidth="1"/>
    <col min="6403" max="6403" width="13.28515625" style="3" customWidth="1"/>
    <col min="6404" max="6404" width="11.42578125" style="3"/>
    <col min="6405" max="6405" width="13.42578125" style="3" customWidth="1"/>
    <col min="6406" max="6406" width="12.7109375" style="3" customWidth="1"/>
    <col min="6407" max="6407" width="14" style="3" customWidth="1"/>
    <col min="6408" max="6408" width="7.42578125" style="3" customWidth="1"/>
    <col min="6409" max="6656" width="11.42578125" style="3"/>
    <col min="6657" max="6657" width="15.85546875" style="3" customWidth="1"/>
    <col min="6658" max="6658" width="14.85546875" style="3" customWidth="1"/>
    <col min="6659" max="6659" width="13.28515625" style="3" customWidth="1"/>
    <col min="6660" max="6660" width="11.42578125" style="3"/>
    <col min="6661" max="6661" width="13.42578125" style="3" customWidth="1"/>
    <col min="6662" max="6662" width="12.7109375" style="3" customWidth="1"/>
    <col min="6663" max="6663" width="14" style="3" customWidth="1"/>
    <col min="6664" max="6664" width="7.42578125" style="3" customWidth="1"/>
    <col min="6665" max="6912" width="11.42578125" style="3"/>
    <col min="6913" max="6913" width="15.85546875" style="3" customWidth="1"/>
    <col min="6914" max="6914" width="14.85546875" style="3" customWidth="1"/>
    <col min="6915" max="6915" width="13.28515625" style="3" customWidth="1"/>
    <col min="6916" max="6916" width="11.42578125" style="3"/>
    <col min="6917" max="6917" width="13.42578125" style="3" customWidth="1"/>
    <col min="6918" max="6918" width="12.7109375" style="3" customWidth="1"/>
    <col min="6919" max="6919" width="14" style="3" customWidth="1"/>
    <col min="6920" max="6920" width="7.42578125" style="3" customWidth="1"/>
    <col min="6921" max="7168" width="11.42578125" style="3"/>
    <col min="7169" max="7169" width="15.85546875" style="3" customWidth="1"/>
    <col min="7170" max="7170" width="14.85546875" style="3" customWidth="1"/>
    <col min="7171" max="7171" width="13.28515625" style="3" customWidth="1"/>
    <col min="7172" max="7172" width="11.42578125" style="3"/>
    <col min="7173" max="7173" width="13.42578125" style="3" customWidth="1"/>
    <col min="7174" max="7174" width="12.7109375" style="3" customWidth="1"/>
    <col min="7175" max="7175" width="14" style="3" customWidth="1"/>
    <col min="7176" max="7176" width="7.42578125" style="3" customWidth="1"/>
    <col min="7177" max="7424" width="11.42578125" style="3"/>
    <col min="7425" max="7425" width="15.85546875" style="3" customWidth="1"/>
    <col min="7426" max="7426" width="14.85546875" style="3" customWidth="1"/>
    <col min="7427" max="7427" width="13.28515625" style="3" customWidth="1"/>
    <col min="7428" max="7428" width="11.42578125" style="3"/>
    <col min="7429" max="7429" width="13.42578125" style="3" customWidth="1"/>
    <col min="7430" max="7430" width="12.7109375" style="3" customWidth="1"/>
    <col min="7431" max="7431" width="14" style="3" customWidth="1"/>
    <col min="7432" max="7432" width="7.42578125" style="3" customWidth="1"/>
    <col min="7433" max="7680" width="11.42578125" style="3"/>
    <col min="7681" max="7681" width="15.85546875" style="3" customWidth="1"/>
    <col min="7682" max="7682" width="14.85546875" style="3" customWidth="1"/>
    <col min="7683" max="7683" width="13.28515625" style="3" customWidth="1"/>
    <col min="7684" max="7684" width="11.42578125" style="3"/>
    <col min="7685" max="7685" width="13.42578125" style="3" customWidth="1"/>
    <col min="7686" max="7686" width="12.7109375" style="3" customWidth="1"/>
    <col min="7687" max="7687" width="14" style="3" customWidth="1"/>
    <col min="7688" max="7688" width="7.42578125" style="3" customWidth="1"/>
    <col min="7689" max="7936" width="11.42578125" style="3"/>
    <col min="7937" max="7937" width="15.85546875" style="3" customWidth="1"/>
    <col min="7938" max="7938" width="14.85546875" style="3" customWidth="1"/>
    <col min="7939" max="7939" width="13.28515625" style="3" customWidth="1"/>
    <col min="7940" max="7940" width="11.42578125" style="3"/>
    <col min="7941" max="7941" width="13.42578125" style="3" customWidth="1"/>
    <col min="7942" max="7942" width="12.7109375" style="3" customWidth="1"/>
    <col min="7943" max="7943" width="14" style="3" customWidth="1"/>
    <col min="7944" max="7944" width="7.42578125" style="3" customWidth="1"/>
    <col min="7945" max="8192" width="11.42578125" style="3"/>
    <col min="8193" max="8193" width="15.85546875" style="3" customWidth="1"/>
    <col min="8194" max="8194" width="14.85546875" style="3" customWidth="1"/>
    <col min="8195" max="8195" width="13.28515625" style="3" customWidth="1"/>
    <col min="8196" max="8196" width="11.42578125" style="3"/>
    <col min="8197" max="8197" width="13.42578125" style="3" customWidth="1"/>
    <col min="8198" max="8198" width="12.7109375" style="3" customWidth="1"/>
    <col min="8199" max="8199" width="14" style="3" customWidth="1"/>
    <col min="8200" max="8200" width="7.42578125" style="3" customWidth="1"/>
    <col min="8201" max="8448" width="11.42578125" style="3"/>
    <col min="8449" max="8449" width="15.85546875" style="3" customWidth="1"/>
    <col min="8450" max="8450" width="14.85546875" style="3" customWidth="1"/>
    <col min="8451" max="8451" width="13.28515625" style="3" customWidth="1"/>
    <col min="8452" max="8452" width="11.42578125" style="3"/>
    <col min="8453" max="8453" width="13.42578125" style="3" customWidth="1"/>
    <col min="8454" max="8454" width="12.7109375" style="3" customWidth="1"/>
    <col min="8455" max="8455" width="14" style="3" customWidth="1"/>
    <col min="8456" max="8456" width="7.42578125" style="3" customWidth="1"/>
    <col min="8457" max="8704" width="11.42578125" style="3"/>
    <col min="8705" max="8705" width="15.85546875" style="3" customWidth="1"/>
    <col min="8706" max="8706" width="14.85546875" style="3" customWidth="1"/>
    <col min="8707" max="8707" width="13.28515625" style="3" customWidth="1"/>
    <col min="8708" max="8708" width="11.42578125" style="3"/>
    <col min="8709" max="8709" width="13.42578125" style="3" customWidth="1"/>
    <col min="8710" max="8710" width="12.7109375" style="3" customWidth="1"/>
    <col min="8711" max="8711" width="14" style="3" customWidth="1"/>
    <col min="8712" max="8712" width="7.42578125" style="3" customWidth="1"/>
    <col min="8713" max="8960" width="11.42578125" style="3"/>
    <col min="8961" max="8961" width="15.85546875" style="3" customWidth="1"/>
    <col min="8962" max="8962" width="14.85546875" style="3" customWidth="1"/>
    <col min="8963" max="8963" width="13.28515625" style="3" customWidth="1"/>
    <col min="8964" max="8964" width="11.42578125" style="3"/>
    <col min="8965" max="8965" width="13.42578125" style="3" customWidth="1"/>
    <col min="8966" max="8966" width="12.7109375" style="3" customWidth="1"/>
    <col min="8967" max="8967" width="14" style="3" customWidth="1"/>
    <col min="8968" max="8968" width="7.42578125" style="3" customWidth="1"/>
    <col min="8969" max="9216" width="11.42578125" style="3"/>
    <col min="9217" max="9217" width="15.85546875" style="3" customWidth="1"/>
    <col min="9218" max="9218" width="14.85546875" style="3" customWidth="1"/>
    <col min="9219" max="9219" width="13.28515625" style="3" customWidth="1"/>
    <col min="9220" max="9220" width="11.42578125" style="3"/>
    <col min="9221" max="9221" width="13.42578125" style="3" customWidth="1"/>
    <col min="9222" max="9222" width="12.7109375" style="3" customWidth="1"/>
    <col min="9223" max="9223" width="14" style="3" customWidth="1"/>
    <col min="9224" max="9224" width="7.42578125" style="3" customWidth="1"/>
    <col min="9225" max="9472" width="11.42578125" style="3"/>
    <col min="9473" max="9473" width="15.85546875" style="3" customWidth="1"/>
    <col min="9474" max="9474" width="14.85546875" style="3" customWidth="1"/>
    <col min="9475" max="9475" width="13.28515625" style="3" customWidth="1"/>
    <col min="9476" max="9476" width="11.42578125" style="3"/>
    <col min="9477" max="9477" width="13.42578125" style="3" customWidth="1"/>
    <col min="9478" max="9478" width="12.7109375" style="3" customWidth="1"/>
    <col min="9479" max="9479" width="14" style="3" customWidth="1"/>
    <col min="9480" max="9480" width="7.42578125" style="3" customWidth="1"/>
    <col min="9481" max="9728" width="11.42578125" style="3"/>
    <col min="9729" max="9729" width="15.85546875" style="3" customWidth="1"/>
    <col min="9730" max="9730" width="14.85546875" style="3" customWidth="1"/>
    <col min="9731" max="9731" width="13.28515625" style="3" customWidth="1"/>
    <col min="9732" max="9732" width="11.42578125" style="3"/>
    <col min="9733" max="9733" width="13.42578125" style="3" customWidth="1"/>
    <col min="9734" max="9734" width="12.7109375" style="3" customWidth="1"/>
    <col min="9735" max="9735" width="14" style="3" customWidth="1"/>
    <col min="9736" max="9736" width="7.42578125" style="3" customWidth="1"/>
    <col min="9737" max="9984" width="11.42578125" style="3"/>
    <col min="9985" max="9985" width="15.85546875" style="3" customWidth="1"/>
    <col min="9986" max="9986" width="14.85546875" style="3" customWidth="1"/>
    <col min="9987" max="9987" width="13.28515625" style="3" customWidth="1"/>
    <col min="9988" max="9988" width="11.42578125" style="3"/>
    <col min="9989" max="9989" width="13.42578125" style="3" customWidth="1"/>
    <col min="9990" max="9990" width="12.7109375" style="3" customWidth="1"/>
    <col min="9991" max="9991" width="14" style="3" customWidth="1"/>
    <col min="9992" max="9992" width="7.42578125" style="3" customWidth="1"/>
    <col min="9993" max="10240" width="11.42578125" style="3"/>
    <col min="10241" max="10241" width="15.85546875" style="3" customWidth="1"/>
    <col min="10242" max="10242" width="14.85546875" style="3" customWidth="1"/>
    <col min="10243" max="10243" width="13.28515625" style="3" customWidth="1"/>
    <col min="10244" max="10244" width="11.42578125" style="3"/>
    <col min="10245" max="10245" width="13.42578125" style="3" customWidth="1"/>
    <col min="10246" max="10246" width="12.7109375" style="3" customWidth="1"/>
    <col min="10247" max="10247" width="14" style="3" customWidth="1"/>
    <col min="10248" max="10248" width="7.42578125" style="3" customWidth="1"/>
    <col min="10249" max="10496" width="11.42578125" style="3"/>
    <col min="10497" max="10497" width="15.85546875" style="3" customWidth="1"/>
    <col min="10498" max="10498" width="14.85546875" style="3" customWidth="1"/>
    <col min="10499" max="10499" width="13.28515625" style="3" customWidth="1"/>
    <col min="10500" max="10500" width="11.42578125" style="3"/>
    <col min="10501" max="10501" width="13.42578125" style="3" customWidth="1"/>
    <col min="10502" max="10502" width="12.7109375" style="3" customWidth="1"/>
    <col min="10503" max="10503" width="14" style="3" customWidth="1"/>
    <col min="10504" max="10504" width="7.42578125" style="3" customWidth="1"/>
    <col min="10505" max="10752" width="11.42578125" style="3"/>
    <col min="10753" max="10753" width="15.85546875" style="3" customWidth="1"/>
    <col min="10754" max="10754" width="14.85546875" style="3" customWidth="1"/>
    <col min="10755" max="10755" width="13.28515625" style="3" customWidth="1"/>
    <col min="10756" max="10756" width="11.42578125" style="3"/>
    <col min="10757" max="10757" width="13.42578125" style="3" customWidth="1"/>
    <col min="10758" max="10758" width="12.7109375" style="3" customWidth="1"/>
    <col min="10759" max="10759" width="14" style="3" customWidth="1"/>
    <col min="10760" max="10760" width="7.42578125" style="3" customWidth="1"/>
    <col min="10761" max="11008" width="11.42578125" style="3"/>
    <col min="11009" max="11009" width="15.85546875" style="3" customWidth="1"/>
    <col min="11010" max="11010" width="14.85546875" style="3" customWidth="1"/>
    <col min="11011" max="11011" width="13.28515625" style="3" customWidth="1"/>
    <col min="11012" max="11012" width="11.42578125" style="3"/>
    <col min="11013" max="11013" width="13.42578125" style="3" customWidth="1"/>
    <col min="11014" max="11014" width="12.7109375" style="3" customWidth="1"/>
    <col min="11015" max="11015" width="14" style="3" customWidth="1"/>
    <col min="11016" max="11016" width="7.42578125" style="3" customWidth="1"/>
    <col min="11017" max="11264" width="11.42578125" style="3"/>
    <col min="11265" max="11265" width="15.85546875" style="3" customWidth="1"/>
    <col min="11266" max="11266" width="14.85546875" style="3" customWidth="1"/>
    <col min="11267" max="11267" width="13.28515625" style="3" customWidth="1"/>
    <col min="11268" max="11268" width="11.42578125" style="3"/>
    <col min="11269" max="11269" width="13.42578125" style="3" customWidth="1"/>
    <col min="11270" max="11270" width="12.7109375" style="3" customWidth="1"/>
    <col min="11271" max="11271" width="14" style="3" customWidth="1"/>
    <col min="11272" max="11272" width="7.42578125" style="3" customWidth="1"/>
    <col min="11273" max="11520" width="11.42578125" style="3"/>
    <col min="11521" max="11521" width="15.85546875" style="3" customWidth="1"/>
    <col min="11522" max="11522" width="14.85546875" style="3" customWidth="1"/>
    <col min="11523" max="11523" width="13.28515625" style="3" customWidth="1"/>
    <col min="11524" max="11524" width="11.42578125" style="3"/>
    <col min="11525" max="11525" width="13.42578125" style="3" customWidth="1"/>
    <col min="11526" max="11526" width="12.7109375" style="3" customWidth="1"/>
    <col min="11527" max="11527" width="14" style="3" customWidth="1"/>
    <col min="11528" max="11528" width="7.42578125" style="3" customWidth="1"/>
    <col min="11529" max="11776" width="11.42578125" style="3"/>
    <col min="11777" max="11777" width="15.85546875" style="3" customWidth="1"/>
    <col min="11778" max="11778" width="14.85546875" style="3" customWidth="1"/>
    <col min="11779" max="11779" width="13.28515625" style="3" customWidth="1"/>
    <col min="11780" max="11780" width="11.42578125" style="3"/>
    <col min="11781" max="11781" width="13.42578125" style="3" customWidth="1"/>
    <col min="11782" max="11782" width="12.7109375" style="3" customWidth="1"/>
    <col min="11783" max="11783" width="14" style="3" customWidth="1"/>
    <col min="11784" max="11784" width="7.42578125" style="3" customWidth="1"/>
    <col min="11785" max="12032" width="11.42578125" style="3"/>
    <col min="12033" max="12033" width="15.85546875" style="3" customWidth="1"/>
    <col min="12034" max="12034" width="14.85546875" style="3" customWidth="1"/>
    <col min="12035" max="12035" width="13.28515625" style="3" customWidth="1"/>
    <col min="12036" max="12036" width="11.42578125" style="3"/>
    <col min="12037" max="12037" width="13.42578125" style="3" customWidth="1"/>
    <col min="12038" max="12038" width="12.7109375" style="3" customWidth="1"/>
    <col min="12039" max="12039" width="14" style="3" customWidth="1"/>
    <col min="12040" max="12040" width="7.42578125" style="3" customWidth="1"/>
    <col min="12041" max="12288" width="11.42578125" style="3"/>
    <col min="12289" max="12289" width="15.85546875" style="3" customWidth="1"/>
    <col min="12290" max="12290" width="14.85546875" style="3" customWidth="1"/>
    <col min="12291" max="12291" width="13.28515625" style="3" customWidth="1"/>
    <col min="12292" max="12292" width="11.42578125" style="3"/>
    <col min="12293" max="12293" width="13.42578125" style="3" customWidth="1"/>
    <col min="12294" max="12294" width="12.7109375" style="3" customWidth="1"/>
    <col min="12295" max="12295" width="14" style="3" customWidth="1"/>
    <col min="12296" max="12296" width="7.42578125" style="3" customWidth="1"/>
    <col min="12297" max="12544" width="11.42578125" style="3"/>
    <col min="12545" max="12545" width="15.85546875" style="3" customWidth="1"/>
    <col min="12546" max="12546" width="14.85546875" style="3" customWidth="1"/>
    <col min="12547" max="12547" width="13.28515625" style="3" customWidth="1"/>
    <col min="12548" max="12548" width="11.42578125" style="3"/>
    <col min="12549" max="12549" width="13.42578125" style="3" customWidth="1"/>
    <col min="12550" max="12550" width="12.7109375" style="3" customWidth="1"/>
    <col min="12551" max="12551" width="14" style="3" customWidth="1"/>
    <col min="12552" max="12552" width="7.42578125" style="3" customWidth="1"/>
    <col min="12553" max="12800" width="11.42578125" style="3"/>
    <col min="12801" max="12801" width="15.85546875" style="3" customWidth="1"/>
    <col min="12802" max="12802" width="14.85546875" style="3" customWidth="1"/>
    <col min="12803" max="12803" width="13.28515625" style="3" customWidth="1"/>
    <col min="12804" max="12804" width="11.42578125" style="3"/>
    <col min="12805" max="12805" width="13.42578125" style="3" customWidth="1"/>
    <col min="12806" max="12806" width="12.7109375" style="3" customWidth="1"/>
    <col min="12807" max="12807" width="14" style="3" customWidth="1"/>
    <col min="12808" max="12808" width="7.42578125" style="3" customWidth="1"/>
    <col min="12809" max="13056" width="11.42578125" style="3"/>
    <col min="13057" max="13057" width="15.85546875" style="3" customWidth="1"/>
    <col min="13058" max="13058" width="14.85546875" style="3" customWidth="1"/>
    <col min="13059" max="13059" width="13.28515625" style="3" customWidth="1"/>
    <col min="13060" max="13060" width="11.42578125" style="3"/>
    <col min="13061" max="13061" width="13.42578125" style="3" customWidth="1"/>
    <col min="13062" max="13062" width="12.7109375" style="3" customWidth="1"/>
    <col min="13063" max="13063" width="14" style="3" customWidth="1"/>
    <col min="13064" max="13064" width="7.42578125" style="3" customWidth="1"/>
    <col min="13065" max="13312" width="11.42578125" style="3"/>
    <col min="13313" max="13313" width="15.85546875" style="3" customWidth="1"/>
    <col min="13314" max="13314" width="14.85546875" style="3" customWidth="1"/>
    <col min="13315" max="13315" width="13.28515625" style="3" customWidth="1"/>
    <col min="13316" max="13316" width="11.42578125" style="3"/>
    <col min="13317" max="13317" width="13.42578125" style="3" customWidth="1"/>
    <col min="13318" max="13318" width="12.7109375" style="3" customWidth="1"/>
    <col min="13319" max="13319" width="14" style="3" customWidth="1"/>
    <col min="13320" max="13320" width="7.42578125" style="3" customWidth="1"/>
    <col min="13321" max="13568" width="11.42578125" style="3"/>
    <col min="13569" max="13569" width="15.85546875" style="3" customWidth="1"/>
    <col min="13570" max="13570" width="14.85546875" style="3" customWidth="1"/>
    <col min="13571" max="13571" width="13.28515625" style="3" customWidth="1"/>
    <col min="13572" max="13572" width="11.42578125" style="3"/>
    <col min="13573" max="13573" width="13.42578125" style="3" customWidth="1"/>
    <col min="13574" max="13574" width="12.7109375" style="3" customWidth="1"/>
    <col min="13575" max="13575" width="14" style="3" customWidth="1"/>
    <col min="13576" max="13576" width="7.42578125" style="3" customWidth="1"/>
    <col min="13577" max="13824" width="11.42578125" style="3"/>
    <col min="13825" max="13825" width="15.85546875" style="3" customWidth="1"/>
    <col min="13826" max="13826" width="14.85546875" style="3" customWidth="1"/>
    <col min="13827" max="13827" width="13.28515625" style="3" customWidth="1"/>
    <col min="13828" max="13828" width="11.42578125" style="3"/>
    <col min="13829" max="13829" width="13.42578125" style="3" customWidth="1"/>
    <col min="13830" max="13830" width="12.7109375" style="3" customWidth="1"/>
    <col min="13831" max="13831" width="14" style="3" customWidth="1"/>
    <col min="13832" max="13832" width="7.42578125" style="3" customWidth="1"/>
    <col min="13833" max="14080" width="11.42578125" style="3"/>
    <col min="14081" max="14081" width="15.85546875" style="3" customWidth="1"/>
    <col min="14082" max="14082" width="14.85546875" style="3" customWidth="1"/>
    <col min="14083" max="14083" width="13.28515625" style="3" customWidth="1"/>
    <col min="14084" max="14084" width="11.42578125" style="3"/>
    <col min="14085" max="14085" width="13.42578125" style="3" customWidth="1"/>
    <col min="14086" max="14086" width="12.7109375" style="3" customWidth="1"/>
    <col min="14087" max="14087" width="14" style="3" customWidth="1"/>
    <col min="14088" max="14088" width="7.42578125" style="3" customWidth="1"/>
    <col min="14089" max="14336" width="11.42578125" style="3"/>
    <col min="14337" max="14337" width="15.85546875" style="3" customWidth="1"/>
    <col min="14338" max="14338" width="14.85546875" style="3" customWidth="1"/>
    <col min="14339" max="14339" width="13.28515625" style="3" customWidth="1"/>
    <col min="14340" max="14340" width="11.42578125" style="3"/>
    <col min="14341" max="14341" width="13.42578125" style="3" customWidth="1"/>
    <col min="14342" max="14342" width="12.7109375" style="3" customWidth="1"/>
    <col min="14343" max="14343" width="14" style="3" customWidth="1"/>
    <col min="14344" max="14344" width="7.42578125" style="3" customWidth="1"/>
    <col min="14345" max="14592" width="11.42578125" style="3"/>
    <col min="14593" max="14593" width="15.85546875" style="3" customWidth="1"/>
    <col min="14594" max="14594" width="14.85546875" style="3" customWidth="1"/>
    <col min="14595" max="14595" width="13.28515625" style="3" customWidth="1"/>
    <col min="14596" max="14596" width="11.42578125" style="3"/>
    <col min="14597" max="14597" width="13.42578125" style="3" customWidth="1"/>
    <col min="14598" max="14598" width="12.7109375" style="3" customWidth="1"/>
    <col min="14599" max="14599" width="14" style="3" customWidth="1"/>
    <col min="14600" max="14600" width="7.42578125" style="3" customWidth="1"/>
    <col min="14601" max="14848" width="11.42578125" style="3"/>
    <col min="14849" max="14849" width="15.85546875" style="3" customWidth="1"/>
    <col min="14850" max="14850" width="14.85546875" style="3" customWidth="1"/>
    <col min="14851" max="14851" width="13.28515625" style="3" customWidth="1"/>
    <col min="14852" max="14852" width="11.42578125" style="3"/>
    <col min="14853" max="14853" width="13.42578125" style="3" customWidth="1"/>
    <col min="14854" max="14854" width="12.7109375" style="3" customWidth="1"/>
    <col min="14855" max="14855" width="14" style="3" customWidth="1"/>
    <col min="14856" max="14856" width="7.42578125" style="3" customWidth="1"/>
    <col min="14857" max="15104" width="11.42578125" style="3"/>
    <col min="15105" max="15105" width="15.85546875" style="3" customWidth="1"/>
    <col min="15106" max="15106" width="14.85546875" style="3" customWidth="1"/>
    <col min="15107" max="15107" width="13.28515625" style="3" customWidth="1"/>
    <col min="15108" max="15108" width="11.42578125" style="3"/>
    <col min="15109" max="15109" width="13.42578125" style="3" customWidth="1"/>
    <col min="15110" max="15110" width="12.7109375" style="3" customWidth="1"/>
    <col min="15111" max="15111" width="14" style="3" customWidth="1"/>
    <col min="15112" max="15112" width="7.42578125" style="3" customWidth="1"/>
    <col min="15113" max="15360" width="11.42578125" style="3"/>
    <col min="15361" max="15361" width="15.85546875" style="3" customWidth="1"/>
    <col min="15362" max="15362" width="14.85546875" style="3" customWidth="1"/>
    <col min="15363" max="15363" width="13.28515625" style="3" customWidth="1"/>
    <col min="15364" max="15364" width="11.42578125" style="3"/>
    <col min="15365" max="15365" width="13.42578125" style="3" customWidth="1"/>
    <col min="15366" max="15366" width="12.7109375" style="3" customWidth="1"/>
    <col min="15367" max="15367" width="14" style="3" customWidth="1"/>
    <col min="15368" max="15368" width="7.42578125" style="3" customWidth="1"/>
    <col min="15369" max="15616" width="11.42578125" style="3"/>
    <col min="15617" max="15617" width="15.85546875" style="3" customWidth="1"/>
    <col min="15618" max="15618" width="14.85546875" style="3" customWidth="1"/>
    <col min="15619" max="15619" width="13.28515625" style="3" customWidth="1"/>
    <col min="15620" max="15620" width="11.42578125" style="3"/>
    <col min="15621" max="15621" width="13.42578125" style="3" customWidth="1"/>
    <col min="15622" max="15622" width="12.7109375" style="3" customWidth="1"/>
    <col min="15623" max="15623" width="14" style="3" customWidth="1"/>
    <col min="15624" max="15624" width="7.42578125" style="3" customWidth="1"/>
    <col min="15625" max="15872" width="11.42578125" style="3"/>
    <col min="15873" max="15873" width="15.85546875" style="3" customWidth="1"/>
    <col min="15874" max="15874" width="14.85546875" style="3" customWidth="1"/>
    <col min="15875" max="15875" width="13.28515625" style="3" customWidth="1"/>
    <col min="15876" max="15876" width="11.42578125" style="3"/>
    <col min="15877" max="15877" width="13.42578125" style="3" customWidth="1"/>
    <col min="15878" max="15878" width="12.7109375" style="3" customWidth="1"/>
    <col min="15879" max="15879" width="14" style="3" customWidth="1"/>
    <col min="15880" max="15880" width="7.42578125" style="3" customWidth="1"/>
    <col min="15881" max="16128" width="11.42578125" style="3"/>
    <col min="16129" max="16129" width="15.85546875" style="3" customWidth="1"/>
    <col min="16130" max="16130" width="14.85546875" style="3" customWidth="1"/>
    <col min="16131" max="16131" width="13.28515625" style="3" customWidth="1"/>
    <col min="16132" max="16132" width="11.42578125" style="3"/>
    <col min="16133" max="16133" width="13.42578125" style="3" customWidth="1"/>
    <col min="16134" max="16134" width="12.7109375" style="3" customWidth="1"/>
    <col min="16135" max="16135" width="14" style="3" customWidth="1"/>
    <col min="16136" max="16136" width="7.42578125" style="3" customWidth="1"/>
    <col min="16137" max="16384" width="11.42578125" style="3"/>
  </cols>
  <sheetData>
    <row r="1" spans="1:21" ht="20.25">
      <c r="A1" s="1346" t="str">
        <f>PPTO!D3</f>
        <v>PRESUPUESTO
MUNICIPIO EL BAGRE (ANTIOQUIA).</v>
      </c>
      <c r="B1" s="1347"/>
      <c r="C1" s="1347"/>
      <c r="D1" s="1347"/>
      <c r="E1" s="1347"/>
      <c r="F1" s="1347"/>
      <c r="G1" s="1348"/>
      <c r="H1" s="1"/>
      <c r="I1" s="2"/>
    </row>
    <row r="2" spans="1:21" ht="18" customHeight="1">
      <c r="A2" s="1397" t="s">
        <v>16</v>
      </c>
      <c r="B2" s="1363"/>
      <c r="C2" s="1363"/>
      <c r="D2" s="1363"/>
      <c r="E2" s="1363"/>
      <c r="F2" s="1363"/>
      <c r="G2" s="1398"/>
      <c r="H2" s="1"/>
      <c r="I2" s="2"/>
    </row>
    <row r="3" spans="1:21" ht="24" customHeight="1">
      <c r="A3" s="1392" t="str">
        <f>+PPTO!$D$5</f>
        <v>PROYECTO DE MEJORAMIENTO VIAL, ESPACIO PUBLICO Y OBRAS COMPLEMENTARIAS DE LA AVENIDA LA JUVENTUD Y TRAMOS ADYACENTES Y PRIORITARIOS DEL SECTOR URBANO EN EL MUNICIPIO EL BAGRE ANTIOQUIA.</v>
      </c>
      <c r="B3" s="1368"/>
      <c r="C3" s="1368"/>
      <c r="D3" s="1368"/>
      <c r="E3" s="1368"/>
      <c r="F3" s="1368"/>
      <c r="G3" s="1393"/>
      <c r="H3" s="1"/>
      <c r="I3" s="2"/>
    </row>
    <row r="4" spans="1:21" ht="17.25" customHeight="1">
      <c r="A4" s="1394"/>
      <c r="B4" s="1368"/>
      <c r="C4" s="1368"/>
      <c r="D4" s="1368"/>
      <c r="E4" s="1368"/>
      <c r="F4" s="1368"/>
      <c r="G4" s="1393"/>
      <c r="H4" s="1"/>
      <c r="I4" s="2"/>
    </row>
    <row r="5" spans="1:21" ht="6.75" customHeight="1">
      <c r="A5" s="52"/>
      <c r="B5" s="6"/>
      <c r="C5" s="24"/>
      <c r="D5" s="25"/>
      <c r="E5" s="6"/>
      <c r="F5" s="6"/>
      <c r="G5" s="53"/>
      <c r="H5" s="9"/>
    </row>
    <row r="6" spans="1:21" ht="26.25" customHeight="1">
      <c r="A6" s="368">
        <v>7.1</v>
      </c>
      <c r="B6" s="1349" t="str">
        <f>VLOOKUP(A6,PPTO!D4:I131,2,FALSE)</f>
        <v>Suministro e instalación de juego de Sillas y Mesa para zonas urbanisticas en material de madera reciclada para exteriores</v>
      </c>
      <c r="C6" s="1350"/>
      <c r="D6" s="1350"/>
      <c r="E6" s="1351"/>
      <c r="F6" s="192" t="s">
        <v>118</v>
      </c>
      <c r="G6" s="248" t="str">
        <f>VLOOKUP(A6,PPTO!D4:I131,3,FALSE)</f>
        <v>und</v>
      </c>
      <c r="H6" s="9"/>
    </row>
    <row r="7" spans="1:21" ht="3.75" customHeight="1">
      <c r="A7" s="54"/>
      <c r="B7" s="4"/>
      <c r="C7" s="6"/>
      <c r="D7" s="4"/>
      <c r="E7" s="4"/>
      <c r="F7" s="4"/>
      <c r="G7" s="55"/>
      <c r="H7" s="9"/>
    </row>
    <row r="8" spans="1:21" ht="22.5" customHeight="1">
      <c r="A8" s="1395" t="s">
        <v>69</v>
      </c>
      <c r="B8" s="1355"/>
      <c r="C8" s="1355"/>
      <c r="D8" s="1355"/>
      <c r="E8" s="1355"/>
      <c r="F8" s="1355"/>
      <c r="G8" s="1396"/>
      <c r="H8" s="9"/>
    </row>
    <row r="9" spans="1:21" ht="4.5" customHeight="1">
      <c r="A9" s="54"/>
      <c r="B9" s="4"/>
      <c r="C9" s="6"/>
      <c r="D9" s="4"/>
      <c r="E9" s="4"/>
      <c r="F9" s="4"/>
      <c r="G9" s="55"/>
      <c r="H9" s="9"/>
      <c r="I9" s="5"/>
      <c r="J9" s="5"/>
      <c r="K9" s="5"/>
      <c r="L9" s="26"/>
      <c r="M9" s="5"/>
      <c r="N9" s="5"/>
      <c r="O9" s="5"/>
      <c r="P9" s="5"/>
    </row>
    <row r="10" spans="1:21">
      <c r="A10" s="1391" t="s">
        <v>17</v>
      </c>
      <c r="B10" s="1374"/>
      <c r="C10" s="1374"/>
      <c r="D10" s="788" t="s">
        <v>18</v>
      </c>
      <c r="E10" s="788" t="s">
        <v>19</v>
      </c>
      <c r="F10" s="788" t="s">
        <v>20</v>
      </c>
      <c r="G10" s="61" t="s">
        <v>21</v>
      </c>
      <c r="H10" s="27"/>
      <c r="I10" s="28"/>
      <c r="J10" s="29"/>
      <c r="K10" s="30"/>
      <c r="L10" s="30"/>
      <c r="M10" s="30"/>
      <c r="N10" s="30"/>
      <c r="O10" s="30"/>
      <c r="P10" s="5"/>
    </row>
    <row r="11" spans="1:21">
      <c r="A11" s="1389" t="s">
        <v>75</v>
      </c>
      <c r="B11" s="1388"/>
      <c r="C11" s="1388"/>
      <c r="D11" s="789"/>
      <c r="E11" s="394"/>
      <c r="F11" s="395"/>
      <c r="G11" s="753">
        <f>+G39*5%</f>
        <v>1166</v>
      </c>
      <c r="H11" s="9"/>
      <c r="I11" s="30"/>
      <c r="J11" s="31"/>
      <c r="K11" s="30"/>
      <c r="L11" s="30"/>
      <c r="M11" s="30"/>
      <c r="N11" s="30"/>
      <c r="O11" s="30"/>
      <c r="P11" s="5"/>
    </row>
    <row r="12" spans="1:21">
      <c r="A12" s="1389"/>
      <c r="B12" s="1388"/>
      <c r="C12" s="1388"/>
      <c r="D12" s="789"/>
      <c r="E12" s="424"/>
      <c r="F12" s="754"/>
      <c r="G12" s="753"/>
      <c r="H12" s="9"/>
      <c r="I12" s="16"/>
      <c r="J12" s="13"/>
      <c r="K12" s="8"/>
      <c r="L12" s="8"/>
      <c r="M12" s="8"/>
      <c r="N12" s="8"/>
      <c r="O12" s="8"/>
      <c r="P12" s="5"/>
    </row>
    <row r="13" spans="1:21">
      <c r="A13" s="1389"/>
      <c r="B13" s="1388"/>
      <c r="C13" s="1388"/>
      <c r="D13" s="394"/>
      <c r="E13" s="424"/>
      <c r="F13" s="754"/>
      <c r="G13" s="753"/>
      <c r="H13" s="9"/>
      <c r="I13" s="13"/>
      <c r="J13" s="13"/>
      <c r="K13" s="13"/>
      <c r="L13" s="13"/>
      <c r="M13" s="13"/>
      <c r="N13" s="13"/>
      <c r="O13" s="13"/>
      <c r="P13" s="5"/>
    </row>
    <row r="14" spans="1:21">
      <c r="A14" s="1389"/>
      <c r="B14" s="1388"/>
      <c r="C14" s="1388"/>
      <c r="D14" s="394"/>
      <c r="E14" s="424"/>
      <c r="F14" s="754"/>
      <c r="G14" s="753"/>
      <c r="H14" s="9"/>
      <c r="I14" s="8"/>
      <c r="J14" s="14"/>
      <c r="K14" s="32"/>
      <c r="L14" s="14"/>
      <c r="M14" s="15"/>
      <c r="N14" s="15"/>
      <c r="O14" s="19"/>
      <c r="P14" s="5"/>
    </row>
    <row r="15" spans="1:21">
      <c r="A15" s="1390"/>
      <c r="B15" s="1372"/>
      <c r="C15" s="1372"/>
      <c r="D15" s="83"/>
      <c r="E15" s="83"/>
      <c r="F15" s="98"/>
      <c r="G15" s="96"/>
      <c r="H15" s="9"/>
      <c r="I15" s="8"/>
      <c r="J15" s="33"/>
      <c r="K15" s="32"/>
      <c r="L15" s="14"/>
      <c r="M15" s="15"/>
      <c r="N15" s="15"/>
      <c r="O15" s="19"/>
      <c r="P15" s="5"/>
      <c r="Q15" s="5"/>
      <c r="R15" s="5"/>
      <c r="S15" s="5"/>
      <c r="T15" s="5"/>
      <c r="U15" s="5"/>
    </row>
    <row r="16" spans="1:21">
      <c r="A16" s="1390"/>
      <c r="B16" s="1372"/>
      <c r="C16" s="1372"/>
      <c r="D16" s="85" t="s">
        <v>37</v>
      </c>
      <c r="E16" s="50"/>
      <c r="F16" s="49"/>
      <c r="G16" s="86">
        <f>SUM(G11:G15)</f>
        <v>1166</v>
      </c>
      <c r="H16" s="9"/>
      <c r="I16" s="34"/>
      <c r="J16" s="34"/>
      <c r="K16" s="35"/>
      <c r="L16" s="36"/>
      <c r="M16" s="7"/>
      <c r="N16" s="7"/>
      <c r="O16" s="19"/>
      <c r="P16" s="5"/>
      <c r="Q16" s="5"/>
      <c r="R16" s="5"/>
      <c r="S16" s="5"/>
      <c r="T16" s="5"/>
      <c r="U16" s="5"/>
    </row>
    <row r="17" spans="1:21" ht="4.5" customHeight="1">
      <c r="A17" s="54"/>
      <c r="B17" s="4"/>
      <c r="C17" s="6"/>
      <c r="D17" s="4"/>
      <c r="E17" s="4"/>
      <c r="F17" s="4"/>
      <c r="G17" s="55"/>
      <c r="H17" s="9"/>
      <c r="I17" s="34"/>
      <c r="J17" s="34"/>
      <c r="K17" s="35"/>
      <c r="L17" s="36"/>
      <c r="M17" s="7"/>
      <c r="N17" s="7"/>
      <c r="O17" s="19"/>
      <c r="P17" s="5"/>
      <c r="Q17" s="5"/>
      <c r="R17" s="5"/>
      <c r="S17" s="5"/>
      <c r="T17" s="5"/>
      <c r="U17" s="5"/>
    </row>
    <row r="18" spans="1:21" ht="22.5" customHeight="1">
      <c r="A18" s="1395" t="s">
        <v>70</v>
      </c>
      <c r="B18" s="1355"/>
      <c r="C18" s="1355"/>
      <c r="D18" s="1355"/>
      <c r="E18" s="1355"/>
      <c r="F18" s="1355"/>
      <c r="G18" s="1396"/>
      <c r="H18" s="9"/>
    </row>
    <row r="19" spans="1:21" ht="4.5" customHeight="1">
      <c r="A19" s="54"/>
      <c r="B19" s="4"/>
      <c r="C19" s="6"/>
      <c r="D19" s="4"/>
      <c r="E19" s="4"/>
      <c r="F19" s="38"/>
      <c r="G19" s="55"/>
      <c r="H19" s="9"/>
      <c r="I19" s="34"/>
      <c r="J19" s="34"/>
      <c r="K19" s="35"/>
      <c r="L19" s="39"/>
      <c r="M19" s="7"/>
      <c r="N19" s="7"/>
      <c r="O19" s="8"/>
      <c r="P19" s="5"/>
      <c r="Q19" s="5"/>
      <c r="R19" s="5"/>
      <c r="S19" s="5"/>
      <c r="T19" s="5"/>
      <c r="U19" s="5"/>
    </row>
    <row r="20" spans="1:21">
      <c r="A20" s="1391" t="s">
        <v>17</v>
      </c>
      <c r="B20" s="1374"/>
      <c r="C20" s="1374"/>
      <c r="D20" s="788" t="s">
        <v>3</v>
      </c>
      <c r="E20" s="788" t="s">
        <v>4</v>
      </c>
      <c r="F20" s="788" t="s">
        <v>25</v>
      </c>
      <c r="G20" s="61" t="s">
        <v>21</v>
      </c>
      <c r="H20" s="27"/>
      <c r="I20" s="34"/>
      <c r="J20" s="34"/>
      <c r="K20" s="35"/>
      <c r="L20" s="39"/>
      <c r="M20" s="7"/>
      <c r="N20" s="7"/>
      <c r="O20" s="8"/>
      <c r="P20" s="5"/>
      <c r="Q20" s="5"/>
      <c r="R20" s="5"/>
      <c r="S20" s="5"/>
      <c r="T20" s="5"/>
      <c r="U20" s="5"/>
    </row>
    <row r="21" spans="1:21" ht="28.5" customHeight="1">
      <c r="A21" s="1402" t="s">
        <v>882</v>
      </c>
      <c r="B21" s="1403"/>
      <c r="C21" s="1404"/>
      <c r="D21" s="116" t="s">
        <v>119</v>
      </c>
      <c r="E21" s="117">
        <v>1</v>
      </c>
      <c r="F21" s="91">
        <v>850000</v>
      </c>
      <c r="G21" s="67">
        <f>ROUND(F21*E21,0)</f>
        <v>850000</v>
      </c>
      <c r="H21" s="9"/>
      <c r="I21" s="34"/>
      <c r="J21" s="34"/>
      <c r="K21" s="35"/>
      <c r="L21" s="39"/>
      <c r="M21" s="7"/>
      <c r="N21" s="7"/>
      <c r="O21" s="13"/>
      <c r="P21" s="5"/>
      <c r="Q21" s="5"/>
      <c r="R21" s="5"/>
      <c r="S21" s="5"/>
      <c r="T21" s="5"/>
      <c r="U21" s="5"/>
    </row>
    <row r="22" spans="1:21">
      <c r="A22" s="1405" t="s">
        <v>883</v>
      </c>
      <c r="B22" s="1366"/>
      <c r="C22" s="1366"/>
      <c r="D22" s="76" t="s">
        <v>119</v>
      </c>
      <c r="E22" s="90">
        <v>1</v>
      </c>
      <c r="F22" s="83">
        <v>8500</v>
      </c>
      <c r="G22" s="67">
        <f>ROUND(F22*E22,0)</f>
        <v>8500</v>
      </c>
      <c r="H22" s="9"/>
      <c r="I22" s="10"/>
      <c r="J22" s="10"/>
      <c r="K22" s="12"/>
      <c r="L22" s="39"/>
      <c r="M22" s="7"/>
      <c r="N22" s="7"/>
      <c r="O22" s="15"/>
      <c r="P22" s="5"/>
      <c r="Q22" s="5"/>
      <c r="R22" s="5"/>
      <c r="S22" s="5"/>
      <c r="T22" s="5"/>
      <c r="U22" s="5"/>
    </row>
    <row r="23" spans="1:21" ht="25.5" customHeight="1">
      <c r="A23" s="1399"/>
      <c r="B23" s="1400"/>
      <c r="C23" s="1401"/>
      <c r="D23" s="73"/>
      <c r="E23" s="90"/>
      <c r="F23" s="83"/>
      <c r="G23" s="67"/>
      <c r="H23" s="9"/>
      <c r="I23" s="10"/>
      <c r="J23" s="10"/>
      <c r="K23" s="12"/>
      <c r="L23" s="39"/>
      <c r="M23" s="7"/>
      <c r="N23" s="7"/>
      <c r="O23" s="15"/>
      <c r="P23" s="5"/>
      <c r="Q23" s="5"/>
      <c r="R23" s="5"/>
      <c r="S23" s="5"/>
      <c r="T23" s="5"/>
      <c r="U23" s="5"/>
    </row>
    <row r="24" spans="1:21">
      <c r="A24" s="1399"/>
      <c r="B24" s="1400"/>
      <c r="C24" s="1401"/>
      <c r="D24" s="73"/>
      <c r="E24" s="90"/>
      <c r="F24" s="83"/>
      <c r="G24" s="67"/>
      <c r="H24" s="9"/>
      <c r="I24" s="10"/>
      <c r="J24" s="10"/>
      <c r="K24" s="12"/>
      <c r="L24" s="39"/>
      <c r="M24" s="7"/>
      <c r="N24" s="7"/>
      <c r="O24" s="15"/>
      <c r="P24" s="5"/>
      <c r="Q24" s="5"/>
      <c r="R24" s="5"/>
      <c r="S24" s="5"/>
      <c r="T24" s="5"/>
      <c r="U24" s="5"/>
    </row>
    <row r="25" spans="1:21">
      <c r="A25" s="1386"/>
      <c r="B25" s="1353"/>
      <c r="C25" s="1353"/>
      <c r="D25" s="79"/>
      <c r="E25" s="82"/>
      <c r="F25" s="83"/>
      <c r="G25" s="67"/>
      <c r="H25" s="9"/>
      <c r="I25" s="10"/>
      <c r="J25" s="40"/>
      <c r="K25" s="12"/>
      <c r="L25" s="13"/>
      <c r="M25" s="14"/>
      <c r="N25" s="14"/>
      <c r="O25" s="15"/>
      <c r="P25" s="5"/>
      <c r="Q25" s="5"/>
      <c r="R25" s="5"/>
      <c r="S25" s="5"/>
      <c r="T25" s="5"/>
      <c r="U25" s="5"/>
    </row>
    <row r="26" spans="1:21">
      <c r="A26" s="1386"/>
      <c r="B26" s="1353"/>
      <c r="C26" s="1353"/>
      <c r="D26" s="81"/>
      <c r="E26" s="82"/>
      <c r="F26" s="83"/>
      <c r="G26" s="67"/>
      <c r="H26" s="9"/>
      <c r="I26" s="10"/>
      <c r="J26" s="11"/>
      <c r="K26" s="12"/>
      <c r="L26" s="13"/>
      <c r="M26" s="14"/>
      <c r="N26" s="14"/>
      <c r="O26" s="15"/>
      <c r="P26" s="5"/>
      <c r="Q26" s="5"/>
      <c r="R26" s="5"/>
      <c r="S26" s="5"/>
      <c r="T26" s="5"/>
      <c r="U26" s="5"/>
    </row>
    <row r="27" spans="1:21">
      <c r="A27" s="1386"/>
      <c r="B27" s="1353"/>
      <c r="C27" s="1353"/>
      <c r="D27" s="79"/>
      <c r="E27" s="82"/>
      <c r="F27" s="83"/>
      <c r="G27" s="67"/>
      <c r="H27" s="9"/>
      <c r="I27" s="10"/>
      <c r="J27" s="11"/>
      <c r="K27" s="12"/>
      <c r="L27" s="13"/>
      <c r="M27" s="14"/>
      <c r="N27" s="14"/>
      <c r="O27" s="15"/>
      <c r="P27" s="5"/>
      <c r="Q27" s="5"/>
      <c r="R27" s="5"/>
      <c r="S27" s="5"/>
      <c r="T27" s="5"/>
      <c r="U27" s="5"/>
    </row>
    <row r="28" spans="1:21">
      <c r="A28" s="1386"/>
      <c r="B28" s="1353"/>
      <c r="C28" s="1353"/>
      <c r="D28" s="79"/>
      <c r="E28" s="82"/>
      <c r="F28" s="83"/>
      <c r="G28" s="67"/>
      <c r="H28" s="9"/>
      <c r="I28" s="41"/>
      <c r="J28" s="41"/>
      <c r="K28" s="12"/>
      <c r="L28" s="13"/>
      <c r="M28" s="14"/>
      <c r="N28" s="14"/>
      <c r="O28" s="15"/>
      <c r="P28" s="5"/>
      <c r="Q28" s="5"/>
      <c r="R28" s="5"/>
      <c r="S28" s="5"/>
      <c r="T28" s="5"/>
      <c r="U28" s="5"/>
    </row>
    <row r="29" spans="1:21">
      <c r="A29" s="1386"/>
      <c r="B29" s="1353"/>
      <c r="C29" s="1353"/>
      <c r="D29" s="84"/>
      <c r="E29" s="84"/>
      <c r="F29" s="83"/>
      <c r="G29" s="67"/>
      <c r="H29" s="9"/>
      <c r="I29" s="42"/>
      <c r="J29" s="42"/>
      <c r="K29" s="42"/>
      <c r="L29" s="13"/>
      <c r="M29" s="14"/>
      <c r="N29" s="14"/>
      <c r="O29" s="15"/>
      <c r="P29" s="5"/>
      <c r="Q29" s="5"/>
      <c r="R29" s="5"/>
      <c r="S29" s="5"/>
      <c r="T29" s="5"/>
      <c r="U29" s="5"/>
    </row>
    <row r="30" spans="1:21">
      <c r="A30" s="1386"/>
      <c r="B30" s="1353"/>
      <c r="C30" s="1353"/>
      <c r="D30" s="85" t="s">
        <v>28</v>
      </c>
      <c r="E30" s="50"/>
      <c r="F30" s="49"/>
      <c r="G30" s="86">
        <f>SUM(G21:G29)</f>
        <v>858500</v>
      </c>
      <c r="H30" s="9"/>
      <c r="I30" s="8"/>
      <c r="J30" s="13"/>
      <c r="K30" s="8"/>
      <c r="L30" s="13"/>
      <c r="M30" s="14"/>
      <c r="N30" s="14"/>
      <c r="O30" s="15"/>
      <c r="P30" s="5"/>
    </row>
    <row r="31" spans="1:21" ht="3.75" customHeight="1">
      <c r="A31" s="54"/>
      <c r="B31" s="4"/>
      <c r="C31" s="6"/>
      <c r="D31" s="4"/>
      <c r="E31" s="4"/>
      <c r="F31" s="4"/>
      <c r="G31" s="55"/>
      <c r="H31" s="9"/>
      <c r="I31" s="8"/>
      <c r="J31" s="13"/>
      <c r="K31" s="18"/>
      <c r="L31" s="13"/>
      <c r="M31" s="33"/>
      <c r="N31" s="33"/>
      <c r="O31" s="15"/>
      <c r="P31" s="5"/>
    </row>
    <row r="32" spans="1:21" ht="22.5" customHeight="1">
      <c r="A32" s="1395" t="s">
        <v>71</v>
      </c>
      <c r="B32" s="1355"/>
      <c r="C32" s="1355"/>
      <c r="D32" s="1355"/>
      <c r="E32" s="1355"/>
      <c r="F32" s="1355"/>
      <c r="G32" s="1396"/>
      <c r="H32" s="9"/>
    </row>
    <row r="33" spans="1:16" ht="3.75" customHeight="1">
      <c r="A33" s="54"/>
      <c r="B33" s="4"/>
      <c r="C33" s="6"/>
      <c r="D33" s="4"/>
      <c r="E33" s="4"/>
      <c r="F33" s="4"/>
      <c r="G33" s="55"/>
      <c r="H33" s="9"/>
      <c r="I33" s="8"/>
      <c r="J33" s="13"/>
      <c r="K33" s="8"/>
      <c r="L33" s="8"/>
      <c r="M33" s="8"/>
      <c r="N33" s="8"/>
      <c r="O33" s="15"/>
      <c r="P33" s="5"/>
    </row>
    <row r="34" spans="1:16">
      <c r="A34" s="59" t="s">
        <v>5</v>
      </c>
      <c r="B34" s="60" t="s">
        <v>29</v>
      </c>
      <c r="C34" s="60" t="s">
        <v>30</v>
      </c>
      <c r="D34" s="60" t="s">
        <v>31</v>
      </c>
      <c r="E34" s="60" t="s">
        <v>32</v>
      </c>
      <c r="F34" s="60" t="s">
        <v>20</v>
      </c>
      <c r="G34" s="61" t="s">
        <v>33</v>
      </c>
      <c r="H34" s="27"/>
      <c r="I34" s="8"/>
      <c r="J34" s="13"/>
      <c r="K34" s="8"/>
      <c r="L34" s="8"/>
      <c r="M34" s="8"/>
      <c r="N34" s="8"/>
      <c r="O34" s="15"/>
      <c r="P34" s="5"/>
    </row>
    <row r="35" spans="1:16">
      <c r="A35" s="62" t="s">
        <v>41</v>
      </c>
      <c r="B35" s="63">
        <f>BOF</f>
        <v>51749</v>
      </c>
      <c r="C35" s="68">
        <f>ffpp</f>
        <v>0.64539999999999997</v>
      </c>
      <c r="D35" s="72">
        <v>1</v>
      </c>
      <c r="E35" s="66">
        <f>OF</f>
        <v>88696</v>
      </c>
      <c r="F35" s="65">
        <v>10</v>
      </c>
      <c r="G35" s="231">
        <f>ROUND(+D35*E35/F35,0)</f>
        <v>8870</v>
      </c>
      <c r="H35" s="9"/>
      <c r="I35" s="16"/>
      <c r="J35" s="13"/>
      <c r="K35" s="8"/>
      <c r="L35" s="8"/>
      <c r="M35" s="8"/>
      <c r="N35" s="8"/>
      <c r="O35" s="15"/>
      <c r="P35" s="5"/>
    </row>
    <row r="36" spans="1:16">
      <c r="A36" s="62" t="s">
        <v>38</v>
      </c>
      <c r="B36" s="63">
        <f>BOB</f>
        <v>41749</v>
      </c>
      <c r="C36" s="68">
        <f>ffpp</f>
        <v>0.64539999999999997</v>
      </c>
      <c r="D36" s="72">
        <v>2</v>
      </c>
      <c r="E36" s="66">
        <f>OB</f>
        <v>72242</v>
      </c>
      <c r="F36" s="65">
        <f>F35</f>
        <v>10</v>
      </c>
      <c r="G36" s="231">
        <f>ROUND(+D36*E36/F36,0)</f>
        <v>14448</v>
      </c>
      <c r="H36" s="9"/>
      <c r="I36" s="16"/>
      <c r="J36" s="13"/>
      <c r="K36" s="8"/>
      <c r="L36" s="8"/>
      <c r="M36" s="8"/>
      <c r="N36" s="8"/>
      <c r="O36" s="15"/>
      <c r="P36" s="5"/>
    </row>
    <row r="37" spans="1:16">
      <c r="A37" s="62"/>
      <c r="B37" s="63"/>
      <c r="C37" s="961"/>
      <c r="D37" s="72"/>
      <c r="E37" s="66"/>
      <c r="F37" s="69"/>
      <c r="G37" s="67"/>
      <c r="H37" s="9"/>
      <c r="I37" s="8"/>
      <c r="J37" s="13"/>
      <c r="K37" s="13"/>
      <c r="L37" s="13"/>
      <c r="M37" s="33"/>
      <c r="N37" s="33"/>
      <c r="O37" s="43"/>
      <c r="P37" s="5"/>
    </row>
    <row r="38" spans="1:16">
      <c r="A38" s="62"/>
      <c r="B38" s="65"/>
      <c r="C38" s="68"/>
      <c r="D38" s="65"/>
      <c r="E38" s="69"/>
      <c r="F38" s="69"/>
      <c r="G38" s="70"/>
      <c r="H38" s="9"/>
      <c r="I38" s="8"/>
      <c r="J38" s="13"/>
      <c r="K38" s="13"/>
      <c r="L38" s="13"/>
      <c r="M38" s="33"/>
      <c r="N38" s="33"/>
      <c r="O38" s="43"/>
      <c r="P38" s="5"/>
    </row>
    <row r="39" spans="1:16">
      <c r="A39" s="1386"/>
      <c r="B39" s="1353"/>
      <c r="C39" s="1353"/>
      <c r="D39" s="85" t="s">
        <v>34</v>
      </c>
      <c r="E39" s="50"/>
      <c r="F39" s="49"/>
      <c r="G39" s="86">
        <f>SUM(G35:G38)</f>
        <v>23318</v>
      </c>
      <c r="H39" s="9"/>
      <c r="I39" s="8"/>
      <c r="J39" s="13"/>
      <c r="K39" s="8"/>
      <c r="L39" s="13"/>
      <c r="M39" s="14"/>
      <c r="N39" s="14"/>
      <c r="O39" s="15"/>
      <c r="P39" s="5"/>
    </row>
    <row r="40" spans="1:16">
      <c r="A40" s="110"/>
      <c r="B40" s="111"/>
      <c r="C40" s="111"/>
      <c r="D40" s="112"/>
      <c r="E40" s="5"/>
      <c r="F40" s="113"/>
      <c r="G40" s="114"/>
      <c r="H40" s="9"/>
      <c r="I40" s="8"/>
      <c r="J40" s="13"/>
      <c r="K40" s="8"/>
      <c r="L40" s="13"/>
      <c r="M40" s="14"/>
      <c r="N40" s="14"/>
      <c r="O40" s="15"/>
      <c r="P40" s="5"/>
    </row>
    <row r="41" spans="1:16">
      <c r="A41" s="54"/>
      <c r="B41" s="4"/>
      <c r="C41" s="6"/>
      <c r="D41" s="4"/>
      <c r="E41" s="4"/>
      <c r="F41" s="4"/>
      <c r="G41" s="55"/>
      <c r="H41" s="9"/>
      <c r="I41" s="8"/>
      <c r="J41" s="13"/>
      <c r="K41" s="13"/>
      <c r="L41" s="13"/>
      <c r="M41" s="14"/>
      <c r="N41" s="14"/>
      <c r="O41" s="19"/>
      <c r="P41" s="5"/>
    </row>
    <row r="42" spans="1:16" ht="14.25">
      <c r="A42" s="54"/>
      <c r="B42" s="4"/>
      <c r="C42" s="6"/>
      <c r="D42" s="1357" t="s">
        <v>35</v>
      </c>
      <c r="E42" s="1358"/>
      <c r="F42" s="1359"/>
      <c r="G42" s="56">
        <f>+G39+G30+G16</f>
        <v>882984</v>
      </c>
      <c r="H42" s="9"/>
      <c r="I42" s="46"/>
      <c r="J42" s="47"/>
      <c r="K42" s="8"/>
      <c r="L42" s="8"/>
      <c r="M42" s="8"/>
      <c r="N42" s="8"/>
      <c r="O42" s="8"/>
      <c r="P42" s="5"/>
    </row>
    <row r="43" spans="1:16">
      <c r="A43" s="101"/>
      <c r="B43" s="57"/>
      <c r="C43" s="58"/>
      <c r="D43" s="100"/>
      <c r="E43" s="100"/>
      <c r="F43" s="100"/>
      <c r="G43" s="55"/>
      <c r="H43" s="9"/>
      <c r="I43" s="8"/>
      <c r="J43" s="13"/>
      <c r="K43" s="13"/>
      <c r="L43" s="13"/>
      <c r="M43" s="17"/>
      <c r="N43" s="17"/>
      <c r="O43" s="37"/>
      <c r="P43" s="5"/>
    </row>
    <row r="44" spans="1:16">
      <c r="A44" s="374"/>
      <c r="B44" s="375"/>
      <c r="C44" s="375"/>
      <c r="D44" s="100"/>
      <c r="E44" s="100"/>
      <c r="F44" s="100"/>
      <c r="G44" s="55"/>
      <c r="H44" s="9"/>
      <c r="I44" s="8"/>
      <c r="J44" s="13"/>
      <c r="K44" s="13"/>
      <c r="L44" s="13"/>
      <c r="M44" s="17"/>
      <c r="N44" s="17"/>
      <c r="O44" s="37"/>
      <c r="P44" s="5"/>
    </row>
    <row r="45" spans="1:16">
      <c r="A45" s="373"/>
      <c r="B45" s="376"/>
      <c r="C45" s="376"/>
      <c r="D45" s="100"/>
      <c r="E45" s="100"/>
      <c r="F45" s="100"/>
      <c r="G45" s="55"/>
      <c r="H45" s="9"/>
      <c r="I45" s="8"/>
      <c r="J45" s="13"/>
      <c r="K45" s="13"/>
      <c r="L45" s="13"/>
      <c r="M45" s="17"/>
      <c r="N45" s="17"/>
      <c r="O45" s="37"/>
      <c r="P45" s="5"/>
    </row>
    <row r="46" spans="1:16">
      <c r="A46" s="373"/>
      <c r="B46" s="376"/>
      <c r="C46" s="376"/>
      <c r="H46" s="9"/>
      <c r="I46" s="48"/>
      <c r="J46" s="20"/>
      <c r="K46" s="8"/>
      <c r="L46" s="8"/>
      <c r="M46" s="8"/>
      <c r="N46" s="8"/>
      <c r="O46" s="8"/>
      <c r="P46" s="5"/>
    </row>
    <row r="47" spans="1:16" ht="14.25">
      <c r="A47" s="101"/>
      <c r="B47" s="57"/>
      <c r="C47" s="58"/>
      <c r="D47" s="102"/>
      <c r="E47" s="103"/>
      <c r="F47" s="103"/>
      <c r="G47" s="104"/>
      <c r="H47" s="9"/>
      <c r="I47" s="8"/>
      <c r="J47" s="13"/>
      <c r="K47" s="8"/>
      <c r="L47" s="8"/>
      <c r="M47" s="8"/>
      <c r="N47" s="8"/>
      <c r="O47" s="8"/>
      <c r="P47" s="5"/>
    </row>
    <row r="48" spans="1:16">
      <c r="I48" s="5"/>
      <c r="J48" s="5"/>
      <c r="K48" s="5"/>
      <c r="L48" s="5"/>
      <c r="M48" s="5"/>
      <c r="N48" s="5"/>
      <c r="O48" s="5"/>
      <c r="P48" s="5"/>
    </row>
  </sheetData>
  <mergeCells count="27">
    <mergeCell ref="A32:G32"/>
    <mergeCell ref="A39:C39"/>
    <mergeCell ref="D42:F42"/>
    <mergeCell ref="A25:C25"/>
    <mergeCell ref="A26:C26"/>
    <mergeCell ref="A27:C27"/>
    <mergeCell ref="A28:C28"/>
    <mergeCell ref="A29:C29"/>
    <mergeCell ref="A30:C30"/>
    <mergeCell ref="A24:C24"/>
    <mergeCell ref="A11:C11"/>
    <mergeCell ref="A12:C12"/>
    <mergeCell ref="A13:C13"/>
    <mergeCell ref="A14:C14"/>
    <mergeCell ref="A15:C15"/>
    <mergeCell ref="A16:C16"/>
    <mergeCell ref="A18:G18"/>
    <mergeCell ref="A20:C20"/>
    <mergeCell ref="A21:C21"/>
    <mergeCell ref="A22:C22"/>
    <mergeCell ref="A23:C23"/>
    <mergeCell ref="A10:C10"/>
    <mergeCell ref="A1:G1"/>
    <mergeCell ref="A2:G2"/>
    <mergeCell ref="A3:G4"/>
    <mergeCell ref="B6:E6"/>
    <mergeCell ref="A8:G8"/>
  </mergeCells>
  <printOptions horizontalCentered="1" verticalCentered="1"/>
  <pageMargins left="0.74803149606299213" right="0.74803149606299213" top="0" bottom="0.98425196850393704" header="0" footer="0"/>
  <pageSetup scale="90" orientation="portrait" r:id="rId1"/>
  <headerFooter alignWithMargins="0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8"/>
  <sheetViews>
    <sheetView view="pageBreakPreview" topLeftCell="A13" zoomScaleNormal="100" zoomScaleSheetLayoutView="100" workbookViewId="0">
      <selection activeCell="F22" sqref="F22"/>
    </sheetView>
  </sheetViews>
  <sheetFormatPr baseColWidth="10" defaultColWidth="10.7109375" defaultRowHeight="12.75"/>
  <cols>
    <col min="1" max="1" width="18.28515625" style="3" customWidth="1"/>
    <col min="2" max="2" width="14.85546875" style="3" customWidth="1"/>
    <col min="3" max="3" width="13.28515625" style="3" customWidth="1"/>
    <col min="4" max="4" width="11.42578125" style="3"/>
    <col min="5" max="5" width="13.42578125" style="3" customWidth="1"/>
    <col min="6" max="6" width="12.7109375" style="3" customWidth="1"/>
    <col min="7" max="7" width="14" style="3" customWidth="1"/>
    <col min="8" max="8" width="7.42578125" style="3" customWidth="1"/>
    <col min="9" max="256" width="11.42578125" style="3"/>
    <col min="257" max="257" width="15.85546875" style="3" customWidth="1"/>
    <col min="258" max="258" width="14.85546875" style="3" customWidth="1"/>
    <col min="259" max="259" width="13.28515625" style="3" customWidth="1"/>
    <col min="260" max="260" width="11.42578125" style="3"/>
    <col min="261" max="261" width="13.42578125" style="3" customWidth="1"/>
    <col min="262" max="262" width="12.7109375" style="3" customWidth="1"/>
    <col min="263" max="263" width="14" style="3" customWidth="1"/>
    <col min="264" max="264" width="7.42578125" style="3" customWidth="1"/>
    <col min="265" max="512" width="11.42578125" style="3"/>
    <col min="513" max="513" width="15.85546875" style="3" customWidth="1"/>
    <col min="514" max="514" width="14.85546875" style="3" customWidth="1"/>
    <col min="515" max="515" width="13.28515625" style="3" customWidth="1"/>
    <col min="516" max="516" width="11.42578125" style="3"/>
    <col min="517" max="517" width="13.42578125" style="3" customWidth="1"/>
    <col min="518" max="518" width="12.7109375" style="3" customWidth="1"/>
    <col min="519" max="519" width="14" style="3" customWidth="1"/>
    <col min="520" max="520" width="7.42578125" style="3" customWidth="1"/>
    <col min="521" max="768" width="11.42578125" style="3"/>
    <col min="769" max="769" width="15.85546875" style="3" customWidth="1"/>
    <col min="770" max="770" width="14.85546875" style="3" customWidth="1"/>
    <col min="771" max="771" width="13.28515625" style="3" customWidth="1"/>
    <col min="772" max="772" width="11.42578125" style="3"/>
    <col min="773" max="773" width="13.42578125" style="3" customWidth="1"/>
    <col min="774" max="774" width="12.7109375" style="3" customWidth="1"/>
    <col min="775" max="775" width="14" style="3" customWidth="1"/>
    <col min="776" max="776" width="7.42578125" style="3" customWidth="1"/>
    <col min="777" max="1024" width="11.42578125" style="3"/>
    <col min="1025" max="1025" width="15.85546875" style="3" customWidth="1"/>
    <col min="1026" max="1026" width="14.85546875" style="3" customWidth="1"/>
    <col min="1027" max="1027" width="13.28515625" style="3" customWidth="1"/>
    <col min="1028" max="1028" width="11.42578125" style="3"/>
    <col min="1029" max="1029" width="13.42578125" style="3" customWidth="1"/>
    <col min="1030" max="1030" width="12.7109375" style="3" customWidth="1"/>
    <col min="1031" max="1031" width="14" style="3" customWidth="1"/>
    <col min="1032" max="1032" width="7.42578125" style="3" customWidth="1"/>
    <col min="1033" max="1280" width="11.42578125" style="3"/>
    <col min="1281" max="1281" width="15.85546875" style="3" customWidth="1"/>
    <col min="1282" max="1282" width="14.85546875" style="3" customWidth="1"/>
    <col min="1283" max="1283" width="13.28515625" style="3" customWidth="1"/>
    <col min="1284" max="1284" width="11.42578125" style="3"/>
    <col min="1285" max="1285" width="13.42578125" style="3" customWidth="1"/>
    <col min="1286" max="1286" width="12.7109375" style="3" customWidth="1"/>
    <col min="1287" max="1287" width="14" style="3" customWidth="1"/>
    <col min="1288" max="1288" width="7.42578125" style="3" customWidth="1"/>
    <col min="1289" max="1536" width="11.42578125" style="3"/>
    <col min="1537" max="1537" width="15.85546875" style="3" customWidth="1"/>
    <col min="1538" max="1538" width="14.85546875" style="3" customWidth="1"/>
    <col min="1539" max="1539" width="13.28515625" style="3" customWidth="1"/>
    <col min="1540" max="1540" width="11.42578125" style="3"/>
    <col min="1541" max="1541" width="13.42578125" style="3" customWidth="1"/>
    <col min="1542" max="1542" width="12.7109375" style="3" customWidth="1"/>
    <col min="1543" max="1543" width="14" style="3" customWidth="1"/>
    <col min="1544" max="1544" width="7.42578125" style="3" customWidth="1"/>
    <col min="1545" max="1792" width="11.42578125" style="3"/>
    <col min="1793" max="1793" width="15.85546875" style="3" customWidth="1"/>
    <col min="1794" max="1794" width="14.85546875" style="3" customWidth="1"/>
    <col min="1795" max="1795" width="13.28515625" style="3" customWidth="1"/>
    <col min="1796" max="1796" width="11.42578125" style="3"/>
    <col min="1797" max="1797" width="13.42578125" style="3" customWidth="1"/>
    <col min="1798" max="1798" width="12.7109375" style="3" customWidth="1"/>
    <col min="1799" max="1799" width="14" style="3" customWidth="1"/>
    <col min="1800" max="1800" width="7.42578125" style="3" customWidth="1"/>
    <col min="1801" max="2048" width="11.42578125" style="3"/>
    <col min="2049" max="2049" width="15.85546875" style="3" customWidth="1"/>
    <col min="2050" max="2050" width="14.85546875" style="3" customWidth="1"/>
    <col min="2051" max="2051" width="13.28515625" style="3" customWidth="1"/>
    <col min="2052" max="2052" width="11.42578125" style="3"/>
    <col min="2053" max="2053" width="13.42578125" style="3" customWidth="1"/>
    <col min="2054" max="2054" width="12.7109375" style="3" customWidth="1"/>
    <col min="2055" max="2055" width="14" style="3" customWidth="1"/>
    <col min="2056" max="2056" width="7.42578125" style="3" customWidth="1"/>
    <col min="2057" max="2304" width="11.42578125" style="3"/>
    <col min="2305" max="2305" width="15.85546875" style="3" customWidth="1"/>
    <col min="2306" max="2306" width="14.85546875" style="3" customWidth="1"/>
    <col min="2307" max="2307" width="13.28515625" style="3" customWidth="1"/>
    <col min="2308" max="2308" width="11.42578125" style="3"/>
    <col min="2309" max="2309" width="13.42578125" style="3" customWidth="1"/>
    <col min="2310" max="2310" width="12.7109375" style="3" customWidth="1"/>
    <col min="2311" max="2311" width="14" style="3" customWidth="1"/>
    <col min="2312" max="2312" width="7.42578125" style="3" customWidth="1"/>
    <col min="2313" max="2560" width="11.42578125" style="3"/>
    <col min="2561" max="2561" width="15.85546875" style="3" customWidth="1"/>
    <col min="2562" max="2562" width="14.85546875" style="3" customWidth="1"/>
    <col min="2563" max="2563" width="13.28515625" style="3" customWidth="1"/>
    <col min="2564" max="2564" width="11.42578125" style="3"/>
    <col min="2565" max="2565" width="13.42578125" style="3" customWidth="1"/>
    <col min="2566" max="2566" width="12.7109375" style="3" customWidth="1"/>
    <col min="2567" max="2567" width="14" style="3" customWidth="1"/>
    <col min="2568" max="2568" width="7.42578125" style="3" customWidth="1"/>
    <col min="2569" max="2816" width="11.42578125" style="3"/>
    <col min="2817" max="2817" width="15.85546875" style="3" customWidth="1"/>
    <col min="2818" max="2818" width="14.85546875" style="3" customWidth="1"/>
    <col min="2819" max="2819" width="13.28515625" style="3" customWidth="1"/>
    <col min="2820" max="2820" width="11.42578125" style="3"/>
    <col min="2821" max="2821" width="13.42578125" style="3" customWidth="1"/>
    <col min="2822" max="2822" width="12.7109375" style="3" customWidth="1"/>
    <col min="2823" max="2823" width="14" style="3" customWidth="1"/>
    <col min="2824" max="2824" width="7.42578125" style="3" customWidth="1"/>
    <col min="2825" max="3072" width="11.42578125" style="3"/>
    <col min="3073" max="3073" width="15.85546875" style="3" customWidth="1"/>
    <col min="3074" max="3074" width="14.85546875" style="3" customWidth="1"/>
    <col min="3075" max="3075" width="13.28515625" style="3" customWidth="1"/>
    <col min="3076" max="3076" width="11.42578125" style="3"/>
    <col min="3077" max="3077" width="13.42578125" style="3" customWidth="1"/>
    <col min="3078" max="3078" width="12.7109375" style="3" customWidth="1"/>
    <col min="3079" max="3079" width="14" style="3" customWidth="1"/>
    <col min="3080" max="3080" width="7.42578125" style="3" customWidth="1"/>
    <col min="3081" max="3328" width="11.42578125" style="3"/>
    <col min="3329" max="3329" width="15.85546875" style="3" customWidth="1"/>
    <col min="3330" max="3330" width="14.85546875" style="3" customWidth="1"/>
    <col min="3331" max="3331" width="13.28515625" style="3" customWidth="1"/>
    <col min="3332" max="3332" width="11.42578125" style="3"/>
    <col min="3333" max="3333" width="13.42578125" style="3" customWidth="1"/>
    <col min="3334" max="3334" width="12.7109375" style="3" customWidth="1"/>
    <col min="3335" max="3335" width="14" style="3" customWidth="1"/>
    <col min="3336" max="3336" width="7.42578125" style="3" customWidth="1"/>
    <col min="3337" max="3584" width="11.42578125" style="3"/>
    <col min="3585" max="3585" width="15.85546875" style="3" customWidth="1"/>
    <col min="3586" max="3586" width="14.85546875" style="3" customWidth="1"/>
    <col min="3587" max="3587" width="13.28515625" style="3" customWidth="1"/>
    <col min="3588" max="3588" width="11.42578125" style="3"/>
    <col min="3589" max="3589" width="13.42578125" style="3" customWidth="1"/>
    <col min="3590" max="3590" width="12.7109375" style="3" customWidth="1"/>
    <col min="3591" max="3591" width="14" style="3" customWidth="1"/>
    <col min="3592" max="3592" width="7.42578125" style="3" customWidth="1"/>
    <col min="3593" max="3840" width="11.42578125" style="3"/>
    <col min="3841" max="3841" width="15.85546875" style="3" customWidth="1"/>
    <col min="3842" max="3842" width="14.85546875" style="3" customWidth="1"/>
    <col min="3843" max="3843" width="13.28515625" style="3" customWidth="1"/>
    <col min="3844" max="3844" width="11.42578125" style="3"/>
    <col min="3845" max="3845" width="13.42578125" style="3" customWidth="1"/>
    <col min="3846" max="3846" width="12.7109375" style="3" customWidth="1"/>
    <col min="3847" max="3847" width="14" style="3" customWidth="1"/>
    <col min="3848" max="3848" width="7.42578125" style="3" customWidth="1"/>
    <col min="3849" max="4096" width="11.42578125" style="3"/>
    <col min="4097" max="4097" width="15.85546875" style="3" customWidth="1"/>
    <col min="4098" max="4098" width="14.85546875" style="3" customWidth="1"/>
    <col min="4099" max="4099" width="13.28515625" style="3" customWidth="1"/>
    <col min="4100" max="4100" width="11.42578125" style="3"/>
    <col min="4101" max="4101" width="13.42578125" style="3" customWidth="1"/>
    <col min="4102" max="4102" width="12.7109375" style="3" customWidth="1"/>
    <col min="4103" max="4103" width="14" style="3" customWidth="1"/>
    <col min="4104" max="4104" width="7.42578125" style="3" customWidth="1"/>
    <col min="4105" max="4352" width="11.42578125" style="3"/>
    <col min="4353" max="4353" width="15.85546875" style="3" customWidth="1"/>
    <col min="4354" max="4354" width="14.85546875" style="3" customWidth="1"/>
    <col min="4355" max="4355" width="13.28515625" style="3" customWidth="1"/>
    <col min="4356" max="4356" width="11.42578125" style="3"/>
    <col min="4357" max="4357" width="13.42578125" style="3" customWidth="1"/>
    <col min="4358" max="4358" width="12.7109375" style="3" customWidth="1"/>
    <col min="4359" max="4359" width="14" style="3" customWidth="1"/>
    <col min="4360" max="4360" width="7.42578125" style="3" customWidth="1"/>
    <col min="4361" max="4608" width="11.42578125" style="3"/>
    <col min="4609" max="4609" width="15.85546875" style="3" customWidth="1"/>
    <col min="4610" max="4610" width="14.85546875" style="3" customWidth="1"/>
    <col min="4611" max="4611" width="13.28515625" style="3" customWidth="1"/>
    <col min="4612" max="4612" width="11.42578125" style="3"/>
    <col min="4613" max="4613" width="13.42578125" style="3" customWidth="1"/>
    <col min="4614" max="4614" width="12.7109375" style="3" customWidth="1"/>
    <col min="4615" max="4615" width="14" style="3" customWidth="1"/>
    <col min="4616" max="4616" width="7.42578125" style="3" customWidth="1"/>
    <col min="4617" max="4864" width="11.42578125" style="3"/>
    <col min="4865" max="4865" width="15.85546875" style="3" customWidth="1"/>
    <col min="4866" max="4866" width="14.85546875" style="3" customWidth="1"/>
    <col min="4867" max="4867" width="13.28515625" style="3" customWidth="1"/>
    <col min="4868" max="4868" width="11.42578125" style="3"/>
    <col min="4869" max="4869" width="13.42578125" style="3" customWidth="1"/>
    <col min="4870" max="4870" width="12.7109375" style="3" customWidth="1"/>
    <col min="4871" max="4871" width="14" style="3" customWidth="1"/>
    <col min="4872" max="4872" width="7.42578125" style="3" customWidth="1"/>
    <col min="4873" max="5120" width="11.42578125" style="3"/>
    <col min="5121" max="5121" width="15.85546875" style="3" customWidth="1"/>
    <col min="5122" max="5122" width="14.85546875" style="3" customWidth="1"/>
    <col min="5123" max="5123" width="13.28515625" style="3" customWidth="1"/>
    <col min="5124" max="5124" width="11.42578125" style="3"/>
    <col min="5125" max="5125" width="13.42578125" style="3" customWidth="1"/>
    <col min="5126" max="5126" width="12.7109375" style="3" customWidth="1"/>
    <col min="5127" max="5127" width="14" style="3" customWidth="1"/>
    <col min="5128" max="5128" width="7.42578125" style="3" customWidth="1"/>
    <col min="5129" max="5376" width="11.42578125" style="3"/>
    <col min="5377" max="5377" width="15.85546875" style="3" customWidth="1"/>
    <col min="5378" max="5378" width="14.85546875" style="3" customWidth="1"/>
    <col min="5379" max="5379" width="13.28515625" style="3" customWidth="1"/>
    <col min="5380" max="5380" width="11.42578125" style="3"/>
    <col min="5381" max="5381" width="13.42578125" style="3" customWidth="1"/>
    <col min="5382" max="5382" width="12.7109375" style="3" customWidth="1"/>
    <col min="5383" max="5383" width="14" style="3" customWidth="1"/>
    <col min="5384" max="5384" width="7.42578125" style="3" customWidth="1"/>
    <col min="5385" max="5632" width="11.42578125" style="3"/>
    <col min="5633" max="5633" width="15.85546875" style="3" customWidth="1"/>
    <col min="5634" max="5634" width="14.85546875" style="3" customWidth="1"/>
    <col min="5635" max="5635" width="13.28515625" style="3" customWidth="1"/>
    <col min="5636" max="5636" width="11.42578125" style="3"/>
    <col min="5637" max="5637" width="13.42578125" style="3" customWidth="1"/>
    <col min="5638" max="5638" width="12.7109375" style="3" customWidth="1"/>
    <col min="5639" max="5639" width="14" style="3" customWidth="1"/>
    <col min="5640" max="5640" width="7.42578125" style="3" customWidth="1"/>
    <col min="5641" max="5888" width="11.42578125" style="3"/>
    <col min="5889" max="5889" width="15.85546875" style="3" customWidth="1"/>
    <col min="5890" max="5890" width="14.85546875" style="3" customWidth="1"/>
    <col min="5891" max="5891" width="13.28515625" style="3" customWidth="1"/>
    <col min="5892" max="5892" width="11.42578125" style="3"/>
    <col min="5893" max="5893" width="13.42578125" style="3" customWidth="1"/>
    <col min="5894" max="5894" width="12.7109375" style="3" customWidth="1"/>
    <col min="5895" max="5895" width="14" style="3" customWidth="1"/>
    <col min="5896" max="5896" width="7.42578125" style="3" customWidth="1"/>
    <col min="5897" max="6144" width="11.42578125" style="3"/>
    <col min="6145" max="6145" width="15.85546875" style="3" customWidth="1"/>
    <col min="6146" max="6146" width="14.85546875" style="3" customWidth="1"/>
    <col min="6147" max="6147" width="13.28515625" style="3" customWidth="1"/>
    <col min="6148" max="6148" width="11.42578125" style="3"/>
    <col min="6149" max="6149" width="13.42578125" style="3" customWidth="1"/>
    <col min="6150" max="6150" width="12.7109375" style="3" customWidth="1"/>
    <col min="6151" max="6151" width="14" style="3" customWidth="1"/>
    <col min="6152" max="6152" width="7.42578125" style="3" customWidth="1"/>
    <col min="6153" max="6400" width="11.42578125" style="3"/>
    <col min="6401" max="6401" width="15.85546875" style="3" customWidth="1"/>
    <col min="6402" max="6402" width="14.85546875" style="3" customWidth="1"/>
    <col min="6403" max="6403" width="13.28515625" style="3" customWidth="1"/>
    <col min="6404" max="6404" width="11.42578125" style="3"/>
    <col min="6405" max="6405" width="13.42578125" style="3" customWidth="1"/>
    <col min="6406" max="6406" width="12.7109375" style="3" customWidth="1"/>
    <col min="6407" max="6407" width="14" style="3" customWidth="1"/>
    <col min="6408" max="6408" width="7.42578125" style="3" customWidth="1"/>
    <col min="6409" max="6656" width="11.42578125" style="3"/>
    <col min="6657" max="6657" width="15.85546875" style="3" customWidth="1"/>
    <col min="6658" max="6658" width="14.85546875" style="3" customWidth="1"/>
    <col min="6659" max="6659" width="13.28515625" style="3" customWidth="1"/>
    <col min="6660" max="6660" width="11.42578125" style="3"/>
    <col min="6661" max="6661" width="13.42578125" style="3" customWidth="1"/>
    <col min="6662" max="6662" width="12.7109375" style="3" customWidth="1"/>
    <col min="6663" max="6663" width="14" style="3" customWidth="1"/>
    <col min="6664" max="6664" width="7.42578125" style="3" customWidth="1"/>
    <col min="6665" max="6912" width="11.42578125" style="3"/>
    <col min="6913" max="6913" width="15.85546875" style="3" customWidth="1"/>
    <col min="6914" max="6914" width="14.85546875" style="3" customWidth="1"/>
    <col min="6915" max="6915" width="13.28515625" style="3" customWidth="1"/>
    <col min="6916" max="6916" width="11.42578125" style="3"/>
    <col min="6917" max="6917" width="13.42578125" style="3" customWidth="1"/>
    <col min="6918" max="6918" width="12.7109375" style="3" customWidth="1"/>
    <col min="6919" max="6919" width="14" style="3" customWidth="1"/>
    <col min="6920" max="6920" width="7.42578125" style="3" customWidth="1"/>
    <col min="6921" max="7168" width="11.42578125" style="3"/>
    <col min="7169" max="7169" width="15.85546875" style="3" customWidth="1"/>
    <col min="7170" max="7170" width="14.85546875" style="3" customWidth="1"/>
    <col min="7171" max="7171" width="13.28515625" style="3" customWidth="1"/>
    <col min="7172" max="7172" width="11.42578125" style="3"/>
    <col min="7173" max="7173" width="13.42578125" style="3" customWidth="1"/>
    <col min="7174" max="7174" width="12.7109375" style="3" customWidth="1"/>
    <col min="7175" max="7175" width="14" style="3" customWidth="1"/>
    <col min="7176" max="7176" width="7.42578125" style="3" customWidth="1"/>
    <col min="7177" max="7424" width="11.42578125" style="3"/>
    <col min="7425" max="7425" width="15.85546875" style="3" customWidth="1"/>
    <col min="7426" max="7426" width="14.85546875" style="3" customWidth="1"/>
    <col min="7427" max="7427" width="13.28515625" style="3" customWidth="1"/>
    <col min="7428" max="7428" width="11.42578125" style="3"/>
    <col min="7429" max="7429" width="13.42578125" style="3" customWidth="1"/>
    <col min="7430" max="7430" width="12.7109375" style="3" customWidth="1"/>
    <col min="7431" max="7431" width="14" style="3" customWidth="1"/>
    <col min="7432" max="7432" width="7.42578125" style="3" customWidth="1"/>
    <col min="7433" max="7680" width="11.42578125" style="3"/>
    <col min="7681" max="7681" width="15.85546875" style="3" customWidth="1"/>
    <col min="7682" max="7682" width="14.85546875" style="3" customWidth="1"/>
    <col min="7683" max="7683" width="13.28515625" style="3" customWidth="1"/>
    <col min="7684" max="7684" width="11.42578125" style="3"/>
    <col min="7685" max="7685" width="13.42578125" style="3" customWidth="1"/>
    <col min="7686" max="7686" width="12.7109375" style="3" customWidth="1"/>
    <col min="7687" max="7687" width="14" style="3" customWidth="1"/>
    <col min="7688" max="7688" width="7.42578125" style="3" customWidth="1"/>
    <col min="7689" max="7936" width="11.42578125" style="3"/>
    <col min="7937" max="7937" width="15.85546875" style="3" customWidth="1"/>
    <col min="7938" max="7938" width="14.85546875" style="3" customWidth="1"/>
    <col min="7939" max="7939" width="13.28515625" style="3" customWidth="1"/>
    <col min="7940" max="7940" width="11.42578125" style="3"/>
    <col min="7941" max="7941" width="13.42578125" style="3" customWidth="1"/>
    <col min="7942" max="7942" width="12.7109375" style="3" customWidth="1"/>
    <col min="7943" max="7943" width="14" style="3" customWidth="1"/>
    <col min="7944" max="7944" width="7.42578125" style="3" customWidth="1"/>
    <col min="7945" max="8192" width="11.42578125" style="3"/>
    <col min="8193" max="8193" width="15.85546875" style="3" customWidth="1"/>
    <col min="8194" max="8194" width="14.85546875" style="3" customWidth="1"/>
    <col min="8195" max="8195" width="13.28515625" style="3" customWidth="1"/>
    <col min="8196" max="8196" width="11.42578125" style="3"/>
    <col min="8197" max="8197" width="13.42578125" style="3" customWidth="1"/>
    <col min="8198" max="8198" width="12.7109375" style="3" customWidth="1"/>
    <col min="8199" max="8199" width="14" style="3" customWidth="1"/>
    <col min="8200" max="8200" width="7.42578125" style="3" customWidth="1"/>
    <col min="8201" max="8448" width="11.42578125" style="3"/>
    <col min="8449" max="8449" width="15.85546875" style="3" customWidth="1"/>
    <col min="8450" max="8450" width="14.85546875" style="3" customWidth="1"/>
    <col min="8451" max="8451" width="13.28515625" style="3" customWidth="1"/>
    <col min="8452" max="8452" width="11.42578125" style="3"/>
    <col min="8453" max="8453" width="13.42578125" style="3" customWidth="1"/>
    <col min="8454" max="8454" width="12.7109375" style="3" customWidth="1"/>
    <col min="8455" max="8455" width="14" style="3" customWidth="1"/>
    <col min="8456" max="8456" width="7.42578125" style="3" customWidth="1"/>
    <col min="8457" max="8704" width="11.42578125" style="3"/>
    <col min="8705" max="8705" width="15.85546875" style="3" customWidth="1"/>
    <col min="8706" max="8706" width="14.85546875" style="3" customWidth="1"/>
    <col min="8707" max="8707" width="13.28515625" style="3" customWidth="1"/>
    <col min="8708" max="8708" width="11.42578125" style="3"/>
    <col min="8709" max="8709" width="13.42578125" style="3" customWidth="1"/>
    <col min="8710" max="8710" width="12.7109375" style="3" customWidth="1"/>
    <col min="8711" max="8711" width="14" style="3" customWidth="1"/>
    <col min="8712" max="8712" width="7.42578125" style="3" customWidth="1"/>
    <col min="8713" max="8960" width="11.42578125" style="3"/>
    <col min="8961" max="8961" width="15.85546875" style="3" customWidth="1"/>
    <col min="8962" max="8962" width="14.85546875" style="3" customWidth="1"/>
    <col min="8963" max="8963" width="13.28515625" style="3" customWidth="1"/>
    <col min="8964" max="8964" width="11.42578125" style="3"/>
    <col min="8965" max="8965" width="13.42578125" style="3" customWidth="1"/>
    <col min="8966" max="8966" width="12.7109375" style="3" customWidth="1"/>
    <col min="8967" max="8967" width="14" style="3" customWidth="1"/>
    <col min="8968" max="8968" width="7.42578125" style="3" customWidth="1"/>
    <col min="8969" max="9216" width="11.42578125" style="3"/>
    <col min="9217" max="9217" width="15.85546875" style="3" customWidth="1"/>
    <col min="9218" max="9218" width="14.85546875" style="3" customWidth="1"/>
    <col min="9219" max="9219" width="13.28515625" style="3" customWidth="1"/>
    <col min="9220" max="9220" width="11.42578125" style="3"/>
    <col min="9221" max="9221" width="13.42578125" style="3" customWidth="1"/>
    <col min="9222" max="9222" width="12.7109375" style="3" customWidth="1"/>
    <col min="9223" max="9223" width="14" style="3" customWidth="1"/>
    <col min="9224" max="9224" width="7.42578125" style="3" customWidth="1"/>
    <col min="9225" max="9472" width="11.42578125" style="3"/>
    <col min="9473" max="9473" width="15.85546875" style="3" customWidth="1"/>
    <col min="9474" max="9474" width="14.85546875" style="3" customWidth="1"/>
    <col min="9475" max="9475" width="13.28515625" style="3" customWidth="1"/>
    <col min="9476" max="9476" width="11.42578125" style="3"/>
    <col min="9477" max="9477" width="13.42578125" style="3" customWidth="1"/>
    <col min="9478" max="9478" width="12.7109375" style="3" customWidth="1"/>
    <col min="9479" max="9479" width="14" style="3" customWidth="1"/>
    <col min="9480" max="9480" width="7.42578125" style="3" customWidth="1"/>
    <col min="9481" max="9728" width="11.42578125" style="3"/>
    <col min="9729" max="9729" width="15.85546875" style="3" customWidth="1"/>
    <col min="9730" max="9730" width="14.85546875" style="3" customWidth="1"/>
    <col min="9731" max="9731" width="13.28515625" style="3" customWidth="1"/>
    <col min="9732" max="9732" width="11.42578125" style="3"/>
    <col min="9733" max="9733" width="13.42578125" style="3" customWidth="1"/>
    <col min="9734" max="9734" width="12.7109375" style="3" customWidth="1"/>
    <col min="9735" max="9735" width="14" style="3" customWidth="1"/>
    <col min="9736" max="9736" width="7.42578125" style="3" customWidth="1"/>
    <col min="9737" max="9984" width="11.42578125" style="3"/>
    <col min="9985" max="9985" width="15.85546875" style="3" customWidth="1"/>
    <col min="9986" max="9986" width="14.85546875" style="3" customWidth="1"/>
    <col min="9987" max="9987" width="13.28515625" style="3" customWidth="1"/>
    <col min="9988" max="9988" width="11.42578125" style="3"/>
    <col min="9989" max="9989" width="13.42578125" style="3" customWidth="1"/>
    <col min="9990" max="9990" width="12.7109375" style="3" customWidth="1"/>
    <col min="9991" max="9991" width="14" style="3" customWidth="1"/>
    <col min="9992" max="9992" width="7.42578125" style="3" customWidth="1"/>
    <col min="9993" max="10240" width="11.42578125" style="3"/>
    <col min="10241" max="10241" width="15.85546875" style="3" customWidth="1"/>
    <col min="10242" max="10242" width="14.85546875" style="3" customWidth="1"/>
    <col min="10243" max="10243" width="13.28515625" style="3" customWidth="1"/>
    <col min="10244" max="10244" width="11.42578125" style="3"/>
    <col min="10245" max="10245" width="13.42578125" style="3" customWidth="1"/>
    <col min="10246" max="10246" width="12.7109375" style="3" customWidth="1"/>
    <col min="10247" max="10247" width="14" style="3" customWidth="1"/>
    <col min="10248" max="10248" width="7.42578125" style="3" customWidth="1"/>
    <col min="10249" max="10496" width="11.42578125" style="3"/>
    <col min="10497" max="10497" width="15.85546875" style="3" customWidth="1"/>
    <col min="10498" max="10498" width="14.85546875" style="3" customWidth="1"/>
    <col min="10499" max="10499" width="13.28515625" style="3" customWidth="1"/>
    <col min="10500" max="10500" width="11.42578125" style="3"/>
    <col min="10501" max="10501" width="13.42578125" style="3" customWidth="1"/>
    <col min="10502" max="10502" width="12.7109375" style="3" customWidth="1"/>
    <col min="10503" max="10503" width="14" style="3" customWidth="1"/>
    <col min="10504" max="10504" width="7.42578125" style="3" customWidth="1"/>
    <col min="10505" max="10752" width="11.42578125" style="3"/>
    <col min="10753" max="10753" width="15.85546875" style="3" customWidth="1"/>
    <col min="10754" max="10754" width="14.85546875" style="3" customWidth="1"/>
    <col min="10755" max="10755" width="13.28515625" style="3" customWidth="1"/>
    <col min="10756" max="10756" width="11.42578125" style="3"/>
    <col min="10757" max="10757" width="13.42578125" style="3" customWidth="1"/>
    <col min="10758" max="10758" width="12.7109375" style="3" customWidth="1"/>
    <col min="10759" max="10759" width="14" style="3" customWidth="1"/>
    <col min="10760" max="10760" width="7.42578125" style="3" customWidth="1"/>
    <col min="10761" max="11008" width="11.42578125" style="3"/>
    <col min="11009" max="11009" width="15.85546875" style="3" customWidth="1"/>
    <col min="11010" max="11010" width="14.85546875" style="3" customWidth="1"/>
    <col min="11011" max="11011" width="13.28515625" style="3" customWidth="1"/>
    <col min="11012" max="11012" width="11.42578125" style="3"/>
    <col min="11013" max="11013" width="13.42578125" style="3" customWidth="1"/>
    <col min="11014" max="11014" width="12.7109375" style="3" customWidth="1"/>
    <col min="11015" max="11015" width="14" style="3" customWidth="1"/>
    <col min="11016" max="11016" width="7.42578125" style="3" customWidth="1"/>
    <col min="11017" max="11264" width="11.42578125" style="3"/>
    <col min="11265" max="11265" width="15.85546875" style="3" customWidth="1"/>
    <col min="11266" max="11266" width="14.85546875" style="3" customWidth="1"/>
    <col min="11267" max="11267" width="13.28515625" style="3" customWidth="1"/>
    <col min="11268" max="11268" width="11.42578125" style="3"/>
    <col min="11269" max="11269" width="13.42578125" style="3" customWidth="1"/>
    <col min="11270" max="11270" width="12.7109375" style="3" customWidth="1"/>
    <col min="11271" max="11271" width="14" style="3" customWidth="1"/>
    <col min="11272" max="11272" width="7.42578125" style="3" customWidth="1"/>
    <col min="11273" max="11520" width="11.42578125" style="3"/>
    <col min="11521" max="11521" width="15.85546875" style="3" customWidth="1"/>
    <col min="11522" max="11522" width="14.85546875" style="3" customWidth="1"/>
    <col min="11523" max="11523" width="13.28515625" style="3" customWidth="1"/>
    <col min="11524" max="11524" width="11.42578125" style="3"/>
    <col min="11525" max="11525" width="13.42578125" style="3" customWidth="1"/>
    <col min="11526" max="11526" width="12.7109375" style="3" customWidth="1"/>
    <col min="11527" max="11527" width="14" style="3" customWidth="1"/>
    <col min="11528" max="11528" width="7.42578125" style="3" customWidth="1"/>
    <col min="11529" max="11776" width="11.42578125" style="3"/>
    <col min="11777" max="11777" width="15.85546875" style="3" customWidth="1"/>
    <col min="11778" max="11778" width="14.85546875" style="3" customWidth="1"/>
    <col min="11779" max="11779" width="13.28515625" style="3" customWidth="1"/>
    <col min="11780" max="11780" width="11.42578125" style="3"/>
    <col min="11781" max="11781" width="13.42578125" style="3" customWidth="1"/>
    <col min="11782" max="11782" width="12.7109375" style="3" customWidth="1"/>
    <col min="11783" max="11783" width="14" style="3" customWidth="1"/>
    <col min="11784" max="11784" width="7.42578125" style="3" customWidth="1"/>
    <col min="11785" max="12032" width="11.42578125" style="3"/>
    <col min="12033" max="12033" width="15.85546875" style="3" customWidth="1"/>
    <col min="12034" max="12034" width="14.85546875" style="3" customWidth="1"/>
    <col min="12035" max="12035" width="13.28515625" style="3" customWidth="1"/>
    <col min="12036" max="12036" width="11.42578125" style="3"/>
    <col min="12037" max="12037" width="13.42578125" style="3" customWidth="1"/>
    <col min="12038" max="12038" width="12.7109375" style="3" customWidth="1"/>
    <col min="12039" max="12039" width="14" style="3" customWidth="1"/>
    <col min="12040" max="12040" width="7.42578125" style="3" customWidth="1"/>
    <col min="12041" max="12288" width="11.42578125" style="3"/>
    <col min="12289" max="12289" width="15.85546875" style="3" customWidth="1"/>
    <col min="12290" max="12290" width="14.85546875" style="3" customWidth="1"/>
    <col min="12291" max="12291" width="13.28515625" style="3" customWidth="1"/>
    <col min="12292" max="12292" width="11.42578125" style="3"/>
    <col min="12293" max="12293" width="13.42578125" style="3" customWidth="1"/>
    <col min="12294" max="12294" width="12.7109375" style="3" customWidth="1"/>
    <col min="12295" max="12295" width="14" style="3" customWidth="1"/>
    <col min="12296" max="12296" width="7.42578125" style="3" customWidth="1"/>
    <col min="12297" max="12544" width="11.42578125" style="3"/>
    <col min="12545" max="12545" width="15.85546875" style="3" customWidth="1"/>
    <col min="12546" max="12546" width="14.85546875" style="3" customWidth="1"/>
    <col min="12547" max="12547" width="13.28515625" style="3" customWidth="1"/>
    <col min="12548" max="12548" width="11.42578125" style="3"/>
    <col min="12549" max="12549" width="13.42578125" style="3" customWidth="1"/>
    <col min="12550" max="12550" width="12.7109375" style="3" customWidth="1"/>
    <col min="12551" max="12551" width="14" style="3" customWidth="1"/>
    <col min="12552" max="12552" width="7.42578125" style="3" customWidth="1"/>
    <col min="12553" max="12800" width="11.42578125" style="3"/>
    <col min="12801" max="12801" width="15.85546875" style="3" customWidth="1"/>
    <col min="12802" max="12802" width="14.85546875" style="3" customWidth="1"/>
    <col min="12803" max="12803" width="13.28515625" style="3" customWidth="1"/>
    <col min="12804" max="12804" width="11.42578125" style="3"/>
    <col min="12805" max="12805" width="13.42578125" style="3" customWidth="1"/>
    <col min="12806" max="12806" width="12.7109375" style="3" customWidth="1"/>
    <col min="12807" max="12807" width="14" style="3" customWidth="1"/>
    <col min="12808" max="12808" width="7.42578125" style="3" customWidth="1"/>
    <col min="12809" max="13056" width="11.42578125" style="3"/>
    <col min="13057" max="13057" width="15.85546875" style="3" customWidth="1"/>
    <col min="13058" max="13058" width="14.85546875" style="3" customWidth="1"/>
    <col min="13059" max="13059" width="13.28515625" style="3" customWidth="1"/>
    <col min="13060" max="13060" width="11.42578125" style="3"/>
    <col min="13061" max="13061" width="13.42578125" style="3" customWidth="1"/>
    <col min="13062" max="13062" width="12.7109375" style="3" customWidth="1"/>
    <col min="13063" max="13063" width="14" style="3" customWidth="1"/>
    <col min="13064" max="13064" width="7.42578125" style="3" customWidth="1"/>
    <col min="13065" max="13312" width="11.42578125" style="3"/>
    <col min="13313" max="13313" width="15.85546875" style="3" customWidth="1"/>
    <col min="13314" max="13314" width="14.85546875" style="3" customWidth="1"/>
    <col min="13315" max="13315" width="13.28515625" style="3" customWidth="1"/>
    <col min="13316" max="13316" width="11.42578125" style="3"/>
    <col min="13317" max="13317" width="13.42578125" style="3" customWidth="1"/>
    <col min="13318" max="13318" width="12.7109375" style="3" customWidth="1"/>
    <col min="13319" max="13319" width="14" style="3" customWidth="1"/>
    <col min="13320" max="13320" width="7.42578125" style="3" customWidth="1"/>
    <col min="13321" max="13568" width="11.42578125" style="3"/>
    <col min="13569" max="13569" width="15.85546875" style="3" customWidth="1"/>
    <col min="13570" max="13570" width="14.85546875" style="3" customWidth="1"/>
    <col min="13571" max="13571" width="13.28515625" style="3" customWidth="1"/>
    <col min="13572" max="13572" width="11.42578125" style="3"/>
    <col min="13573" max="13573" width="13.42578125" style="3" customWidth="1"/>
    <col min="13574" max="13574" width="12.7109375" style="3" customWidth="1"/>
    <col min="13575" max="13575" width="14" style="3" customWidth="1"/>
    <col min="13576" max="13576" width="7.42578125" style="3" customWidth="1"/>
    <col min="13577" max="13824" width="11.42578125" style="3"/>
    <col min="13825" max="13825" width="15.85546875" style="3" customWidth="1"/>
    <col min="13826" max="13826" width="14.85546875" style="3" customWidth="1"/>
    <col min="13827" max="13827" width="13.28515625" style="3" customWidth="1"/>
    <col min="13828" max="13828" width="11.42578125" style="3"/>
    <col min="13829" max="13829" width="13.42578125" style="3" customWidth="1"/>
    <col min="13830" max="13830" width="12.7109375" style="3" customWidth="1"/>
    <col min="13831" max="13831" width="14" style="3" customWidth="1"/>
    <col min="13832" max="13832" width="7.42578125" style="3" customWidth="1"/>
    <col min="13833" max="14080" width="11.42578125" style="3"/>
    <col min="14081" max="14081" width="15.85546875" style="3" customWidth="1"/>
    <col min="14082" max="14082" width="14.85546875" style="3" customWidth="1"/>
    <col min="14083" max="14083" width="13.28515625" style="3" customWidth="1"/>
    <col min="14084" max="14084" width="11.42578125" style="3"/>
    <col min="14085" max="14085" width="13.42578125" style="3" customWidth="1"/>
    <col min="14086" max="14086" width="12.7109375" style="3" customWidth="1"/>
    <col min="14087" max="14087" width="14" style="3" customWidth="1"/>
    <col min="14088" max="14088" width="7.42578125" style="3" customWidth="1"/>
    <col min="14089" max="14336" width="11.42578125" style="3"/>
    <col min="14337" max="14337" width="15.85546875" style="3" customWidth="1"/>
    <col min="14338" max="14338" width="14.85546875" style="3" customWidth="1"/>
    <col min="14339" max="14339" width="13.28515625" style="3" customWidth="1"/>
    <col min="14340" max="14340" width="11.42578125" style="3"/>
    <col min="14341" max="14341" width="13.42578125" style="3" customWidth="1"/>
    <col min="14342" max="14342" width="12.7109375" style="3" customWidth="1"/>
    <col min="14343" max="14343" width="14" style="3" customWidth="1"/>
    <col min="14344" max="14344" width="7.42578125" style="3" customWidth="1"/>
    <col min="14345" max="14592" width="11.42578125" style="3"/>
    <col min="14593" max="14593" width="15.85546875" style="3" customWidth="1"/>
    <col min="14594" max="14594" width="14.85546875" style="3" customWidth="1"/>
    <col min="14595" max="14595" width="13.28515625" style="3" customWidth="1"/>
    <col min="14596" max="14596" width="11.42578125" style="3"/>
    <col min="14597" max="14597" width="13.42578125" style="3" customWidth="1"/>
    <col min="14598" max="14598" width="12.7109375" style="3" customWidth="1"/>
    <col min="14599" max="14599" width="14" style="3" customWidth="1"/>
    <col min="14600" max="14600" width="7.42578125" style="3" customWidth="1"/>
    <col min="14601" max="14848" width="11.42578125" style="3"/>
    <col min="14849" max="14849" width="15.85546875" style="3" customWidth="1"/>
    <col min="14850" max="14850" width="14.85546875" style="3" customWidth="1"/>
    <col min="14851" max="14851" width="13.28515625" style="3" customWidth="1"/>
    <col min="14852" max="14852" width="11.42578125" style="3"/>
    <col min="14853" max="14853" width="13.42578125" style="3" customWidth="1"/>
    <col min="14854" max="14854" width="12.7109375" style="3" customWidth="1"/>
    <col min="14855" max="14855" width="14" style="3" customWidth="1"/>
    <col min="14856" max="14856" width="7.42578125" style="3" customWidth="1"/>
    <col min="14857" max="15104" width="11.42578125" style="3"/>
    <col min="15105" max="15105" width="15.85546875" style="3" customWidth="1"/>
    <col min="15106" max="15106" width="14.85546875" style="3" customWidth="1"/>
    <col min="15107" max="15107" width="13.28515625" style="3" customWidth="1"/>
    <col min="15108" max="15108" width="11.42578125" style="3"/>
    <col min="15109" max="15109" width="13.42578125" style="3" customWidth="1"/>
    <col min="15110" max="15110" width="12.7109375" style="3" customWidth="1"/>
    <col min="15111" max="15111" width="14" style="3" customWidth="1"/>
    <col min="15112" max="15112" width="7.42578125" style="3" customWidth="1"/>
    <col min="15113" max="15360" width="11.42578125" style="3"/>
    <col min="15361" max="15361" width="15.85546875" style="3" customWidth="1"/>
    <col min="15362" max="15362" width="14.85546875" style="3" customWidth="1"/>
    <col min="15363" max="15363" width="13.28515625" style="3" customWidth="1"/>
    <col min="15364" max="15364" width="11.42578125" style="3"/>
    <col min="15365" max="15365" width="13.42578125" style="3" customWidth="1"/>
    <col min="15366" max="15366" width="12.7109375" style="3" customWidth="1"/>
    <col min="15367" max="15367" width="14" style="3" customWidth="1"/>
    <col min="15368" max="15368" width="7.42578125" style="3" customWidth="1"/>
    <col min="15369" max="15616" width="11.42578125" style="3"/>
    <col min="15617" max="15617" width="15.85546875" style="3" customWidth="1"/>
    <col min="15618" max="15618" width="14.85546875" style="3" customWidth="1"/>
    <col min="15619" max="15619" width="13.28515625" style="3" customWidth="1"/>
    <col min="15620" max="15620" width="11.42578125" style="3"/>
    <col min="15621" max="15621" width="13.42578125" style="3" customWidth="1"/>
    <col min="15622" max="15622" width="12.7109375" style="3" customWidth="1"/>
    <col min="15623" max="15623" width="14" style="3" customWidth="1"/>
    <col min="15624" max="15624" width="7.42578125" style="3" customWidth="1"/>
    <col min="15625" max="15872" width="11.42578125" style="3"/>
    <col min="15873" max="15873" width="15.85546875" style="3" customWidth="1"/>
    <col min="15874" max="15874" width="14.85546875" style="3" customWidth="1"/>
    <col min="15875" max="15875" width="13.28515625" style="3" customWidth="1"/>
    <col min="15876" max="15876" width="11.42578125" style="3"/>
    <col min="15877" max="15877" width="13.42578125" style="3" customWidth="1"/>
    <col min="15878" max="15878" width="12.7109375" style="3" customWidth="1"/>
    <col min="15879" max="15879" width="14" style="3" customWidth="1"/>
    <col min="15880" max="15880" width="7.42578125" style="3" customWidth="1"/>
    <col min="15881" max="16128" width="11.42578125" style="3"/>
    <col min="16129" max="16129" width="15.85546875" style="3" customWidth="1"/>
    <col min="16130" max="16130" width="14.85546875" style="3" customWidth="1"/>
    <col min="16131" max="16131" width="13.28515625" style="3" customWidth="1"/>
    <col min="16132" max="16132" width="11.42578125" style="3"/>
    <col min="16133" max="16133" width="13.42578125" style="3" customWidth="1"/>
    <col min="16134" max="16134" width="12.7109375" style="3" customWidth="1"/>
    <col min="16135" max="16135" width="14" style="3" customWidth="1"/>
    <col min="16136" max="16136" width="7.42578125" style="3" customWidth="1"/>
    <col min="16137" max="16384" width="11.42578125" style="3"/>
  </cols>
  <sheetData>
    <row r="1" spans="1:21" ht="20.25">
      <c r="A1" s="1346" t="str">
        <f>PPTO!D3</f>
        <v>PRESUPUESTO
MUNICIPIO EL BAGRE (ANTIOQUIA).</v>
      </c>
      <c r="B1" s="1347"/>
      <c r="C1" s="1347"/>
      <c r="D1" s="1347"/>
      <c r="E1" s="1347"/>
      <c r="F1" s="1347"/>
      <c r="G1" s="1348"/>
      <c r="H1" s="1"/>
      <c r="I1" s="2"/>
    </row>
    <row r="2" spans="1:21" ht="18" customHeight="1">
      <c r="A2" s="1397" t="s">
        <v>16</v>
      </c>
      <c r="B2" s="1363"/>
      <c r="C2" s="1363"/>
      <c r="D2" s="1363"/>
      <c r="E2" s="1363"/>
      <c r="F2" s="1363"/>
      <c r="G2" s="1398"/>
      <c r="H2" s="1"/>
      <c r="I2" s="2"/>
    </row>
    <row r="3" spans="1:21" ht="24" customHeight="1">
      <c r="A3" s="1392" t="str">
        <f>+PPTO!$D$5</f>
        <v>PROYECTO DE MEJORAMIENTO VIAL, ESPACIO PUBLICO Y OBRAS COMPLEMENTARIAS DE LA AVENIDA LA JUVENTUD Y TRAMOS ADYACENTES Y PRIORITARIOS DEL SECTOR URBANO EN EL MUNICIPIO EL BAGRE ANTIOQUIA.</v>
      </c>
      <c r="B3" s="1368"/>
      <c r="C3" s="1368"/>
      <c r="D3" s="1368"/>
      <c r="E3" s="1368"/>
      <c r="F3" s="1368"/>
      <c r="G3" s="1393"/>
      <c r="H3" s="1"/>
      <c r="I3" s="2"/>
    </row>
    <row r="4" spans="1:21" ht="17.25" customHeight="1">
      <c r="A4" s="1394"/>
      <c r="B4" s="1368"/>
      <c r="C4" s="1368"/>
      <c r="D4" s="1368"/>
      <c r="E4" s="1368"/>
      <c r="F4" s="1368"/>
      <c r="G4" s="1393"/>
      <c r="H4" s="1"/>
      <c r="I4" s="2"/>
    </row>
    <row r="5" spans="1:21" ht="6.75" customHeight="1">
      <c r="A5" s="52"/>
      <c r="B5" s="6"/>
      <c r="C5" s="24"/>
      <c r="D5" s="25"/>
      <c r="E5" s="6"/>
      <c r="F5" s="6"/>
      <c r="G5" s="53"/>
      <c r="H5" s="9"/>
    </row>
    <row r="6" spans="1:21" ht="68.25" customHeight="1">
      <c r="A6" s="368">
        <v>7.2</v>
      </c>
      <c r="B6" s="1349" t="str">
        <f>VLOOKUP(A6,PPTO!D4:I131,2,FALSE)</f>
        <v>Bolardo Plastico Peso: 2 Kg
Alto: 75 cms. Diámetro del cuerpo : 8 cms Diámetro de la base : 20 cms.</v>
      </c>
      <c r="C6" s="1350"/>
      <c r="D6" s="1350"/>
      <c r="E6" s="1351"/>
      <c r="F6" s="192" t="s">
        <v>118</v>
      </c>
      <c r="G6" s="248" t="str">
        <f>VLOOKUP(A6,PPTO!D4:I131,3,FALSE)</f>
        <v>und</v>
      </c>
      <c r="H6" s="9"/>
    </row>
    <row r="7" spans="1:21" ht="3.75" customHeight="1">
      <c r="A7" s="54"/>
      <c r="B7" s="4"/>
      <c r="C7" s="6"/>
      <c r="D7" s="4"/>
      <c r="E7" s="4"/>
      <c r="F7" s="4"/>
      <c r="G7" s="55"/>
      <c r="H7" s="9"/>
    </row>
    <row r="8" spans="1:21" ht="22.5" customHeight="1">
      <c r="A8" s="1395" t="s">
        <v>69</v>
      </c>
      <c r="B8" s="1355"/>
      <c r="C8" s="1355"/>
      <c r="D8" s="1355"/>
      <c r="E8" s="1355"/>
      <c r="F8" s="1355"/>
      <c r="G8" s="1396"/>
      <c r="H8" s="9"/>
    </row>
    <row r="9" spans="1:21" ht="4.5" customHeight="1">
      <c r="A9" s="54"/>
      <c r="B9" s="4"/>
      <c r="C9" s="6"/>
      <c r="D9" s="4"/>
      <c r="E9" s="4"/>
      <c r="F9" s="4"/>
      <c r="G9" s="55"/>
      <c r="H9" s="9"/>
      <c r="I9" s="5"/>
      <c r="J9" s="5"/>
      <c r="K9" s="5"/>
      <c r="L9" s="26"/>
      <c r="M9" s="5"/>
      <c r="N9" s="5"/>
      <c r="O9" s="5"/>
      <c r="P9" s="5"/>
    </row>
    <row r="10" spans="1:21">
      <c r="A10" s="1391" t="s">
        <v>17</v>
      </c>
      <c r="B10" s="1374"/>
      <c r="C10" s="1374"/>
      <c r="D10" s="788" t="s">
        <v>18</v>
      </c>
      <c r="E10" s="788" t="s">
        <v>19</v>
      </c>
      <c r="F10" s="788" t="s">
        <v>20</v>
      </c>
      <c r="G10" s="61" t="s">
        <v>21</v>
      </c>
      <c r="H10" s="27"/>
      <c r="I10" s="28"/>
      <c r="J10" s="29"/>
      <c r="K10" s="30"/>
      <c r="L10" s="30"/>
      <c r="M10" s="30"/>
      <c r="N10" s="30"/>
      <c r="O10" s="30"/>
      <c r="P10" s="5"/>
    </row>
    <row r="11" spans="1:21">
      <c r="A11" s="1389" t="s">
        <v>75</v>
      </c>
      <c r="B11" s="1388"/>
      <c r="C11" s="1388"/>
      <c r="D11" s="789"/>
      <c r="E11" s="394"/>
      <c r="F11" s="395"/>
      <c r="G11" s="753">
        <f>+G39*5%</f>
        <v>233</v>
      </c>
      <c r="H11" s="9"/>
      <c r="I11" s="30"/>
      <c r="J11" s="31"/>
      <c r="K11" s="30"/>
      <c r="L11" s="30"/>
      <c r="M11" s="30"/>
      <c r="N11" s="30"/>
      <c r="O11" s="30"/>
      <c r="P11" s="5"/>
    </row>
    <row r="12" spans="1:21">
      <c r="A12" s="1389"/>
      <c r="B12" s="1388"/>
      <c r="C12" s="1388"/>
      <c r="D12" s="789"/>
      <c r="E12" s="424"/>
      <c r="F12" s="754"/>
      <c r="G12" s="753"/>
      <c r="H12" s="9"/>
      <c r="I12" s="16"/>
      <c r="J12" s="13"/>
      <c r="K12" s="8"/>
      <c r="L12" s="8"/>
      <c r="M12" s="8"/>
      <c r="N12" s="8"/>
      <c r="O12" s="8"/>
      <c r="P12" s="5"/>
    </row>
    <row r="13" spans="1:21">
      <c r="A13" s="1389"/>
      <c r="B13" s="1388"/>
      <c r="C13" s="1388"/>
      <c r="D13" s="394"/>
      <c r="E13" s="424"/>
      <c r="F13" s="754"/>
      <c r="G13" s="753"/>
      <c r="H13" s="9"/>
      <c r="I13" s="13"/>
      <c r="J13" s="13"/>
      <c r="K13" s="13"/>
      <c r="L13" s="13"/>
      <c r="M13" s="13"/>
      <c r="N13" s="13"/>
      <c r="O13" s="13"/>
      <c r="P13" s="5"/>
    </row>
    <row r="14" spans="1:21">
      <c r="A14" s="1389"/>
      <c r="B14" s="1388"/>
      <c r="C14" s="1388"/>
      <c r="D14" s="394"/>
      <c r="E14" s="424"/>
      <c r="F14" s="754"/>
      <c r="G14" s="753"/>
      <c r="H14" s="9"/>
      <c r="I14" s="8"/>
      <c r="J14" s="14"/>
      <c r="K14" s="32"/>
      <c r="L14" s="14"/>
      <c r="M14" s="15"/>
      <c r="N14" s="15"/>
      <c r="O14" s="19"/>
      <c r="P14" s="5"/>
    </row>
    <row r="15" spans="1:21">
      <c r="A15" s="1390"/>
      <c r="B15" s="1372"/>
      <c r="C15" s="1372"/>
      <c r="D15" s="83"/>
      <c r="E15" s="83"/>
      <c r="F15" s="98"/>
      <c r="G15" s="96"/>
      <c r="H15" s="9"/>
      <c r="I15" s="8"/>
      <c r="J15" s="33"/>
      <c r="K15" s="32"/>
      <c r="L15" s="14"/>
      <c r="M15" s="15"/>
      <c r="N15" s="15"/>
      <c r="O15" s="19"/>
      <c r="P15" s="5"/>
      <c r="Q15" s="5"/>
      <c r="R15" s="5"/>
      <c r="S15" s="5"/>
      <c r="T15" s="5"/>
      <c r="U15" s="5"/>
    </row>
    <row r="16" spans="1:21">
      <c r="A16" s="1390"/>
      <c r="B16" s="1372"/>
      <c r="C16" s="1372"/>
      <c r="D16" s="85" t="s">
        <v>37</v>
      </c>
      <c r="E16" s="50"/>
      <c r="F16" s="49"/>
      <c r="G16" s="86">
        <f>SUM(G11:G15)</f>
        <v>233</v>
      </c>
      <c r="H16" s="9"/>
      <c r="I16" s="34"/>
      <c r="J16" s="34"/>
      <c r="K16" s="35"/>
      <c r="L16" s="36"/>
      <c r="M16" s="7"/>
      <c r="N16" s="7"/>
      <c r="O16" s="19"/>
      <c r="P16" s="5"/>
      <c r="Q16" s="5"/>
      <c r="R16" s="5"/>
      <c r="S16" s="5"/>
      <c r="T16" s="5"/>
      <c r="U16" s="5"/>
    </row>
    <row r="17" spans="1:21" ht="4.5" customHeight="1">
      <c r="A17" s="54"/>
      <c r="B17" s="4"/>
      <c r="C17" s="6"/>
      <c r="D17" s="4"/>
      <c r="E17" s="4"/>
      <c r="F17" s="4"/>
      <c r="G17" s="55"/>
      <c r="H17" s="9"/>
      <c r="I17" s="34"/>
      <c r="J17" s="34"/>
      <c r="K17" s="35"/>
      <c r="L17" s="36"/>
      <c r="M17" s="7"/>
      <c r="N17" s="7"/>
      <c r="O17" s="19"/>
      <c r="P17" s="5"/>
      <c r="Q17" s="5"/>
      <c r="R17" s="5"/>
      <c r="S17" s="5"/>
      <c r="T17" s="5"/>
      <c r="U17" s="5"/>
    </row>
    <row r="18" spans="1:21" ht="22.5" customHeight="1">
      <c r="A18" s="1395" t="s">
        <v>70</v>
      </c>
      <c r="B18" s="1355"/>
      <c r="C18" s="1355"/>
      <c r="D18" s="1355"/>
      <c r="E18" s="1355"/>
      <c r="F18" s="1355"/>
      <c r="G18" s="1396"/>
      <c r="H18" s="9"/>
    </row>
    <row r="19" spans="1:21" ht="4.5" customHeight="1">
      <c r="A19" s="54"/>
      <c r="B19" s="4"/>
      <c r="C19" s="6"/>
      <c r="D19" s="4"/>
      <c r="E19" s="4"/>
      <c r="F19" s="38"/>
      <c r="G19" s="55"/>
      <c r="H19" s="9"/>
      <c r="I19" s="34"/>
      <c r="J19" s="34"/>
      <c r="K19" s="35"/>
      <c r="L19" s="39"/>
      <c r="M19" s="7"/>
      <c r="N19" s="7"/>
      <c r="O19" s="8"/>
      <c r="P19" s="5"/>
      <c r="Q19" s="5"/>
      <c r="R19" s="5"/>
      <c r="S19" s="5"/>
      <c r="T19" s="5"/>
      <c r="U19" s="5"/>
    </row>
    <row r="20" spans="1:21">
      <c r="A20" s="1391" t="s">
        <v>17</v>
      </c>
      <c r="B20" s="1374"/>
      <c r="C20" s="1374"/>
      <c r="D20" s="788" t="s">
        <v>3</v>
      </c>
      <c r="E20" s="788" t="s">
        <v>4</v>
      </c>
      <c r="F20" s="788" t="s">
        <v>25</v>
      </c>
      <c r="G20" s="61" t="s">
        <v>21</v>
      </c>
      <c r="H20" s="27"/>
      <c r="I20" s="34"/>
      <c r="J20" s="34"/>
      <c r="K20" s="35"/>
      <c r="L20" s="39"/>
      <c r="M20" s="7"/>
      <c r="N20" s="7"/>
      <c r="O20" s="8"/>
      <c r="P20" s="5"/>
      <c r="Q20" s="5"/>
      <c r="R20" s="5"/>
      <c r="S20" s="5"/>
      <c r="T20" s="5"/>
      <c r="U20" s="5"/>
    </row>
    <row r="21" spans="1:21" ht="28.5" customHeight="1">
      <c r="A21" s="1402" t="s">
        <v>884</v>
      </c>
      <c r="B21" s="1403"/>
      <c r="C21" s="1404"/>
      <c r="D21" s="116" t="s">
        <v>119</v>
      </c>
      <c r="E21" s="117">
        <v>1</v>
      </c>
      <c r="F21" s="91">
        <v>65000</v>
      </c>
      <c r="G21" s="67">
        <f>ROUND(F21*E21,0)</f>
        <v>65000</v>
      </c>
      <c r="H21" s="9"/>
      <c r="I21" s="34"/>
      <c r="J21" s="34"/>
      <c r="K21" s="35"/>
      <c r="L21" s="39"/>
      <c r="M21" s="7"/>
      <c r="N21" s="7"/>
      <c r="O21" s="13"/>
      <c r="P21" s="5"/>
      <c r="Q21" s="5"/>
      <c r="R21" s="5"/>
      <c r="S21" s="5"/>
      <c r="T21" s="5"/>
      <c r="U21" s="5"/>
    </row>
    <row r="22" spans="1:21">
      <c r="A22" s="1405" t="s">
        <v>883</v>
      </c>
      <c r="B22" s="1366"/>
      <c r="C22" s="1366"/>
      <c r="D22" s="76" t="s">
        <v>119</v>
      </c>
      <c r="E22" s="90">
        <v>1</v>
      </c>
      <c r="F22" s="83">
        <v>3500</v>
      </c>
      <c r="G22" s="67">
        <f>ROUND(F22*E22,0)</f>
        <v>3500</v>
      </c>
      <c r="H22" s="9"/>
      <c r="I22" s="10"/>
      <c r="J22" s="10"/>
      <c r="K22" s="12"/>
      <c r="L22" s="39"/>
      <c r="M22" s="7"/>
      <c r="N22" s="7"/>
      <c r="O22" s="15"/>
      <c r="P22" s="5"/>
      <c r="Q22" s="5"/>
      <c r="R22" s="5"/>
      <c r="S22" s="5"/>
      <c r="T22" s="5"/>
      <c r="U22" s="5"/>
    </row>
    <row r="23" spans="1:21" ht="25.5" customHeight="1">
      <c r="A23" s="1399"/>
      <c r="B23" s="1400"/>
      <c r="C23" s="1401"/>
      <c r="D23" s="73"/>
      <c r="E23" s="90"/>
      <c r="F23" s="83"/>
      <c r="G23" s="67"/>
      <c r="H23" s="9"/>
      <c r="I23" s="10"/>
      <c r="J23" s="10"/>
      <c r="K23" s="12"/>
      <c r="L23" s="39"/>
      <c r="M23" s="7"/>
      <c r="N23" s="7"/>
      <c r="O23" s="15"/>
      <c r="P23" s="5"/>
      <c r="Q23" s="5"/>
      <c r="R23" s="5"/>
      <c r="S23" s="5"/>
      <c r="T23" s="5"/>
      <c r="U23" s="5"/>
    </row>
    <row r="24" spans="1:21">
      <c r="A24" s="1399"/>
      <c r="B24" s="1400"/>
      <c r="C24" s="1401"/>
      <c r="D24" s="73"/>
      <c r="E24" s="90"/>
      <c r="F24" s="83"/>
      <c r="G24" s="67"/>
      <c r="H24" s="9"/>
      <c r="I24" s="10"/>
      <c r="J24" s="10"/>
      <c r="K24" s="12"/>
      <c r="L24" s="39"/>
      <c r="M24" s="7"/>
      <c r="N24" s="7"/>
      <c r="O24" s="15"/>
      <c r="P24" s="5"/>
      <c r="Q24" s="5"/>
      <c r="R24" s="5"/>
      <c r="S24" s="5"/>
      <c r="T24" s="5"/>
      <c r="U24" s="5"/>
    </row>
    <row r="25" spans="1:21">
      <c r="A25" s="1386"/>
      <c r="B25" s="1353"/>
      <c r="C25" s="1353"/>
      <c r="D25" s="79"/>
      <c r="E25" s="82"/>
      <c r="F25" s="83"/>
      <c r="G25" s="67"/>
      <c r="H25" s="9"/>
      <c r="I25" s="10"/>
      <c r="J25" s="40"/>
      <c r="K25" s="12"/>
      <c r="L25" s="13"/>
      <c r="M25" s="14"/>
      <c r="N25" s="14"/>
      <c r="O25" s="15"/>
      <c r="P25" s="5"/>
      <c r="Q25" s="5"/>
      <c r="R25" s="5"/>
      <c r="S25" s="5"/>
      <c r="T25" s="5"/>
      <c r="U25" s="5"/>
    </row>
    <row r="26" spans="1:21">
      <c r="A26" s="1386"/>
      <c r="B26" s="1353"/>
      <c r="C26" s="1353"/>
      <c r="D26" s="81"/>
      <c r="E26" s="82"/>
      <c r="F26" s="83"/>
      <c r="G26" s="67"/>
      <c r="H26" s="9"/>
      <c r="I26" s="10"/>
      <c r="J26" s="11"/>
      <c r="K26" s="12"/>
      <c r="L26" s="13"/>
      <c r="M26" s="14"/>
      <c r="N26" s="14"/>
      <c r="O26" s="15"/>
      <c r="P26" s="5"/>
      <c r="Q26" s="5"/>
      <c r="R26" s="5"/>
      <c r="S26" s="5"/>
      <c r="T26" s="5"/>
      <c r="U26" s="5"/>
    </row>
    <row r="27" spans="1:21">
      <c r="A27" s="1386"/>
      <c r="B27" s="1353"/>
      <c r="C27" s="1353"/>
      <c r="D27" s="79"/>
      <c r="E27" s="82"/>
      <c r="F27" s="83"/>
      <c r="G27" s="67"/>
      <c r="H27" s="9"/>
      <c r="I27" s="10"/>
      <c r="J27" s="11"/>
      <c r="K27" s="12"/>
      <c r="L27" s="13"/>
      <c r="M27" s="14"/>
      <c r="N27" s="14"/>
      <c r="O27" s="15"/>
      <c r="P27" s="5"/>
      <c r="Q27" s="5"/>
      <c r="R27" s="5"/>
      <c r="S27" s="5"/>
      <c r="T27" s="5"/>
      <c r="U27" s="5"/>
    </row>
    <row r="28" spans="1:21">
      <c r="A28" s="1386"/>
      <c r="B28" s="1353"/>
      <c r="C28" s="1353"/>
      <c r="D28" s="79"/>
      <c r="E28" s="82"/>
      <c r="F28" s="83"/>
      <c r="G28" s="67"/>
      <c r="H28" s="9"/>
      <c r="I28" s="41"/>
      <c r="J28" s="41"/>
      <c r="K28" s="12"/>
      <c r="L28" s="13"/>
      <c r="M28" s="14"/>
      <c r="N28" s="14"/>
      <c r="O28" s="15"/>
      <c r="P28" s="5"/>
      <c r="Q28" s="5"/>
      <c r="R28" s="5"/>
      <c r="S28" s="5"/>
      <c r="T28" s="5"/>
      <c r="U28" s="5"/>
    </row>
    <row r="29" spans="1:21">
      <c r="A29" s="1386"/>
      <c r="B29" s="1353"/>
      <c r="C29" s="1353"/>
      <c r="D29" s="84"/>
      <c r="E29" s="84"/>
      <c r="F29" s="83"/>
      <c r="G29" s="67"/>
      <c r="H29" s="9"/>
      <c r="I29" s="42"/>
      <c r="J29" s="42"/>
      <c r="K29" s="42"/>
      <c r="L29" s="13"/>
      <c r="M29" s="14"/>
      <c r="N29" s="14"/>
      <c r="O29" s="15"/>
      <c r="P29" s="5"/>
      <c r="Q29" s="5"/>
      <c r="R29" s="5"/>
      <c r="S29" s="5"/>
      <c r="T29" s="5"/>
      <c r="U29" s="5"/>
    </row>
    <row r="30" spans="1:21">
      <c r="A30" s="1386"/>
      <c r="B30" s="1353"/>
      <c r="C30" s="1353"/>
      <c r="D30" s="85" t="s">
        <v>28</v>
      </c>
      <c r="E30" s="50"/>
      <c r="F30" s="49"/>
      <c r="G30" s="86">
        <f>SUM(G21:G29)</f>
        <v>68500</v>
      </c>
      <c r="H30" s="9"/>
      <c r="I30" s="8"/>
      <c r="J30" s="13"/>
      <c r="K30" s="8"/>
      <c r="L30" s="13"/>
      <c r="M30" s="14"/>
      <c r="N30" s="14"/>
      <c r="O30" s="15"/>
      <c r="P30" s="5"/>
    </row>
    <row r="31" spans="1:21" ht="3.75" customHeight="1">
      <c r="A31" s="54"/>
      <c r="B31" s="4"/>
      <c r="C31" s="6"/>
      <c r="D31" s="4"/>
      <c r="E31" s="4"/>
      <c r="F31" s="4"/>
      <c r="G31" s="55"/>
      <c r="H31" s="9"/>
      <c r="I31" s="8"/>
      <c r="J31" s="13"/>
      <c r="K31" s="18"/>
      <c r="L31" s="13"/>
      <c r="M31" s="33"/>
      <c r="N31" s="33"/>
      <c r="O31" s="15"/>
      <c r="P31" s="5"/>
    </row>
    <row r="32" spans="1:21" ht="22.5" customHeight="1">
      <c r="A32" s="1395" t="s">
        <v>71</v>
      </c>
      <c r="B32" s="1355"/>
      <c r="C32" s="1355"/>
      <c r="D32" s="1355"/>
      <c r="E32" s="1355"/>
      <c r="F32" s="1355"/>
      <c r="G32" s="1396"/>
      <c r="H32" s="9"/>
    </row>
    <row r="33" spans="1:16" ht="3.75" customHeight="1">
      <c r="A33" s="54"/>
      <c r="B33" s="4"/>
      <c r="C33" s="6"/>
      <c r="D33" s="4"/>
      <c r="E33" s="4"/>
      <c r="F33" s="4"/>
      <c r="G33" s="55"/>
      <c r="H33" s="9"/>
      <c r="I33" s="8"/>
      <c r="J33" s="13"/>
      <c r="K33" s="8"/>
      <c r="L33" s="8"/>
      <c r="M33" s="8"/>
      <c r="N33" s="8"/>
      <c r="O33" s="15"/>
      <c r="P33" s="5"/>
    </row>
    <row r="34" spans="1:16">
      <c r="A34" s="59" t="s">
        <v>5</v>
      </c>
      <c r="B34" s="60" t="s">
        <v>29</v>
      </c>
      <c r="C34" s="60" t="s">
        <v>30</v>
      </c>
      <c r="D34" s="60" t="s">
        <v>31</v>
      </c>
      <c r="E34" s="60" t="s">
        <v>32</v>
      </c>
      <c r="F34" s="60" t="s">
        <v>20</v>
      </c>
      <c r="G34" s="61" t="s">
        <v>33</v>
      </c>
      <c r="H34" s="27"/>
      <c r="I34" s="8"/>
      <c r="J34" s="13"/>
      <c r="K34" s="8"/>
      <c r="L34" s="8"/>
      <c r="M34" s="8"/>
      <c r="N34" s="8"/>
      <c r="O34" s="15"/>
      <c r="P34" s="5"/>
    </row>
    <row r="35" spans="1:16">
      <c r="A35" s="62" t="s">
        <v>41</v>
      </c>
      <c r="B35" s="63">
        <f>BOF</f>
        <v>51749</v>
      </c>
      <c r="C35" s="68">
        <f>ffpp</f>
        <v>0.64539999999999997</v>
      </c>
      <c r="D35" s="72">
        <v>1</v>
      </c>
      <c r="E35" s="66">
        <f>OF</f>
        <v>88696</v>
      </c>
      <c r="F35" s="65">
        <v>50</v>
      </c>
      <c r="G35" s="231">
        <f>ROUND(+D35*E35/F35,0)</f>
        <v>1774</v>
      </c>
      <c r="H35" s="9"/>
      <c r="I35" s="16"/>
      <c r="J35" s="13"/>
      <c r="K35" s="8"/>
      <c r="L35" s="8"/>
      <c r="M35" s="8"/>
      <c r="N35" s="8"/>
      <c r="O35" s="15"/>
      <c r="P35" s="5"/>
    </row>
    <row r="36" spans="1:16">
      <c r="A36" s="62" t="s">
        <v>38</v>
      </c>
      <c r="B36" s="63">
        <f>BOB</f>
        <v>41749</v>
      </c>
      <c r="C36" s="68">
        <f>ffpp</f>
        <v>0.64539999999999997</v>
      </c>
      <c r="D36" s="72">
        <v>2</v>
      </c>
      <c r="E36" s="66">
        <f>OB</f>
        <v>72242</v>
      </c>
      <c r="F36" s="65">
        <f>F35</f>
        <v>50</v>
      </c>
      <c r="G36" s="231">
        <f>ROUND(+D36*E36/F36,0)</f>
        <v>2890</v>
      </c>
      <c r="H36" s="9"/>
      <c r="I36" s="16"/>
      <c r="J36" s="13"/>
      <c r="K36" s="8"/>
      <c r="L36" s="8"/>
      <c r="M36" s="8"/>
      <c r="N36" s="8"/>
      <c r="O36" s="15"/>
      <c r="P36" s="5"/>
    </row>
    <row r="37" spans="1:16">
      <c r="A37" s="62"/>
      <c r="B37" s="63"/>
      <c r="C37" s="961"/>
      <c r="D37" s="72"/>
      <c r="E37" s="66"/>
      <c r="F37" s="69"/>
      <c r="G37" s="67"/>
      <c r="H37" s="9"/>
      <c r="I37" s="8"/>
      <c r="J37" s="13"/>
      <c r="K37" s="13"/>
      <c r="L37" s="13"/>
      <c r="M37" s="33"/>
      <c r="N37" s="33"/>
      <c r="O37" s="43"/>
      <c r="P37" s="5"/>
    </row>
    <row r="38" spans="1:16">
      <c r="A38" s="62"/>
      <c r="B38" s="65"/>
      <c r="C38" s="68"/>
      <c r="D38" s="65"/>
      <c r="E38" s="69"/>
      <c r="F38" s="69"/>
      <c r="G38" s="70"/>
      <c r="H38" s="9"/>
      <c r="I38" s="8"/>
      <c r="J38" s="13"/>
      <c r="K38" s="13"/>
      <c r="L38" s="13"/>
      <c r="M38" s="33"/>
      <c r="N38" s="33"/>
      <c r="O38" s="43"/>
      <c r="P38" s="5"/>
    </row>
    <row r="39" spans="1:16">
      <c r="A39" s="1386"/>
      <c r="B39" s="1353"/>
      <c r="C39" s="1353"/>
      <c r="D39" s="85" t="s">
        <v>34</v>
      </c>
      <c r="E39" s="50"/>
      <c r="F39" s="49"/>
      <c r="G39" s="86">
        <f>SUM(G35:G38)</f>
        <v>4664</v>
      </c>
      <c r="H39" s="9"/>
      <c r="I39" s="8"/>
      <c r="J39" s="13"/>
      <c r="K39" s="8"/>
      <c r="L39" s="13"/>
      <c r="M39" s="14"/>
      <c r="N39" s="14"/>
      <c r="O39" s="15"/>
      <c r="P39" s="5"/>
    </row>
    <row r="40" spans="1:16">
      <c r="A40" s="110"/>
      <c r="B40" s="111"/>
      <c r="C40" s="111"/>
      <c r="D40" s="112"/>
      <c r="E40" s="5"/>
      <c r="F40" s="113"/>
      <c r="G40" s="114"/>
      <c r="H40" s="9"/>
      <c r="I40" s="8"/>
      <c r="J40" s="13"/>
      <c r="K40" s="8"/>
      <c r="L40" s="13"/>
      <c r="M40" s="14"/>
      <c r="N40" s="14"/>
      <c r="O40" s="15"/>
      <c r="P40" s="5"/>
    </row>
    <row r="41" spans="1:16">
      <c r="A41" s="54"/>
      <c r="B41" s="4"/>
      <c r="C41" s="6"/>
      <c r="D41" s="4"/>
      <c r="E41" s="4"/>
      <c r="F41" s="4"/>
      <c r="G41" s="55"/>
      <c r="H41" s="9"/>
      <c r="I41" s="8"/>
      <c r="J41" s="13"/>
      <c r="K41" s="13"/>
      <c r="L41" s="13"/>
      <c r="M41" s="14"/>
      <c r="N41" s="14"/>
      <c r="O41" s="19"/>
      <c r="P41" s="5"/>
    </row>
    <row r="42" spans="1:16" ht="14.25">
      <c r="A42" s="54"/>
      <c r="B42" s="4"/>
      <c r="C42" s="6"/>
      <c r="D42" s="1357" t="s">
        <v>35</v>
      </c>
      <c r="E42" s="1358"/>
      <c r="F42" s="1359"/>
      <c r="G42" s="56">
        <f>+G39+G30+G16</f>
        <v>73397</v>
      </c>
      <c r="H42" s="9"/>
      <c r="I42" s="46"/>
      <c r="J42" s="47"/>
      <c r="K42" s="8"/>
      <c r="L42" s="8"/>
      <c r="M42" s="8"/>
      <c r="N42" s="8"/>
      <c r="O42" s="8"/>
      <c r="P42" s="5"/>
    </row>
    <row r="43" spans="1:16">
      <c r="A43" s="101"/>
      <c r="B43" s="57"/>
      <c r="C43" s="58"/>
      <c r="D43" s="100"/>
      <c r="E43" s="100"/>
      <c r="F43" s="100"/>
      <c r="G43" s="55"/>
      <c r="H43" s="9"/>
      <c r="I43" s="8"/>
      <c r="J43" s="13"/>
      <c r="K43" s="13"/>
      <c r="L43" s="13"/>
      <c r="M43" s="17"/>
      <c r="N43" s="17"/>
      <c r="O43" s="37"/>
      <c r="P43" s="5"/>
    </row>
    <row r="44" spans="1:16">
      <c r="A44" s="374"/>
      <c r="B44" s="375"/>
      <c r="C44" s="375"/>
      <c r="D44" s="100"/>
      <c r="E44" s="100"/>
      <c r="F44" s="100"/>
      <c r="G44" s="55"/>
      <c r="H44" s="9"/>
      <c r="I44" s="8"/>
      <c r="J44" s="13"/>
      <c r="K44" s="13"/>
      <c r="L44" s="13"/>
      <c r="M44" s="17"/>
      <c r="N44" s="17"/>
      <c r="O44" s="37"/>
      <c r="P44" s="5"/>
    </row>
    <row r="45" spans="1:16">
      <c r="A45" s="373"/>
      <c r="B45" s="376"/>
      <c r="C45" s="376"/>
      <c r="D45" s="100"/>
      <c r="E45" s="100"/>
      <c r="F45" s="100"/>
      <c r="G45" s="55"/>
      <c r="H45" s="9"/>
      <c r="I45" s="8"/>
      <c r="J45" s="13"/>
      <c r="K45" s="13"/>
      <c r="L45" s="13"/>
      <c r="M45" s="17"/>
      <c r="N45" s="17"/>
      <c r="O45" s="37"/>
      <c r="P45" s="5"/>
    </row>
    <row r="46" spans="1:16">
      <c r="A46" s="373"/>
      <c r="B46" s="376"/>
      <c r="C46" s="376"/>
      <c r="H46" s="9"/>
      <c r="I46" s="48"/>
      <c r="J46" s="20"/>
      <c r="K46" s="8"/>
      <c r="L46" s="8"/>
      <c r="M46" s="8"/>
      <c r="N46" s="8"/>
      <c r="O46" s="8"/>
      <c r="P46" s="5"/>
    </row>
    <row r="47" spans="1:16" ht="14.25">
      <c r="A47" s="101"/>
      <c r="B47" s="57"/>
      <c r="C47" s="58"/>
      <c r="D47" s="102"/>
      <c r="E47" s="103"/>
      <c r="F47" s="103"/>
      <c r="G47" s="104"/>
      <c r="H47" s="9"/>
      <c r="I47" s="8"/>
      <c r="J47" s="13"/>
      <c r="K47" s="8"/>
      <c r="L47" s="8"/>
      <c r="M47" s="8"/>
      <c r="N47" s="8"/>
      <c r="O47" s="8"/>
      <c r="P47" s="5"/>
    </row>
    <row r="48" spans="1:16">
      <c r="I48" s="5"/>
      <c r="J48" s="5"/>
      <c r="K48" s="5"/>
      <c r="L48" s="5"/>
      <c r="M48" s="5"/>
      <c r="N48" s="5"/>
      <c r="O48" s="5"/>
      <c r="P48" s="5"/>
    </row>
  </sheetData>
  <mergeCells count="27">
    <mergeCell ref="A32:G32"/>
    <mergeCell ref="A39:C39"/>
    <mergeCell ref="D42:F42"/>
    <mergeCell ref="A25:C25"/>
    <mergeCell ref="A26:C26"/>
    <mergeCell ref="A27:C27"/>
    <mergeCell ref="A28:C28"/>
    <mergeCell ref="A29:C29"/>
    <mergeCell ref="A30:C30"/>
    <mergeCell ref="A24:C24"/>
    <mergeCell ref="A11:C11"/>
    <mergeCell ref="A12:C12"/>
    <mergeCell ref="A13:C13"/>
    <mergeCell ref="A14:C14"/>
    <mergeCell ref="A15:C15"/>
    <mergeCell ref="A16:C16"/>
    <mergeCell ref="A18:G18"/>
    <mergeCell ref="A20:C20"/>
    <mergeCell ref="A21:C21"/>
    <mergeCell ref="A22:C22"/>
    <mergeCell ref="A23:C23"/>
    <mergeCell ref="A10:C10"/>
    <mergeCell ref="A1:G1"/>
    <mergeCell ref="A2:G2"/>
    <mergeCell ref="A3:G4"/>
    <mergeCell ref="B6:E6"/>
    <mergeCell ref="A8:G8"/>
  </mergeCells>
  <printOptions horizontalCentered="1" verticalCentered="1"/>
  <pageMargins left="0.74803149606299213" right="0.74803149606299213" top="0" bottom="0.98425196850393704" header="0" footer="0"/>
  <pageSetup scale="90" orientation="portrait" r:id="rId1"/>
  <headerFooter alignWithMargins="0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4"/>
  <dimension ref="A1:U49"/>
  <sheetViews>
    <sheetView view="pageBreakPreview" topLeftCell="A20" zoomScaleNormal="100" zoomScaleSheetLayoutView="100" workbookViewId="0">
      <selection activeCell="H23" sqref="H23"/>
    </sheetView>
  </sheetViews>
  <sheetFormatPr baseColWidth="10" defaultColWidth="10.7109375" defaultRowHeight="12.75"/>
  <cols>
    <col min="1" max="1" width="15.85546875" style="3" customWidth="1"/>
    <col min="2" max="2" width="14.85546875" style="3" customWidth="1"/>
    <col min="3" max="3" width="13.28515625" style="3" customWidth="1"/>
    <col min="4" max="4" width="11.42578125" style="3"/>
    <col min="5" max="5" width="13.42578125" style="3" customWidth="1"/>
    <col min="6" max="6" width="12.7109375" style="3" customWidth="1"/>
    <col min="7" max="7" width="14" style="3" customWidth="1"/>
    <col min="8" max="8" width="12.7109375" style="3" customWidth="1"/>
    <col min="9" max="256" width="11.42578125" style="3"/>
    <col min="257" max="257" width="15.85546875" style="3" customWidth="1"/>
    <col min="258" max="258" width="14.85546875" style="3" customWidth="1"/>
    <col min="259" max="259" width="13.28515625" style="3" customWidth="1"/>
    <col min="260" max="260" width="11.42578125" style="3"/>
    <col min="261" max="261" width="13.42578125" style="3" customWidth="1"/>
    <col min="262" max="262" width="12.7109375" style="3" customWidth="1"/>
    <col min="263" max="263" width="14" style="3" customWidth="1"/>
    <col min="264" max="264" width="7.42578125" style="3" customWidth="1"/>
    <col min="265" max="512" width="11.42578125" style="3"/>
    <col min="513" max="513" width="15.85546875" style="3" customWidth="1"/>
    <col min="514" max="514" width="14.85546875" style="3" customWidth="1"/>
    <col min="515" max="515" width="13.28515625" style="3" customWidth="1"/>
    <col min="516" max="516" width="11.42578125" style="3"/>
    <col min="517" max="517" width="13.42578125" style="3" customWidth="1"/>
    <col min="518" max="518" width="12.7109375" style="3" customWidth="1"/>
    <col min="519" max="519" width="14" style="3" customWidth="1"/>
    <col min="520" max="520" width="7.42578125" style="3" customWidth="1"/>
    <col min="521" max="768" width="11.42578125" style="3"/>
    <col min="769" max="769" width="15.85546875" style="3" customWidth="1"/>
    <col min="770" max="770" width="14.85546875" style="3" customWidth="1"/>
    <col min="771" max="771" width="13.28515625" style="3" customWidth="1"/>
    <col min="772" max="772" width="11.42578125" style="3"/>
    <col min="773" max="773" width="13.42578125" style="3" customWidth="1"/>
    <col min="774" max="774" width="12.7109375" style="3" customWidth="1"/>
    <col min="775" max="775" width="14" style="3" customWidth="1"/>
    <col min="776" max="776" width="7.42578125" style="3" customWidth="1"/>
    <col min="777" max="1024" width="11.42578125" style="3"/>
    <col min="1025" max="1025" width="15.85546875" style="3" customWidth="1"/>
    <col min="1026" max="1026" width="14.85546875" style="3" customWidth="1"/>
    <col min="1027" max="1027" width="13.28515625" style="3" customWidth="1"/>
    <col min="1028" max="1028" width="11.42578125" style="3"/>
    <col min="1029" max="1029" width="13.42578125" style="3" customWidth="1"/>
    <col min="1030" max="1030" width="12.7109375" style="3" customWidth="1"/>
    <col min="1031" max="1031" width="14" style="3" customWidth="1"/>
    <col min="1032" max="1032" width="7.42578125" style="3" customWidth="1"/>
    <col min="1033" max="1280" width="11.42578125" style="3"/>
    <col min="1281" max="1281" width="15.85546875" style="3" customWidth="1"/>
    <col min="1282" max="1282" width="14.85546875" style="3" customWidth="1"/>
    <col min="1283" max="1283" width="13.28515625" style="3" customWidth="1"/>
    <col min="1284" max="1284" width="11.42578125" style="3"/>
    <col min="1285" max="1285" width="13.42578125" style="3" customWidth="1"/>
    <col min="1286" max="1286" width="12.7109375" style="3" customWidth="1"/>
    <col min="1287" max="1287" width="14" style="3" customWidth="1"/>
    <col min="1288" max="1288" width="7.42578125" style="3" customWidth="1"/>
    <col min="1289" max="1536" width="11.42578125" style="3"/>
    <col min="1537" max="1537" width="15.85546875" style="3" customWidth="1"/>
    <col min="1538" max="1538" width="14.85546875" style="3" customWidth="1"/>
    <col min="1539" max="1539" width="13.28515625" style="3" customWidth="1"/>
    <col min="1540" max="1540" width="11.42578125" style="3"/>
    <col min="1541" max="1541" width="13.42578125" style="3" customWidth="1"/>
    <col min="1542" max="1542" width="12.7109375" style="3" customWidth="1"/>
    <col min="1543" max="1543" width="14" style="3" customWidth="1"/>
    <col min="1544" max="1544" width="7.42578125" style="3" customWidth="1"/>
    <col min="1545" max="1792" width="11.42578125" style="3"/>
    <col min="1793" max="1793" width="15.85546875" style="3" customWidth="1"/>
    <col min="1794" max="1794" width="14.85546875" style="3" customWidth="1"/>
    <col min="1795" max="1795" width="13.28515625" style="3" customWidth="1"/>
    <col min="1796" max="1796" width="11.42578125" style="3"/>
    <col min="1797" max="1797" width="13.42578125" style="3" customWidth="1"/>
    <col min="1798" max="1798" width="12.7109375" style="3" customWidth="1"/>
    <col min="1799" max="1799" width="14" style="3" customWidth="1"/>
    <col min="1800" max="1800" width="7.42578125" style="3" customWidth="1"/>
    <col min="1801" max="2048" width="11.42578125" style="3"/>
    <col min="2049" max="2049" width="15.85546875" style="3" customWidth="1"/>
    <col min="2050" max="2050" width="14.85546875" style="3" customWidth="1"/>
    <col min="2051" max="2051" width="13.28515625" style="3" customWidth="1"/>
    <col min="2052" max="2052" width="11.42578125" style="3"/>
    <col min="2053" max="2053" width="13.42578125" style="3" customWidth="1"/>
    <col min="2054" max="2054" width="12.7109375" style="3" customWidth="1"/>
    <col min="2055" max="2055" width="14" style="3" customWidth="1"/>
    <col min="2056" max="2056" width="7.42578125" style="3" customWidth="1"/>
    <col min="2057" max="2304" width="11.42578125" style="3"/>
    <col min="2305" max="2305" width="15.85546875" style="3" customWidth="1"/>
    <col min="2306" max="2306" width="14.85546875" style="3" customWidth="1"/>
    <col min="2307" max="2307" width="13.28515625" style="3" customWidth="1"/>
    <col min="2308" max="2308" width="11.42578125" style="3"/>
    <col min="2309" max="2309" width="13.42578125" style="3" customWidth="1"/>
    <col min="2310" max="2310" width="12.7109375" style="3" customWidth="1"/>
    <col min="2311" max="2311" width="14" style="3" customWidth="1"/>
    <col min="2312" max="2312" width="7.42578125" style="3" customWidth="1"/>
    <col min="2313" max="2560" width="11.42578125" style="3"/>
    <col min="2561" max="2561" width="15.85546875" style="3" customWidth="1"/>
    <col min="2562" max="2562" width="14.85546875" style="3" customWidth="1"/>
    <col min="2563" max="2563" width="13.28515625" style="3" customWidth="1"/>
    <col min="2564" max="2564" width="11.42578125" style="3"/>
    <col min="2565" max="2565" width="13.42578125" style="3" customWidth="1"/>
    <col min="2566" max="2566" width="12.7109375" style="3" customWidth="1"/>
    <col min="2567" max="2567" width="14" style="3" customWidth="1"/>
    <col min="2568" max="2568" width="7.42578125" style="3" customWidth="1"/>
    <col min="2569" max="2816" width="11.42578125" style="3"/>
    <col min="2817" max="2817" width="15.85546875" style="3" customWidth="1"/>
    <col min="2818" max="2818" width="14.85546875" style="3" customWidth="1"/>
    <col min="2819" max="2819" width="13.28515625" style="3" customWidth="1"/>
    <col min="2820" max="2820" width="11.42578125" style="3"/>
    <col min="2821" max="2821" width="13.42578125" style="3" customWidth="1"/>
    <col min="2822" max="2822" width="12.7109375" style="3" customWidth="1"/>
    <col min="2823" max="2823" width="14" style="3" customWidth="1"/>
    <col min="2824" max="2824" width="7.42578125" style="3" customWidth="1"/>
    <col min="2825" max="3072" width="11.42578125" style="3"/>
    <col min="3073" max="3073" width="15.85546875" style="3" customWidth="1"/>
    <col min="3074" max="3074" width="14.85546875" style="3" customWidth="1"/>
    <col min="3075" max="3075" width="13.28515625" style="3" customWidth="1"/>
    <col min="3076" max="3076" width="11.42578125" style="3"/>
    <col min="3077" max="3077" width="13.42578125" style="3" customWidth="1"/>
    <col min="3078" max="3078" width="12.7109375" style="3" customWidth="1"/>
    <col min="3079" max="3079" width="14" style="3" customWidth="1"/>
    <col min="3080" max="3080" width="7.42578125" style="3" customWidth="1"/>
    <col min="3081" max="3328" width="11.42578125" style="3"/>
    <col min="3329" max="3329" width="15.85546875" style="3" customWidth="1"/>
    <col min="3330" max="3330" width="14.85546875" style="3" customWidth="1"/>
    <col min="3331" max="3331" width="13.28515625" style="3" customWidth="1"/>
    <col min="3332" max="3332" width="11.42578125" style="3"/>
    <col min="3333" max="3333" width="13.42578125" style="3" customWidth="1"/>
    <col min="3334" max="3334" width="12.7109375" style="3" customWidth="1"/>
    <col min="3335" max="3335" width="14" style="3" customWidth="1"/>
    <col min="3336" max="3336" width="7.42578125" style="3" customWidth="1"/>
    <col min="3337" max="3584" width="11.42578125" style="3"/>
    <col min="3585" max="3585" width="15.85546875" style="3" customWidth="1"/>
    <col min="3586" max="3586" width="14.85546875" style="3" customWidth="1"/>
    <col min="3587" max="3587" width="13.28515625" style="3" customWidth="1"/>
    <col min="3588" max="3588" width="11.42578125" style="3"/>
    <col min="3589" max="3589" width="13.42578125" style="3" customWidth="1"/>
    <col min="3590" max="3590" width="12.7109375" style="3" customWidth="1"/>
    <col min="3591" max="3591" width="14" style="3" customWidth="1"/>
    <col min="3592" max="3592" width="7.42578125" style="3" customWidth="1"/>
    <col min="3593" max="3840" width="11.42578125" style="3"/>
    <col min="3841" max="3841" width="15.85546875" style="3" customWidth="1"/>
    <col min="3842" max="3842" width="14.85546875" style="3" customWidth="1"/>
    <col min="3843" max="3843" width="13.28515625" style="3" customWidth="1"/>
    <col min="3844" max="3844" width="11.42578125" style="3"/>
    <col min="3845" max="3845" width="13.42578125" style="3" customWidth="1"/>
    <col min="3846" max="3846" width="12.7109375" style="3" customWidth="1"/>
    <col min="3847" max="3847" width="14" style="3" customWidth="1"/>
    <col min="3848" max="3848" width="7.42578125" style="3" customWidth="1"/>
    <col min="3849" max="4096" width="11.42578125" style="3"/>
    <col min="4097" max="4097" width="15.85546875" style="3" customWidth="1"/>
    <col min="4098" max="4098" width="14.85546875" style="3" customWidth="1"/>
    <col min="4099" max="4099" width="13.28515625" style="3" customWidth="1"/>
    <col min="4100" max="4100" width="11.42578125" style="3"/>
    <col min="4101" max="4101" width="13.42578125" style="3" customWidth="1"/>
    <col min="4102" max="4102" width="12.7109375" style="3" customWidth="1"/>
    <col min="4103" max="4103" width="14" style="3" customWidth="1"/>
    <col min="4104" max="4104" width="7.42578125" style="3" customWidth="1"/>
    <col min="4105" max="4352" width="11.42578125" style="3"/>
    <col min="4353" max="4353" width="15.85546875" style="3" customWidth="1"/>
    <col min="4354" max="4354" width="14.85546875" style="3" customWidth="1"/>
    <col min="4355" max="4355" width="13.28515625" style="3" customWidth="1"/>
    <col min="4356" max="4356" width="11.42578125" style="3"/>
    <col min="4357" max="4357" width="13.42578125" style="3" customWidth="1"/>
    <col min="4358" max="4358" width="12.7109375" style="3" customWidth="1"/>
    <col min="4359" max="4359" width="14" style="3" customWidth="1"/>
    <col min="4360" max="4360" width="7.42578125" style="3" customWidth="1"/>
    <col min="4361" max="4608" width="11.42578125" style="3"/>
    <col min="4609" max="4609" width="15.85546875" style="3" customWidth="1"/>
    <col min="4610" max="4610" width="14.85546875" style="3" customWidth="1"/>
    <col min="4611" max="4611" width="13.28515625" style="3" customWidth="1"/>
    <col min="4612" max="4612" width="11.42578125" style="3"/>
    <col min="4613" max="4613" width="13.42578125" style="3" customWidth="1"/>
    <col min="4614" max="4614" width="12.7109375" style="3" customWidth="1"/>
    <col min="4615" max="4615" width="14" style="3" customWidth="1"/>
    <col min="4616" max="4616" width="7.42578125" style="3" customWidth="1"/>
    <col min="4617" max="4864" width="11.42578125" style="3"/>
    <col min="4865" max="4865" width="15.85546875" style="3" customWidth="1"/>
    <col min="4866" max="4866" width="14.85546875" style="3" customWidth="1"/>
    <col min="4867" max="4867" width="13.28515625" style="3" customWidth="1"/>
    <col min="4868" max="4868" width="11.42578125" style="3"/>
    <col min="4869" max="4869" width="13.42578125" style="3" customWidth="1"/>
    <col min="4870" max="4870" width="12.7109375" style="3" customWidth="1"/>
    <col min="4871" max="4871" width="14" style="3" customWidth="1"/>
    <col min="4872" max="4872" width="7.42578125" style="3" customWidth="1"/>
    <col min="4873" max="5120" width="11.42578125" style="3"/>
    <col min="5121" max="5121" width="15.85546875" style="3" customWidth="1"/>
    <col min="5122" max="5122" width="14.85546875" style="3" customWidth="1"/>
    <col min="5123" max="5123" width="13.28515625" style="3" customWidth="1"/>
    <col min="5124" max="5124" width="11.42578125" style="3"/>
    <col min="5125" max="5125" width="13.42578125" style="3" customWidth="1"/>
    <col min="5126" max="5126" width="12.7109375" style="3" customWidth="1"/>
    <col min="5127" max="5127" width="14" style="3" customWidth="1"/>
    <col min="5128" max="5128" width="7.42578125" style="3" customWidth="1"/>
    <col min="5129" max="5376" width="11.42578125" style="3"/>
    <col min="5377" max="5377" width="15.85546875" style="3" customWidth="1"/>
    <col min="5378" max="5378" width="14.85546875" style="3" customWidth="1"/>
    <col min="5379" max="5379" width="13.28515625" style="3" customWidth="1"/>
    <col min="5380" max="5380" width="11.42578125" style="3"/>
    <col min="5381" max="5381" width="13.42578125" style="3" customWidth="1"/>
    <col min="5382" max="5382" width="12.7109375" style="3" customWidth="1"/>
    <col min="5383" max="5383" width="14" style="3" customWidth="1"/>
    <col min="5384" max="5384" width="7.42578125" style="3" customWidth="1"/>
    <col min="5385" max="5632" width="11.42578125" style="3"/>
    <col min="5633" max="5633" width="15.85546875" style="3" customWidth="1"/>
    <col min="5634" max="5634" width="14.85546875" style="3" customWidth="1"/>
    <col min="5635" max="5635" width="13.28515625" style="3" customWidth="1"/>
    <col min="5636" max="5636" width="11.42578125" style="3"/>
    <col min="5637" max="5637" width="13.42578125" style="3" customWidth="1"/>
    <col min="5638" max="5638" width="12.7109375" style="3" customWidth="1"/>
    <col min="5639" max="5639" width="14" style="3" customWidth="1"/>
    <col min="5640" max="5640" width="7.42578125" style="3" customWidth="1"/>
    <col min="5641" max="5888" width="11.42578125" style="3"/>
    <col min="5889" max="5889" width="15.85546875" style="3" customWidth="1"/>
    <col min="5890" max="5890" width="14.85546875" style="3" customWidth="1"/>
    <col min="5891" max="5891" width="13.28515625" style="3" customWidth="1"/>
    <col min="5892" max="5892" width="11.42578125" style="3"/>
    <col min="5893" max="5893" width="13.42578125" style="3" customWidth="1"/>
    <col min="5894" max="5894" width="12.7109375" style="3" customWidth="1"/>
    <col min="5895" max="5895" width="14" style="3" customWidth="1"/>
    <col min="5896" max="5896" width="7.42578125" style="3" customWidth="1"/>
    <col min="5897" max="6144" width="11.42578125" style="3"/>
    <col min="6145" max="6145" width="15.85546875" style="3" customWidth="1"/>
    <col min="6146" max="6146" width="14.85546875" style="3" customWidth="1"/>
    <col min="6147" max="6147" width="13.28515625" style="3" customWidth="1"/>
    <col min="6148" max="6148" width="11.42578125" style="3"/>
    <col min="6149" max="6149" width="13.42578125" style="3" customWidth="1"/>
    <col min="6150" max="6150" width="12.7109375" style="3" customWidth="1"/>
    <col min="6151" max="6151" width="14" style="3" customWidth="1"/>
    <col min="6152" max="6152" width="7.42578125" style="3" customWidth="1"/>
    <col min="6153" max="6400" width="11.42578125" style="3"/>
    <col min="6401" max="6401" width="15.85546875" style="3" customWidth="1"/>
    <col min="6402" max="6402" width="14.85546875" style="3" customWidth="1"/>
    <col min="6403" max="6403" width="13.28515625" style="3" customWidth="1"/>
    <col min="6404" max="6404" width="11.42578125" style="3"/>
    <col min="6405" max="6405" width="13.42578125" style="3" customWidth="1"/>
    <col min="6406" max="6406" width="12.7109375" style="3" customWidth="1"/>
    <col min="6407" max="6407" width="14" style="3" customWidth="1"/>
    <col min="6408" max="6408" width="7.42578125" style="3" customWidth="1"/>
    <col min="6409" max="6656" width="11.42578125" style="3"/>
    <col min="6657" max="6657" width="15.85546875" style="3" customWidth="1"/>
    <col min="6658" max="6658" width="14.85546875" style="3" customWidth="1"/>
    <col min="6659" max="6659" width="13.28515625" style="3" customWidth="1"/>
    <col min="6660" max="6660" width="11.42578125" style="3"/>
    <col min="6661" max="6661" width="13.42578125" style="3" customWidth="1"/>
    <col min="6662" max="6662" width="12.7109375" style="3" customWidth="1"/>
    <col min="6663" max="6663" width="14" style="3" customWidth="1"/>
    <col min="6664" max="6664" width="7.42578125" style="3" customWidth="1"/>
    <col min="6665" max="6912" width="11.42578125" style="3"/>
    <col min="6913" max="6913" width="15.85546875" style="3" customWidth="1"/>
    <col min="6914" max="6914" width="14.85546875" style="3" customWidth="1"/>
    <col min="6915" max="6915" width="13.28515625" style="3" customWidth="1"/>
    <col min="6916" max="6916" width="11.42578125" style="3"/>
    <col min="6917" max="6917" width="13.42578125" style="3" customWidth="1"/>
    <col min="6918" max="6918" width="12.7109375" style="3" customWidth="1"/>
    <col min="6919" max="6919" width="14" style="3" customWidth="1"/>
    <col min="6920" max="6920" width="7.42578125" style="3" customWidth="1"/>
    <col min="6921" max="7168" width="11.42578125" style="3"/>
    <col min="7169" max="7169" width="15.85546875" style="3" customWidth="1"/>
    <col min="7170" max="7170" width="14.85546875" style="3" customWidth="1"/>
    <col min="7171" max="7171" width="13.28515625" style="3" customWidth="1"/>
    <col min="7172" max="7172" width="11.42578125" style="3"/>
    <col min="7173" max="7173" width="13.42578125" style="3" customWidth="1"/>
    <col min="7174" max="7174" width="12.7109375" style="3" customWidth="1"/>
    <col min="7175" max="7175" width="14" style="3" customWidth="1"/>
    <col min="7176" max="7176" width="7.42578125" style="3" customWidth="1"/>
    <col min="7177" max="7424" width="11.42578125" style="3"/>
    <col min="7425" max="7425" width="15.85546875" style="3" customWidth="1"/>
    <col min="7426" max="7426" width="14.85546875" style="3" customWidth="1"/>
    <col min="7427" max="7427" width="13.28515625" style="3" customWidth="1"/>
    <col min="7428" max="7428" width="11.42578125" style="3"/>
    <col min="7429" max="7429" width="13.42578125" style="3" customWidth="1"/>
    <col min="7430" max="7430" width="12.7109375" style="3" customWidth="1"/>
    <col min="7431" max="7431" width="14" style="3" customWidth="1"/>
    <col min="7432" max="7432" width="7.42578125" style="3" customWidth="1"/>
    <col min="7433" max="7680" width="11.42578125" style="3"/>
    <col min="7681" max="7681" width="15.85546875" style="3" customWidth="1"/>
    <col min="7682" max="7682" width="14.85546875" style="3" customWidth="1"/>
    <col min="7683" max="7683" width="13.28515625" style="3" customWidth="1"/>
    <col min="7684" max="7684" width="11.42578125" style="3"/>
    <col min="7685" max="7685" width="13.42578125" style="3" customWidth="1"/>
    <col min="7686" max="7686" width="12.7109375" style="3" customWidth="1"/>
    <col min="7687" max="7687" width="14" style="3" customWidth="1"/>
    <col min="7688" max="7688" width="7.42578125" style="3" customWidth="1"/>
    <col min="7689" max="7936" width="11.42578125" style="3"/>
    <col min="7937" max="7937" width="15.85546875" style="3" customWidth="1"/>
    <col min="7938" max="7938" width="14.85546875" style="3" customWidth="1"/>
    <col min="7939" max="7939" width="13.28515625" style="3" customWidth="1"/>
    <col min="7940" max="7940" width="11.42578125" style="3"/>
    <col min="7941" max="7941" width="13.42578125" style="3" customWidth="1"/>
    <col min="7942" max="7942" width="12.7109375" style="3" customWidth="1"/>
    <col min="7943" max="7943" width="14" style="3" customWidth="1"/>
    <col min="7944" max="7944" width="7.42578125" style="3" customWidth="1"/>
    <col min="7945" max="8192" width="11.42578125" style="3"/>
    <col min="8193" max="8193" width="15.85546875" style="3" customWidth="1"/>
    <col min="8194" max="8194" width="14.85546875" style="3" customWidth="1"/>
    <col min="8195" max="8195" width="13.28515625" style="3" customWidth="1"/>
    <col min="8196" max="8196" width="11.42578125" style="3"/>
    <col min="8197" max="8197" width="13.42578125" style="3" customWidth="1"/>
    <col min="8198" max="8198" width="12.7109375" style="3" customWidth="1"/>
    <col min="8199" max="8199" width="14" style="3" customWidth="1"/>
    <col min="8200" max="8200" width="7.42578125" style="3" customWidth="1"/>
    <col min="8201" max="8448" width="11.42578125" style="3"/>
    <col min="8449" max="8449" width="15.85546875" style="3" customWidth="1"/>
    <col min="8450" max="8450" width="14.85546875" style="3" customWidth="1"/>
    <col min="8451" max="8451" width="13.28515625" style="3" customWidth="1"/>
    <col min="8452" max="8452" width="11.42578125" style="3"/>
    <col min="8453" max="8453" width="13.42578125" style="3" customWidth="1"/>
    <col min="8454" max="8454" width="12.7109375" style="3" customWidth="1"/>
    <col min="8455" max="8455" width="14" style="3" customWidth="1"/>
    <col min="8456" max="8456" width="7.42578125" style="3" customWidth="1"/>
    <col min="8457" max="8704" width="11.42578125" style="3"/>
    <col min="8705" max="8705" width="15.85546875" style="3" customWidth="1"/>
    <col min="8706" max="8706" width="14.85546875" style="3" customWidth="1"/>
    <col min="8707" max="8707" width="13.28515625" style="3" customWidth="1"/>
    <col min="8708" max="8708" width="11.42578125" style="3"/>
    <col min="8709" max="8709" width="13.42578125" style="3" customWidth="1"/>
    <col min="8710" max="8710" width="12.7109375" style="3" customWidth="1"/>
    <col min="8711" max="8711" width="14" style="3" customWidth="1"/>
    <col min="8712" max="8712" width="7.42578125" style="3" customWidth="1"/>
    <col min="8713" max="8960" width="11.42578125" style="3"/>
    <col min="8961" max="8961" width="15.85546875" style="3" customWidth="1"/>
    <col min="8962" max="8962" width="14.85546875" style="3" customWidth="1"/>
    <col min="8963" max="8963" width="13.28515625" style="3" customWidth="1"/>
    <col min="8964" max="8964" width="11.42578125" style="3"/>
    <col min="8965" max="8965" width="13.42578125" style="3" customWidth="1"/>
    <col min="8966" max="8966" width="12.7109375" style="3" customWidth="1"/>
    <col min="8967" max="8967" width="14" style="3" customWidth="1"/>
    <col min="8968" max="8968" width="7.42578125" style="3" customWidth="1"/>
    <col min="8969" max="9216" width="11.42578125" style="3"/>
    <col min="9217" max="9217" width="15.85546875" style="3" customWidth="1"/>
    <col min="9218" max="9218" width="14.85546875" style="3" customWidth="1"/>
    <col min="9219" max="9219" width="13.28515625" style="3" customWidth="1"/>
    <col min="9220" max="9220" width="11.42578125" style="3"/>
    <col min="9221" max="9221" width="13.42578125" style="3" customWidth="1"/>
    <col min="9222" max="9222" width="12.7109375" style="3" customWidth="1"/>
    <col min="9223" max="9223" width="14" style="3" customWidth="1"/>
    <col min="9224" max="9224" width="7.42578125" style="3" customWidth="1"/>
    <col min="9225" max="9472" width="11.42578125" style="3"/>
    <col min="9473" max="9473" width="15.85546875" style="3" customWidth="1"/>
    <col min="9474" max="9474" width="14.85546875" style="3" customWidth="1"/>
    <col min="9475" max="9475" width="13.28515625" style="3" customWidth="1"/>
    <col min="9476" max="9476" width="11.42578125" style="3"/>
    <col min="9477" max="9477" width="13.42578125" style="3" customWidth="1"/>
    <col min="9478" max="9478" width="12.7109375" style="3" customWidth="1"/>
    <col min="9479" max="9479" width="14" style="3" customWidth="1"/>
    <col min="9480" max="9480" width="7.42578125" style="3" customWidth="1"/>
    <col min="9481" max="9728" width="11.42578125" style="3"/>
    <col min="9729" max="9729" width="15.85546875" style="3" customWidth="1"/>
    <col min="9730" max="9730" width="14.85546875" style="3" customWidth="1"/>
    <col min="9731" max="9731" width="13.28515625" style="3" customWidth="1"/>
    <col min="9732" max="9732" width="11.42578125" style="3"/>
    <col min="9733" max="9733" width="13.42578125" style="3" customWidth="1"/>
    <col min="9734" max="9734" width="12.7109375" style="3" customWidth="1"/>
    <col min="9735" max="9735" width="14" style="3" customWidth="1"/>
    <col min="9736" max="9736" width="7.42578125" style="3" customWidth="1"/>
    <col min="9737" max="9984" width="11.42578125" style="3"/>
    <col min="9985" max="9985" width="15.85546875" style="3" customWidth="1"/>
    <col min="9986" max="9986" width="14.85546875" style="3" customWidth="1"/>
    <col min="9987" max="9987" width="13.28515625" style="3" customWidth="1"/>
    <col min="9988" max="9988" width="11.42578125" style="3"/>
    <col min="9989" max="9989" width="13.42578125" style="3" customWidth="1"/>
    <col min="9990" max="9990" width="12.7109375" style="3" customWidth="1"/>
    <col min="9991" max="9991" width="14" style="3" customWidth="1"/>
    <col min="9992" max="9992" width="7.42578125" style="3" customWidth="1"/>
    <col min="9993" max="10240" width="11.42578125" style="3"/>
    <col min="10241" max="10241" width="15.85546875" style="3" customWidth="1"/>
    <col min="10242" max="10242" width="14.85546875" style="3" customWidth="1"/>
    <col min="10243" max="10243" width="13.28515625" style="3" customWidth="1"/>
    <col min="10244" max="10244" width="11.42578125" style="3"/>
    <col min="10245" max="10245" width="13.42578125" style="3" customWidth="1"/>
    <col min="10246" max="10246" width="12.7109375" style="3" customWidth="1"/>
    <col min="10247" max="10247" width="14" style="3" customWidth="1"/>
    <col min="10248" max="10248" width="7.42578125" style="3" customWidth="1"/>
    <col min="10249" max="10496" width="11.42578125" style="3"/>
    <col min="10497" max="10497" width="15.85546875" style="3" customWidth="1"/>
    <col min="10498" max="10498" width="14.85546875" style="3" customWidth="1"/>
    <col min="10499" max="10499" width="13.28515625" style="3" customWidth="1"/>
    <col min="10500" max="10500" width="11.42578125" style="3"/>
    <col min="10501" max="10501" width="13.42578125" style="3" customWidth="1"/>
    <col min="10502" max="10502" width="12.7109375" style="3" customWidth="1"/>
    <col min="10503" max="10503" width="14" style="3" customWidth="1"/>
    <col min="10504" max="10504" width="7.42578125" style="3" customWidth="1"/>
    <col min="10505" max="10752" width="11.42578125" style="3"/>
    <col min="10753" max="10753" width="15.85546875" style="3" customWidth="1"/>
    <col min="10754" max="10754" width="14.85546875" style="3" customWidth="1"/>
    <col min="10755" max="10755" width="13.28515625" style="3" customWidth="1"/>
    <col min="10756" max="10756" width="11.42578125" style="3"/>
    <col min="10757" max="10757" width="13.42578125" style="3" customWidth="1"/>
    <col min="10758" max="10758" width="12.7109375" style="3" customWidth="1"/>
    <col min="10759" max="10759" width="14" style="3" customWidth="1"/>
    <col min="10760" max="10760" width="7.42578125" style="3" customWidth="1"/>
    <col min="10761" max="11008" width="11.42578125" style="3"/>
    <col min="11009" max="11009" width="15.85546875" style="3" customWidth="1"/>
    <col min="11010" max="11010" width="14.85546875" style="3" customWidth="1"/>
    <col min="11011" max="11011" width="13.28515625" style="3" customWidth="1"/>
    <col min="11012" max="11012" width="11.42578125" style="3"/>
    <col min="11013" max="11013" width="13.42578125" style="3" customWidth="1"/>
    <col min="11014" max="11014" width="12.7109375" style="3" customWidth="1"/>
    <col min="11015" max="11015" width="14" style="3" customWidth="1"/>
    <col min="11016" max="11016" width="7.42578125" style="3" customWidth="1"/>
    <col min="11017" max="11264" width="11.42578125" style="3"/>
    <col min="11265" max="11265" width="15.85546875" style="3" customWidth="1"/>
    <col min="11266" max="11266" width="14.85546875" style="3" customWidth="1"/>
    <col min="11267" max="11267" width="13.28515625" style="3" customWidth="1"/>
    <col min="11268" max="11268" width="11.42578125" style="3"/>
    <col min="11269" max="11269" width="13.42578125" style="3" customWidth="1"/>
    <col min="11270" max="11270" width="12.7109375" style="3" customWidth="1"/>
    <col min="11271" max="11271" width="14" style="3" customWidth="1"/>
    <col min="11272" max="11272" width="7.42578125" style="3" customWidth="1"/>
    <col min="11273" max="11520" width="11.42578125" style="3"/>
    <col min="11521" max="11521" width="15.85546875" style="3" customWidth="1"/>
    <col min="11522" max="11522" width="14.85546875" style="3" customWidth="1"/>
    <col min="11523" max="11523" width="13.28515625" style="3" customWidth="1"/>
    <col min="11524" max="11524" width="11.42578125" style="3"/>
    <col min="11525" max="11525" width="13.42578125" style="3" customWidth="1"/>
    <col min="11526" max="11526" width="12.7109375" style="3" customWidth="1"/>
    <col min="11527" max="11527" width="14" style="3" customWidth="1"/>
    <col min="11528" max="11528" width="7.42578125" style="3" customWidth="1"/>
    <col min="11529" max="11776" width="11.42578125" style="3"/>
    <col min="11777" max="11777" width="15.85546875" style="3" customWidth="1"/>
    <col min="11778" max="11778" width="14.85546875" style="3" customWidth="1"/>
    <col min="11779" max="11779" width="13.28515625" style="3" customWidth="1"/>
    <col min="11780" max="11780" width="11.42578125" style="3"/>
    <col min="11781" max="11781" width="13.42578125" style="3" customWidth="1"/>
    <col min="11782" max="11782" width="12.7109375" style="3" customWidth="1"/>
    <col min="11783" max="11783" width="14" style="3" customWidth="1"/>
    <col min="11784" max="11784" width="7.42578125" style="3" customWidth="1"/>
    <col min="11785" max="12032" width="11.42578125" style="3"/>
    <col min="12033" max="12033" width="15.85546875" style="3" customWidth="1"/>
    <col min="12034" max="12034" width="14.85546875" style="3" customWidth="1"/>
    <col min="12035" max="12035" width="13.28515625" style="3" customWidth="1"/>
    <col min="12036" max="12036" width="11.42578125" style="3"/>
    <col min="12037" max="12037" width="13.42578125" style="3" customWidth="1"/>
    <col min="12038" max="12038" width="12.7109375" style="3" customWidth="1"/>
    <col min="12039" max="12039" width="14" style="3" customWidth="1"/>
    <col min="12040" max="12040" width="7.42578125" style="3" customWidth="1"/>
    <col min="12041" max="12288" width="11.42578125" style="3"/>
    <col min="12289" max="12289" width="15.85546875" style="3" customWidth="1"/>
    <col min="12290" max="12290" width="14.85546875" style="3" customWidth="1"/>
    <col min="12291" max="12291" width="13.28515625" style="3" customWidth="1"/>
    <col min="12292" max="12292" width="11.42578125" style="3"/>
    <col min="12293" max="12293" width="13.42578125" style="3" customWidth="1"/>
    <col min="12294" max="12294" width="12.7109375" style="3" customWidth="1"/>
    <col min="12295" max="12295" width="14" style="3" customWidth="1"/>
    <col min="12296" max="12296" width="7.42578125" style="3" customWidth="1"/>
    <col min="12297" max="12544" width="11.42578125" style="3"/>
    <col min="12545" max="12545" width="15.85546875" style="3" customWidth="1"/>
    <col min="12546" max="12546" width="14.85546875" style="3" customWidth="1"/>
    <col min="12547" max="12547" width="13.28515625" style="3" customWidth="1"/>
    <col min="12548" max="12548" width="11.42578125" style="3"/>
    <col min="12549" max="12549" width="13.42578125" style="3" customWidth="1"/>
    <col min="12550" max="12550" width="12.7109375" style="3" customWidth="1"/>
    <col min="12551" max="12551" width="14" style="3" customWidth="1"/>
    <col min="12552" max="12552" width="7.42578125" style="3" customWidth="1"/>
    <col min="12553" max="12800" width="11.42578125" style="3"/>
    <col min="12801" max="12801" width="15.85546875" style="3" customWidth="1"/>
    <col min="12802" max="12802" width="14.85546875" style="3" customWidth="1"/>
    <col min="12803" max="12803" width="13.28515625" style="3" customWidth="1"/>
    <col min="12804" max="12804" width="11.42578125" style="3"/>
    <col min="12805" max="12805" width="13.42578125" style="3" customWidth="1"/>
    <col min="12806" max="12806" width="12.7109375" style="3" customWidth="1"/>
    <col min="12807" max="12807" width="14" style="3" customWidth="1"/>
    <col min="12808" max="12808" width="7.42578125" style="3" customWidth="1"/>
    <col min="12809" max="13056" width="11.42578125" style="3"/>
    <col min="13057" max="13057" width="15.85546875" style="3" customWidth="1"/>
    <col min="13058" max="13058" width="14.85546875" style="3" customWidth="1"/>
    <col min="13059" max="13059" width="13.28515625" style="3" customWidth="1"/>
    <col min="13060" max="13060" width="11.42578125" style="3"/>
    <col min="13061" max="13061" width="13.42578125" style="3" customWidth="1"/>
    <col min="13062" max="13062" width="12.7109375" style="3" customWidth="1"/>
    <col min="13063" max="13063" width="14" style="3" customWidth="1"/>
    <col min="13064" max="13064" width="7.42578125" style="3" customWidth="1"/>
    <col min="13065" max="13312" width="11.42578125" style="3"/>
    <col min="13313" max="13313" width="15.85546875" style="3" customWidth="1"/>
    <col min="13314" max="13314" width="14.85546875" style="3" customWidth="1"/>
    <col min="13315" max="13315" width="13.28515625" style="3" customWidth="1"/>
    <col min="13316" max="13316" width="11.42578125" style="3"/>
    <col min="13317" max="13317" width="13.42578125" style="3" customWidth="1"/>
    <col min="13318" max="13318" width="12.7109375" style="3" customWidth="1"/>
    <col min="13319" max="13319" width="14" style="3" customWidth="1"/>
    <col min="13320" max="13320" width="7.42578125" style="3" customWidth="1"/>
    <col min="13321" max="13568" width="11.42578125" style="3"/>
    <col min="13569" max="13569" width="15.85546875" style="3" customWidth="1"/>
    <col min="13570" max="13570" width="14.85546875" style="3" customWidth="1"/>
    <col min="13571" max="13571" width="13.28515625" style="3" customWidth="1"/>
    <col min="13572" max="13572" width="11.42578125" style="3"/>
    <col min="13573" max="13573" width="13.42578125" style="3" customWidth="1"/>
    <col min="13574" max="13574" width="12.7109375" style="3" customWidth="1"/>
    <col min="13575" max="13575" width="14" style="3" customWidth="1"/>
    <col min="13576" max="13576" width="7.42578125" style="3" customWidth="1"/>
    <col min="13577" max="13824" width="11.42578125" style="3"/>
    <col min="13825" max="13825" width="15.85546875" style="3" customWidth="1"/>
    <col min="13826" max="13826" width="14.85546875" style="3" customWidth="1"/>
    <col min="13827" max="13827" width="13.28515625" style="3" customWidth="1"/>
    <col min="13828" max="13828" width="11.42578125" style="3"/>
    <col min="13829" max="13829" width="13.42578125" style="3" customWidth="1"/>
    <col min="13830" max="13830" width="12.7109375" style="3" customWidth="1"/>
    <col min="13831" max="13831" width="14" style="3" customWidth="1"/>
    <col min="13832" max="13832" width="7.42578125" style="3" customWidth="1"/>
    <col min="13833" max="14080" width="11.42578125" style="3"/>
    <col min="14081" max="14081" width="15.85546875" style="3" customWidth="1"/>
    <col min="14082" max="14082" width="14.85546875" style="3" customWidth="1"/>
    <col min="14083" max="14083" width="13.28515625" style="3" customWidth="1"/>
    <col min="14084" max="14084" width="11.42578125" style="3"/>
    <col min="14085" max="14085" width="13.42578125" style="3" customWidth="1"/>
    <col min="14086" max="14086" width="12.7109375" style="3" customWidth="1"/>
    <col min="14087" max="14087" width="14" style="3" customWidth="1"/>
    <col min="14088" max="14088" width="7.42578125" style="3" customWidth="1"/>
    <col min="14089" max="14336" width="11.42578125" style="3"/>
    <col min="14337" max="14337" width="15.85546875" style="3" customWidth="1"/>
    <col min="14338" max="14338" width="14.85546875" style="3" customWidth="1"/>
    <col min="14339" max="14339" width="13.28515625" style="3" customWidth="1"/>
    <col min="14340" max="14340" width="11.42578125" style="3"/>
    <col min="14341" max="14341" width="13.42578125" style="3" customWidth="1"/>
    <col min="14342" max="14342" width="12.7109375" style="3" customWidth="1"/>
    <col min="14343" max="14343" width="14" style="3" customWidth="1"/>
    <col min="14344" max="14344" width="7.42578125" style="3" customWidth="1"/>
    <col min="14345" max="14592" width="11.42578125" style="3"/>
    <col min="14593" max="14593" width="15.85546875" style="3" customWidth="1"/>
    <col min="14594" max="14594" width="14.85546875" style="3" customWidth="1"/>
    <col min="14595" max="14595" width="13.28515625" style="3" customWidth="1"/>
    <col min="14596" max="14596" width="11.42578125" style="3"/>
    <col min="14597" max="14597" width="13.42578125" style="3" customWidth="1"/>
    <col min="14598" max="14598" width="12.7109375" style="3" customWidth="1"/>
    <col min="14599" max="14599" width="14" style="3" customWidth="1"/>
    <col min="14600" max="14600" width="7.42578125" style="3" customWidth="1"/>
    <col min="14601" max="14848" width="11.42578125" style="3"/>
    <col min="14849" max="14849" width="15.85546875" style="3" customWidth="1"/>
    <col min="14850" max="14850" width="14.85546875" style="3" customWidth="1"/>
    <col min="14851" max="14851" width="13.28515625" style="3" customWidth="1"/>
    <col min="14852" max="14852" width="11.42578125" style="3"/>
    <col min="14853" max="14853" width="13.42578125" style="3" customWidth="1"/>
    <col min="14854" max="14854" width="12.7109375" style="3" customWidth="1"/>
    <col min="14855" max="14855" width="14" style="3" customWidth="1"/>
    <col min="14856" max="14856" width="7.42578125" style="3" customWidth="1"/>
    <col min="14857" max="15104" width="11.42578125" style="3"/>
    <col min="15105" max="15105" width="15.85546875" style="3" customWidth="1"/>
    <col min="15106" max="15106" width="14.85546875" style="3" customWidth="1"/>
    <col min="15107" max="15107" width="13.28515625" style="3" customWidth="1"/>
    <col min="15108" max="15108" width="11.42578125" style="3"/>
    <col min="15109" max="15109" width="13.42578125" style="3" customWidth="1"/>
    <col min="15110" max="15110" width="12.7109375" style="3" customWidth="1"/>
    <col min="15111" max="15111" width="14" style="3" customWidth="1"/>
    <col min="15112" max="15112" width="7.42578125" style="3" customWidth="1"/>
    <col min="15113" max="15360" width="11.42578125" style="3"/>
    <col min="15361" max="15361" width="15.85546875" style="3" customWidth="1"/>
    <col min="15362" max="15362" width="14.85546875" style="3" customWidth="1"/>
    <col min="15363" max="15363" width="13.28515625" style="3" customWidth="1"/>
    <col min="15364" max="15364" width="11.42578125" style="3"/>
    <col min="15365" max="15365" width="13.42578125" style="3" customWidth="1"/>
    <col min="15366" max="15366" width="12.7109375" style="3" customWidth="1"/>
    <col min="15367" max="15367" width="14" style="3" customWidth="1"/>
    <col min="15368" max="15368" width="7.42578125" style="3" customWidth="1"/>
    <col min="15369" max="15616" width="11.42578125" style="3"/>
    <col min="15617" max="15617" width="15.85546875" style="3" customWidth="1"/>
    <col min="15618" max="15618" width="14.85546875" style="3" customWidth="1"/>
    <col min="15619" max="15619" width="13.28515625" style="3" customWidth="1"/>
    <col min="15620" max="15620" width="11.42578125" style="3"/>
    <col min="15621" max="15621" width="13.42578125" style="3" customWidth="1"/>
    <col min="15622" max="15622" width="12.7109375" style="3" customWidth="1"/>
    <col min="15623" max="15623" width="14" style="3" customWidth="1"/>
    <col min="15624" max="15624" width="7.42578125" style="3" customWidth="1"/>
    <col min="15625" max="15872" width="11.42578125" style="3"/>
    <col min="15873" max="15873" width="15.85546875" style="3" customWidth="1"/>
    <col min="15874" max="15874" width="14.85546875" style="3" customWidth="1"/>
    <col min="15875" max="15875" width="13.28515625" style="3" customWidth="1"/>
    <col min="15876" max="15876" width="11.42578125" style="3"/>
    <col min="15877" max="15877" width="13.42578125" style="3" customWidth="1"/>
    <col min="15878" max="15878" width="12.7109375" style="3" customWidth="1"/>
    <col min="15879" max="15879" width="14" style="3" customWidth="1"/>
    <col min="15880" max="15880" width="7.42578125" style="3" customWidth="1"/>
    <col min="15881" max="16128" width="11.42578125" style="3"/>
    <col min="16129" max="16129" width="15.85546875" style="3" customWidth="1"/>
    <col min="16130" max="16130" width="14.85546875" style="3" customWidth="1"/>
    <col min="16131" max="16131" width="13.28515625" style="3" customWidth="1"/>
    <col min="16132" max="16132" width="11.42578125" style="3"/>
    <col min="16133" max="16133" width="13.42578125" style="3" customWidth="1"/>
    <col min="16134" max="16134" width="12.7109375" style="3" customWidth="1"/>
    <col min="16135" max="16135" width="14" style="3" customWidth="1"/>
    <col min="16136" max="16136" width="7.42578125" style="3" customWidth="1"/>
    <col min="16137" max="16384" width="11.42578125" style="3"/>
  </cols>
  <sheetData>
    <row r="1" spans="1:21" ht="20.25">
      <c r="A1" s="1445" t="str">
        <f>PPTO!D3</f>
        <v>PRESUPUESTO
MUNICIPIO EL BAGRE (ANTIOQUIA).</v>
      </c>
      <c r="B1" s="1446"/>
      <c r="C1" s="1446"/>
      <c r="D1" s="1446"/>
      <c r="E1" s="1446"/>
      <c r="F1" s="1446"/>
      <c r="G1" s="1447"/>
      <c r="H1" s="1"/>
      <c r="I1" s="2"/>
    </row>
    <row r="2" spans="1:21" ht="12.75" customHeight="1">
      <c r="A2" s="1448"/>
      <c r="B2" s="1449"/>
      <c r="C2" s="1449"/>
      <c r="D2" s="1449"/>
      <c r="E2" s="1449"/>
      <c r="F2" s="1449"/>
      <c r="G2" s="1450"/>
      <c r="H2" s="1"/>
      <c r="I2" s="2"/>
    </row>
    <row r="3" spans="1:21" ht="25.5" customHeight="1">
      <c r="A3" s="1367" t="str">
        <f>+PPTO!$D$5</f>
        <v>PROYECTO DE MEJORAMIENTO VIAL, ESPACIO PUBLICO Y OBRAS COMPLEMENTARIAS DE LA AVENIDA LA JUVENTUD Y TRAMOS ADYACENTES Y PRIORITARIOS DEL SECTOR URBANO EN EL MUNICIPIO EL BAGRE ANTIOQUIA.</v>
      </c>
      <c r="B3" s="1368"/>
      <c r="C3" s="1368"/>
      <c r="D3" s="1368"/>
      <c r="E3" s="1368"/>
      <c r="F3" s="1368"/>
      <c r="G3" s="1369"/>
      <c r="H3" s="1"/>
      <c r="I3" s="2"/>
    </row>
    <row r="4" spans="1:21" ht="12" customHeight="1">
      <c r="A4" s="1370"/>
      <c r="B4" s="1368"/>
      <c r="C4" s="1368"/>
      <c r="D4" s="1368"/>
      <c r="E4" s="1368"/>
      <c r="F4" s="1368"/>
      <c r="G4" s="1369"/>
      <c r="H4" s="1"/>
      <c r="I4" s="2"/>
    </row>
    <row r="5" spans="1:21" ht="6.75" customHeight="1">
      <c r="A5" s="222"/>
      <c r="B5" s="6"/>
      <c r="C5" s="24"/>
      <c r="D5" s="25"/>
      <c r="E5" s="6"/>
      <c r="F5" s="6"/>
      <c r="G5" s="223"/>
      <c r="H5" s="9"/>
    </row>
    <row r="6" spans="1:21">
      <c r="A6" s="224"/>
      <c r="B6" s="1451" t="s">
        <v>704</v>
      </c>
      <c r="C6" s="1451"/>
      <c r="D6" s="1451"/>
      <c r="E6" s="1451"/>
      <c r="F6" s="1451"/>
      <c r="G6" s="225" t="s">
        <v>40</v>
      </c>
      <c r="H6" s="9"/>
    </row>
    <row r="7" spans="1:21" ht="3.75" customHeight="1">
      <c r="A7" s="226"/>
      <c r="B7" s="4"/>
      <c r="C7" s="6"/>
      <c r="D7" s="4"/>
      <c r="E7" s="4"/>
      <c r="F7" s="4"/>
      <c r="G7" s="227"/>
      <c r="H7" s="9"/>
    </row>
    <row r="8" spans="1:21">
      <c r="A8" s="1354" t="s">
        <v>69</v>
      </c>
      <c r="B8" s="1355"/>
      <c r="C8" s="1355"/>
      <c r="D8" s="1355"/>
      <c r="E8" s="1355"/>
      <c r="F8" s="1355"/>
      <c r="G8" s="1356"/>
      <c r="H8" s="9"/>
    </row>
    <row r="9" spans="1:21" ht="4.5" customHeight="1">
      <c r="A9" s="226"/>
      <c r="B9" s="4"/>
      <c r="C9" s="6"/>
      <c r="D9" s="4"/>
      <c r="E9" s="4"/>
      <c r="F9" s="4"/>
      <c r="G9" s="227"/>
      <c r="H9" s="9"/>
      <c r="I9" s="5"/>
      <c r="J9" s="5"/>
      <c r="K9" s="5"/>
      <c r="L9" s="26"/>
      <c r="M9" s="5"/>
      <c r="N9" s="5"/>
      <c r="O9" s="5"/>
      <c r="P9" s="5"/>
    </row>
    <row r="10" spans="1:21">
      <c r="A10" s="1373" t="s">
        <v>17</v>
      </c>
      <c r="B10" s="1374"/>
      <c r="C10" s="1374"/>
      <c r="D10" s="220" t="s">
        <v>18</v>
      </c>
      <c r="E10" s="220" t="s">
        <v>19</v>
      </c>
      <c r="F10" s="220" t="s">
        <v>20</v>
      </c>
      <c r="G10" s="228" t="s">
        <v>21</v>
      </c>
      <c r="H10" s="27"/>
      <c r="I10" s="28"/>
      <c r="J10" s="29"/>
      <c r="K10" s="30"/>
      <c r="L10" s="30"/>
      <c r="M10" s="30"/>
      <c r="N10" s="30"/>
      <c r="O10" s="30"/>
      <c r="P10" s="5"/>
    </row>
    <row r="11" spans="1:21">
      <c r="A11" s="1352" t="s">
        <v>36</v>
      </c>
      <c r="B11" s="1353"/>
      <c r="C11" s="1353"/>
      <c r="D11" s="220"/>
      <c r="E11" s="83"/>
      <c r="F11" s="97"/>
      <c r="G11" s="229">
        <v>5408</v>
      </c>
      <c r="H11" s="9"/>
      <c r="I11" s="30"/>
      <c r="J11" s="31"/>
      <c r="K11" s="30"/>
      <c r="L11" s="30"/>
      <c r="M11" s="30"/>
      <c r="N11" s="30"/>
      <c r="O11" s="30"/>
      <c r="P11" s="5"/>
    </row>
    <row r="12" spans="1:21">
      <c r="A12" s="1371" t="s">
        <v>61</v>
      </c>
      <c r="B12" s="1372"/>
      <c r="C12" s="1372"/>
      <c r="D12" s="83" t="s">
        <v>43</v>
      </c>
      <c r="E12" s="83">
        <v>85000</v>
      </c>
      <c r="F12" s="93">
        <f>+F35</f>
        <v>35.64</v>
      </c>
      <c r="G12" s="229">
        <f>+E12/F12</f>
        <v>2385</v>
      </c>
      <c r="H12" s="9"/>
      <c r="I12" s="16"/>
      <c r="J12" s="13"/>
      <c r="K12" s="8"/>
      <c r="L12" s="8"/>
      <c r="M12" s="8"/>
      <c r="N12" s="8"/>
      <c r="O12" s="8"/>
      <c r="P12" s="5"/>
    </row>
    <row r="13" spans="1:21">
      <c r="A13" s="1371"/>
      <c r="B13" s="1372"/>
      <c r="C13" s="1372"/>
      <c r="D13" s="83"/>
      <c r="E13" s="83"/>
      <c r="F13" s="93"/>
      <c r="G13" s="229"/>
      <c r="H13" s="9"/>
      <c r="I13" s="13"/>
      <c r="J13" s="13"/>
      <c r="K13" s="13"/>
      <c r="L13" s="13"/>
      <c r="M13" s="13"/>
      <c r="N13" s="13"/>
      <c r="O13" s="13"/>
      <c r="P13" s="5"/>
    </row>
    <row r="14" spans="1:21">
      <c r="A14" s="1371"/>
      <c r="B14" s="1372"/>
      <c r="C14" s="1372"/>
      <c r="D14" s="83"/>
      <c r="E14" s="83"/>
      <c r="F14" s="93"/>
      <c r="G14" s="229"/>
      <c r="H14" s="9"/>
      <c r="I14" s="8"/>
      <c r="J14" s="14"/>
      <c r="K14" s="32"/>
      <c r="L14" s="14"/>
      <c r="M14" s="15"/>
      <c r="N14" s="15"/>
      <c r="O14" s="19"/>
      <c r="P14" s="5"/>
    </row>
    <row r="15" spans="1:21">
      <c r="A15" s="1371"/>
      <c r="B15" s="1372"/>
      <c r="C15" s="1372"/>
      <c r="D15" s="83"/>
      <c r="E15" s="83"/>
      <c r="F15" s="98"/>
      <c r="G15" s="229"/>
      <c r="H15" s="9"/>
      <c r="I15" s="8"/>
      <c r="J15" s="33"/>
      <c r="K15" s="32"/>
      <c r="L15" s="14"/>
      <c r="M15" s="15"/>
      <c r="N15" s="15"/>
      <c r="O15" s="19"/>
      <c r="P15" s="5"/>
      <c r="Q15" s="5"/>
      <c r="R15" s="5"/>
      <c r="S15" s="5"/>
      <c r="T15" s="5"/>
      <c r="U15" s="5"/>
    </row>
    <row r="16" spans="1:21">
      <c r="A16" s="1371"/>
      <c r="B16" s="1372"/>
      <c r="C16" s="1372"/>
      <c r="D16" s="85" t="s">
        <v>37</v>
      </c>
      <c r="E16" s="50"/>
      <c r="F16" s="49"/>
      <c r="G16" s="230">
        <f>SUM(G11:G15)</f>
        <v>7793</v>
      </c>
      <c r="H16" s="9"/>
      <c r="I16" s="34"/>
      <c r="J16" s="34"/>
      <c r="K16" s="35"/>
      <c r="L16" s="36"/>
      <c r="M16" s="7"/>
      <c r="N16" s="7"/>
      <c r="O16" s="19"/>
      <c r="P16" s="5"/>
      <c r="Q16" s="5"/>
      <c r="R16" s="5"/>
      <c r="S16" s="5"/>
      <c r="T16" s="5"/>
      <c r="U16" s="5"/>
    </row>
    <row r="17" spans="1:21" ht="4.5" customHeight="1">
      <c r="A17" s="226"/>
      <c r="B17" s="4"/>
      <c r="C17" s="6"/>
      <c r="D17" s="4"/>
      <c r="E17" s="4"/>
      <c r="F17" s="4"/>
      <c r="G17" s="227"/>
      <c r="H17" s="9"/>
      <c r="I17" s="34"/>
      <c r="J17" s="34"/>
      <c r="K17" s="35"/>
      <c r="L17" s="36"/>
      <c r="M17" s="7"/>
      <c r="N17" s="7"/>
      <c r="O17" s="19"/>
      <c r="P17" s="5"/>
      <c r="Q17" s="5"/>
      <c r="R17" s="5"/>
      <c r="S17" s="5"/>
      <c r="T17" s="5"/>
      <c r="U17" s="5"/>
    </row>
    <row r="18" spans="1:21">
      <c r="A18" s="1354" t="s">
        <v>70</v>
      </c>
      <c r="B18" s="1355"/>
      <c r="C18" s="1355"/>
      <c r="D18" s="1355"/>
      <c r="E18" s="1355"/>
      <c r="F18" s="1355"/>
      <c r="G18" s="1356"/>
      <c r="H18" s="9"/>
    </row>
    <row r="19" spans="1:21" ht="4.5" customHeight="1">
      <c r="A19" s="226"/>
      <c r="B19" s="4"/>
      <c r="C19" s="6"/>
      <c r="D19" s="4"/>
      <c r="E19" s="4"/>
      <c r="F19" s="38"/>
      <c r="G19" s="227"/>
      <c r="H19" s="9"/>
      <c r="I19" s="34"/>
      <c r="J19" s="34"/>
      <c r="K19" s="35"/>
      <c r="L19" s="39"/>
      <c r="M19" s="7"/>
      <c r="N19" s="7"/>
      <c r="O19" s="8"/>
      <c r="P19" s="5"/>
      <c r="Q19" s="5"/>
      <c r="R19" s="5"/>
      <c r="S19" s="5"/>
      <c r="T19" s="5"/>
      <c r="U19" s="5"/>
    </row>
    <row r="20" spans="1:21">
      <c r="A20" s="1373" t="s">
        <v>17</v>
      </c>
      <c r="B20" s="1374"/>
      <c r="C20" s="1374"/>
      <c r="D20" s="220" t="s">
        <v>3</v>
      </c>
      <c r="E20" s="220" t="s">
        <v>4</v>
      </c>
      <c r="F20" s="220" t="s">
        <v>25</v>
      </c>
      <c r="G20" s="228" t="s">
        <v>21</v>
      </c>
      <c r="H20" s="27"/>
      <c r="I20" s="34"/>
      <c r="J20" s="34"/>
      <c r="K20" s="35"/>
      <c r="L20" s="39"/>
      <c r="M20" s="7"/>
      <c r="N20" s="7"/>
      <c r="O20" s="8"/>
      <c r="P20" s="5"/>
      <c r="Q20" s="5"/>
      <c r="R20" s="5"/>
      <c r="S20" s="5"/>
      <c r="T20" s="5"/>
      <c r="U20" s="5"/>
    </row>
    <row r="21" spans="1:21">
      <c r="A21" s="1382" t="s">
        <v>45</v>
      </c>
      <c r="B21" s="1383"/>
      <c r="C21" s="1383"/>
      <c r="D21" s="79" t="s">
        <v>62</v>
      </c>
      <c r="E21" s="82">
        <v>232</v>
      </c>
      <c r="F21" s="87">
        <v>90</v>
      </c>
      <c r="G21" s="231">
        <f>ROUND(F21*E21,0)</f>
        <v>20880</v>
      </c>
      <c r="H21" s="9"/>
      <c r="I21" s="34"/>
      <c r="J21" s="34"/>
      <c r="K21" s="35"/>
      <c r="L21" s="39"/>
      <c r="M21" s="7"/>
      <c r="N21" s="7"/>
      <c r="O21" s="13"/>
      <c r="P21" s="5"/>
      <c r="Q21" s="5"/>
      <c r="R21" s="5"/>
      <c r="S21" s="5"/>
      <c r="T21" s="5"/>
      <c r="U21" s="5"/>
    </row>
    <row r="22" spans="1:21">
      <c r="A22" s="1382" t="s">
        <v>63</v>
      </c>
      <c r="B22" s="1383"/>
      <c r="C22" s="1383"/>
      <c r="D22" s="81" t="s">
        <v>44</v>
      </c>
      <c r="E22" s="88">
        <v>0.55500000000000005</v>
      </c>
      <c r="F22" s="78">
        <v>50000</v>
      </c>
      <c r="G22" s="231">
        <f>+E22*F22</f>
        <v>27750</v>
      </c>
      <c r="H22" s="9"/>
      <c r="I22" s="10"/>
      <c r="J22" s="10"/>
      <c r="K22" s="12"/>
      <c r="L22" s="39"/>
      <c r="M22" s="7"/>
      <c r="N22" s="7"/>
      <c r="O22" s="15"/>
      <c r="P22" s="5"/>
      <c r="Q22" s="5"/>
      <c r="R22" s="5"/>
      <c r="S22" s="5"/>
      <c r="T22" s="5"/>
      <c r="U22" s="5"/>
    </row>
    <row r="23" spans="1:21">
      <c r="A23" s="1352" t="s">
        <v>64</v>
      </c>
      <c r="B23" s="1353"/>
      <c r="C23" s="1353"/>
      <c r="D23" s="79" t="s">
        <v>53</v>
      </c>
      <c r="E23" s="82">
        <v>350</v>
      </c>
      <c r="F23" s="78">
        <f>H23/50</f>
        <v>580</v>
      </c>
      <c r="G23" s="231">
        <f>+E23*F23</f>
        <v>203000</v>
      </c>
      <c r="H23" s="206">
        <f>PPTO!I143</f>
        <v>29000</v>
      </c>
      <c r="I23" s="10"/>
      <c r="J23" s="10"/>
      <c r="K23" s="12"/>
      <c r="L23" s="39"/>
      <c r="M23" s="7"/>
      <c r="N23" s="7"/>
      <c r="O23" s="15"/>
      <c r="P23" s="5"/>
      <c r="Q23" s="5"/>
      <c r="R23" s="5"/>
      <c r="S23" s="5"/>
      <c r="T23" s="5"/>
      <c r="U23" s="5"/>
    </row>
    <row r="24" spans="1:21">
      <c r="A24" s="1352" t="s">
        <v>65</v>
      </c>
      <c r="B24" s="1353"/>
      <c r="C24" s="1353"/>
      <c r="D24" s="81" t="s">
        <v>44</v>
      </c>
      <c r="E24" s="88">
        <v>0.83499999999999996</v>
      </c>
      <c r="F24" s="78">
        <v>80000</v>
      </c>
      <c r="G24" s="231">
        <f>+E24*F24</f>
        <v>66800</v>
      </c>
      <c r="H24" s="9"/>
      <c r="I24" s="10"/>
      <c r="J24" s="40"/>
      <c r="K24" s="12"/>
      <c r="L24" s="13"/>
      <c r="M24" s="14"/>
      <c r="N24" s="14"/>
      <c r="O24" s="15"/>
      <c r="P24" s="5"/>
      <c r="Q24" s="5"/>
      <c r="R24" s="5"/>
      <c r="S24" s="5"/>
      <c r="T24" s="5"/>
      <c r="U24" s="5"/>
    </row>
    <row r="25" spans="1:21">
      <c r="A25" s="1352"/>
      <c r="B25" s="1353"/>
      <c r="C25" s="1353"/>
      <c r="D25" s="81"/>
      <c r="E25" s="82"/>
      <c r="F25" s="78"/>
      <c r="G25" s="231"/>
      <c r="H25" s="9"/>
      <c r="I25" s="10"/>
      <c r="J25" s="11"/>
      <c r="K25" s="12"/>
      <c r="L25" s="13"/>
      <c r="M25" s="14"/>
      <c r="N25" s="14"/>
      <c r="O25" s="15"/>
      <c r="P25" s="5"/>
      <c r="Q25" s="5"/>
      <c r="R25" s="5"/>
      <c r="S25" s="5"/>
      <c r="T25" s="5"/>
      <c r="U25" s="5"/>
    </row>
    <row r="26" spans="1:21">
      <c r="A26" s="1386"/>
      <c r="B26" s="1353"/>
      <c r="C26" s="1353"/>
      <c r="D26" s="79"/>
      <c r="E26" s="82"/>
      <c r="F26" s="83"/>
      <c r="G26" s="67"/>
      <c r="H26" s="9"/>
      <c r="I26" s="10"/>
      <c r="J26" s="11"/>
      <c r="K26" s="12"/>
      <c r="L26" s="13"/>
      <c r="M26" s="14"/>
      <c r="N26" s="14"/>
      <c r="O26" s="15"/>
      <c r="P26" s="5"/>
      <c r="Q26" s="5"/>
      <c r="R26" s="5"/>
      <c r="S26" s="5"/>
      <c r="T26" s="5"/>
      <c r="U26" s="5"/>
    </row>
    <row r="27" spans="1:21">
      <c r="A27" s="1352"/>
      <c r="B27" s="1353"/>
      <c r="C27" s="1353" t="s">
        <v>50</v>
      </c>
      <c r="D27" s="79"/>
      <c r="E27" s="82"/>
      <c r="F27" s="78" t="s">
        <v>243</v>
      </c>
      <c r="G27" s="231">
        <f>+(G21+G22+G23+G24)*5%</f>
        <v>15922</v>
      </c>
      <c r="H27" s="9"/>
      <c r="I27" s="10"/>
      <c r="J27" s="11"/>
      <c r="K27" s="12"/>
      <c r="L27" s="13"/>
      <c r="M27" s="14"/>
      <c r="N27" s="14"/>
      <c r="O27" s="15"/>
      <c r="P27" s="5"/>
      <c r="Q27" s="5"/>
      <c r="R27" s="5"/>
      <c r="S27" s="5"/>
      <c r="T27" s="5"/>
      <c r="U27" s="5"/>
    </row>
    <row r="28" spans="1:21">
      <c r="A28" s="1352"/>
      <c r="B28" s="1353"/>
      <c r="C28" s="1353"/>
      <c r="D28" s="79"/>
      <c r="E28" s="82"/>
      <c r="F28" s="83"/>
      <c r="G28" s="231"/>
      <c r="H28" s="9"/>
      <c r="I28" s="41"/>
      <c r="J28" s="41"/>
      <c r="K28" s="12"/>
      <c r="L28" s="13"/>
      <c r="M28" s="14"/>
      <c r="N28" s="14"/>
      <c r="O28" s="15"/>
      <c r="P28" s="5"/>
      <c r="Q28" s="5"/>
      <c r="R28" s="5"/>
      <c r="S28" s="5"/>
      <c r="T28" s="5"/>
      <c r="U28" s="5"/>
    </row>
    <row r="29" spans="1:21">
      <c r="A29" s="1352"/>
      <c r="B29" s="1353"/>
      <c r="C29" s="1353"/>
      <c r="D29" s="84"/>
      <c r="E29" s="84"/>
      <c r="F29" s="83"/>
      <c r="G29" s="231"/>
      <c r="H29" s="9"/>
      <c r="I29" s="42"/>
      <c r="J29" s="42"/>
      <c r="K29" s="42"/>
      <c r="L29" s="13"/>
      <c r="M29" s="14"/>
      <c r="N29" s="14"/>
      <c r="O29" s="15"/>
      <c r="P29" s="5"/>
      <c r="Q29" s="5"/>
      <c r="R29" s="5"/>
      <c r="S29" s="5"/>
      <c r="T29" s="5"/>
      <c r="U29" s="5"/>
    </row>
    <row r="30" spans="1:21">
      <c r="A30" s="1352"/>
      <c r="B30" s="1353"/>
      <c r="C30" s="1353"/>
      <c r="D30" s="85" t="s">
        <v>28</v>
      </c>
      <c r="E30" s="50"/>
      <c r="F30" s="49"/>
      <c r="G30" s="230">
        <f>SUM(G21:G29)</f>
        <v>334352</v>
      </c>
      <c r="H30" s="9"/>
      <c r="I30" s="8"/>
      <c r="J30" s="13"/>
      <c r="K30" s="8"/>
      <c r="L30" s="13"/>
      <c r="M30" s="14"/>
      <c r="N30" s="14"/>
      <c r="O30" s="15"/>
      <c r="P30" s="5"/>
    </row>
    <row r="31" spans="1:21" ht="3.75" customHeight="1">
      <c r="A31" s="226"/>
      <c r="B31" s="4"/>
      <c r="C31" s="6"/>
      <c r="D31" s="4"/>
      <c r="E31" s="4"/>
      <c r="F31" s="4"/>
      <c r="G31" s="227"/>
      <c r="H31" s="9"/>
      <c r="I31" s="8"/>
      <c r="J31" s="13"/>
      <c r="K31" s="18"/>
      <c r="L31" s="13"/>
      <c r="M31" s="33"/>
      <c r="N31" s="33"/>
      <c r="O31" s="15"/>
      <c r="P31" s="5"/>
    </row>
    <row r="32" spans="1:21">
      <c r="A32" s="1354" t="s">
        <v>71</v>
      </c>
      <c r="B32" s="1355"/>
      <c r="C32" s="1355"/>
      <c r="D32" s="1355"/>
      <c r="E32" s="1355"/>
      <c r="F32" s="1355"/>
      <c r="G32" s="1356"/>
      <c r="H32" s="9"/>
    </row>
    <row r="33" spans="1:16" ht="3.75" customHeight="1">
      <c r="A33" s="226"/>
      <c r="B33" s="4"/>
      <c r="C33" s="6"/>
      <c r="D33" s="4"/>
      <c r="E33" s="4"/>
      <c r="F33" s="4"/>
      <c r="G33" s="227"/>
      <c r="H33" s="9"/>
      <c r="I33" s="8"/>
      <c r="J33" s="13"/>
      <c r="K33" s="8"/>
      <c r="L33" s="8"/>
      <c r="M33" s="8"/>
      <c r="N33" s="8"/>
      <c r="O33" s="15"/>
      <c r="P33" s="5"/>
    </row>
    <row r="34" spans="1:16">
      <c r="A34" s="232" t="s">
        <v>5</v>
      </c>
      <c r="B34" s="60" t="s">
        <v>29</v>
      </c>
      <c r="C34" s="60" t="s">
        <v>30</v>
      </c>
      <c r="D34" s="60" t="s">
        <v>31</v>
      </c>
      <c r="E34" s="60" t="s">
        <v>32</v>
      </c>
      <c r="F34" s="60" t="s">
        <v>20</v>
      </c>
      <c r="G34" s="228" t="s">
        <v>33</v>
      </c>
      <c r="H34" s="27"/>
      <c r="I34" s="8"/>
      <c r="J34" s="13"/>
      <c r="K34" s="8"/>
      <c r="L34" s="8"/>
      <c r="M34" s="8"/>
      <c r="N34" s="8"/>
      <c r="O34" s="15"/>
      <c r="P34" s="5"/>
    </row>
    <row r="35" spans="1:16">
      <c r="A35" s="233" t="s">
        <v>41</v>
      </c>
      <c r="B35" s="63">
        <f>BOF</f>
        <v>51749</v>
      </c>
      <c r="C35" s="68">
        <f>ffpp</f>
        <v>0.64539999999999997</v>
      </c>
      <c r="D35" s="72">
        <v>1</v>
      </c>
      <c r="E35" s="66">
        <f>OF</f>
        <v>88696</v>
      </c>
      <c r="F35" s="65">
        <f>18*3*3*0.22</f>
        <v>35.64</v>
      </c>
      <c r="G35" s="231">
        <f>ROUND(+D35*E35/F35,0)</f>
        <v>2489</v>
      </c>
      <c r="H35" s="9"/>
      <c r="I35" s="16"/>
      <c r="J35" s="13"/>
      <c r="K35" s="8"/>
      <c r="L35" s="8"/>
      <c r="M35" s="8"/>
      <c r="N35" s="8"/>
      <c r="O35" s="15"/>
      <c r="P35" s="5"/>
    </row>
    <row r="36" spans="1:16">
      <c r="A36" s="233" t="s">
        <v>38</v>
      </c>
      <c r="B36" s="63">
        <f>BOB</f>
        <v>41749</v>
      </c>
      <c r="C36" s="68">
        <f>ffpp</f>
        <v>0.64539999999999997</v>
      </c>
      <c r="D36" s="72">
        <v>8</v>
      </c>
      <c r="E36" s="66">
        <f>OB</f>
        <v>72242</v>
      </c>
      <c r="F36" s="65">
        <f>+F35</f>
        <v>35.64</v>
      </c>
      <c r="G36" s="231">
        <f>ROUND(+D36*E36/F36,0)</f>
        <v>16216</v>
      </c>
      <c r="H36" s="9"/>
      <c r="I36" s="16"/>
      <c r="J36" s="13"/>
      <c r="K36" s="8"/>
      <c r="L36" s="8"/>
      <c r="M36" s="8"/>
      <c r="N36" s="8"/>
      <c r="O36" s="15"/>
      <c r="P36" s="5"/>
    </row>
    <row r="37" spans="1:16">
      <c r="A37" s="234"/>
      <c r="B37" s="50"/>
      <c r="C37" s="960"/>
      <c r="D37" s="50"/>
      <c r="E37" s="50"/>
      <c r="F37" s="50"/>
      <c r="G37" s="235"/>
      <c r="H37" s="9"/>
      <c r="I37" s="8"/>
      <c r="J37" s="8"/>
      <c r="K37" s="13"/>
      <c r="L37" s="13"/>
      <c r="M37" s="13"/>
      <c r="N37" s="13"/>
      <c r="O37" s="13"/>
      <c r="P37" s="5"/>
    </row>
    <row r="38" spans="1:16">
      <c r="A38" s="233"/>
      <c r="B38" s="63"/>
      <c r="C38" s="64"/>
      <c r="D38" s="72"/>
      <c r="E38" s="66"/>
      <c r="F38" s="69"/>
      <c r="G38" s="231"/>
      <c r="H38" s="9"/>
      <c r="I38" s="8"/>
      <c r="J38" s="13"/>
      <c r="K38" s="13"/>
      <c r="L38" s="13"/>
      <c r="M38" s="33"/>
      <c r="N38" s="33"/>
      <c r="O38" s="43"/>
      <c r="P38" s="5"/>
    </row>
    <row r="39" spans="1:16">
      <c r="A39" s="233"/>
      <c r="B39" s="65"/>
      <c r="C39" s="68"/>
      <c r="D39" s="65"/>
      <c r="E39" s="69"/>
      <c r="F39" s="69"/>
      <c r="G39" s="236"/>
      <c r="H39" s="9"/>
      <c r="I39" s="8"/>
      <c r="J39" s="13"/>
      <c r="K39" s="13"/>
      <c r="L39" s="13"/>
      <c r="M39" s="33"/>
      <c r="N39" s="33"/>
      <c r="O39" s="43"/>
      <c r="P39" s="5"/>
    </row>
    <row r="40" spans="1:16">
      <c r="A40" s="1352"/>
      <c r="B40" s="1353"/>
      <c r="C40" s="1353"/>
      <c r="D40" s="85" t="s">
        <v>34</v>
      </c>
      <c r="E40" s="50"/>
      <c r="F40" s="49"/>
      <c r="G40" s="230">
        <f>SUM(G35:G39)-1</f>
        <v>18704</v>
      </c>
      <c r="H40" s="9"/>
      <c r="I40" s="8"/>
      <c r="J40" s="13"/>
      <c r="K40" s="8"/>
      <c r="L40" s="13"/>
      <c r="M40" s="14"/>
      <c r="N40" s="14"/>
      <c r="O40" s="15"/>
      <c r="P40" s="5"/>
    </row>
    <row r="41" spans="1:16">
      <c r="A41" s="237"/>
      <c r="B41" s="111"/>
      <c r="C41" s="111"/>
      <c r="D41" s="112"/>
      <c r="E41" s="5"/>
      <c r="F41" s="113"/>
      <c r="G41" s="238"/>
      <c r="H41" s="9"/>
      <c r="I41" s="8"/>
      <c r="J41" s="13"/>
      <c r="K41" s="8"/>
      <c r="L41" s="13"/>
      <c r="M41" s="14"/>
      <c r="N41" s="14"/>
      <c r="O41" s="15"/>
      <c r="P41" s="5"/>
    </row>
    <row r="42" spans="1:16">
      <c r="A42" s="226"/>
      <c r="B42" s="4"/>
      <c r="C42" s="6"/>
      <c r="D42" s="4"/>
      <c r="E42" s="4"/>
      <c r="F42" s="4"/>
      <c r="G42" s="227"/>
      <c r="H42" s="9"/>
      <c r="I42" s="8"/>
      <c r="J42" s="13"/>
      <c r="K42" s="13"/>
      <c r="L42" s="13"/>
      <c r="M42" s="14"/>
      <c r="N42" s="14"/>
      <c r="O42" s="19"/>
      <c r="P42" s="5"/>
    </row>
    <row r="43" spans="1:16" ht="14.25">
      <c r="A43" s="226"/>
      <c r="B43" s="4"/>
      <c r="C43" s="6"/>
      <c r="D43" s="1357" t="s">
        <v>35</v>
      </c>
      <c r="E43" s="1358"/>
      <c r="F43" s="1359"/>
      <c r="G43" s="239">
        <f>+G40+G30+G16</f>
        <v>360849</v>
      </c>
      <c r="H43" s="9"/>
      <c r="I43" s="48"/>
      <c r="J43" s="20"/>
      <c r="K43" s="8"/>
      <c r="L43" s="8"/>
      <c r="M43" s="8"/>
      <c r="N43" s="8"/>
      <c r="O43" s="8"/>
      <c r="P43" s="5"/>
    </row>
    <row r="44" spans="1:16">
      <c r="A44" s="240"/>
      <c r="B44" s="57"/>
      <c r="C44" s="58"/>
      <c r="D44" s="100"/>
      <c r="E44" s="100"/>
      <c r="F44" s="100"/>
      <c r="G44" s="227"/>
      <c r="H44" s="9"/>
      <c r="I44" s="8"/>
      <c r="J44" s="13"/>
      <c r="K44" s="13"/>
      <c r="L44" s="13"/>
      <c r="M44" s="17"/>
      <c r="N44" s="17"/>
      <c r="O44" s="37"/>
      <c r="P44" s="5"/>
    </row>
    <row r="45" spans="1:16">
      <c r="A45" s="374"/>
      <c r="B45" s="375"/>
      <c r="C45" s="375"/>
      <c r="D45" s="100"/>
      <c r="E45" s="100"/>
      <c r="F45" s="100"/>
      <c r="G45" s="227"/>
      <c r="H45" s="9"/>
      <c r="I45" s="8"/>
      <c r="J45" s="13"/>
      <c r="K45" s="13"/>
      <c r="L45" s="13"/>
      <c r="M45" s="17"/>
      <c r="N45" s="17"/>
      <c r="O45" s="37"/>
      <c r="P45" s="5"/>
    </row>
    <row r="46" spans="1:16">
      <c r="A46" s="373"/>
      <c r="B46" s="376"/>
      <c r="C46" s="376"/>
      <c r="D46" s="100"/>
      <c r="E46" s="100"/>
      <c r="F46" s="100"/>
      <c r="G46" s="227"/>
      <c r="H46" s="9"/>
      <c r="I46" s="8"/>
      <c r="J46" s="13"/>
      <c r="K46" s="13"/>
      <c r="L46" s="13"/>
      <c r="M46" s="17"/>
      <c r="N46" s="17"/>
      <c r="O46" s="37"/>
      <c r="P46" s="5"/>
    </row>
    <row r="47" spans="1:16">
      <c r="A47" s="373"/>
      <c r="B47" s="376"/>
      <c r="C47" s="376"/>
      <c r="D47" s="5"/>
      <c r="E47" s="5"/>
      <c r="F47" s="5"/>
      <c r="G47" s="241"/>
      <c r="H47" s="9"/>
      <c r="I47" s="13"/>
      <c r="J47" s="13"/>
      <c r="K47" s="8"/>
      <c r="L47" s="8"/>
      <c r="M47" s="8"/>
      <c r="N47" s="8"/>
      <c r="O47" s="8"/>
      <c r="P47" s="5"/>
    </row>
    <row r="48" spans="1:16" ht="15" thickBot="1">
      <c r="A48" s="242"/>
      <c r="B48" s="243"/>
      <c r="C48" s="244"/>
      <c r="D48" s="245"/>
      <c r="E48" s="246"/>
      <c r="F48" s="246"/>
      <c r="G48" s="247"/>
      <c r="H48" s="9"/>
      <c r="I48" s="8"/>
      <c r="J48" s="13"/>
      <c r="K48" s="8"/>
      <c r="L48" s="8"/>
      <c r="M48" s="8"/>
      <c r="N48" s="8"/>
      <c r="O48" s="8"/>
      <c r="P48" s="5"/>
    </row>
    <row r="49" spans="9:16">
      <c r="I49" s="5"/>
      <c r="J49" s="5"/>
      <c r="K49" s="5"/>
      <c r="L49" s="5"/>
      <c r="M49" s="5"/>
      <c r="N49" s="5"/>
      <c r="O49" s="5"/>
      <c r="P49" s="5"/>
    </row>
  </sheetData>
  <mergeCells count="27">
    <mergeCell ref="D43:F43"/>
    <mergeCell ref="A29:C29"/>
    <mergeCell ref="A22:C22"/>
    <mergeCell ref="A23:C23"/>
    <mergeCell ref="A24:C24"/>
    <mergeCell ref="A25:C25"/>
    <mergeCell ref="A26:C26"/>
    <mergeCell ref="A28:C28"/>
    <mergeCell ref="A27:C27"/>
    <mergeCell ref="A30:C30"/>
    <mergeCell ref="A32:G32"/>
    <mergeCell ref="A40:C40"/>
    <mergeCell ref="A1:G1"/>
    <mergeCell ref="A21:C21"/>
    <mergeCell ref="A2:G2"/>
    <mergeCell ref="A3:G4"/>
    <mergeCell ref="B6:F6"/>
    <mergeCell ref="A10:C10"/>
    <mergeCell ref="A11:C11"/>
    <mergeCell ref="A12:C12"/>
    <mergeCell ref="A13:C13"/>
    <mergeCell ref="A14:C14"/>
    <mergeCell ref="A15:C15"/>
    <mergeCell ref="A20:C20"/>
    <mergeCell ref="A16:C16"/>
    <mergeCell ref="A18:G18"/>
    <mergeCell ref="A8:G8"/>
  </mergeCells>
  <printOptions horizontalCentered="1" verticalCentered="1"/>
  <pageMargins left="0.74803149606299213" right="0.74803149606299213" top="0" bottom="0.98425196850393704" header="0" footer="0"/>
  <pageSetup scale="90" orientation="portrait" r:id="rId1"/>
  <headerFooter alignWithMargins="0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05"/>
  <dimension ref="A1:U49"/>
  <sheetViews>
    <sheetView view="pageBreakPreview" topLeftCell="A20" zoomScaleNormal="100" zoomScaleSheetLayoutView="100" workbookViewId="0">
      <selection activeCell="F36" sqref="F36"/>
    </sheetView>
  </sheetViews>
  <sheetFormatPr baseColWidth="10" defaultColWidth="10.7109375" defaultRowHeight="12.75"/>
  <cols>
    <col min="1" max="1" width="15.85546875" style="3" customWidth="1"/>
    <col min="2" max="2" width="14.85546875" style="3" customWidth="1"/>
    <col min="3" max="3" width="13.28515625" style="3" customWidth="1"/>
    <col min="4" max="4" width="11.42578125" style="3"/>
    <col min="5" max="5" width="13.42578125" style="3" customWidth="1"/>
    <col min="6" max="6" width="12.7109375" style="3" customWidth="1"/>
    <col min="7" max="7" width="14" style="3" customWidth="1"/>
    <col min="8" max="8" width="12.7109375" style="3" customWidth="1"/>
    <col min="9" max="256" width="11.42578125" style="3"/>
    <col min="257" max="257" width="15.85546875" style="3" customWidth="1"/>
    <col min="258" max="258" width="14.85546875" style="3" customWidth="1"/>
    <col min="259" max="259" width="13.28515625" style="3" customWidth="1"/>
    <col min="260" max="260" width="11.42578125" style="3"/>
    <col min="261" max="261" width="13.42578125" style="3" customWidth="1"/>
    <col min="262" max="262" width="12.7109375" style="3" customWidth="1"/>
    <col min="263" max="263" width="14" style="3" customWidth="1"/>
    <col min="264" max="264" width="7.42578125" style="3" customWidth="1"/>
    <col min="265" max="512" width="11.42578125" style="3"/>
    <col min="513" max="513" width="15.85546875" style="3" customWidth="1"/>
    <col min="514" max="514" width="14.85546875" style="3" customWidth="1"/>
    <col min="515" max="515" width="13.28515625" style="3" customWidth="1"/>
    <col min="516" max="516" width="11.42578125" style="3"/>
    <col min="517" max="517" width="13.42578125" style="3" customWidth="1"/>
    <col min="518" max="518" width="12.7109375" style="3" customWidth="1"/>
    <col min="519" max="519" width="14" style="3" customWidth="1"/>
    <col min="520" max="520" width="7.42578125" style="3" customWidth="1"/>
    <col min="521" max="768" width="11.42578125" style="3"/>
    <col min="769" max="769" width="15.85546875" style="3" customWidth="1"/>
    <col min="770" max="770" width="14.85546875" style="3" customWidth="1"/>
    <col min="771" max="771" width="13.28515625" style="3" customWidth="1"/>
    <col min="772" max="772" width="11.42578125" style="3"/>
    <col min="773" max="773" width="13.42578125" style="3" customWidth="1"/>
    <col min="774" max="774" width="12.7109375" style="3" customWidth="1"/>
    <col min="775" max="775" width="14" style="3" customWidth="1"/>
    <col min="776" max="776" width="7.42578125" style="3" customWidth="1"/>
    <col min="777" max="1024" width="11.42578125" style="3"/>
    <col min="1025" max="1025" width="15.85546875" style="3" customWidth="1"/>
    <col min="1026" max="1026" width="14.85546875" style="3" customWidth="1"/>
    <col min="1027" max="1027" width="13.28515625" style="3" customWidth="1"/>
    <col min="1028" max="1028" width="11.42578125" style="3"/>
    <col min="1029" max="1029" width="13.42578125" style="3" customWidth="1"/>
    <col min="1030" max="1030" width="12.7109375" style="3" customWidth="1"/>
    <col min="1031" max="1031" width="14" style="3" customWidth="1"/>
    <col min="1032" max="1032" width="7.42578125" style="3" customWidth="1"/>
    <col min="1033" max="1280" width="11.42578125" style="3"/>
    <col min="1281" max="1281" width="15.85546875" style="3" customWidth="1"/>
    <col min="1282" max="1282" width="14.85546875" style="3" customWidth="1"/>
    <col min="1283" max="1283" width="13.28515625" style="3" customWidth="1"/>
    <col min="1284" max="1284" width="11.42578125" style="3"/>
    <col min="1285" max="1285" width="13.42578125" style="3" customWidth="1"/>
    <col min="1286" max="1286" width="12.7109375" style="3" customWidth="1"/>
    <col min="1287" max="1287" width="14" style="3" customWidth="1"/>
    <col min="1288" max="1288" width="7.42578125" style="3" customWidth="1"/>
    <col min="1289" max="1536" width="11.42578125" style="3"/>
    <col min="1537" max="1537" width="15.85546875" style="3" customWidth="1"/>
    <col min="1538" max="1538" width="14.85546875" style="3" customWidth="1"/>
    <col min="1539" max="1539" width="13.28515625" style="3" customWidth="1"/>
    <col min="1540" max="1540" width="11.42578125" style="3"/>
    <col min="1541" max="1541" width="13.42578125" style="3" customWidth="1"/>
    <col min="1542" max="1542" width="12.7109375" style="3" customWidth="1"/>
    <col min="1543" max="1543" width="14" style="3" customWidth="1"/>
    <col min="1544" max="1544" width="7.42578125" style="3" customWidth="1"/>
    <col min="1545" max="1792" width="11.42578125" style="3"/>
    <col min="1793" max="1793" width="15.85546875" style="3" customWidth="1"/>
    <col min="1794" max="1794" width="14.85546875" style="3" customWidth="1"/>
    <col min="1795" max="1795" width="13.28515625" style="3" customWidth="1"/>
    <col min="1796" max="1796" width="11.42578125" style="3"/>
    <col min="1797" max="1797" width="13.42578125" style="3" customWidth="1"/>
    <col min="1798" max="1798" width="12.7109375" style="3" customWidth="1"/>
    <col min="1799" max="1799" width="14" style="3" customWidth="1"/>
    <col min="1800" max="1800" width="7.42578125" style="3" customWidth="1"/>
    <col min="1801" max="2048" width="11.42578125" style="3"/>
    <col min="2049" max="2049" width="15.85546875" style="3" customWidth="1"/>
    <col min="2050" max="2050" width="14.85546875" style="3" customWidth="1"/>
    <col min="2051" max="2051" width="13.28515625" style="3" customWidth="1"/>
    <col min="2052" max="2052" width="11.42578125" style="3"/>
    <col min="2053" max="2053" width="13.42578125" style="3" customWidth="1"/>
    <col min="2054" max="2054" width="12.7109375" style="3" customWidth="1"/>
    <col min="2055" max="2055" width="14" style="3" customWidth="1"/>
    <col min="2056" max="2056" width="7.42578125" style="3" customWidth="1"/>
    <col min="2057" max="2304" width="11.42578125" style="3"/>
    <col min="2305" max="2305" width="15.85546875" style="3" customWidth="1"/>
    <col min="2306" max="2306" width="14.85546875" style="3" customWidth="1"/>
    <col min="2307" max="2307" width="13.28515625" style="3" customWidth="1"/>
    <col min="2308" max="2308" width="11.42578125" style="3"/>
    <col min="2309" max="2309" width="13.42578125" style="3" customWidth="1"/>
    <col min="2310" max="2310" width="12.7109375" style="3" customWidth="1"/>
    <col min="2311" max="2311" width="14" style="3" customWidth="1"/>
    <col min="2312" max="2312" width="7.42578125" style="3" customWidth="1"/>
    <col min="2313" max="2560" width="11.42578125" style="3"/>
    <col min="2561" max="2561" width="15.85546875" style="3" customWidth="1"/>
    <col min="2562" max="2562" width="14.85546875" style="3" customWidth="1"/>
    <col min="2563" max="2563" width="13.28515625" style="3" customWidth="1"/>
    <col min="2564" max="2564" width="11.42578125" style="3"/>
    <col min="2565" max="2565" width="13.42578125" style="3" customWidth="1"/>
    <col min="2566" max="2566" width="12.7109375" style="3" customWidth="1"/>
    <col min="2567" max="2567" width="14" style="3" customWidth="1"/>
    <col min="2568" max="2568" width="7.42578125" style="3" customWidth="1"/>
    <col min="2569" max="2816" width="11.42578125" style="3"/>
    <col min="2817" max="2817" width="15.85546875" style="3" customWidth="1"/>
    <col min="2818" max="2818" width="14.85546875" style="3" customWidth="1"/>
    <col min="2819" max="2819" width="13.28515625" style="3" customWidth="1"/>
    <col min="2820" max="2820" width="11.42578125" style="3"/>
    <col min="2821" max="2821" width="13.42578125" style="3" customWidth="1"/>
    <col min="2822" max="2822" width="12.7109375" style="3" customWidth="1"/>
    <col min="2823" max="2823" width="14" style="3" customWidth="1"/>
    <col min="2824" max="2824" width="7.42578125" style="3" customWidth="1"/>
    <col min="2825" max="3072" width="11.42578125" style="3"/>
    <col min="3073" max="3073" width="15.85546875" style="3" customWidth="1"/>
    <col min="3074" max="3074" width="14.85546875" style="3" customWidth="1"/>
    <col min="3075" max="3075" width="13.28515625" style="3" customWidth="1"/>
    <col min="3076" max="3076" width="11.42578125" style="3"/>
    <col min="3077" max="3077" width="13.42578125" style="3" customWidth="1"/>
    <col min="3078" max="3078" width="12.7109375" style="3" customWidth="1"/>
    <col min="3079" max="3079" width="14" style="3" customWidth="1"/>
    <col min="3080" max="3080" width="7.42578125" style="3" customWidth="1"/>
    <col min="3081" max="3328" width="11.42578125" style="3"/>
    <col min="3329" max="3329" width="15.85546875" style="3" customWidth="1"/>
    <col min="3330" max="3330" width="14.85546875" style="3" customWidth="1"/>
    <col min="3331" max="3331" width="13.28515625" style="3" customWidth="1"/>
    <col min="3332" max="3332" width="11.42578125" style="3"/>
    <col min="3333" max="3333" width="13.42578125" style="3" customWidth="1"/>
    <col min="3334" max="3334" width="12.7109375" style="3" customWidth="1"/>
    <col min="3335" max="3335" width="14" style="3" customWidth="1"/>
    <col min="3336" max="3336" width="7.42578125" style="3" customWidth="1"/>
    <col min="3337" max="3584" width="11.42578125" style="3"/>
    <col min="3585" max="3585" width="15.85546875" style="3" customWidth="1"/>
    <col min="3586" max="3586" width="14.85546875" style="3" customWidth="1"/>
    <col min="3587" max="3587" width="13.28515625" style="3" customWidth="1"/>
    <col min="3588" max="3588" width="11.42578125" style="3"/>
    <col min="3589" max="3589" width="13.42578125" style="3" customWidth="1"/>
    <col min="3590" max="3590" width="12.7109375" style="3" customWidth="1"/>
    <col min="3591" max="3591" width="14" style="3" customWidth="1"/>
    <col min="3592" max="3592" width="7.42578125" style="3" customWidth="1"/>
    <col min="3593" max="3840" width="11.42578125" style="3"/>
    <col min="3841" max="3841" width="15.85546875" style="3" customWidth="1"/>
    <col min="3842" max="3842" width="14.85546875" style="3" customWidth="1"/>
    <col min="3843" max="3843" width="13.28515625" style="3" customWidth="1"/>
    <col min="3844" max="3844" width="11.42578125" style="3"/>
    <col min="3845" max="3845" width="13.42578125" style="3" customWidth="1"/>
    <col min="3846" max="3846" width="12.7109375" style="3" customWidth="1"/>
    <col min="3847" max="3847" width="14" style="3" customWidth="1"/>
    <col min="3848" max="3848" width="7.42578125" style="3" customWidth="1"/>
    <col min="3849" max="4096" width="11.42578125" style="3"/>
    <col min="4097" max="4097" width="15.85546875" style="3" customWidth="1"/>
    <col min="4098" max="4098" width="14.85546875" style="3" customWidth="1"/>
    <col min="4099" max="4099" width="13.28515625" style="3" customWidth="1"/>
    <col min="4100" max="4100" width="11.42578125" style="3"/>
    <col min="4101" max="4101" width="13.42578125" style="3" customWidth="1"/>
    <col min="4102" max="4102" width="12.7109375" style="3" customWidth="1"/>
    <col min="4103" max="4103" width="14" style="3" customWidth="1"/>
    <col min="4104" max="4104" width="7.42578125" style="3" customWidth="1"/>
    <col min="4105" max="4352" width="11.42578125" style="3"/>
    <col min="4353" max="4353" width="15.85546875" style="3" customWidth="1"/>
    <col min="4354" max="4354" width="14.85546875" style="3" customWidth="1"/>
    <col min="4355" max="4355" width="13.28515625" style="3" customWidth="1"/>
    <col min="4356" max="4356" width="11.42578125" style="3"/>
    <col min="4357" max="4357" width="13.42578125" style="3" customWidth="1"/>
    <col min="4358" max="4358" width="12.7109375" style="3" customWidth="1"/>
    <col min="4359" max="4359" width="14" style="3" customWidth="1"/>
    <col min="4360" max="4360" width="7.42578125" style="3" customWidth="1"/>
    <col min="4361" max="4608" width="11.42578125" style="3"/>
    <col min="4609" max="4609" width="15.85546875" style="3" customWidth="1"/>
    <col min="4610" max="4610" width="14.85546875" style="3" customWidth="1"/>
    <col min="4611" max="4611" width="13.28515625" style="3" customWidth="1"/>
    <col min="4612" max="4612" width="11.42578125" style="3"/>
    <col min="4613" max="4613" width="13.42578125" style="3" customWidth="1"/>
    <col min="4614" max="4614" width="12.7109375" style="3" customWidth="1"/>
    <col min="4615" max="4615" width="14" style="3" customWidth="1"/>
    <col min="4616" max="4616" width="7.42578125" style="3" customWidth="1"/>
    <col min="4617" max="4864" width="11.42578125" style="3"/>
    <col min="4865" max="4865" width="15.85546875" style="3" customWidth="1"/>
    <col min="4866" max="4866" width="14.85546875" style="3" customWidth="1"/>
    <col min="4867" max="4867" width="13.28515625" style="3" customWidth="1"/>
    <col min="4868" max="4868" width="11.42578125" style="3"/>
    <col min="4869" max="4869" width="13.42578125" style="3" customWidth="1"/>
    <col min="4870" max="4870" width="12.7109375" style="3" customWidth="1"/>
    <col min="4871" max="4871" width="14" style="3" customWidth="1"/>
    <col min="4872" max="4872" width="7.42578125" style="3" customWidth="1"/>
    <col min="4873" max="5120" width="11.42578125" style="3"/>
    <col min="5121" max="5121" width="15.85546875" style="3" customWidth="1"/>
    <col min="5122" max="5122" width="14.85546875" style="3" customWidth="1"/>
    <col min="5123" max="5123" width="13.28515625" style="3" customWidth="1"/>
    <col min="5124" max="5124" width="11.42578125" style="3"/>
    <col min="5125" max="5125" width="13.42578125" style="3" customWidth="1"/>
    <col min="5126" max="5126" width="12.7109375" style="3" customWidth="1"/>
    <col min="5127" max="5127" width="14" style="3" customWidth="1"/>
    <col min="5128" max="5128" width="7.42578125" style="3" customWidth="1"/>
    <col min="5129" max="5376" width="11.42578125" style="3"/>
    <col min="5377" max="5377" width="15.85546875" style="3" customWidth="1"/>
    <col min="5378" max="5378" width="14.85546875" style="3" customWidth="1"/>
    <col min="5379" max="5379" width="13.28515625" style="3" customWidth="1"/>
    <col min="5380" max="5380" width="11.42578125" style="3"/>
    <col min="5381" max="5381" width="13.42578125" style="3" customWidth="1"/>
    <col min="5382" max="5382" width="12.7109375" style="3" customWidth="1"/>
    <col min="5383" max="5383" width="14" style="3" customWidth="1"/>
    <col min="5384" max="5384" width="7.42578125" style="3" customWidth="1"/>
    <col min="5385" max="5632" width="11.42578125" style="3"/>
    <col min="5633" max="5633" width="15.85546875" style="3" customWidth="1"/>
    <col min="5634" max="5634" width="14.85546875" style="3" customWidth="1"/>
    <col min="5635" max="5635" width="13.28515625" style="3" customWidth="1"/>
    <col min="5636" max="5636" width="11.42578125" style="3"/>
    <col min="5637" max="5637" width="13.42578125" style="3" customWidth="1"/>
    <col min="5638" max="5638" width="12.7109375" style="3" customWidth="1"/>
    <col min="5639" max="5639" width="14" style="3" customWidth="1"/>
    <col min="5640" max="5640" width="7.42578125" style="3" customWidth="1"/>
    <col min="5641" max="5888" width="11.42578125" style="3"/>
    <col min="5889" max="5889" width="15.85546875" style="3" customWidth="1"/>
    <col min="5890" max="5890" width="14.85546875" style="3" customWidth="1"/>
    <col min="5891" max="5891" width="13.28515625" style="3" customWidth="1"/>
    <col min="5892" max="5892" width="11.42578125" style="3"/>
    <col min="5893" max="5893" width="13.42578125" style="3" customWidth="1"/>
    <col min="5894" max="5894" width="12.7109375" style="3" customWidth="1"/>
    <col min="5895" max="5895" width="14" style="3" customWidth="1"/>
    <col min="5896" max="5896" width="7.42578125" style="3" customWidth="1"/>
    <col min="5897" max="6144" width="11.42578125" style="3"/>
    <col min="6145" max="6145" width="15.85546875" style="3" customWidth="1"/>
    <col min="6146" max="6146" width="14.85546875" style="3" customWidth="1"/>
    <col min="6147" max="6147" width="13.28515625" style="3" customWidth="1"/>
    <col min="6148" max="6148" width="11.42578125" style="3"/>
    <col min="6149" max="6149" width="13.42578125" style="3" customWidth="1"/>
    <col min="6150" max="6150" width="12.7109375" style="3" customWidth="1"/>
    <col min="6151" max="6151" width="14" style="3" customWidth="1"/>
    <col min="6152" max="6152" width="7.42578125" style="3" customWidth="1"/>
    <col min="6153" max="6400" width="11.42578125" style="3"/>
    <col min="6401" max="6401" width="15.85546875" style="3" customWidth="1"/>
    <col min="6402" max="6402" width="14.85546875" style="3" customWidth="1"/>
    <col min="6403" max="6403" width="13.28515625" style="3" customWidth="1"/>
    <col min="6404" max="6404" width="11.42578125" style="3"/>
    <col min="6405" max="6405" width="13.42578125" style="3" customWidth="1"/>
    <col min="6406" max="6406" width="12.7109375" style="3" customWidth="1"/>
    <col min="6407" max="6407" width="14" style="3" customWidth="1"/>
    <col min="6408" max="6408" width="7.42578125" style="3" customWidth="1"/>
    <col min="6409" max="6656" width="11.42578125" style="3"/>
    <col min="6657" max="6657" width="15.85546875" style="3" customWidth="1"/>
    <col min="6658" max="6658" width="14.85546875" style="3" customWidth="1"/>
    <col min="6659" max="6659" width="13.28515625" style="3" customWidth="1"/>
    <col min="6660" max="6660" width="11.42578125" style="3"/>
    <col min="6661" max="6661" width="13.42578125" style="3" customWidth="1"/>
    <col min="6662" max="6662" width="12.7109375" style="3" customWidth="1"/>
    <col min="6663" max="6663" width="14" style="3" customWidth="1"/>
    <col min="6664" max="6664" width="7.42578125" style="3" customWidth="1"/>
    <col min="6665" max="6912" width="11.42578125" style="3"/>
    <col min="6913" max="6913" width="15.85546875" style="3" customWidth="1"/>
    <col min="6914" max="6914" width="14.85546875" style="3" customWidth="1"/>
    <col min="6915" max="6915" width="13.28515625" style="3" customWidth="1"/>
    <col min="6916" max="6916" width="11.42578125" style="3"/>
    <col min="6917" max="6917" width="13.42578125" style="3" customWidth="1"/>
    <col min="6918" max="6918" width="12.7109375" style="3" customWidth="1"/>
    <col min="6919" max="6919" width="14" style="3" customWidth="1"/>
    <col min="6920" max="6920" width="7.42578125" style="3" customWidth="1"/>
    <col min="6921" max="7168" width="11.42578125" style="3"/>
    <col min="7169" max="7169" width="15.85546875" style="3" customWidth="1"/>
    <col min="7170" max="7170" width="14.85546875" style="3" customWidth="1"/>
    <col min="7171" max="7171" width="13.28515625" style="3" customWidth="1"/>
    <col min="7172" max="7172" width="11.42578125" style="3"/>
    <col min="7173" max="7173" width="13.42578125" style="3" customWidth="1"/>
    <col min="7174" max="7174" width="12.7109375" style="3" customWidth="1"/>
    <col min="7175" max="7175" width="14" style="3" customWidth="1"/>
    <col min="7176" max="7176" width="7.42578125" style="3" customWidth="1"/>
    <col min="7177" max="7424" width="11.42578125" style="3"/>
    <col min="7425" max="7425" width="15.85546875" style="3" customWidth="1"/>
    <col min="7426" max="7426" width="14.85546875" style="3" customWidth="1"/>
    <col min="7427" max="7427" width="13.28515625" style="3" customWidth="1"/>
    <col min="7428" max="7428" width="11.42578125" style="3"/>
    <col min="7429" max="7429" width="13.42578125" style="3" customWidth="1"/>
    <col min="7430" max="7430" width="12.7109375" style="3" customWidth="1"/>
    <col min="7431" max="7431" width="14" style="3" customWidth="1"/>
    <col min="7432" max="7432" width="7.42578125" style="3" customWidth="1"/>
    <col min="7433" max="7680" width="11.42578125" style="3"/>
    <col min="7681" max="7681" width="15.85546875" style="3" customWidth="1"/>
    <col min="7682" max="7682" width="14.85546875" style="3" customWidth="1"/>
    <col min="7683" max="7683" width="13.28515625" style="3" customWidth="1"/>
    <col min="7684" max="7684" width="11.42578125" style="3"/>
    <col min="7685" max="7685" width="13.42578125" style="3" customWidth="1"/>
    <col min="7686" max="7686" width="12.7109375" style="3" customWidth="1"/>
    <col min="7687" max="7687" width="14" style="3" customWidth="1"/>
    <col min="7688" max="7688" width="7.42578125" style="3" customWidth="1"/>
    <col min="7689" max="7936" width="11.42578125" style="3"/>
    <col min="7937" max="7937" width="15.85546875" style="3" customWidth="1"/>
    <col min="7938" max="7938" width="14.85546875" style="3" customWidth="1"/>
    <col min="7939" max="7939" width="13.28515625" style="3" customWidth="1"/>
    <col min="7940" max="7940" width="11.42578125" style="3"/>
    <col min="7941" max="7941" width="13.42578125" style="3" customWidth="1"/>
    <col min="7942" max="7942" width="12.7109375" style="3" customWidth="1"/>
    <col min="7943" max="7943" width="14" style="3" customWidth="1"/>
    <col min="7944" max="7944" width="7.42578125" style="3" customWidth="1"/>
    <col min="7945" max="8192" width="11.42578125" style="3"/>
    <col min="8193" max="8193" width="15.85546875" style="3" customWidth="1"/>
    <col min="8194" max="8194" width="14.85546875" style="3" customWidth="1"/>
    <col min="8195" max="8195" width="13.28515625" style="3" customWidth="1"/>
    <col min="8196" max="8196" width="11.42578125" style="3"/>
    <col min="8197" max="8197" width="13.42578125" style="3" customWidth="1"/>
    <col min="8198" max="8198" width="12.7109375" style="3" customWidth="1"/>
    <col min="8199" max="8199" width="14" style="3" customWidth="1"/>
    <col min="8200" max="8200" width="7.42578125" style="3" customWidth="1"/>
    <col min="8201" max="8448" width="11.42578125" style="3"/>
    <col min="8449" max="8449" width="15.85546875" style="3" customWidth="1"/>
    <col min="8450" max="8450" width="14.85546875" style="3" customWidth="1"/>
    <col min="8451" max="8451" width="13.28515625" style="3" customWidth="1"/>
    <col min="8452" max="8452" width="11.42578125" style="3"/>
    <col min="8453" max="8453" width="13.42578125" style="3" customWidth="1"/>
    <col min="8454" max="8454" width="12.7109375" style="3" customWidth="1"/>
    <col min="8455" max="8455" width="14" style="3" customWidth="1"/>
    <col min="8456" max="8456" width="7.42578125" style="3" customWidth="1"/>
    <col min="8457" max="8704" width="11.42578125" style="3"/>
    <col min="8705" max="8705" width="15.85546875" style="3" customWidth="1"/>
    <col min="8706" max="8706" width="14.85546875" style="3" customWidth="1"/>
    <col min="8707" max="8707" width="13.28515625" style="3" customWidth="1"/>
    <col min="8708" max="8708" width="11.42578125" style="3"/>
    <col min="8709" max="8709" width="13.42578125" style="3" customWidth="1"/>
    <col min="8710" max="8710" width="12.7109375" style="3" customWidth="1"/>
    <col min="8711" max="8711" width="14" style="3" customWidth="1"/>
    <col min="8712" max="8712" width="7.42578125" style="3" customWidth="1"/>
    <col min="8713" max="8960" width="11.42578125" style="3"/>
    <col min="8961" max="8961" width="15.85546875" style="3" customWidth="1"/>
    <col min="8962" max="8962" width="14.85546875" style="3" customWidth="1"/>
    <col min="8963" max="8963" width="13.28515625" style="3" customWidth="1"/>
    <col min="8964" max="8964" width="11.42578125" style="3"/>
    <col min="8965" max="8965" width="13.42578125" style="3" customWidth="1"/>
    <col min="8966" max="8966" width="12.7109375" style="3" customWidth="1"/>
    <col min="8967" max="8967" width="14" style="3" customWidth="1"/>
    <col min="8968" max="8968" width="7.42578125" style="3" customWidth="1"/>
    <col min="8969" max="9216" width="11.42578125" style="3"/>
    <col min="9217" max="9217" width="15.85546875" style="3" customWidth="1"/>
    <col min="9218" max="9218" width="14.85546875" style="3" customWidth="1"/>
    <col min="9219" max="9219" width="13.28515625" style="3" customWidth="1"/>
    <col min="9220" max="9220" width="11.42578125" style="3"/>
    <col min="9221" max="9221" width="13.42578125" style="3" customWidth="1"/>
    <col min="9222" max="9222" width="12.7109375" style="3" customWidth="1"/>
    <col min="9223" max="9223" width="14" style="3" customWidth="1"/>
    <col min="9224" max="9224" width="7.42578125" style="3" customWidth="1"/>
    <col min="9225" max="9472" width="11.42578125" style="3"/>
    <col min="9473" max="9473" width="15.85546875" style="3" customWidth="1"/>
    <col min="9474" max="9474" width="14.85546875" style="3" customWidth="1"/>
    <col min="9475" max="9475" width="13.28515625" style="3" customWidth="1"/>
    <col min="9476" max="9476" width="11.42578125" style="3"/>
    <col min="9477" max="9477" width="13.42578125" style="3" customWidth="1"/>
    <col min="9478" max="9478" width="12.7109375" style="3" customWidth="1"/>
    <col min="9479" max="9479" width="14" style="3" customWidth="1"/>
    <col min="9480" max="9480" width="7.42578125" style="3" customWidth="1"/>
    <col min="9481" max="9728" width="11.42578125" style="3"/>
    <col min="9729" max="9729" width="15.85546875" style="3" customWidth="1"/>
    <col min="9730" max="9730" width="14.85546875" style="3" customWidth="1"/>
    <col min="9731" max="9731" width="13.28515625" style="3" customWidth="1"/>
    <col min="9732" max="9732" width="11.42578125" style="3"/>
    <col min="9733" max="9733" width="13.42578125" style="3" customWidth="1"/>
    <col min="9734" max="9734" width="12.7109375" style="3" customWidth="1"/>
    <col min="9735" max="9735" width="14" style="3" customWidth="1"/>
    <col min="9736" max="9736" width="7.42578125" style="3" customWidth="1"/>
    <col min="9737" max="9984" width="11.42578125" style="3"/>
    <col min="9985" max="9985" width="15.85546875" style="3" customWidth="1"/>
    <col min="9986" max="9986" width="14.85546875" style="3" customWidth="1"/>
    <col min="9987" max="9987" width="13.28515625" style="3" customWidth="1"/>
    <col min="9988" max="9988" width="11.42578125" style="3"/>
    <col min="9989" max="9989" width="13.42578125" style="3" customWidth="1"/>
    <col min="9990" max="9990" width="12.7109375" style="3" customWidth="1"/>
    <col min="9991" max="9991" width="14" style="3" customWidth="1"/>
    <col min="9992" max="9992" width="7.42578125" style="3" customWidth="1"/>
    <col min="9993" max="10240" width="11.42578125" style="3"/>
    <col min="10241" max="10241" width="15.85546875" style="3" customWidth="1"/>
    <col min="10242" max="10242" width="14.85546875" style="3" customWidth="1"/>
    <col min="10243" max="10243" width="13.28515625" style="3" customWidth="1"/>
    <col min="10244" max="10244" width="11.42578125" style="3"/>
    <col min="10245" max="10245" width="13.42578125" style="3" customWidth="1"/>
    <col min="10246" max="10246" width="12.7109375" style="3" customWidth="1"/>
    <col min="10247" max="10247" width="14" style="3" customWidth="1"/>
    <col min="10248" max="10248" width="7.42578125" style="3" customWidth="1"/>
    <col min="10249" max="10496" width="11.42578125" style="3"/>
    <col min="10497" max="10497" width="15.85546875" style="3" customWidth="1"/>
    <col min="10498" max="10498" width="14.85546875" style="3" customWidth="1"/>
    <col min="10499" max="10499" width="13.28515625" style="3" customWidth="1"/>
    <col min="10500" max="10500" width="11.42578125" style="3"/>
    <col min="10501" max="10501" width="13.42578125" style="3" customWidth="1"/>
    <col min="10502" max="10502" width="12.7109375" style="3" customWidth="1"/>
    <col min="10503" max="10503" width="14" style="3" customWidth="1"/>
    <col min="10504" max="10504" width="7.42578125" style="3" customWidth="1"/>
    <col min="10505" max="10752" width="11.42578125" style="3"/>
    <col min="10753" max="10753" width="15.85546875" style="3" customWidth="1"/>
    <col min="10754" max="10754" width="14.85546875" style="3" customWidth="1"/>
    <col min="10755" max="10755" width="13.28515625" style="3" customWidth="1"/>
    <col min="10756" max="10756" width="11.42578125" style="3"/>
    <col min="10757" max="10757" width="13.42578125" style="3" customWidth="1"/>
    <col min="10758" max="10758" width="12.7109375" style="3" customWidth="1"/>
    <col min="10759" max="10759" width="14" style="3" customWidth="1"/>
    <col min="10760" max="10760" width="7.42578125" style="3" customWidth="1"/>
    <col min="10761" max="11008" width="11.42578125" style="3"/>
    <col min="11009" max="11009" width="15.85546875" style="3" customWidth="1"/>
    <col min="11010" max="11010" width="14.85546875" style="3" customWidth="1"/>
    <col min="11011" max="11011" width="13.28515625" style="3" customWidth="1"/>
    <col min="11012" max="11012" width="11.42578125" style="3"/>
    <col min="11013" max="11013" width="13.42578125" style="3" customWidth="1"/>
    <col min="11014" max="11014" width="12.7109375" style="3" customWidth="1"/>
    <col min="11015" max="11015" width="14" style="3" customWidth="1"/>
    <col min="11016" max="11016" width="7.42578125" style="3" customWidth="1"/>
    <col min="11017" max="11264" width="11.42578125" style="3"/>
    <col min="11265" max="11265" width="15.85546875" style="3" customWidth="1"/>
    <col min="11266" max="11266" width="14.85546875" style="3" customWidth="1"/>
    <col min="11267" max="11267" width="13.28515625" style="3" customWidth="1"/>
    <col min="11268" max="11268" width="11.42578125" style="3"/>
    <col min="11269" max="11269" width="13.42578125" style="3" customWidth="1"/>
    <col min="11270" max="11270" width="12.7109375" style="3" customWidth="1"/>
    <col min="11271" max="11271" width="14" style="3" customWidth="1"/>
    <col min="11272" max="11272" width="7.42578125" style="3" customWidth="1"/>
    <col min="11273" max="11520" width="11.42578125" style="3"/>
    <col min="11521" max="11521" width="15.85546875" style="3" customWidth="1"/>
    <col min="11522" max="11522" width="14.85546875" style="3" customWidth="1"/>
    <col min="11523" max="11523" width="13.28515625" style="3" customWidth="1"/>
    <col min="11524" max="11524" width="11.42578125" style="3"/>
    <col min="11525" max="11525" width="13.42578125" style="3" customWidth="1"/>
    <col min="11526" max="11526" width="12.7109375" style="3" customWidth="1"/>
    <col min="11527" max="11527" width="14" style="3" customWidth="1"/>
    <col min="11528" max="11528" width="7.42578125" style="3" customWidth="1"/>
    <col min="11529" max="11776" width="11.42578125" style="3"/>
    <col min="11777" max="11777" width="15.85546875" style="3" customWidth="1"/>
    <col min="11778" max="11778" width="14.85546875" style="3" customWidth="1"/>
    <col min="11779" max="11779" width="13.28515625" style="3" customWidth="1"/>
    <col min="11780" max="11780" width="11.42578125" style="3"/>
    <col min="11781" max="11781" width="13.42578125" style="3" customWidth="1"/>
    <col min="11782" max="11782" width="12.7109375" style="3" customWidth="1"/>
    <col min="11783" max="11783" width="14" style="3" customWidth="1"/>
    <col min="11784" max="11784" width="7.42578125" style="3" customWidth="1"/>
    <col min="11785" max="12032" width="11.42578125" style="3"/>
    <col min="12033" max="12033" width="15.85546875" style="3" customWidth="1"/>
    <col min="12034" max="12034" width="14.85546875" style="3" customWidth="1"/>
    <col min="12035" max="12035" width="13.28515625" style="3" customWidth="1"/>
    <col min="12036" max="12036" width="11.42578125" style="3"/>
    <col min="12037" max="12037" width="13.42578125" style="3" customWidth="1"/>
    <col min="12038" max="12038" width="12.7109375" style="3" customWidth="1"/>
    <col min="12039" max="12039" width="14" style="3" customWidth="1"/>
    <col min="12040" max="12040" width="7.42578125" style="3" customWidth="1"/>
    <col min="12041" max="12288" width="11.42578125" style="3"/>
    <col min="12289" max="12289" width="15.85546875" style="3" customWidth="1"/>
    <col min="12290" max="12290" width="14.85546875" style="3" customWidth="1"/>
    <col min="12291" max="12291" width="13.28515625" style="3" customWidth="1"/>
    <col min="12292" max="12292" width="11.42578125" style="3"/>
    <col min="12293" max="12293" width="13.42578125" style="3" customWidth="1"/>
    <col min="12294" max="12294" width="12.7109375" style="3" customWidth="1"/>
    <col min="12295" max="12295" width="14" style="3" customWidth="1"/>
    <col min="12296" max="12296" width="7.42578125" style="3" customWidth="1"/>
    <col min="12297" max="12544" width="11.42578125" style="3"/>
    <col min="12545" max="12545" width="15.85546875" style="3" customWidth="1"/>
    <col min="12546" max="12546" width="14.85546875" style="3" customWidth="1"/>
    <col min="12547" max="12547" width="13.28515625" style="3" customWidth="1"/>
    <col min="12548" max="12548" width="11.42578125" style="3"/>
    <col min="12549" max="12549" width="13.42578125" style="3" customWidth="1"/>
    <col min="12550" max="12550" width="12.7109375" style="3" customWidth="1"/>
    <col min="12551" max="12551" width="14" style="3" customWidth="1"/>
    <col min="12552" max="12552" width="7.42578125" style="3" customWidth="1"/>
    <col min="12553" max="12800" width="11.42578125" style="3"/>
    <col min="12801" max="12801" width="15.85546875" style="3" customWidth="1"/>
    <col min="12802" max="12802" width="14.85546875" style="3" customWidth="1"/>
    <col min="12803" max="12803" width="13.28515625" style="3" customWidth="1"/>
    <col min="12804" max="12804" width="11.42578125" style="3"/>
    <col min="12805" max="12805" width="13.42578125" style="3" customWidth="1"/>
    <col min="12806" max="12806" width="12.7109375" style="3" customWidth="1"/>
    <col min="12807" max="12807" width="14" style="3" customWidth="1"/>
    <col min="12808" max="12808" width="7.42578125" style="3" customWidth="1"/>
    <col min="12809" max="13056" width="11.42578125" style="3"/>
    <col min="13057" max="13057" width="15.85546875" style="3" customWidth="1"/>
    <col min="13058" max="13058" width="14.85546875" style="3" customWidth="1"/>
    <col min="13059" max="13059" width="13.28515625" style="3" customWidth="1"/>
    <col min="13060" max="13060" width="11.42578125" style="3"/>
    <col min="13061" max="13061" width="13.42578125" style="3" customWidth="1"/>
    <col min="13062" max="13062" width="12.7109375" style="3" customWidth="1"/>
    <col min="13063" max="13063" width="14" style="3" customWidth="1"/>
    <col min="13064" max="13064" width="7.42578125" style="3" customWidth="1"/>
    <col min="13065" max="13312" width="11.42578125" style="3"/>
    <col min="13313" max="13313" width="15.85546875" style="3" customWidth="1"/>
    <col min="13314" max="13314" width="14.85546875" style="3" customWidth="1"/>
    <col min="13315" max="13315" width="13.28515625" style="3" customWidth="1"/>
    <col min="13316" max="13316" width="11.42578125" style="3"/>
    <col min="13317" max="13317" width="13.42578125" style="3" customWidth="1"/>
    <col min="13318" max="13318" width="12.7109375" style="3" customWidth="1"/>
    <col min="13319" max="13319" width="14" style="3" customWidth="1"/>
    <col min="13320" max="13320" width="7.42578125" style="3" customWidth="1"/>
    <col min="13321" max="13568" width="11.42578125" style="3"/>
    <col min="13569" max="13569" width="15.85546875" style="3" customWidth="1"/>
    <col min="13570" max="13570" width="14.85546875" style="3" customWidth="1"/>
    <col min="13571" max="13571" width="13.28515625" style="3" customWidth="1"/>
    <col min="13572" max="13572" width="11.42578125" style="3"/>
    <col min="13573" max="13573" width="13.42578125" style="3" customWidth="1"/>
    <col min="13574" max="13574" width="12.7109375" style="3" customWidth="1"/>
    <col min="13575" max="13575" width="14" style="3" customWidth="1"/>
    <col min="13576" max="13576" width="7.42578125" style="3" customWidth="1"/>
    <col min="13577" max="13824" width="11.42578125" style="3"/>
    <col min="13825" max="13825" width="15.85546875" style="3" customWidth="1"/>
    <col min="13826" max="13826" width="14.85546875" style="3" customWidth="1"/>
    <col min="13827" max="13827" width="13.28515625" style="3" customWidth="1"/>
    <col min="13828" max="13828" width="11.42578125" style="3"/>
    <col min="13829" max="13829" width="13.42578125" style="3" customWidth="1"/>
    <col min="13830" max="13830" width="12.7109375" style="3" customWidth="1"/>
    <col min="13831" max="13831" width="14" style="3" customWidth="1"/>
    <col min="13832" max="13832" width="7.42578125" style="3" customWidth="1"/>
    <col min="13833" max="14080" width="11.42578125" style="3"/>
    <col min="14081" max="14081" width="15.85546875" style="3" customWidth="1"/>
    <col min="14082" max="14082" width="14.85546875" style="3" customWidth="1"/>
    <col min="14083" max="14083" width="13.28515625" style="3" customWidth="1"/>
    <col min="14084" max="14084" width="11.42578125" style="3"/>
    <col min="14085" max="14085" width="13.42578125" style="3" customWidth="1"/>
    <col min="14086" max="14086" width="12.7109375" style="3" customWidth="1"/>
    <col min="14087" max="14087" width="14" style="3" customWidth="1"/>
    <col min="14088" max="14088" width="7.42578125" style="3" customWidth="1"/>
    <col min="14089" max="14336" width="11.42578125" style="3"/>
    <col min="14337" max="14337" width="15.85546875" style="3" customWidth="1"/>
    <col min="14338" max="14338" width="14.85546875" style="3" customWidth="1"/>
    <col min="14339" max="14339" width="13.28515625" style="3" customWidth="1"/>
    <col min="14340" max="14340" width="11.42578125" style="3"/>
    <col min="14341" max="14341" width="13.42578125" style="3" customWidth="1"/>
    <col min="14342" max="14342" width="12.7109375" style="3" customWidth="1"/>
    <col min="14343" max="14343" width="14" style="3" customWidth="1"/>
    <col min="14344" max="14344" width="7.42578125" style="3" customWidth="1"/>
    <col min="14345" max="14592" width="11.42578125" style="3"/>
    <col min="14593" max="14593" width="15.85546875" style="3" customWidth="1"/>
    <col min="14594" max="14594" width="14.85546875" style="3" customWidth="1"/>
    <col min="14595" max="14595" width="13.28515625" style="3" customWidth="1"/>
    <col min="14596" max="14596" width="11.42578125" style="3"/>
    <col min="14597" max="14597" width="13.42578125" style="3" customWidth="1"/>
    <col min="14598" max="14598" width="12.7109375" style="3" customWidth="1"/>
    <col min="14599" max="14599" width="14" style="3" customWidth="1"/>
    <col min="14600" max="14600" width="7.42578125" style="3" customWidth="1"/>
    <col min="14601" max="14848" width="11.42578125" style="3"/>
    <col min="14849" max="14849" width="15.85546875" style="3" customWidth="1"/>
    <col min="14850" max="14850" width="14.85546875" style="3" customWidth="1"/>
    <col min="14851" max="14851" width="13.28515625" style="3" customWidth="1"/>
    <col min="14852" max="14852" width="11.42578125" style="3"/>
    <col min="14853" max="14853" width="13.42578125" style="3" customWidth="1"/>
    <col min="14854" max="14854" width="12.7109375" style="3" customWidth="1"/>
    <col min="14855" max="14855" width="14" style="3" customWidth="1"/>
    <col min="14856" max="14856" width="7.42578125" style="3" customWidth="1"/>
    <col min="14857" max="15104" width="11.42578125" style="3"/>
    <col min="15105" max="15105" width="15.85546875" style="3" customWidth="1"/>
    <col min="15106" max="15106" width="14.85546875" style="3" customWidth="1"/>
    <col min="15107" max="15107" width="13.28515625" style="3" customWidth="1"/>
    <col min="15108" max="15108" width="11.42578125" style="3"/>
    <col min="15109" max="15109" width="13.42578125" style="3" customWidth="1"/>
    <col min="15110" max="15110" width="12.7109375" style="3" customWidth="1"/>
    <col min="15111" max="15111" width="14" style="3" customWidth="1"/>
    <col min="15112" max="15112" width="7.42578125" style="3" customWidth="1"/>
    <col min="15113" max="15360" width="11.42578125" style="3"/>
    <col min="15361" max="15361" width="15.85546875" style="3" customWidth="1"/>
    <col min="15362" max="15362" width="14.85546875" style="3" customWidth="1"/>
    <col min="15363" max="15363" width="13.28515625" style="3" customWidth="1"/>
    <col min="15364" max="15364" width="11.42578125" style="3"/>
    <col min="15365" max="15365" width="13.42578125" style="3" customWidth="1"/>
    <col min="15366" max="15366" width="12.7109375" style="3" customWidth="1"/>
    <col min="15367" max="15367" width="14" style="3" customWidth="1"/>
    <col min="15368" max="15368" width="7.42578125" style="3" customWidth="1"/>
    <col min="15369" max="15616" width="11.42578125" style="3"/>
    <col min="15617" max="15617" width="15.85546875" style="3" customWidth="1"/>
    <col min="15618" max="15618" width="14.85546875" style="3" customWidth="1"/>
    <col min="15619" max="15619" width="13.28515625" style="3" customWidth="1"/>
    <col min="15620" max="15620" width="11.42578125" style="3"/>
    <col min="15621" max="15621" width="13.42578125" style="3" customWidth="1"/>
    <col min="15622" max="15622" width="12.7109375" style="3" customWidth="1"/>
    <col min="15623" max="15623" width="14" style="3" customWidth="1"/>
    <col min="15624" max="15624" width="7.42578125" style="3" customWidth="1"/>
    <col min="15625" max="15872" width="11.42578125" style="3"/>
    <col min="15873" max="15873" width="15.85546875" style="3" customWidth="1"/>
    <col min="15874" max="15874" width="14.85546875" style="3" customWidth="1"/>
    <col min="15875" max="15875" width="13.28515625" style="3" customWidth="1"/>
    <col min="15876" max="15876" width="11.42578125" style="3"/>
    <col min="15877" max="15877" width="13.42578125" style="3" customWidth="1"/>
    <col min="15878" max="15878" width="12.7109375" style="3" customWidth="1"/>
    <col min="15879" max="15879" width="14" style="3" customWidth="1"/>
    <col min="15880" max="15880" width="7.42578125" style="3" customWidth="1"/>
    <col min="15881" max="16128" width="11.42578125" style="3"/>
    <col min="16129" max="16129" width="15.85546875" style="3" customWidth="1"/>
    <col min="16130" max="16130" width="14.85546875" style="3" customWidth="1"/>
    <col min="16131" max="16131" width="13.28515625" style="3" customWidth="1"/>
    <col min="16132" max="16132" width="11.42578125" style="3"/>
    <col min="16133" max="16133" width="13.42578125" style="3" customWidth="1"/>
    <col min="16134" max="16134" width="12.7109375" style="3" customWidth="1"/>
    <col min="16135" max="16135" width="14" style="3" customWidth="1"/>
    <col min="16136" max="16136" width="7.42578125" style="3" customWidth="1"/>
    <col min="16137" max="16384" width="11.42578125" style="3"/>
  </cols>
  <sheetData>
    <row r="1" spans="1:21" ht="20.25">
      <c r="A1" s="1445" t="str">
        <f>PPTO!D3</f>
        <v>PRESUPUESTO
MUNICIPIO EL BAGRE (ANTIOQUIA).</v>
      </c>
      <c r="B1" s="1446"/>
      <c r="C1" s="1446"/>
      <c r="D1" s="1446"/>
      <c r="E1" s="1446"/>
      <c r="F1" s="1446"/>
      <c r="G1" s="1447"/>
      <c r="H1" s="1"/>
      <c r="I1" s="2"/>
    </row>
    <row r="2" spans="1:21" ht="10.5" customHeight="1">
      <c r="A2" s="1448"/>
      <c r="B2" s="1449"/>
      <c r="C2" s="1449"/>
      <c r="D2" s="1449"/>
      <c r="E2" s="1449"/>
      <c r="F2" s="1449"/>
      <c r="G2" s="1450"/>
      <c r="H2" s="1"/>
      <c r="I2" s="2"/>
    </row>
    <row r="3" spans="1:21" ht="25.5" customHeight="1">
      <c r="A3" s="1367" t="str">
        <f>+PPTO!$D$5</f>
        <v>PROYECTO DE MEJORAMIENTO VIAL, ESPACIO PUBLICO Y OBRAS COMPLEMENTARIAS DE LA AVENIDA LA JUVENTUD Y TRAMOS ADYACENTES Y PRIORITARIOS DEL SECTOR URBANO EN EL MUNICIPIO EL BAGRE ANTIOQUIA.</v>
      </c>
      <c r="B3" s="1368"/>
      <c r="C3" s="1368"/>
      <c r="D3" s="1368"/>
      <c r="E3" s="1368"/>
      <c r="F3" s="1368"/>
      <c r="G3" s="1369"/>
      <c r="H3" s="1"/>
      <c r="I3" s="2"/>
    </row>
    <row r="4" spans="1:21" ht="12" customHeight="1">
      <c r="A4" s="1370"/>
      <c r="B4" s="1368"/>
      <c r="C4" s="1368"/>
      <c r="D4" s="1368"/>
      <c r="E4" s="1368"/>
      <c r="F4" s="1368"/>
      <c r="G4" s="1369"/>
      <c r="H4" s="1"/>
      <c r="I4" s="2"/>
    </row>
    <row r="5" spans="1:21" ht="6.75" customHeight="1">
      <c r="A5" s="222"/>
      <c r="B5" s="6"/>
      <c r="C5" s="24"/>
      <c r="D5" s="25"/>
      <c r="E5" s="6"/>
      <c r="F5" s="6"/>
      <c r="G5" s="223"/>
      <c r="H5" s="9"/>
    </row>
    <row r="6" spans="1:21">
      <c r="A6" s="224"/>
      <c r="B6" s="1451" t="s">
        <v>697</v>
      </c>
      <c r="C6" s="1451"/>
      <c r="D6" s="1451"/>
      <c r="E6" s="1451"/>
      <c r="F6" s="1451"/>
      <c r="G6" s="225" t="s">
        <v>40</v>
      </c>
      <c r="H6" s="9"/>
    </row>
    <row r="7" spans="1:21" ht="3.75" customHeight="1">
      <c r="A7" s="226"/>
      <c r="B7" s="4"/>
      <c r="C7" s="6"/>
      <c r="D7" s="4"/>
      <c r="E7" s="4"/>
      <c r="F7" s="4"/>
      <c r="G7" s="227"/>
      <c r="H7" s="9"/>
    </row>
    <row r="8" spans="1:21">
      <c r="A8" s="1354" t="s">
        <v>69</v>
      </c>
      <c r="B8" s="1355"/>
      <c r="C8" s="1355"/>
      <c r="D8" s="1355"/>
      <c r="E8" s="1355"/>
      <c r="F8" s="1355"/>
      <c r="G8" s="1356"/>
      <c r="H8" s="9"/>
    </row>
    <row r="9" spans="1:21" ht="4.5" customHeight="1">
      <c r="A9" s="226"/>
      <c r="B9" s="4"/>
      <c r="C9" s="6"/>
      <c r="D9" s="4"/>
      <c r="E9" s="4"/>
      <c r="F9" s="4"/>
      <c r="G9" s="227"/>
      <c r="H9" s="9"/>
      <c r="I9" s="5"/>
      <c r="J9" s="5"/>
      <c r="K9" s="5"/>
      <c r="L9" s="26"/>
      <c r="M9" s="5"/>
      <c r="N9" s="5"/>
      <c r="O9" s="5"/>
      <c r="P9" s="5"/>
    </row>
    <row r="10" spans="1:21">
      <c r="A10" s="1373" t="s">
        <v>17</v>
      </c>
      <c r="B10" s="1374"/>
      <c r="C10" s="1374"/>
      <c r="D10" s="742" t="s">
        <v>18</v>
      </c>
      <c r="E10" s="742" t="s">
        <v>19</v>
      </c>
      <c r="F10" s="742" t="s">
        <v>20</v>
      </c>
      <c r="G10" s="228" t="s">
        <v>21</v>
      </c>
      <c r="H10" s="27"/>
      <c r="I10" s="28"/>
      <c r="J10" s="29"/>
      <c r="K10" s="30"/>
      <c r="L10" s="30"/>
      <c r="M10" s="30"/>
      <c r="N10" s="30"/>
      <c r="O10" s="30"/>
      <c r="P10" s="5"/>
    </row>
    <row r="11" spans="1:21">
      <c r="A11" s="1352" t="s">
        <v>36</v>
      </c>
      <c r="B11" s="1353"/>
      <c r="C11" s="1353"/>
      <c r="D11" s="742"/>
      <c r="E11" s="83"/>
      <c r="F11" s="97"/>
      <c r="G11" s="229">
        <v>5408</v>
      </c>
      <c r="H11" s="9"/>
      <c r="I11" s="30"/>
      <c r="J11" s="31"/>
      <c r="K11" s="30"/>
      <c r="L11" s="30"/>
      <c r="M11" s="30"/>
      <c r="N11" s="30"/>
      <c r="O11" s="30"/>
      <c r="P11" s="5"/>
    </row>
    <row r="12" spans="1:21">
      <c r="A12" s="1371" t="s">
        <v>61</v>
      </c>
      <c r="B12" s="1372"/>
      <c r="C12" s="1372"/>
      <c r="D12" s="83" t="s">
        <v>43</v>
      </c>
      <c r="E12" s="83">
        <v>85000</v>
      </c>
      <c r="F12" s="93">
        <f>+F35</f>
        <v>15</v>
      </c>
      <c r="G12" s="229">
        <f>+E12/F12</f>
        <v>5667</v>
      </c>
      <c r="H12" s="9"/>
      <c r="I12" s="16"/>
      <c r="J12" s="13"/>
      <c r="K12" s="8"/>
      <c r="L12" s="8"/>
      <c r="M12" s="8"/>
      <c r="N12" s="8"/>
      <c r="O12" s="8"/>
      <c r="P12" s="5"/>
    </row>
    <row r="13" spans="1:21">
      <c r="A13" s="1371"/>
      <c r="B13" s="1372"/>
      <c r="C13" s="1372"/>
      <c r="D13" s="83"/>
      <c r="E13" s="83"/>
      <c r="F13" s="93"/>
      <c r="G13" s="229"/>
      <c r="H13" s="9"/>
      <c r="I13" s="13"/>
      <c r="J13" s="13"/>
      <c r="K13" s="13"/>
      <c r="L13" s="13"/>
      <c r="M13" s="13"/>
      <c r="N13" s="13"/>
      <c r="O13" s="13"/>
      <c r="P13" s="5"/>
    </row>
    <row r="14" spans="1:21">
      <c r="A14" s="1371"/>
      <c r="B14" s="1372"/>
      <c r="C14" s="1372"/>
      <c r="D14" s="83"/>
      <c r="E14" s="83"/>
      <c r="F14" s="93"/>
      <c r="G14" s="229"/>
      <c r="H14" s="9"/>
      <c r="I14" s="8"/>
      <c r="J14" s="14"/>
      <c r="K14" s="32"/>
      <c r="L14" s="14"/>
      <c r="M14" s="15"/>
      <c r="N14" s="15"/>
      <c r="O14" s="19"/>
      <c r="P14" s="5"/>
    </row>
    <row r="15" spans="1:21">
      <c r="A15" s="1371"/>
      <c r="B15" s="1372"/>
      <c r="C15" s="1372"/>
      <c r="D15" s="83"/>
      <c r="E15" s="83"/>
      <c r="F15" s="98"/>
      <c r="G15" s="229"/>
      <c r="H15" s="9"/>
      <c r="I15" s="8"/>
      <c r="J15" s="33"/>
      <c r="K15" s="32"/>
      <c r="L15" s="14"/>
      <c r="M15" s="15"/>
      <c r="N15" s="15"/>
      <c r="O15" s="19"/>
      <c r="P15" s="5"/>
      <c r="Q15" s="5"/>
      <c r="R15" s="5"/>
      <c r="S15" s="5"/>
      <c r="T15" s="5"/>
      <c r="U15" s="5"/>
    </row>
    <row r="16" spans="1:21">
      <c r="A16" s="1371"/>
      <c r="B16" s="1372"/>
      <c r="C16" s="1372"/>
      <c r="D16" s="85" t="s">
        <v>37</v>
      </c>
      <c r="E16" s="50"/>
      <c r="F16" s="49"/>
      <c r="G16" s="230">
        <f>SUM(G11:G15)</f>
        <v>11075</v>
      </c>
      <c r="H16" s="9"/>
      <c r="I16" s="34"/>
      <c r="J16" s="34"/>
      <c r="K16" s="35"/>
      <c r="L16" s="36"/>
      <c r="M16" s="7"/>
      <c r="N16" s="7"/>
      <c r="O16" s="19"/>
      <c r="P16" s="5"/>
      <c r="Q16" s="5"/>
      <c r="R16" s="5"/>
      <c r="S16" s="5"/>
      <c r="T16" s="5"/>
      <c r="U16" s="5"/>
    </row>
    <row r="17" spans="1:21" ht="4.5" customHeight="1">
      <c r="A17" s="226"/>
      <c r="B17" s="4"/>
      <c r="C17" s="6"/>
      <c r="D17" s="4"/>
      <c r="E17" s="4"/>
      <c r="F17" s="4"/>
      <c r="G17" s="227"/>
      <c r="H17" s="9"/>
      <c r="I17" s="34"/>
      <c r="J17" s="34"/>
      <c r="K17" s="35"/>
      <c r="L17" s="36"/>
      <c r="M17" s="7"/>
      <c r="N17" s="7"/>
      <c r="O17" s="19"/>
      <c r="P17" s="5"/>
      <c r="Q17" s="5"/>
      <c r="R17" s="5"/>
      <c r="S17" s="5"/>
      <c r="T17" s="5"/>
      <c r="U17" s="5"/>
    </row>
    <row r="18" spans="1:21">
      <c r="A18" s="1354" t="s">
        <v>70</v>
      </c>
      <c r="B18" s="1355"/>
      <c r="C18" s="1355"/>
      <c r="D18" s="1355"/>
      <c r="E18" s="1355"/>
      <c r="F18" s="1355"/>
      <c r="G18" s="1356"/>
      <c r="H18" s="9"/>
    </row>
    <row r="19" spans="1:21" ht="4.5" customHeight="1">
      <c r="A19" s="226"/>
      <c r="B19" s="4"/>
      <c r="C19" s="6"/>
      <c r="D19" s="4"/>
      <c r="E19" s="4"/>
      <c r="F19" s="38"/>
      <c r="G19" s="227"/>
      <c r="H19" s="9"/>
      <c r="I19" s="34"/>
      <c r="J19" s="34"/>
      <c r="K19" s="35"/>
      <c r="L19" s="39"/>
      <c r="M19" s="7"/>
      <c r="N19" s="7"/>
      <c r="O19" s="8"/>
      <c r="P19" s="5"/>
      <c r="Q19" s="5"/>
      <c r="R19" s="5"/>
      <c r="S19" s="5"/>
      <c r="T19" s="5"/>
      <c r="U19" s="5"/>
    </row>
    <row r="20" spans="1:21">
      <c r="A20" s="1373" t="s">
        <v>17</v>
      </c>
      <c r="B20" s="1374"/>
      <c r="C20" s="1374"/>
      <c r="D20" s="742" t="s">
        <v>3</v>
      </c>
      <c r="E20" s="742" t="s">
        <v>4</v>
      </c>
      <c r="F20" s="742" t="s">
        <v>25</v>
      </c>
      <c r="G20" s="228" t="s">
        <v>21</v>
      </c>
      <c r="H20" s="27"/>
      <c r="I20" s="34"/>
      <c r="J20" s="34"/>
      <c r="K20" s="35"/>
      <c r="L20" s="39"/>
      <c r="M20" s="7"/>
      <c r="N20" s="7"/>
      <c r="O20" s="8"/>
      <c r="P20" s="5"/>
      <c r="Q20" s="5"/>
      <c r="R20" s="5"/>
      <c r="S20" s="5"/>
      <c r="T20" s="5"/>
      <c r="U20" s="5"/>
    </row>
    <row r="21" spans="1:21">
      <c r="A21" s="1382" t="s">
        <v>45</v>
      </c>
      <c r="B21" s="1383"/>
      <c r="C21" s="1383"/>
      <c r="D21" s="79" t="s">
        <v>62</v>
      </c>
      <c r="E21" s="82">
        <v>200</v>
      </c>
      <c r="F21" s="87">
        <v>90</v>
      </c>
      <c r="G21" s="231">
        <f>ROUND(F21*E21,0)</f>
        <v>18000</v>
      </c>
      <c r="H21" s="9"/>
      <c r="I21" s="34"/>
      <c r="J21" s="34"/>
      <c r="K21" s="35"/>
      <c r="L21" s="39"/>
      <c r="M21" s="7"/>
      <c r="N21" s="7"/>
      <c r="O21" s="13"/>
      <c r="P21" s="5"/>
      <c r="Q21" s="5"/>
      <c r="R21" s="5"/>
      <c r="S21" s="5"/>
      <c r="T21" s="5"/>
      <c r="U21" s="5"/>
    </row>
    <row r="22" spans="1:21">
      <c r="A22" s="1382" t="s">
        <v>63</v>
      </c>
      <c r="B22" s="1383"/>
      <c r="C22" s="1383"/>
      <c r="D22" s="81" t="s">
        <v>44</v>
      </c>
      <c r="E22" s="88">
        <v>1.1299999999999999</v>
      </c>
      <c r="F22" s="78">
        <v>50000</v>
      </c>
      <c r="G22" s="231">
        <f>+E22*F22</f>
        <v>56500</v>
      </c>
      <c r="H22" s="9"/>
      <c r="I22" s="10"/>
      <c r="J22" s="10"/>
      <c r="K22" s="12"/>
      <c r="L22" s="39"/>
      <c r="M22" s="7"/>
      <c r="N22" s="7"/>
      <c r="O22" s="15"/>
      <c r="P22" s="5"/>
      <c r="Q22" s="5"/>
      <c r="R22" s="5"/>
      <c r="S22" s="5"/>
      <c r="T22" s="5"/>
      <c r="U22" s="5"/>
    </row>
    <row r="23" spans="1:21">
      <c r="A23" s="1352" t="s">
        <v>64</v>
      </c>
      <c r="B23" s="1353"/>
      <c r="C23" s="1353"/>
      <c r="D23" s="79" t="s">
        <v>53</v>
      </c>
      <c r="E23" s="82">
        <v>230</v>
      </c>
      <c r="F23" s="78">
        <f>H23/50</f>
        <v>580</v>
      </c>
      <c r="G23" s="231">
        <f>+E23*F23</f>
        <v>133400</v>
      </c>
      <c r="H23" s="9">
        <f>'CONC 3000 PSI'!H23</f>
        <v>29000</v>
      </c>
      <c r="I23" s="10"/>
      <c r="J23" s="10"/>
      <c r="K23" s="12"/>
      <c r="L23" s="39"/>
      <c r="M23" s="7"/>
      <c r="N23" s="7"/>
      <c r="O23" s="15"/>
      <c r="P23" s="5"/>
      <c r="Q23" s="5"/>
      <c r="R23" s="5"/>
      <c r="S23" s="5"/>
      <c r="T23" s="5"/>
      <c r="U23" s="5"/>
    </row>
    <row r="24" spans="1:21">
      <c r="A24" s="1452"/>
      <c r="B24" s="1453"/>
      <c r="C24" s="1454"/>
      <c r="D24" s="81"/>
      <c r="E24" s="88"/>
      <c r="F24" s="78"/>
      <c r="G24" s="231"/>
      <c r="H24" s="9"/>
      <c r="I24" s="10"/>
      <c r="J24" s="40"/>
      <c r="K24" s="12"/>
      <c r="L24" s="13"/>
      <c r="M24" s="14"/>
      <c r="N24" s="14"/>
      <c r="O24" s="15"/>
      <c r="P24" s="5"/>
      <c r="Q24" s="5"/>
      <c r="R24" s="5"/>
      <c r="S24" s="5"/>
      <c r="T24" s="5"/>
      <c r="U24" s="5"/>
    </row>
    <row r="25" spans="1:21">
      <c r="A25" s="1352"/>
      <c r="B25" s="1353"/>
      <c r="C25" s="1353"/>
      <c r="D25" s="81"/>
      <c r="E25" s="82"/>
      <c r="F25" s="78"/>
      <c r="G25" s="231"/>
      <c r="H25" s="9"/>
      <c r="I25" s="10"/>
      <c r="J25" s="11"/>
      <c r="K25" s="12"/>
      <c r="L25" s="13"/>
      <c r="M25" s="14"/>
      <c r="N25" s="14"/>
      <c r="O25" s="15"/>
      <c r="P25" s="5"/>
      <c r="Q25" s="5"/>
      <c r="R25" s="5"/>
      <c r="S25" s="5"/>
      <c r="T25" s="5"/>
      <c r="U25" s="5"/>
    </row>
    <row r="26" spans="1:21">
      <c r="A26" s="1386"/>
      <c r="B26" s="1353"/>
      <c r="C26" s="1353"/>
      <c r="D26" s="79"/>
      <c r="E26" s="82"/>
      <c r="F26" s="83"/>
      <c r="G26" s="67"/>
      <c r="H26" s="9"/>
      <c r="I26" s="10"/>
      <c r="J26" s="11"/>
      <c r="K26" s="12"/>
      <c r="L26" s="13"/>
      <c r="M26" s="14"/>
      <c r="N26" s="14"/>
      <c r="O26" s="15"/>
      <c r="P26" s="5"/>
      <c r="Q26" s="5"/>
      <c r="R26" s="5"/>
      <c r="S26" s="5"/>
      <c r="T26" s="5"/>
      <c r="U26" s="5"/>
    </row>
    <row r="27" spans="1:21">
      <c r="A27" s="1352"/>
      <c r="B27" s="1353"/>
      <c r="C27" s="1353" t="s">
        <v>50</v>
      </c>
      <c r="D27" s="79"/>
      <c r="E27" s="82"/>
      <c r="F27" s="78"/>
      <c r="G27" s="231">
        <f>+(G21+G22+G23+G24)*5%</f>
        <v>10395</v>
      </c>
      <c r="H27" s="9"/>
      <c r="I27" s="10"/>
      <c r="J27" s="11"/>
      <c r="K27" s="12"/>
      <c r="L27" s="13"/>
      <c r="M27" s="14"/>
      <c r="N27" s="14"/>
      <c r="O27" s="15"/>
      <c r="P27" s="5"/>
      <c r="Q27" s="5"/>
      <c r="R27" s="5"/>
      <c r="S27" s="5"/>
      <c r="T27" s="5"/>
      <c r="U27" s="5"/>
    </row>
    <row r="28" spans="1:21">
      <c r="A28" s="1352"/>
      <c r="B28" s="1353"/>
      <c r="C28" s="1353"/>
      <c r="D28" s="79"/>
      <c r="E28" s="82"/>
      <c r="F28" s="83"/>
      <c r="G28" s="231"/>
      <c r="H28" s="9"/>
      <c r="I28" s="41"/>
      <c r="J28" s="41"/>
      <c r="K28" s="12"/>
      <c r="L28" s="13"/>
      <c r="M28" s="14"/>
      <c r="N28" s="14"/>
      <c r="O28" s="15"/>
      <c r="P28" s="5"/>
      <c r="Q28" s="5"/>
      <c r="R28" s="5"/>
      <c r="S28" s="5"/>
      <c r="T28" s="5"/>
      <c r="U28" s="5"/>
    </row>
    <row r="29" spans="1:21">
      <c r="A29" s="1352"/>
      <c r="B29" s="1353"/>
      <c r="C29" s="1353"/>
      <c r="D29" s="84"/>
      <c r="E29" s="84"/>
      <c r="F29" s="83"/>
      <c r="G29" s="231"/>
      <c r="H29" s="9"/>
      <c r="I29" s="42"/>
      <c r="J29" s="42"/>
      <c r="K29" s="42"/>
      <c r="L29" s="13"/>
      <c r="M29" s="14"/>
      <c r="N29" s="14"/>
      <c r="O29" s="15"/>
      <c r="P29" s="5"/>
      <c r="Q29" s="5"/>
      <c r="R29" s="5"/>
      <c r="S29" s="5"/>
      <c r="T29" s="5"/>
      <c r="U29" s="5"/>
    </row>
    <row r="30" spans="1:21">
      <c r="A30" s="1352"/>
      <c r="B30" s="1353"/>
      <c r="C30" s="1353"/>
      <c r="D30" s="85" t="s">
        <v>28</v>
      </c>
      <c r="E30" s="50"/>
      <c r="F30" s="49"/>
      <c r="G30" s="230">
        <f>SUM(G21:G29)</f>
        <v>218295</v>
      </c>
      <c r="H30" s="9"/>
      <c r="I30" s="8"/>
      <c r="J30" s="13"/>
      <c r="K30" s="8"/>
      <c r="L30" s="13"/>
      <c r="M30" s="14"/>
      <c r="N30" s="14"/>
      <c r="O30" s="15"/>
      <c r="P30" s="5"/>
    </row>
    <row r="31" spans="1:21" ht="3.75" customHeight="1">
      <c r="A31" s="226"/>
      <c r="B31" s="4"/>
      <c r="C31" s="6"/>
      <c r="D31" s="4"/>
      <c r="E31" s="4"/>
      <c r="F31" s="4"/>
      <c r="G31" s="227"/>
      <c r="H31" s="9"/>
      <c r="I31" s="8"/>
      <c r="J31" s="13"/>
      <c r="K31" s="18"/>
      <c r="L31" s="13"/>
      <c r="M31" s="33"/>
      <c r="N31" s="33"/>
      <c r="O31" s="15"/>
      <c r="P31" s="5"/>
    </row>
    <row r="32" spans="1:21">
      <c r="A32" s="1354" t="s">
        <v>71</v>
      </c>
      <c r="B32" s="1355"/>
      <c r="C32" s="1355"/>
      <c r="D32" s="1355"/>
      <c r="E32" s="1355"/>
      <c r="F32" s="1355"/>
      <c r="G32" s="1356"/>
      <c r="H32" s="9"/>
    </row>
    <row r="33" spans="1:16" ht="3.75" customHeight="1">
      <c r="A33" s="226"/>
      <c r="B33" s="4"/>
      <c r="C33" s="6"/>
      <c r="D33" s="4"/>
      <c r="E33" s="4"/>
      <c r="F33" s="4"/>
      <c r="G33" s="227"/>
      <c r="H33" s="9"/>
      <c r="I33" s="8"/>
      <c r="J33" s="13"/>
      <c r="K33" s="8"/>
      <c r="L33" s="8"/>
      <c r="M33" s="8"/>
      <c r="N33" s="8"/>
      <c r="O33" s="15"/>
      <c r="P33" s="5"/>
    </row>
    <row r="34" spans="1:16">
      <c r="A34" s="232" t="s">
        <v>5</v>
      </c>
      <c r="B34" s="60" t="s">
        <v>29</v>
      </c>
      <c r="C34" s="60" t="s">
        <v>30</v>
      </c>
      <c r="D34" s="60" t="s">
        <v>31</v>
      </c>
      <c r="E34" s="60" t="s">
        <v>32</v>
      </c>
      <c r="F34" s="60" t="s">
        <v>20</v>
      </c>
      <c r="G34" s="228" t="s">
        <v>33</v>
      </c>
      <c r="H34" s="27"/>
      <c r="I34" s="8"/>
      <c r="J34" s="13"/>
      <c r="K34" s="8"/>
      <c r="L34" s="8"/>
      <c r="M34" s="8"/>
      <c r="N34" s="8"/>
      <c r="O34" s="15"/>
      <c r="P34" s="5"/>
    </row>
    <row r="35" spans="1:16">
      <c r="A35" s="233" t="s">
        <v>41</v>
      </c>
      <c r="B35" s="63">
        <f>BOF</f>
        <v>51749</v>
      </c>
      <c r="C35" s="68">
        <f>ffpp</f>
        <v>0.64539999999999997</v>
      </c>
      <c r="D35" s="72">
        <v>1</v>
      </c>
      <c r="E35" s="66">
        <f>OF</f>
        <v>88696</v>
      </c>
      <c r="F35" s="65">
        <v>15</v>
      </c>
      <c r="G35" s="231">
        <f>ROUND(+D35*E35/F35,0)</f>
        <v>5913</v>
      </c>
      <c r="H35" s="9"/>
      <c r="I35" s="16"/>
      <c r="J35" s="13"/>
      <c r="K35" s="8"/>
      <c r="L35" s="8"/>
      <c r="M35" s="8"/>
      <c r="N35" s="8"/>
      <c r="O35" s="15"/>
      <c r="P35" s="5"/>
    </row>
    <row r="36" spans="1:16">
      <c r="A36" s="233" t="s">
        <v>38</v>
      </c>
      <c r="B36" s="63">
        <f>BOB</f>
        <v>41749</v>
      </c>
      <c r="C36" s="68">
        <f>ffpp</f>
        <v>0.64539999999999997</v>
      </c>
      <c r="D36" s="72">
        <v>8</v>
      </c>
      <c r="E36" s="66">
        <f>OB</f>
        <v>72242</v>
      </c>
      <c r="F36" s="65">
        <f>+F35</f>
        <v>15</v>
      </c>
      <c r="G36" s="231">
        <f>ROUND(+D36*E36/F36,0)</f>
        <v>38529</v>
      </c>
      <c r="H36" s="9"/>
      <c r="I36" s="16"/>
      <c r="J36" s="13"/>
      <c r="K36" s="8"/>
      <c r="L36" s="8"/>
      <c r="M36" s="8"/>
      <c r="N36" s="8"/>
      <c r="O36" s="15"/>
      <c r="P36" s="5"/>
    </row>
    <row r="37" spans="1:16">
      <c r="A37" s="234"/>
      <c r="B37" s="50"/>
      <c r="C37" s="960"/>
      <c r="D37" s="50"/>
      <c r="E37" s="50"/>
      <c r="F37" s="50"/>
      <c r="G37" s="235"/>
      <c r="H37" s="9"/>
      <c r="I37" s="8"/>
      <c r="J37" s="8"/>
      <c r="K37" s="13"/>
      <c r="L37" s="13"/>
      <c r="M37" s="13"/>
      <c r="N37" s="13"/>
      <c r="O37" s="13"/>
      <c r="P37" s="5"/>
    </row>
    <row r="38" spans="1:16">
      <c r="A38" s="233"/>
      <c r="B38" s="63"/>
      <c r="C38" s="64"/>
      <c r="D38" s="72"/>
      <c r="E38" s="66"/>
      <c r="F38" s="69"/>
      <c r="G38" s="231"/>
      <c r="H38" s="9"/>
      <c r="I38" s="8"/>
      <c r="J38" s="13"/>
      <c r="K38" s="13"/>
      <c r="L38" s="13"/>
      <c r="M38" s="33"/>
      <c r="N38" s="33"/>
      <c r="O38" s="43"/>
      <c r="P38" s="5"/>
    </row>
    <row r="39" spans="1:16">
      <c r="A39" s="233"/>
      <c r="B39" s="65"/>
      <c r="C39" s="68"/>
      <c r="D39" s="65"/>
      <c r="E39" s="69"/>
      <c r="F39" s="69"/>
      <c r="G39" s="236"/>
      <c r="H39" s="9"/>
      <c r="I39" s="8"/>
      <c r="J39" s="13"/>
      <c r="K39" s="13"/>
      <c r="L39" s="13"/>
      <c r="M39" s="33"/>
      <c r="N39" s="33"/>
      <c r="O39" s="43"/>
      <c r="P39" s="5"/>
    </row>
    <row r="40" spans="1:16">
      <c r="A40" s="1352"/>
      <c r="B40" s="1353"/>
      <c r="C40" s="1353"/>
      <c r="D40" s="85" t="s">
        <v>34</v>
      </c>
      <c r="E40" s="50"/>
      <c r="F40" s="49"/>
      <c r="G40" s="230">
        <f>SUM(G35:G39)-1</f>
        <v>44441</v>
      </c>
      <c r="H40" s="9"/>
      <c r="I40" s="8"/>
      <c r="J40" s="13"/>
      <c r="K40" s="8"/>
      <c r="L40" s="13"/>
      <c r="M40" s="14"/>
      <c r="N40" s="14"/>
      <c r="O40" s="15"/>
      <c r="P40" s="5"/>
    </row>
    <row r="41" spans="1:16">
      <c r="A41" s="237"/>
      <c r="B41" s="111"/>
      <c r="C41" s="111"/>
      <c r="D41" s="112"/>
      <c r="E41" s="5"/>
      <c r="F41" s="113"/>
      <c r="G41" s="238"/>
      <c r="H41" s="9"/>
      <c r="I41" s="8"/>
      <c r="J41" s="13"/>
      <c r="K41" s="8"/>
      <c r="L41" s="13"/>
      <c r="M41" s="14"/>
      <c r="N41" s="14"/>
      <c r="O41" s="15"/>
      <c r="P41" s="5"/>
    </row>
    <row r="42" spans="1:16">
      <c r="A42" s="226"/>
      <c r="B42" s="4"/>
      <c r="C42" s="6"/>
      <c r="D42" s="4"/>
      <c r="E42" s="4"/>
      <c r="F42" s="4"/>
      <c r="G42" s="227"/>
      <c r="H42" s="9"/>
      <c r="I42" s="8"/>
      <c r="J42" s="13"/>
      <c r="K42" s="13"/>
      <c r="L42" s="13"/>
      <c r="M42" s="14"/>
      <c r="N42" s="14"/>
      <c r="O42" s="19"/>
      <c r="P42" s="5"/>
    </row>
    <row r="43" spans="1:16" ht="14.25">
      <c r="A43" s="226"/>
      <c r="B43" s="4"/>
      <c r="C43" s="6"/>
      <c r="D43" s="1357" t="s">
        <v>35</v>
      </c>
      <c r="E43" s="1358"/>
      <c r="F43" s="1359"/>
      <c r="G43" s="239">
        <f>+G40+G30+G16</f>
        <v>273811</v>
      </c>
      <c r="H43" s="9"/>
      <c r="I43" s="48"/>
      <c r="J43" s="20"/>
      <c r="K43" s="8"/>
      <c r="L43" s="8"/>
      <c r="M43" s="8"/>
      <c r="N43" s="8"/>
      <c r="O43" s="8"/>
      <c r="P43" s="5"/>
    </row>
    <row r="44" spans="1:16">
      <c r="A44" s="240"/>
      <c r="B44" s="57"/>
      <c r="C44" s="58"/>
      <c r="D44" s="100"/>
      <c r="E44" s="100"/>
      <c r="F44" s="100"/>
      <c r="G44" s="227"/>
      <c r="H44" s="9"/>
      <c r="I44" s="8"/>
      <c r="J44" s="13"/>
      <c r="K44" s="13"/>
      <c r="L44" s="13"/>
      <c r="M44" s="17"/>
      <c r="N44" s="17"/>
      <c r="O44" s="37"/>
      <c r="P44" s="5"/>
    </row>
    <row r="45" spans="1:16">
      <c r="A45" s="374"/>
      <c r="B45" s="375"/>
      <c r="C45" s="375"/>
      <c r="D45" s="100"/>
      <c r="E45" s="100"/>
      <c r="F45" s="100"/>
      <c r="G45" s="227"/>
      <c r="H45" s="9"/>
      <c r="I45" s="8"/>
      <c r="J45" s="13"/>
      <c r="K45" s="13"/>
      <c r="L45" s="13"/>
      <c r="M45" s="17"/>
      <c r="N45" s="17"/>
      <c r="O45" s="37"/>
      <c r="P45" s="5"/>
    </row>
    <row r="46" spans="1:16">
      <c r="A46" s="373"/>
      <c r="B46" s="376"/>
      <c r="C46" s="376"/>
      <c r="D46" s="100"/>
      <c r="E46" s="100"/>
      <c r="F46" s="100"/>
      <c r="G46" s="227"/>
      <c r="H46" s="9"/>
      <c r="I46" s="8"/>
      <c r="J46" s="13"/>
      <c r="K46" s="13"/>
      <c r="L46" s="13"/>
      <c r="M46" s="17"/>
      <c r="N46" s="17"/>
      <c r="O46" s="37"/>
      <c r="P46" s="5"/>
    </row>
    <row r="47" spans="1:16">
      <c r="A47" s="373"/>
      <c r="B47" s="376"/>
      <c r="C47" s="376"/>
      <c r="D47" s="5"/>
      <c r="E47" s="5"/>
      <c r="F47" s="5"/>
      <c r="G47" s="241"/>
      <c r="H47" s="9"/>
      <c r="I47" s="13"/>
      <c r="J47" s="13"/>
      <c r="K47" s="8"/>
      <c r="L47" s="8"/>
      <c r="M47" s="8"/>
      <c r="N47" s="8"/>
      <c r="O47" s="8"/>
      <c r="P47" s="5"/>
    </row>
    <row r="48" spans="1:16" ht="15" thickBot="1">
      <c r="A48" s="242"/>
      <c r="B48" s="243"/>
      <c r="C48" s="244"/>
      <c r="D48" s="245"/>
      <c r="E48" s="246"/>
      <c r="F48" s="246"/>
      <c r="G48" s="247"/>
      <c r="H48" s="9"/>
      <c r="I48" s="8"/>
      <c r="J48" s="13"/>
      <c r="K48" s="8"/>
      <c r="L48" s="8"/>
      <c r="M48" s="8"/>
      <c r="N48" s="8"/>
      <c r="O48" s="8"/>
      <c r="P48" s="5"/>
    </row>
    <row r="49" spans="9:16">
      <c r="I49" s="5"/>
      <c r="J49" s="5"/>
      <c r="K49" s="5"/>
      <c r="L49" s="5"/>
      <c r="M49" s="5"/>
      <c r="N49" s="5"/>
      <c r="O49" s="5"/>
      <c r="P49" s="5"/>
    </row>
  </sheetData>
  <mergeCells count="27">
    <mergeCell ref="A32:G32"/>
    <mergeCell ref="A40:C40"/>
    <mergeCell ref="D43:F43"/>
    <mergeCell ref="A25:C25"/>
    <mergeCell ref="A26:C26"/>
    <mergeCell ref="A27:C27"/>
    <mergeCell ref="A28:C28"/>
    <mergeCell ref="A29:C29"/>
    <mergeCell ref="A30:C30"/>
    <mergeCell ref="A24:C24"/>
    <mergeCell ref="A11:C11"/>
    <mergeCell ref="A12:C12"/>
    <mergeCell ref="A13:C13"/>
    <mergeCell ref="A14:C14"/>
    <mergeCell ref="A15:C15"/>
    <mergeCell ref="A16:C16"/>
    <mergeCell ref="A18:G18"/>
    <mergeCell ref="A20:C20"/>
    <mergeCell ref="A21:C21"/>
    <mergeCell ref="A22:C22"/>
    <mergeCell ref="A23:C23"/>
    <mergeCell ref="A10:C10"/>
    <mergeCell ref="A1:G1"/>
    <mergeCell ref="A2:G2"/>
    <mergeCell ref="A3:G4"/>
    <mergeCell ref="B6:F6"/>
    <mergeCell ref="A8:G8"/>
  </mergeCells>
  <printOptions horizontalCentered="1" verticalCentered="1"/>
  <pageMargins left="0.74803149606299213" right="0.74803149606299213" top="0" bottom="0.98425196850393704" header="0" footer="0"/>
  <pageSetup scale="90" orientation="portrait" r:id="rId1"/>
  <headerFooter alignWithMargins="0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5"/>
  <dimension ref="A1:U49"/>
  <sheetViews>
    <sheetView view="pageBreakPreview" topLeftCell="A19" zoomScaleNormal="100" zoomScaleSheetLayoutView="100" workbookViewId="0">
      <selection activeCell="H36" sqref="H36"/>
    </sheetView>
  </sheetViews>
  <sheetFormatPr baseColWidth="10" defaultColWidth="10.7109375" defaultRowHeight="12.75"/>
  <cols>
    <col min="1" max="1" width="15.85546875" style="3" customWidth="1"/>
    <col min="2" max="2" width="14.85546875" style="3" customWidth="1"/>
    <col min="3" max="3" width="13.28515625" style="3" customWidth="1"/>
    <col min="4" max="4" width="11.42578125" style="3"/>
    <col min="5" max="5" width="13.42578125" style="3" customWidth="1"/>
    <col min="6" max="6" width="12.7109375" style="3" customWidth="1"/>
    <col min="7" max="7" width="14" style="3" customWidth="1"/>
    <col min="8" max="8" width="12.7109375" style="3" customWidth="1"/>
    <col min="9" max="256" width="11.42578125" style="3"/>
    <col min="257" max="257" width="15.85546875" style="3" customWidth="1"/>
    <col min="258" max="258" width="14.85546875" style="3" customWidth="1"/>
    <col min="259" max="259" width="13.28515625" style="3" customWidth="1"/>
    <col min="260" max="260" width="11.42578125" style="3"/>
    <col min="261" max="261" width="13.42578125" style="3" customWidth="1"/>
    <col min="262" max="262" width="12.7109375" style="3" customWidth="1"/>
    <col min="263" max="263" width="14" style="3" customWidth="1"/>
    <col min="264" max="264" width="7.42578125" style="3" customWidth="1"/>
    <col min="265" max="512" width="11.42578125" style="3"/>
    <col min="513" max="513" width="15.85546875" style="3" customWidth="1"/>
    <col min="514" max="514" width="14.85546875" style="3" customWidth="1"/>
    <col min="515" max="515" width="13.28515625" style="3" customWidth="1"/>
    <col min="516" max="516" width="11.42578125" style="3"/>
    <col min="517" max="517" width="13.42578125" style="3" customWidth="1"/>
    <col min="518" max="518" width="12.7109375" style="3" customWidth="1"/>
    <col min="519" max="519" width="14" style="3" customWidth="1"/>
    <col min="520" max="520" width="7.42578125" style="3" customWidth="1"/>
    <col min="521" max="768" width="11.42578125" style="3"/>
    <col min="769" max="769" width="15.85546875" style="3" customWidth="1"/>
    <col min="770" max="770" width="14.85546875" style="3" customWidth="1"/>
    <col min="771" max="771" width="13.28515625" style="3" customWidth="1"/>
    <col min="772" max="772" width="11.42578125" style="3"/>
    <col min="773" max="773" width="13.42578125" style="3" customWidth="1"/>
    <col min="774" max="774" width="12.7109375" style="3" customWidth="1"/>
    <col min="775" max="775" width="14" style="3" customWidth="1"/>
    <col min="776" max="776" width="7.42578125" style="3" customWidth="1"/>
    <col min="777" max="1024" width="11.42578125" style="3"/>
    <col min="1025" max="1025" width="15.85546875" style="3" customWidth="1"/>
    <col min="1026" max="1026" width="14.85546875" style="3" customWidth="1"/>
    <col min="1027" max="1027" width="13.28515625" style="3" customWidth="1"/>
    <col min="1028" max="1028" width="11.42578125" style="3"/>
    <col min="1029" max="1029" width="13.42578125" style="3" customWidth="1"/>
    <col min="1030" max="1030" width="12.7109375" style="3" customWidth="1"/>
    <col min="1031" max="1031" width="14" style="3" customWidth="1"/>
    <col min="1032" max="1032" width="7.42578125" style="3" customWidth="1"/>
    <col min="1033" max="1280" width="11.42578125" style="3"/>
    <col min="1281" max="1281" width="15.85546875" style="3" customWidth="1"/>
    <col min="1282" max="1282" width="14.85546875" style="3" customWidth="1"/>
    <col min="1283" max="1283" width="13.28515625" style="3" customWidth="1"/>
    <col min="1284" max="1284" width="11.42578125" style="3"/>
    <col min="1285" max="1285" width="13.42578125" style="3" customWidth="1"/>
    <col min="1286" max="1286" width="12.7109375" style="3" customWidth="1"/>
    <col min="1287" max="1287" width="14" style="3" customWidth="1"/>
    <col min="1288" max="1288" width="7.42578125" style="3" customWidth="1"/>
    <col min="1289" max="1536" width="11.42578125" style="3"/>
    <col min="1537" max="1537" width="15.85546875" style="3" customWidth="1"/>
    <col min="1538" max="1538" width="14.85546875" style="3" customWidth="1"/>
    <col min="1539" max="1539" width="13.28515625" style="3" customWidth="1"/>
    <col min="1540" max="1540" width="11.42578125" style="3"/>
    <col min="1541" max="1541" width="13.42578125" style="3" customWidth="1"/>
    <col min="1542" max="1542" width="12.7109375" style="3" customWidth="1"/>
    <col min="1543" max="1543" width="14" style="3" customWidth="1"/>
    <col min="1544" max="1544" width="7.42578125" style="3" customWidth="1"/>
    <col min="1545" max="1792" width="11.42578125" style="3"/>
    <col min="1793" max="1793" width="15.85546875" style="3" customWidth="1"/>
    <col min="1794" max="1794" width="14.85546875" style="3" customWidth="1"/>
    <col min="1795" max="1795" width="13.28515625" style="3" customWidth="1"/>
    <col min="1796" max="1796" width="11.42578125" style="3"/>
    <col min="1797" max="1797" width="13.42578125" style="3" customWidth="1"/>
    <col min="1798" max="1798" width="12.7109375" style="3" customWidth="1"/>
    <col min="1799" max="1799" width="14" style="3" customWidth="1"/>
    <col min="1800" max="1800" width="7.42578125" style="3" customWidth="1"/>
    <col min="1801" max="2048" width="11.42578125" style="3"/>
    <col min="2049" max="2049" width="15.85546875" style="3" customWidth="1"/>
    <col min="2050" max="2050" width="14.85546875" style="3" customWidth="1"/>
    <col min="2051" max="2051" width="13.28515625" style="3" customWidth="1"/>
    <col min="2052" max="2052" width="11.42578125" style="3"/>
    <col min="2053" max="2053" width="13.42578125" style="3" customWidth="1"/>
    <col min="2054" max="2054" width="12.7109375" style="3" customWidth="1"/>
    <col min="2055" max="2055" width="14" style="3" customWidth="1"/>
    <col min="2056" max="2056" width="7.42578125" style="3" customWidth="1"/>
    <col min="2057" max="2304" width="11.42578125" style="3"/>
    <col min="2305" max="2305" width="15.85546875" style="3" customWidth="1"/>
    <col min="2306" max="2306" width="14.85546875" style="3" customWidth="1"/>
    <col min="2307" max="2307" width="13.28515625" style="3" customWidth="1"/>
    <col min="2308" max="2308" width="11.42578125" style="3"/>
    <col min="2309" max="2309" width="13.42578125" style="3" customWidth="1"/>
    <col min="2310" max="2310" width="12.7109375" style="3" customWidth="1"/>
    <col min="2311" max="2311" width="14" style="3" customWidth="1"/>
    <col min="2312" max="2312" width="7.42578125" style="3" customWidth="1"/>
    <col min="2313" max="2560" width="11.42578125" style="3"/>
    <col min="2561" max="2561" width="15.85546875" style="3" customWidth="1"/>
    <col min="2562" max="2562" width="14.85546875" style="3" customWidth="1"/>
    <col min="2563" max="2563" width="13.28515625" style="3" customWidth="1"/>
    <col min="2564" max="2564" width="11.42578125" style="3"/>
    <col min="2565" max="2565" width="13.42578125" style="3" customWidth="1"/>
    <col min="2566" max="2566" width="12.7109375" style="3" customWidth="1"/>
    <col min="2567" max="2567" width="14" style="3" customWidth="1"/>
    <col min="2568" max="2568" width="7.42578125" style="3" customWidth="1"/>
    <col min="2569" max="2816" width="11.42578125" style="3"/>
    <col min="2817" max="2817" width="15.85546875" style="3" customWidth="1"/>
    <col min="2818" max="2818" width="14.85546875" style="3" customWidth="1"/>
    <col min="2819" max="2819" width="13.28515625" style="3" customWidth="1"/>
    <col min="2820" max="2820" width="11.42578125" style="3"/>
    <col min="2821" max="2821" width="13.42578125" style="3" customWidth="1"/>
    <col min="2822" max="2822" width="12.7109375" style="3" customWidth="1"/>
    <col min="2823" max="2823" width="14" style="3" customWidth="1"/>
    <col min="2824" max="2824" width="7.42578125" style="3" customWidth="1"/>
    <col min="2825" max="3072" width="11.42578125" style="3"/>
    <col min="3073" max="3073" width="15.85546875" style="3" customWidth="1"/>
    <col min="3074" max="3074" width="14.85546875" style="3" customWidth="1"/>
    <col min="3075" max="3075" width="13.28515625" style="3" customWidth="1"/>
    <col min="3076" max="3076" width="11.42578125" style="3"/>
    <col min="3077" max="3077" width="13.42578125" style="3" customWidth="1"/>
    <col min="3078" max="3078" width="12.7109375" style="3" customWidth="1"/>
    <col min="3079" max="3079" width="14" style="3" customWidth="1"/>
    <col min="3080" max="3080" width="7.42578125" style="3" customWidth="1"/>
    <col min="3081" max="3328" width="11.42578125" style="3"/>
    <col min="3329" max="3329" width="15.85546875" style="3" customWidth="1"/>
    <col min="3330" max="3330" width="14.85546875" style="3" customWidth="1"/>
    <col min="3331" max="3331" width="13.28515625" style="3" customWidth="1"/>
    <col min="3332" max="3332" width="11.42578125" style="3"/>
    <col min="3333" max="3333" width="13.42578125" style="3" customWidth="1"/>
    <col min="3334" max="3334" width="12.7109375" style="3" customWidth="1"/>
    <col min="3335" max="3335" width="14" style="3" customWidth="1"/>
    <col min="3336" max="3336" width="7.42578125" style="3" customWidth="1"/>
    <col min="3337" max="3584" width="11.42578125" style="3"/>
    <col min="3585" max="3585" width="15.85546875" style="3" customWidth="1"/>
    <col min="3586" max="3586" width="14.85546875" style="3" customWidth="1"/>
    <col min="3587" max="3587" width="13.28515625" style="3" customWidth="1"/>
    <col min="3588" max="3588" width="11.42578125" style="3"/>
    <col min="3589" max="3589" width="13.42578125" style="3" customWidth="1"/>
    <col min="3590" max="3590" width="12.7109375" style="3" customWidth="1"/>
    <col min="3591" max="3591" width="14" style="3" customWidth="1"/>
    <col min="3592" max="3592" width="7.42578125" style="3" customWidth="1"/>
    <col min="3593" max="3840" width="11.42578125" style="3"/>
    <col min="3841" max="3841" width="15.85546875" style="3" customWidth="1"/>
    <col min="3842" max="3842" width="14.85546875" style="3" customWidth="1"/>
    <col min="3843" max="3843" width="13.28515625" style="3" customWidth="1"/>
    <col min="3844" max="3844" width="11.42578125" style="3"/>
    <col min="3845" max="3845" width="13.42578125" style="3" customWidth="1"/>
    <col min="3846" max="3846" width="12.7109375" style="3" customWidth="1"/>
    <col min="3847" max="3847" width="14" style="3" customWidth="1"/>
    <col min="3848" max="3848" width="7.42578125" style="3" customWidth="1"/>
    <col min="3849" max="4096" width="11.42578125" style="3"/>
    <col min="4097" max="4097" width="15.85546875" style="3" customWidth="1"/>
    <col min="4098" max="4098" width="14.85546875" style="3" customWidth="1"/>
    <col min="4099" max="4099" width="13.28515625" style="3" customWidth="1"/>
    <col min="4100" max="4100" width="11.42578125" style="3"/>
    <col min="4101" max="4101" width="13.42578125" style="3" customWidth="1"/>
    <col min="4102" max="4102" width="12.7109375" style="3" customWidth="1"/>
    <col min="4103" max="4103" width="14" style="3" customWidth="1"/>
    <col min="4104" max="4104" width="7.42578125" style="3" customWidth="1"/>
    <col min="4105" max="4352" width="11.42578125" style="3"/>
    <col min="4353" max="4353" width="15.85546875" style="3" customWidth="1"/>
    <col min="4354" max="4354" width="14.85546875" style="3" customWidth="1"/>
    <col min="4355" max="4355" width="13.28515625" style="3" customWidth="1"/>
    <col min="4356" max="4356" width="11.42578125" style="3"/>
    <col min="4357" max="4357" width="13.42578125" style="3" customWidth="1"/>
    <col min="4358" max="4358" width="12.7109375" style="3" customWidth="1"/>
    <col min="4359" max="4359" width="14" style="3" customWidth="1"/>
    <col min="4360" max="4360" width="7.42578125" style="3" customWidth="1"/>
    <col min="4361" max="4608" width="11.42578125" style="3"/>
    <col min="4609" max="4609" width="15.85546875" style="3" customWidth="1"/>
    <col min="4610" max="4610" width="14.85546875" style="3" customWidth="1"/>
    <col min="4611" max="4611" width="13.28515625" style="3" customWidth="1"/>
    <col min="4612" max="4612" width="11.42578125" style="3"/>
    <col min="4613" max="4613" width="13.42578125" style="3" customWidth="1"/>
    <col min="4614" max="4614" width="12.7109375" style="3" customWidth="1"/>
    <col min="4615" max="4615" width="14" style="3" customWidth="1"/>
    <col min="4616" max="4616" width="7.42578125" style="3" customWidth="1"/>
    <col min="4617" max="4864" width="11.42578125" style="3"/>
    <col min="4865" max="4865" width="15.85546875" style="3" customWidth="1"/>
    <col min="4866" max="4866" width="14.85546875" style="3" customWidth="1"/>
    <col min="4867" max="4867" width="13.28515625" style="3" customWidth="1"/>
    <col min="4868" max="4868" width="11.42578125" style="3"/>
    <col min="4869" max="4869" width="13.42578125" style="3" customWidth="1"/>
    <col min="4870" max="4870" width="12.7109375" style="3" customWidth="1"/>
    <col min="4871" max="4871" width="14" style="3" customWidth="1"/>
    <col min="4872" max="4872" width="7.42578125" style="3" customWidth="1"/>
    <col min="4873" max="5120" width="11.42578125" style="3"/>
    <col min="5121" max="5121" width="15.85546875" style="3" customWidth="1"/>
    <col min="5122" max="5122" width="14.85546875" style="3" customWidth="1"/>
    <col min="5123" max="5123" width="13.28515625" style="3" customWidth="1"/>
    <col min="5124" max="5124" width="11.42578125" style="3"/>
    <col min="5125" max="5125" width="13.42578125" style="3" customWidth="1"/>
    <col min="5126" max="5126" width="12.7109375" style="3" customWidth="1"/>
    <col min="5127" max="5127" width="14" style="3" customWidth="1"/>
    <col min="5128" max="5128" width="7.42578125" style="3" customWidth="1"/>
    <col min="5129" max="5376" width="11.42578125" style="3"/>
    <col min="5377" max="5377" width="15.85546875" style="3" customWidth="1"/>
    <col min="5378" max="5378" width="14.85546875" style="3" customWidth="1"/>
    <col min="5379" max="5379" width="13.28515625" style="3" customWidth="1"/>
    <col min="5380" max="5380" width="11.42578125" style="3"/>
    <col min="5381" max="5381" width="13.42578125" style="3" customWidth="1"/>
    <col min="5382" max="5382" width="12.7109375" style="3" customWidth="1"/>
    <col min="5383" max="5383" width="14" style="3" customWidth="1"/>
    <col min="5384" max="5384" width="7.42578125" style="3" customWidth="1"/>
    <col min="5385" max="5632" width="11.42578125" style="3"/>
    <col min="5633" max="5633" width="15.85546875" style="3" customWidth="1"/>
    <col min="5634" max="5634" width="14.85546875" style="3" customWidth="1"/>
    <col min="5635" max="5635" width="13.28515625" style="3" customWidth="1"/>
    <col min="5636" max="5636" width="11.42578125" style="3"/>
    <col min="5637" max="5637" width="13.42578125" style="3" customWidth="1"/>
    <col min="5638" max="5638" width="12.7109375" style="3" customWidth="1"/>
    <col min="5639" max="5639" width="14" style="3" customWidth="1"/>
    <col min="5640" max="5640" width="7.42578125" style="3" customWidth="1"/>
    <col min="5641" max="5888" width="11.42578125" style="3"/>
    <col min="5889" max="5889" width="15.85546875" style="3" customWidth="1"/>
    <col min="5890" max="5890" width="14.85546875" style="3" customWidth="1"/>
    <col min="5891" max="5891" width="13.28515625" style="3" customWidth="1"/>
    <col min="5892" max="5892" width="11.42578125" style="3"/>
    <col min="5893" max="5893" width="13.42578125" style="3" customWidth="1"/>
    <col min="5894" max="5894" width="12.7109375" style="3" customWidth="1"/>
    <col min="5895" max="5895" width="14" style="3" customWidth="1"/>
    <col min="5896" max="5896" width="7.42578125" style="3" customWidth="1"/>
    <col min="5897" max="6144" width="11.42578125" style="3"/>
    <col min="6145" max="6145" width="15.85546875" style="3" customWidth="1"/>
    <col min="6146" max="6146" width="14.85546875" style="3" customWidth="1"/>
    <col min="6147" max="6147" width="13.28515625" style="3" customWidth="1"/>
    <col min="6148" max="6148" width="11.42578125" style="3"/>
    <col min="6149" max="6149" width="13.42578125" style="3" customWidth="1"/>
    <col min="6150" max="6150" width="12.7109375" style="3" customWidth="1"/>
    <col min="6151" max="6151" width="14" style="3" customWidth="1"/>
    <col min="6152" max="6152" width="7.42578125" style="3" customWidth="1"/>
    <col min="6153" max="6400" width="11.42578125" style="3"/>
    <col min="6401" max="6401" width="15.85546875" style="3" customWidth="1"/>
    <col min="6402" max="6402" width="14.85546875" style="3" customWidth="1"/>
    <col min="6403" max="6403" width="13.28515625" style="3" customWidth="1"/>
    <col min="6404" max="6404" width="11.42578125" style="3"/>
    <col min="6405" max="6405" width="13.42578125" style="3" customWidth="1"/>
    <col min="6406" max="6406" width="12.7109375" style="3" customWidth="1"/>
    <col min="6407" max="6407" width="14" style="3" customWidth="1"/>
    <col min="6408" max="6408" width="7.42578125" style="3" customWidth="1"/>
    <col min="6409" max="6656" width="11.42578125" style="3"/>
    <col min="6657" max="6657" width="15.85546875" style="3" customWidth="1"/>
    <col min="6658" max="6658" width="14.85546875" style="3" customWidth="1"/>
    <col min="6659" max="6659" width="13.28515625" style="3" customWidth="1"/>
    <col min="6660" max="6660" width="11.42578125" style="3"/>
    <col min="6661" max="6661" width="13.42578125" style="3" customWidth="1"/>
    <col min="6662" max="6662" width="12.7109375" style="3" customWidth="1"/>
    <col min="6663" max="6663" width="14" style="3" customWidth="1"/>
    <col min="6664" max="6664" width="7.42578125" style="3" customWidth="1"/>
    <col min="6665" max="6912" width="11.42578125" style="3"/>
    <col min="6913" max="6913" width="15.85546875" style="3" customWidth="1"/>
    <col min="6914" max="6914" width="14.85546875" style="3" customWidth="1"/>
    <col min="6915" max="6915" width="13.28515625" style="3" customWidth="1"/>
    <col min="6916" max="6916" width="11.42578125" style="3"/>
    <col min="6917" max="6917" width="13.42578125" style="3" customWidth="1"/>
    <col min="6918" max="6918" width="12.7109375" style="3" customWidth="1"/>
    <col min="6919" max="6919" width="14" style="3" customWidth="1"/>
    <col min="6920" max="6920" width="7.42578125" style="3" customWidth="1"/>
    <col min="6921" max="7168" width="11.42578125" style="3"/>
    <col min="7169" max="7169" width="15.85546875" style="3" customWidth="1"/>
    <col min="7170" max="7170" width="14.85546875" style="3" customWidth="1"/>
    <col min="7171" max="7171" width="13.28515625" style="3" customWidth="1"/>
    <col min="7172" max="7172" width="11.42578125" style="3"/>
    <col min="7173" max="7173" width="13.42578125" style="3" customWidth="1"/>
    <col min="7174" max="7174" width="12.7109375" style="3" customWidth="1"/>
    <col min="7175" max="7175" width="14" style="3" customWidth="1"/>
    <col min="7176" max="7176" width="7.42578125" style="3" customWidth="1"/>
    <col min="7177" max="7424" width="11.42578125" style="3"/>
    <col min="7425" max="7425" width="15.85546875" style="3" customWidth="1"/>
    <col min="7426" max="7426" width="14.85546875" style="3" customWidth="1"/>
    <col min="7427" max="7427" width="13.28515625" style="3" customWidth="1"/>
    <col min="7428" max="7428" width="11.42578125" style="3"/>
    <col min="7429" max="7429" width="13.42578125" style="3" customWidth="1"/>
    <col min="7430" max="7430" width="12.7109375" style="3" customWidth="1"/>
    <col min="7431" max="7431" width="14" style="3" customWidth="1"/>
    <col min="7432" max="7432" width="7.42578125" style="3" customWidth="1"/>
    <col min="7433" max="7680" width="11.42578125" style="3"/>
    <col min="7681" max="7681" width="15.85546875" style="3" customWidth="1"/>
    <col min="7682" max="7682" width="14.85546875" style="3" customWidth="1"/>
    <col min="7683" max="7683" width="13.28515625" style="3" customWidth="1"/>
    <col min="7684" max="7684" width="11.42578125" style="3"/>
    <col min="7685" max="7685" width="13.42578125" style="3" customWidth="1"/>
    <col min="7686" max="7686" width="12.7109375" style="3" customWidth="1"/>
    <col min="7687" max="7687" width="14" style="3" customWidth="1"/>
    <col min="7688" max="7688" width="7.42578125" style="3" customWidth="1"/>
    <col min="7689" max="7936" width="11.42578125" style="3"/>
    <col min="7937" max="7937" width="15.85546875" style="3" customWidth="1"/>
    <col min="7938" max="7938" width="14.85546875" style="3" customWidth="1"/>
    <col min="7939" max="7939" width="13.28515625" style="3" customWidth="1"/>
    <col min="7940" max="7940" width="11.42578125" style="3"/>
    <col min="7941" max="7941" width="13.42578125" style="3" customWidth="1"/>
    <col min="7942" max="7942" width="12.7109375" style="3" customWidth="1"/>
    <col min="7943" max="7943" width="14" style="3" customWidth="1"/>
    <col min="7944" max="7944" width="7.42578125" style="3" customWidth="1"/>
    <col min="7945" max="8192" width="11.42578125" style="3"/>
    <col min="8193" max="8193" width="15.85546875" style="3" customWidth="1"/>
    <col min="8194" max="8194" width="14.85546875" style="3" customWidth="1"/>
    <col min="8195" max="8195" width="13.28515625" style="3" customWidth="1"/>
    <col min="8196" max="8196" width="11.42578125" style="3"/>
    <col min="8197" max="8197" width="13.42578125" style="3" customWidth="1"/>
    <col min="8198" max="8198" width="12.7109375" style="3" customWidth="1"/>
    <col min="8199" max="8199" width="14" style="3" customWidth="1"/>
    <col min="8200" max="8200" width="7.42578125" style="3" customWidth="1"/>
    <col min="8201" max="8448" width="11.42578125" style="3"/>
    <col min="8449" max="8449" width="15.85546875" style="3" customWidth="1"/>
    <col min="8450" max="8450" width="14.85546875" style="3" customWidth="1"/>
    <col min="8451" max="8451" width="13.28515625" style="3" customWidth="1"/>
    <col min="8452" max="8452" width="11.42578125" style="3"/>
    <col min="8453" max="8453" width="13.42578125" style="3" customWidth="1"/>
    <col min="8454" max="8454" width="12.7109375" style="3" customWidth="1"/>
    <col min="8455" max="8455" width="14" style="3" customWidth="1"/>
    <col min="8456" max="8456" width="7.42578125" style="3" customWidth="1"/>
    <col min="8457" max="8704" width="11.42578125" style="3"/>
    <col min="8705" max="8705" width="15.85546875" style="3" customWidth="1"/>
    <col min="8706" max="8706" width="14.85546875" style="3" customWidth="1"/>
    <col min="8707" max="8707" width="13.28515625" style="3" customWidth="1"/>
    <col min="8708" max="8708" width="11.42578125" style="3"/>
    <col min="8709" max="8709" width="13.42578125" style="3" customWidth="1"/>
    <col min="8710" max="8710" width="12.7109375" style="3" customWidth="1"/>
    <col min="8711" max="8711" width="14" style="3" customWidth="1"/>
    <col min="8712" max="8712" width="7.42578125" style="3" customWidth="1"/>
    <col min="8713" max="8960" width="11.42578125" style="3"/>
    <col min="8961" max="8961" width="15.85546875" style="3" customWidth="1"/>
    <col min="8962" max="8962" width="14.85546875" style="3" customWidth="1"/>
    <col min="8963" max="8963" width="13.28515625" style="3" customWidth="1"/>
    <col min="8964" max="8964" width="11.42578125" style="3"/>
    <col min="8965" max="8965" width="13.42578125" style="3" customWidth="1"/>
    <col min="8966" max="8966" width="12.7109375" style="3" customWidth="1"/>
    <col min="8967" max="8967" width="14" style="3" customWidth="1"/>
    <col min="8968" max="8968" width="7.42578125" style="3" customWidth="1"/>
    <col min="8969" max="9216" width="11.42578125" style="3"/>
    <col min="9217" max="9217" width="15.85546875" style="3" customWidth="1"/>
    <col min="9218" max="9218" width="14.85546875" style="3" customWidth="1"/>
    <col min="9219" max="9219" width="13.28515625" style="3" customWidth="1"/>
    <col min="9220" max="9220" width="11.42578125" style="3"/>
    <col min="9221" max="9221" width="13.42578125" style="3" customWidth="1"/>
    <col min="9222" max="9222" width="12.7109375" style="3" customWidth="1"/>
    <col min="9223" max="9223" width="14" style="3" customWidth="1"/>
    <col min="9224" max="9224" width="7.42578125" style="3" customWidth="1"/>
    <col min="9225" max="9472" width="11.42578125" style="3"/>
    <col min="9473" max="9473" width="15.85546875" style="3" customWidth="1"/>
    <col min="9474" max="9474" width="14.85546875" style="3" customWidth="1"/>
    <col min="9475" max="9475" width="13.28515625" style="3" customWidth="1"/>
    <col min="9476" max="9476" width="11.42578125" style="3"/>
    <col min="9477" max="9477" width="13.42578125" style="3" customWidth="1"/>
    <col min="9478" max="9478" width="12.7109375" style="3" customWidth="1"/>
    <col min="9479" max="9479" width="14" style="3" customWidth="1"/>
    <col min="9480" max="9480" width="7.42578125" style="3" customWidth="1"/>
    <col min="9481" max="9728" width="11.42578125" style="3"/>
    <col min="9729" max="9729" width="15.85546875" style="3" customWidth="1"/>
    <col min="9730" max="9730" width="14.85546875" style="3" customWidth="1"/>
    <col min="9731" max="9731" width="13.28515625" style="3" customWidth="1"/>
    <col min="9732" max="9732" width="11.42578125" style="3"/>
    <col min="9733" max="9733" width="13.42578125" style="3" customWidth="1"/>
    <col min="9734" max="9734" width="12.7109375" style="3" customWidth="1"/>
    <col min="9735" max="9735" width="14" style="3" customWidth="1"/>
    <col min="9736" max="9736" width="7.42578125" style="3" customWidth="1"/>
    <col min="9737" max="9984" width="11.42578125" style="3"/>
    <col min="9985" max="9985" width="15.85546875" style="3" customWidth="1"/>
    <col min="9986" max="9986" width="14.85546875" style="3" customWidth="1"/>
    <col min="9987" max="9987" width="13.28515625" style="3" customWidth="1"/>
    <col min="9988" max="9988" width="11.42578125" style="3"/>
    <col min="9989" max="9989" width="13.42578125" style="3" customWidth="1"/>
    <col min="9990" max="9990" width="12.7109375" style="3" customWidth="1"/>
    <col min="9991" max="9991" width="14" style="3" customWidth="1"/>
    <col min="9992" max="9992" width="7.42578125" style="3" customWidth="1"/>
    <col min="9993" max="10240" width="11.42578125" style="3"/>
    <col min="10241" max="10241" width="15.85546875" style="3" customWidth="1"/>
    <col min="10242" max="10242" width="14.85546875" style="3" customWidth="1"/>
    <col min="10243" max="10243" width="13.28515625" style="3" customWidth="1"/>
    <col min="10244" max="10244" width="11.42578125" style="3"/>
    <col min="10245" max="10245" width="13.42578125" style="3" customWidth="1"/>
    <col min="10246" max="10246" width="12.7109375" style="3" customWidth="1"/>
    <col min="10247" max="10247" width="14" style="3" customWidth="1"/>
    <col min="10248" max="10248" width="7.42578125" style="3" customWidth="1"/>
    <col min="10249" max="10496" width="11.42578125" style="3"/>
    <col min="10497" max="10497" width="15.85546875" style="3" customWidth="1"/>
    <col min="10498" max="10498" width="14.85546875" style="3" customWidth="1"/>
    <col min="10499" max="10499" width="13.28515625" style="3" customWidth="1"/>
    <col min="10500" max="10500" width="11.42578125" style="3"/>
    <col min="10501" max="10501" width="13.42578125" style="3" customWidth="1"/>
    <col min="10502" max="10502" width="12.7109375" style="3" customWidth="1"/>
    <col min="10503" max="10503" width="14" style="3" customWidth="1"/>
    <col min="10504" max="10504" width="7.42578125" style="3" customWidth="1"/>
    <col min="10505" max="10752" width="11.42578125" style="3"/>
    <col min="10753" max="10753" width="15.85546875" style="3" customWidth="1"/>
    <col min="10754" max="10754" width="14.85546875" style="3" customWidth="1"/>
    <col min="10755" max="10755" width="13.28515625" style="3" customWidth="1"/>
    <col min="10756" max="10756" width="11.42578125" style="3"/>
    <col min="10757" max="10757" width="13.42578125" style="3" customWidth="1"/>
    <col min="10758" max="10758" width="12.7109375" style="3" customWidth="1"/>
    <col min="10759" max="10759" width="14" style="3" customWidth="1"/>
    <col min="10760" max="10760" width="7.42578125" style="3" customWidth="1"/>
    <col min="10761" max="11008" width="11.42578125" style="3"/>
    <col min="11009" max="11009" width="15.85546875" style="3" customWidth="1"/>
    <col min="11010" max="11010" width="14.85546875" style="3" customWidth="1"/>
    <col min="11011" max="11011" width="13.28515625" style="3" customWidth="1"/>
    <col min="11012" max="11012" width="11.42578125" style="3"/>
    <col min="11013" max="11013" width="13.42578125" style="3" customWidth="1"/>
    <col min="11014" max="11014" width="12.7109375" style="3" customWidth="1"/>
    <col min="11015" max="11015" width="14" style="3" customWidth="1"/>
    <col min="11016" max="11016" width="7.42578125" style="3" customWidth="1"/>
    <col min="11017" max="11264" width="11.42578125" style="3"/>
    <col min="11265" max="11265" width="15.85546875" style="3" customWidth="1"/>
    <col min="11266" max="11266" width="14.85546875" style="3" customWidth="1"/>
    <col min="11267" max="11267" width="13.28515625" style="3" customWidth="1"/>
    <col min="11268" max="11268" width="11.42578125" style="3"/>
    <col min="11269" max="11269" width="13.42578125" style="3" customWidth="1"/>
    <col min="11270" max="11270" width="12.7109375" style="3" customWidth="1"/>
    <col min="11271" max="11271" width="14" style="3" customWidth="1"/>
    <col min="11272" max="11272" width="7.42578125" style="3" customWidth="1"/>
    <col min="11273" max="11520" width="11.42578125" style="3"/>
    <col min="11521" max="11521" width="15.85546875" style="3" customWidth="1"/>
    <col min="11522" max="11522" width="14.85546875" style="3" customWidth="1"/>
    <col min="11523" max="11523" width="13.28515625" style="3" customWidth="1"/>
    <col min="11524" max="11524" width="11.42578125" style="3"/>
    <col min="11525" max="11525" width="13.42578125" style="3" customWidth="1"/>
    <col min="11526" max="11526" width="12.7109375" style="3" customWidth="1"/>
    <col min="11527" max="11527" width="14" style="3" customWidth="1"/>
    <col min="11528" max="11528" width="7.42578125" style="3" customWidth="1"/>
    <col min="11529" max="11776" width="11.42578125" style="3"/>
    <col min="11777" max="11777" width="15.85546875" style="3" customWidth="1"/>
    <col min="11778" max="11778" width="14.85546875" style="3" customWidth="1"/>
    <col min="11779" max="11779" width="13.28515625" style="3" customWidth="1"/>
    <col min="11780" max="11780" width="11.42578125" style="3"/>
    <col min="11781" max="11781" width="13.42578125" style="3" customWidth="1"/>
    <col min="11782" max="11782" width="12.7109375" style="3" customWidth="1"/>
    <col min="11783" max="11783" width="14" style="3" customWidth="1"/>
    <col min="11784" max="11784" width="7.42578125" style="3" customWidth="1"/>
    <col min="11785" max="12032" width="11.42578125" style="3"/>
    <col min="12033" max="12033" width="15.85546875" style="3" customWidth="1"/>
    <col min="12034" max="12034" width="14.85546875" style="3" customWidth="1"/>
    <col min="12035" max="12035" width="13.28515625" style="3" customWidth="1"/>
    <col min="12036" max="12036" width="11.42578125" style="3"/>
    <col min="12037" max="12037" width="13.42578125" style="3" customWidth="1"/>
    <col min="12038" max="12038" width="12.7109375" style="3" customWidth="1"/>
    <col min="12039" max="12039" width="14" style="3" customWidth="1"/>
    <col min="12040" max="12040" width="7.42578125" style="3" customWidth="1"/>
    <col min="12041" max="12288" width="11.42578125" style="3"/>
    <col min="12289" max="12289" width="15.85546875" style="3" customWidth="1"/>
    <col min="12290" max="12290" width="14.85546875" style="3" customWidth="1"/>
    <col min="12291" max="12291" width="13.28515625" style="3" customWidth="1"/>
    <col min="12292" max="12292" width="11.42578125" style="3"/>
    <col min="12293" max="12293" width="13.42578125" style="3" customWidth="1"/>
    <col min="12294" max="12294" width="12.7109375" style="3" customWidth="1"/>
    <col min="12295" max="12295" width="14" style="3" customWidth="1"/>
    <col min="12296" max="12296" width="7.42578125" style="3" customWidth="1"/>
    <col min="12297" max="12544" width="11.42578125" style="3"/>
    <col min="12545" max="12545" width="15.85546875" style="3" customWidth="1"/>
    <col min="12546" max="12546" width="14.85546875" style="3" customWidth="1"/>
    <col min="12547" max="12547" width="13.28515625" style="3" customWidth="1"/>
    <col min="12548" max="12548" width="11.42578125" style="3"/>
    <col min="12549" max="12549" width="13.42578125" style="3" customWidth="1"/>
    <col min="12550" max="12550" width="12.7109375" style="3" customWidth="1"/>
    <col min="12551" max="12551" width="14" style="3" customWidth="1"/>
    <col min="12552" max="12552" width="7.42578125" style="3" customWidth="1"/>
    <col min="12553" max="12800" width="11.42578125" style="3"/>
    <col min="12801" max="12801" width="15.85546875" style="3" customWidth="1"/>
    <col min="12802" max="12802" width="14.85546875" style="3" customWidth="1"/>
    <col min="12803" max="12803" width="13.28515625" style="3" customWidth="1"/>
    <col min="12804" max="12804" width="11.42578125" style="3"/>
    <col min="12805" max="12805" width="13.42578125" style="3" customWidth="1"/>
    <col min="12806" max="12806" width="12.7109375" style="3" customWidth="1"/>
    <col min="12807" max="12807" width="14" style="3" customWidth="1"/>
    <col min="12808" max="12808" width="7.42578125" style="3" customWidth="1"/>
    <col min="12809" max="13056" width="11.42578125" style="3"/>
    <col min="13057" max="13057" width="15.85546875" style="3" customWidth="1"/>
    <col min="13058" max="13058" width="14.85546875" style="3" customWidth="1"/>
    <col min="13059" max="13059" width="13.28515625" style="3" customWidth="1"/>
    <col min="13060" max="13060" width="11.42578125" style="3"/>
    <col min="13061" max="13061" width="13.42578125" style="3" customWidth="1"/>
    <col min="13062" max="13062" width="12.7109375" style="3" customWidth="1"/>
    <col min="13063" max="13063" width="14" style="3" customWidth="1"/>
    <col min="13064" max="13064" width="7.42578125" style="3" customWidth="1"/>
    <col min="13065" max="13312" width="11.42578125" style="3"/>
    <col min="13313" max="13313" width="15.85546875" style="3" customWidth="1"/>
    <col min="13314" max="13314" width="14.85546875" style="3" customWidth="1"/>
    <col min="13315" max="13315" width="13.28515625" style="3" customWidth="1"/>
    <col min="13316" max="13316" width="11.42578125" style="3"/>
    <col min="13317" max="13317" width="13.42578125" style="3" customWidth="1"/>
    <col min="13318" max="13318" width="12.7109375" style="3" customWidth="1"/>
    <col min="13319" max="13319" width="14" style="3" customWidth="1"/>
    <col min="13320" max="13320" width="7.42578125" style="3" customWidth="1"/>
    <col min="13321" max="13568" width="11.42578125" style="3"/>
    <col min="13569" max="13569" width="15.85546875" style="3" customWidth="1"/>
    <col min="13570" max="13570" width="14.85546875" style="3" customWidth="1"/>
    <col min="13571" max="13571" width="13.28515625" style="3" customWidth="1"/>
    <col min="13572" max="13572" width="11.42578125" style="3"/>
    <col min="13573" max="13573" width="13.42578125" style="3" customWidth="1"/>
    <col min="13574" max="13574" width="12.7109375" style="3" customWidth="1"/>
    <col min="13575" max="13575" width="14" style="3" customWidth="1"/>
    <col min="13576" max="13576" width="7.42578125" style="3" customWidth="1"/>
    <col min="13577" max="13824" width="11.42578125" style="3"/>
    <col min="13825" max="13825" width="15.85546875" style="3" customWidth="1"/>
    <col min="13826" max="13826" width="14.85546875" style="3" customWidth="1"/>
    <col min="13827" max="13827" width="13.28515625" style="3" customWidth="1"/>
    <col min="13828" max="13828" width="11.42578125" style="3"/>
    <col min="13829" max="13829" width="13.42578125" style="3" customWidth="1"/>
    <col min="13830" max="13830" width="12.7109375" style="3" customWidth="1"/>
    <col min="13831" max="13831" width="14" style="3" customWidth="1"/>
    <col min="13832" max="13832" width="7.42578125" style="3" customWidth="1"/>
    <col min="13833" max="14080" width="11.42578125" style="3"/>
    <col min="14081" max="14081" width="15.85546875" style="3" customWidth="1"/>
    <col min="14082" max="14082" width="14.85546875" style="3" customWidth="1"/>
    <col min="14083" max="14083" width="13.28515625" style="3" customWidth="1"/>
    <col min="14084" max="14084" width="11.42578125" style="3"/>
    <col min="14085" max="14085" width="13.42578125" style="3" customWidth="1"/>
    <col min="14086" max="14086" width="12.7109375" style="3" customWidth="1"/>
    <col min="14087" max="14087" width="14" style="3" customWidth="1"/>
    <col min="14088" max="14088" width="7.42578125" style="3" customWidth="1"/>
    <col min="14089" max="14336" width="11.42578125" style="3"/>
    <col min="14337" max="14337" width="15.85546875" style="3" customWidth="1"/>
    <col min="14338" max="14338" width="14.85546875" style="3" customWidth="1"/>
    <col min="14339" max="14339" width="13.28515625" style="3" customWidth="1"/>
    <col min="14340" max="14340" width="11.42578125" style="3"/>
    <col min="14341" max="14341" width="13.42578125" style="3" customWidth="1"/>
    <col min="14342" max="14342" width="12.7109375" style="3" customWidth="1"/>
    <col min="14343" max="14343" width="14" style="3" customWidth="1"/>
    <col min="14344" max="14344" width="7.42578125" style="3" customWidth="1"/>
    <col min="14345" max="14592" width="11.42578125" style="3"/>
    <col min="14593" max="14593" width="15.85546875" style="3" customWidth="1"/>
    <col min="14594" max="14594" width="14.85546875" style="3" customWidth="1"/>
    <col min="14595" max="14595" width="13.28515625" style="3" customWidth="1"/>
    <col min="14596" max="14596" width="11.42578125" style="3"/>
    <col min="14597" max="14597" width="13.42578125" style="3" customWidth="1"/>
    <col min="14598" max="14598" width="12.7109375" style="3" customWidth="1"/>
    <col min="14599" max="14599" width="14" style="3" customWidth="1"/>
    <col min="14600" max="14600" width="7.42578125" style="3" customWidth="1"/>
    <col min="14601" max="14848" width="11.42578125" style="3"/>
    <col min="14849" max="14849" width="15.85546875" style="3" customWidth="1"/>
    <col min="14850" max="14850" width="14.85546875" style="3" customWidth="1"/>
    <col min="14851" max="14851" width="13.28515625" style="3" customWidth="1"/>
    <col min="14852" max="14852" width="11.42578125" style="3"/>
    <col min="14853" max="14853" width="13.42578125" style="3" customWidth="1"/>
    <col min="14854" max="14854" width="12.7109375" style="3" customWidth="1"/>
    <col min="14855" max="14855" width="14" style="3" customWidth="1"/>
    <col min="14856" max="14856" width="7.42578125" style="3" customWidth="1"/>
    <col min="14857" max="15104" width="11.42578125" style="3"/>
    <col min="15105" max="15105" width="15.85546875" style="3" customWidth="1"/>
    <col min="15106" max="15106" width="14.85546875" style="3" customWidth="1"/>
    <col min="15107" max="15107" width="13.28515625" style="3" customWidth="1"/>
    <col min="15108" max="15108" width="11.42578125" style="3"/>
    <col min="15109" max="15109" width="13.42578125" style="3" customWidth="1"/>
    <col min="15110" max="15110" width="12.7109375" style="3" customWidth="1"/>
    <col min="15111" max="15111" width="14" style="3" customWidth="1"/>
    <col min="15112" max="15112" width="7.42578125" style="3" customWidth="1"/>
    <col min="15113" max="15360" width="11.42578125" style="3"/>
    <col min="15361" max="15361" width="15.85546875" style="3" customWidth="1"/>
    <col min="15362" max="15362" width="14.85546875" style="3" customWidth="1"/>
    <col min="15363" max="15363" width="13.28515625" style="3" customWidth="1"/>
    <col min="15364" max="15364" width="11.42578125" style="3"/>
    <col min="15365" max="15365" width="13.42578125" style="3" customWidth="1"/>
    <col min="15366" max="15366" width="12.7109375" style="3" customWidth="1"/>
    <col min="15367" max="15367" width="14" style="3" customWidth="1"/>
    <col min="15368" max="15368" width="7.42578125" style="3" customWidth="1"/>
    <col min="15369" max="15616" width="11.42578125" style="3"/>
    <col min="15617" max="15617" width="15.85546875" style="3" customWidth="1"/>
    <col min="15618" max="15618" width="14.85546875" style="3" customWidth="1"/>
    <col min="15619" max="15619" width="13.28515625" style="3" customWidth="1"/>
    <col min="15620" max="15620" width="11.42578125" style="3"/>
    <col min="15621" max="15621" width="13.42578125" style="3" customWidth="1"/>
    <col min="15622" max="15622" width="12.7109375" style="3" customWidth="1"/>
    <col min="15623" max="15623" width="14" style="3" customWidth="1"/>
    <col min="15624" max="15624" width="7.42578125" style="3" customWidth="1"/>
    <col min="15625" max="15872" width="11.42578125" style="3"/>
    <col min="15873" max="15873" width="15.85546875" style="3" customWidth="1"/>
    <col min="15874" max="15874" width="14.85546875" style="3" customWidth="1"/>
    <col min="15875" max="15875" width="13.28515625" style="3" customWidth="1"/>
    <col min="15876" max="15876" width="11.42578125" style="3"/>
    <col min="15877" max="15877" width="13.42578125" style="3" customWidth="1"/>
    <col min="15878" max="15878" width="12.7109375" style="3" customWidth="1"/>
    <col min="15879" max="15879" width="14" style="3" customWidth="1"/>
    <col min="15880" max="15880" width="7.42578125" style="3" customWidth="1"/>
    <col min="15881" max="16128" width="11.42578125" style="3"/>
    <col min="16129" max="16129" width="15.85546875" style="3" customWidth="1"/>
    <col min="16130" max="16130" width="14.85546875" style="3" customWidth="1"/>
    <col min="16131" max="16131" width="13.28515625" style="3" customWidth="1"/>
    <col min="16132" max="16132" width="11.42578125" style="3"/>
    <col min="16133" max="16133" width="13.42578125" style="3" customWidth="1"/>
    <col min="16134" max="16134" width="12.7109375" style="3" customWidth="1"/>
    <col min="16135" max="16135" width="14" style="3" customWidth="1"/>
    <col min="16136" max="16136" width="7.42578125" style="3" customWidth="1"/>
    <col min="16137" max="16384" width="11.42578125" style="3"/>
  </cols>
  <sheetData>
    <row r="1" spans="1:21" ht="48" customHeight="1">
      <c r="A1" s="1445" t="str">
        <f>PPTO!D3</f>
        <v>PRESUPUESTO
MUNICIPIO EL BAGRE (ANTIOQUIA).</v>
      </c>
      <c r="B1" s="1446"/>
      <c r="C1" s="1446"/>
      <c r="D1" s="1446"/>
      <c r="E1" s="1446"/>
      <c r="F1" s="1446"/>
      <c r="G1" s="1447"/>
      <c r="H1" s="1"/>
      <c r="I1" s="2"/>
    </row>
    <row r="2" spans="1:21" ht="18" customHeight="1">
      <c r="A2" s="1448"/>
      <c r="B2" s="1449"/>
      <c r="C2" s="1449"/>
      <c r="D2" s="1449"/>
      <c r="E2" s="1449"/>
      <c r="F2" s="1449"/>
      <c r="G2" s="1450"/>
      <c r="H2" s="1"/>
      <c r="I2" s="2"/>
    </row>
    <row r="3" spans="1:21" ht="25.5" customHeight="1">
      <c r="A3" s="1367" t="str">
        <f>+PPTO!$D$5</f>
        <v>PROYECTO DE MEJORAMIENTO VIAL, ESPACIO PUBLICO Y OBRAS COMPLEMENTARIAS DE LA AVENIDA LA JUVENTUD Y TRAMOS ADYACENTES Y PRIORITARIOS DEL SECTOR URBANO EN EL MUNICIPIO EL BAGRE ANTIOQUIA.</v>
      </c>
      <c r="B3" s="1368"/>
      <c r="C3" s="1368"/>
      <c r="D3" s="1368"/>
      <c r="E3" s="1368"/>
      <c r="F3" s="1368"/>
      <c r="G3" s="1369"/>
      <c r="H3" s="1"/>
      <c r="I3" s="2"/>
    </row>
    <row r="4" spans="1:21" ht="30" customHeight="1">
      <c r="A4" s="1370"/>
      <c r="B4" s="1368"/>
      <c r="C4" s="1368"/>
      <c r="D4" s="1368"/>
      <c r="E4" s="1368"/>
      <c r="F4" s="1368"/>
      <c r="G4" s="1369"/>
      <c r="H4" s="1"/>
      <c r="I4" s="2"/>
    </row>
    <row r="5" spans="1:21" ht="6.75" customHeight="1">
      <c r="A5" s="222"/>
      <c r="B5" s="6"/>
      <c r="C5" s="24"/>
      <c r="D5" s="25"/>
      <c r="E5" s="6"/>
      <c r="F5" s="6"/>
      <c r="G5" s="223"/>
      <c r="H5" s="9"/>
    </row>
    <row r="6" spans="1:21">
      <c r="A6" s="224"/>
      <c r="B6" s="1451" t="s">
        <v>705</v>
      </c>
      <c r="C6" s="1451"/>
      <c r="D6" s="1451"/>
      <c r="E6" s="1451"/>
      <c r="F6" s="1451"/>
      <c r="G6" s="225" t="s">
        <v>40</v>
      </c>
      <c r="H6" s="9"/>
    </row>
    <row r="7" spans="1:21" ht="3.75" customHeight="1">
      <c r="A7" s="226"/>
      <c r="B7" s="4"/>
      <c r="C7" s="6"/>
      <c r="D7" s="4"/>
      <c r="E7" s="4"/>
      <c r="F7" s="4"/>
      <c r="G7" s="227"/>
      <c r="H7" s="9"/>
    </row>
    <row r="8" spans="1:21" ht="22.5" customHeight="1">
      <c r="A8" s="1354" t="s">
        <v>69</v>
      </c>
      <c r="B8" s="1355"/>
      <c r="C8" s="1355"/>
      <c r="D8" s="1355"/>
      <c r="E8" s="1355"/>
      <c r="F8" s="1355"/>
      <c r="G8" s="1356"/>
      <c r="H8" s="9"/>
    </row>
    <row r="9" spans="1:21" ht="4.5" customHeight="1">
      <c r="A9" s="226"/>
      <c r="B9" s="4"/>
      <c r="C9" s="6"/>
      <c r="D9" s="4"/>
      <c r="E9" s="4"/>
      <c r="F9" s="4"/>
      <c r="G9" s="227"/>
      <c r="H9" s="9"/>
      <c r="I9" s="5"/>
      <c r="J9" s="5"/>
      <c r="K9" s="5"/>
      <c r="L9" s="26"/>
      <c r="M9" s="5"/>
      <c r="N9" s="5"/>
      <c r="O9" s="5"/>
      <c r="P9" s="5"/>
    </row>
    <row r="10" spans="1:21">
      <c r="A10" s="1373" t="s">
        <v>17</v>
      </c>
      <c r="B10" s="1374"/>
      <c r="C10" s="1374"/>
      <c r="D10" s="220" t="s">
        <v>18</v>
      </c>
      <c r="E10" s="220" t="s">
        <v>19</v>
      </c>
      <c r="F10" s="220" t="s">
        <v>20</v>
      </c>
      <c r="G10" s="228" t="s">
        <v>21</v>
      </c>
      <c r="H10" s="27"/>
      <c r="I10" s="28"/>
      <c r="J10" s="29"/>
      <c r="K10" s="30"/>
      <c r="L10" s="30"/>
      <c r="M10" s="30"/>
      <c r="N10" s="30"/>
      <c r="O10" s="30"/>
      <c r="P10" s="5"/>
    </row>
    <row r="11" spans="1:21">
      <c r="A11" s="1352" t="s">
        <v>36</v>
      </c>
      <c r="B11" s="1353"/>
      <c r="C11" s="1353"/>
      <c r="D11" s="220"/>
      <c r="E11" s="83"/>
      <c r="F11" s="97"/>
      <c r="G11" s="229">
        <v>5408</v>
      </c>
      <c r="H11" s="9"/>
      <c r="I11" s="30"/>
      <c r="J11" s="31"/>
      <c r="K11" s="30"/>
      <c r="L11" s="30"/>
      <c r="M11" s="30"/>
      <c r="N11" s="30"/>
      <c r="O11" s="30"/>
      <c r="P11" s="5"/>
    </row>
    <row r="12" spans="1:21">
      <c r="A12" s="1371" t="s">
        <v>61</v>
      </c>
      <c r="B12" s="1372"/>
      <c r="C12" s="1372"/>
      <c r="D12" s="83" t="s">
        <v>43</v>
      </c>
      <c r="E12" s="83">
        <v>85000</v>
      </c>
      <c r="F12" s="93">
        <f>+F35</f>
        <v>15</v>
      </c>
      <c r="G12" s="229">
        <f>+E12/F12</f>
        <v>5667</v>
      </c>
      <c r="H12" s="9"/>
      <c r="I12" s="16"/>
      <c r="J12" s="13"/>
      <c r="K12" s="8"/>
      <c r="L12" s="8"/>
      <c r="M12" s="8"/>
      <c r="N12" s="8"/>
      <c r="O12" s="8"/>
      <c r="P12" s="5"/>
    </row>
    <row r="13" spans="1:21">
      <c r="A13" s="1371"/>
      <c r="B13" s="1372"/>
      <c r="C13" s="1372"/>
      <c r="D13" s="83"/>
      <c r="E13" s="83"/>
      <c r="F13" s="93"/>
      <c r="G13" s="229"/>
      <c r="H13" s="9"/>
      <c r="I13" s="13"/>
      <c r="J13" s="13"/>
      <c r="K13" s="13"/>
      <c r="L13" s="13"/>
      <c r="M13" s="13"/>
      <c r="N13" s="13"/>
      <c r="O13" s="13"/>
      <c r="P13" s="5"/>
    </row>
    <row r="14" spans="1:21">
      <c r="A14" s="1371"/>
      <c r="B14" s="1372"/>
      <c r="C14" s="1372"/>
      <c r="D14" s="83"/>
      <c r="E14" s="83"/>
      <c r="F14" s="93"/>
      <c r="G14" s="229"/>
      <c r="H14" s="9"/>
      <c r="I14" s="8"/>
      <c r="J14" s="14"/>
      <c r="K14" s="32"/>
      <c r="L14" s="14"/>
      <c r="M14" s="15"/>
      <c r="N14" s="15"/>
      <c r="O14" s="19"/>
      <c r="P14" s="5"/>
    </row>
    <row r="15" spans="1:21">
      <c r="A15" s="1371"/>
      <c r="B15" s="1372"/>
      <c r="C15" s="1372"/>
      <c r="D15" s="83"/>
      <c r="E15" s="83"/>
      <c r="F15" s="98"/>
      <c r="G15" s="229"/>
      <c r="H15" s="9"/>
      <c r="I15" s="8"/>
      <c r="J15" s="33"/>
      <c r="K15" s="32"/>
      <c r="L15" s="14"/>
      <c r="M15" s="15"/>
      <c r="N15" s="15"/>
      <c r="O15" s="19"/>
      <c r="P15" s="5"/>
      <c r="Q15" s="5"/>
      <c r="R15" s="5"/>
      <c r="S15" s="5"/>
      <c r="T15" s="5"/>
      <c r="U15" s="5"/>
    </row>
    <row r="16" spans="1:21">
      <c r="A16" s="1371"/>
      <c r="B16" s="1372"/>
      <c r="C16" s="1372"/>
      <c r="D16" s="85" t="s">
        <v>37</v>
      </c>
      <c r="E16" s="50"/>
      <c r="F16" s="49"/>
      <c r="G16" s="230">
        <f>SUM(G11:G15)</f>
        <v>11075</v>
      </c>
      <c r="H16" s="9"/>
      <c r="I16" s="34"/>
      <c r="J16" s="34"/>
      <c r="K16" s="35"/>
      <c r="L16" s="36"/>
      <c r="M16" s="7"/>
      <c r="N16" s="7"/>
      <c r="O16" s="19"/>
      <c r="P16" s="5"/>
      <c r="Q16" s="5"/>
      <c r="R16" s="5"/>
      <c r="S16" s="5"/>
      <c r="T16" s="5"/>
      <c r="U16" s="5"/>
    </row>
    <row r="17" spans="1:21" ht="4.5" customHeight="1">
      <c r="A17" s="226"/>
      <c r="B17" s="4"/>
      <c r="C17" s="6"/>
      <c r="D17" s="4"/>
      <c r="E17" s="4"/>
      <c r="F17" s="4"/>
      <c r="G17" s="227"/>
      <c r="H17" s="9"/>
      <c r="I17" s="34"/>
      <c r="J17" s="34"/>
      <c r="K17" s="35"/>
      <c r="L17" s="36"/>
      <c r="M17" s="7"/>
      <c r="N17" s="7"/>
      <c r="O17" s="19"/>
      <c r="P17" s="5"/>
      <c r="Q17" s="5"/>
      <c r="R17" s="5"/>
      <c r="S17" s="5"/>
      <c r="T17" s="5"/>
      <c r="U17" s="5"/>
    </row>
    <row r="18" spans="1:21" ht="22.5" customHeight="1">
      <c r="A18" s="1354" t="s">
        <v>70</v>
      </c>
      <c r="B18" s="1355"/>
      <c r="C18" s="1355"/>
      <c r="D18" s="1355"/>
      <c r="E18" s="1355"/>
      <c r="F18" s="1355"/>
      <c r="G18" s="1356"/>
      <c r="H18" s="9"/>
    </row>
    <row r="19" spans="1:21" ht="4.5" customHeight="1">
      <c r="A19" s="226"/>
      <c r="B19" s="4"/>
      <c r="C19" s="6"/>
      <c r="D19" s="4"/>
      <c r="E19" s="4"/>
      <c r="F19" s="38"/>
      <c r="G19" s="227"/>
      <c r="H19" s="9"/>
      <c r="I19" s="34"/>
      <c r="J19" s="34"/>
      <c r="K19" s="35"/>
      <c r="L19" s="39"/>
      <c r="M19" s="7"/>
      <c r="N19" s="7"/>
      <c r="O19" s="8"/>
      <c r="P19" s="5"/>
      <c r="Q19" s="5"/>
      <c r="R19" s="5"/>
      <c r="S19" s="5"/>
      <c r="T19" s="5"/>
      <c r="U19" s="5"/>
    </row>
    <row r="20" spans="1:21">
      <c r="A20" s="1373" t="s">
        <v>17</v>
      </c>
      <c r="B20" s="1374"/>
      <c r="C20" s="1374"/>
      <c r="D20" s="220" t="s">
        <v>3</v>
      </c>
      <c r="E20" s="220" t="s">
        <v>4</v>
      </c>
      <c r="F20" s="220" t="s">
        <v>25</v>
      </c>
      <c r="G20" s="228" t="s">
        <v>21</v>
      </c>
      <c r="H20" s="27"/>
      <c r="I20" s="34"/>
      <c r="J20" s="34"/>
      <c r="K20" s="35"/>
      <c r="L20" s="39"/>
      <c r="M20" s="7"/>
      <c r="N20" s="7"/>
      <c r="O20" s="8"/>
      <c r="P20" s="5"/>
      <c r="Q20" s="5"/>
      <c r="R20" s="5"/>
      <c r="S20" s="5"/>
      <c r="T20" s="5"/>
      <c r="U20" s="5"/>
    </row>
    <row r="21" spans="1:21">
      <c r="A21" s="1382" t="s">
        <v>45</v>
      </c>
      <c r="B21" s="1383"/>
      <c r="C21" s="1383"/>
      <c r="D21" s="79" t="s">
        <v>62</v>
      </c>
      <c r="E21" s="82">
        <v>250</v>
      </c>
      <c r="F21" s="87">
        <v>90</v>
      </c>
      <c r="G21" s="231">
        <f>ROUND(F21*E21,0)</f>
        <v>22500</v>
      </c>
      <c r="H21" s="9"/>
      <c r="I21" s="34"/>
      <c r="J21" s="34"/>
      <c r="K21" s="35"/>
      <c r="L21" s="39"/>
      <c r="M21" s="7"/>
      <c r="N21" s="7"/>
      <c r="O21" s="13"/>
      <c r="P21" s="5"/>
      <c r="Q21" s="5"/>
      <c r="R21" s="5"/>
      <c r="S21" s="5"/>
      <c r="T21" s="5"/>
      <c r="U21" s="5"/>
    </row>
    <row r="22" spans="1:21">
      <c r="A22" s="1382" t="s">
        <v>63</v>
      </c>
      <c r="B22" s="1383"/>
      <c r="C22" s="1383"/>
      <c r="D22" s="81" t="s">
        <v>44</v>
      </c>
      <c r="E22" s="88">
        <v>0.59</v>
      </c>
      <c r="F22" s="78">
        <v>50000</v>
      </c>
      <c r="G22" s="231">
        <f>+E22*F22</f>
        <v>29500</v>
      </c>
      <c r="H22" s="9"/>
      <c r="I22" s="10"/>
      <c r="J22" s="10"/>
      <c r="K22" s="12"/>
      <c r="L22" s="39"/>
      <c r="M22" s="7"/>
      <c r="N22" s="7"/>
      <c r="O22" s="15"/>
      <c r="P22" s="5"/>
      <c r="Q22" s="5"/>
      <c r="R22" s="5"/>
      <c r="S22" s="5"/>
      <c r="T22" s="5"/>
      <c r="U22" s="5"/>
    </row>
    <row r="23" spans="1:21">
      <c r="A23" s="1352" t="s">
        <v>64</v>
      </c>
      <c r="B23" s="1353"/>
      <c r="C23" s="1353"/>
      <c r="D23" s="79" t="s">
        <v>53</v>
      </c>
      <c r="E23" s="82">
        <v>455</v>
      </c>
      <c r="F23" s="78">
        <f>H23/50</f>
        <v>580</v>
      </c>
      <c r="G23" s="231">
        <f>+E23*F23</f>
        <v>263900</v>
      </c>
      <c r="H23" s="9">
        <f>'CONC 3000 PSI'!H23</f>
        <v>29000</v>
      </c>
      <c r="I23" s="10"/>
      <c r="J23" s="10"/>
      <c r="K23" s="12"/>
      <c r="L23" s="39"/>
      <c r="M23" s="7"/>
      <c r="N23" s="7"/>
      <c r="O23" s="15"/>
      <c r="P23" s="5"/>
      <c r="Q23" s="5"/>
      <c r="R23" s="5"/>
      <c r="S23" s="5"/>
      <c r="T23" s="5"/>
      <c r="U23" s="5"/>
    </row>
    <row r="24" spans="1:21">
      <c r="A24" s="1352" t="s">
        <v>65</v>
      </c>
      <c r="B24" s="1353"/>
      <c r="C24" s="1353"/>
      <c r="D24" s="81" t="s">
        <v>44</v>
      </c>
      <c r="E24" s="88">
        <v>0.89</v>
      </c>
      <c r="F24" s="78">
        <v>80000</v>
      </c>
      <c r="G24" s="231">
        <f>+E24*F24</f>
        <v>71200</v>
      </c>
      <c r="H24" s="9"/>
      <c r="I24" s="10"/>
      <c r="J24" s="40"/>
      <c r="K24" s="12"/>
      <c r="L24" s="13"/>
      <c r="M24" s="14"/>
      <c r="N24" s="14"/>
      <c r="O24" s="15"/>
      <c r="P24" s="5"/>
      <c r="Q24" s="5"/>
      <c r="R24" s="5"/>
      <c r="S24" s="5"/>
      <c r="T24" s="5"/>
      <c r="U24" s="5"/>
    </row>
    <row r="25" spans="1:21">
      <c r="A25" s="1352"/>
      <c r="B25" s="1353"/>
      <c r="C25" s="1353"/>
      <c r="D25" s="81"/>
      <c r="E25" s="82"/>
      <c r="F25" s="78"/>
      <c r="G25" s="231"/>
      <c r="H25" s="9"/>
      <c r="I25" s="10"/>
      <c r="J25" s="11"/>
      <c r="K25" s="12"/>
      <c r="L25" s="13"/>
      <c r="M25" s="14"/>
      <c r="N25" s="14"/>
      <c r="O25" s="15"/>
      <c r="P25" s="5"/>
      <c r="Q25" s="5"/>
      <c r="R25" s="5"/>
      <c r="S25" s="5"/>
      <c r="T25" s="5"/>
      <c r="U25" s="5"/>
    </row>
    <row r="26" spans="1:21">
      <c r="A26" s="1386"/>
      <c r="B26" s="1353"/>
      <c r="C26" s="1353"/>
      <c r="D26" s="79"/>
      <c r="E26" s="82"/>
      <c r="F26" s="83"/>
      <c r="G26" s="67"/>
      <c r="H26" s="9"/>
      <c r="I26" s="10"/>
      <c r="J26" s="11"/>
      <c r="K26" s="12"/>
      <c r="L26" s="13"/>
      <c r="M26" s="14"/>
      <c r="N26" s="14"/>
      <c r="O26" s="15"/>
      <c r="P26" s="5"/>
      <c r="Q26" s="5"/>
      <c r="R26" s="5"/>
      <c r="S26" s="5"/>
      <c r="T26" s="5"/>
      <c r="U26" s="5"/>
    </row>
    <row r="27" spans="1:21">
      <c r="A27" s="1352" t="s">
        <v>133</v>
      </c>
      <c r="B27" s="1353"/>
      <c r="C27" s="1353" t="s">
        <v>50</v>
      </c>
      <c r="D27" s="79"/>
      <c r="E27" s="82"/>
      <c r="F27" s="78"/>
      <c r="G27" s="231">
        <f>+(G21+G22+G23+G24)*5%</f>
        <v>19355</v>
      </c>
      <c r="H27" s="9"/>
      <c r="I27" s="10"/>
      <c r="J27" s="11"/>
      <c r="K27" s="12"/>
      <c r="L27" s="13"/>
      <c r="M27" s="14"/>
      <c r="N27" s="14"/>
      <c r="O27" s="15"/>
      <c r="P27" s="5"/>
      <c r="Q27" s="5"/>
      <c r="R27" s="5"/>
      <c r="S27" s="5"/>
      <c r="T27" s="5"/>
      <c r="U27" s="5"/>
    </row>
    <row r="28" spans="1:21">
      <c r="A28" s="1352"/>
      <c r="B28" s="1353"/>
      <c r="C28" s="1353"/>
      <c r="D28" s="79"/>
      <c r="E28" s="82"/>
      <c r="F28" s="83"/>
      <c r="G28" s="231"/>
      <c r="H28" s="9"/>
      <c r="I28" s="41"/>
      <c r="J28" s="41"/>
      <c r="K28" s="12"/>
      <c r="L28" s="13"/>
      <c r="M28" s="14"/>
      <c r="N28" s="14"/>
      <c r="O28" s="15"/>
      <c r="P28" s="5"/>
      <c r="Q28" s="5"/>
      <c r="R28" s="5"/>
      <c r="S28" s="5"/>
      <c r="T28" s="5"/>
      <c r="U28" s="5"/>
    </row>
    <row r="29" spans="1:21">
      <c r="A29" s="1352"/>
      <c r="B29" s="1353"/>
      <c r="C29" s="1353"/>
      <c r="D29" s="84"/>
      <c r="E29" s="84"/>
      <c r="F29" s="83"/>
      <c r="G29" s="231"/>
      <c r="H29" s="9"/>
      <c r="I29" s="42"/>
      <c r="J29" s="42"/>
      <c r="K29" s="42"/>
      <c r="L29" s="13"/>
      <c r="M29" s="14"/>
      <c r="N29" s="14"/>
      <c r="O29" s="15"/>
      <c r="P29" s="5"/>
      <c r="Q29" s="5"/>
      <c r="R29" s="5"/>
      <c r="S29" s="5"/>
      <c r="T29" s="5"/>
      <c r="U29" s="5"/>
    </row>
    <row r="30" spans="1:21">
      <c r="A30" s="1352"/>
      <c r="B30" s="1353"/>
      <c r="C30" s="1353"/>
      <c r="D30" s="85" t="s">
        <v>28</v>
      </c>
      <c r="E30" s="50"/>
      <c r="F30" s="49"/>
      <c r="G30" s="230">
        <f>SUM(G21:G29)</f>
        <v>406455</v>
      </c>
      <c r="H30" s="9"/>
      <c r="I30" s="8"/>
      <c r="J30" s="13"/>
      <c r="K30" s="8"/>
      <c r="L30" s="13"/>
      <c r="M30" s="14"/>
      <c r="N30" s="14"/>
      <c r="O30" s="15"/>
      <c r="P30" s="5"/>
    </row>
    <row r="31" spans="1:21" ht="3.75" customHeight="1">
      <c r="A31" s="226"/>
      <c r="B31" s="4"/>
      <c r="C31" s="6"/>
      <c r="D31" s="4"/>
      <c r="E31" s="4"/>
      <c r="F31" s="4"/>
      <c r="G31" s="227"/>
      <c r="H31" s="9"/>
      <c r="I31" s="8"/>
      <c r="J31" s="13"/>
      <c r="K31" s="18"/>
      <c r="L31" s="13"/>
      <c r="M31" s="33"/>
      <c r="N31" s="33"/>
      <c r="O31" s="15"/>
      <c r="P31" s="5"/>
    </row>
    <row r="32" spans="1:21" ht="22.5" customHeight="1">
      <c r="A32" s="1354" t="s">
        <v>71</v>
      </c>
      <c r="B32" s="1355"/>
      <c r="C32" s="1355"/>
      <c r="D32" s="1355"/>
      <c r="E32" s="1355"/>
      <c r="F32" s="1355"/>
      <c r="G32" s="1356"/>
      <c r="H32" s="9"/>
    </row>
    <row r="33" spans="1:16" ht="3.75" customHeight="1">
      <c r="A33" s="226"/>
      <c r="B33" s="4"/>
      <c r="C33" s="6"/>
      <c r="D33" s="4"/>
      <c r="E33" s="4"/>
      <c r="F33" s="4"/>
      <c r="G33" s="227"/>
      <c r="H33" s="9"/>
      <c r="I33" s="8"/>
      <c r="J33" s="13"/>
      <c r="K33" s="8"/>
      <c r="L33" s="8"/>
      <c r="M33" s="8"/>
      <c r="N33" s="8"/>
      <c r="O33" s="15"/>
      <c r="P33" s="5"/>
    </row>
    <row r="34" spans="1:16">
      <c r="A34" s="232" t="s">
        <v>5</v>
      </c>
      <c r="B34" s="60" t="s">
        <v>29</v>
      </c>
      <c r="C34" s="60" t="s">
        <v>30</v>
      </c>
      <c r="D34" s="60" t="s">
        <v>31</v>
      </c>
      <c r="E34" s="60" t="s">
        <v>32</v>
      </c>
      <c r="F34" s="60" t="s">
        <v>20</v>
      </c>
      <c r="G34" s="228" t="s">
        <v>33</v>
      </c>
      <c r="H34" s="27"/>
      <c r="I34" s="8"/>
      <c r="J34" s="13"/>
      <c r="K34" s="8"/>
      <c r="L34" s="8"/>
      <c r="M34" s="8"/>
      <c r="N34" s="8"/>
      <c r="O34" s="15"/>
      <c r="P34" s="5"/>
    </row>
    <row r="35" spans="1:16">
      <c r="A35" s="233" t="s">
        <v>41</v>
      </c>
      <c r="B35" s="63">
        <f>BOF</f>
        <v>51749</v>
      </c>
      <c r="C35" s="68">
        <f>ffpp</f>
        <v>0.64539999999999997</v>
      </c>
      <c r="D35" s="72">
        <v>1</v>
      </c>
      <c r="E35" s="66">
        <f>OF</f>
        <v>88696</v>
      </c>
      <c r="F35" s="65">
        <v>15</v>
      </c>
      <c r="G35" s="231">
        <f>ROUND(+D35*E35/F35,0)</f>
        <v>5913</v>
      </c>
      <c r="H35" s="9"/>
      <c r="I35" s="16"/>
      <c r="J35" s="13"/>
      <c r="K35" s="8"/>
      <c r="L35" s="8"/>
      <c r="M35" s="8"/>
      <c r="N35" s="8"/>
      <c r="O35" s="15"/>
      <c r="P35" s="5"/>
    </row>
    <row r="36" spans="1:16">
      <c r="A36" s="233" t="s">
        <v>38</v>
      </c>
      <c r="B36" s="63">
        <f>BOB</f>
        <v>41749</v>
      </c>
      <c r="C36" s="68">
        <f>ffpp</f>
        <v>0.64539999999999997</v>
      </c>
      <c r="D36" s="72">
        <v>8</v>
      </c>
      <c r="E36" s="66">
        <f>OB</f>
        <v>72242</v>
      </c>
      <c r="F36" s="65">
        <f>+F35</f>
        <v>15</v>
      </c>
      <c r="G36" s="231">
        <f>ROUND(+D36*E36/F36,0)</f>
        <v>38529</v>
      </c>
      <c r="H36" s="9"/>
      <c r="I36" s="16"/>
      <c r="J36" s="13"/>
      <c r="K36" s="8"/>
      <c r="L36" s="8"/>
      <c r="M36" s="8"/>
      <c r="N36" s="8"/>
      <c r="O36" s="15"/>
      <c r="P36" s="5"/>
    </row>
    <row r="37" spans="1:16">
      <c r="A37" s="234"/>
      <c r="B37" s="50"/>
      <c r="C37" s="960"/>
      <c r="D37" s="50"/>
      <c r="E37" s="50"/>
      <c r="F37" s="50"/>
      <c r="G37" s="235"/>
      <c r="H37" s="9"/>
      <c r="I37" s="8"/>
      <c r="J37" s="8"/>
      <c r="K37" s="13"/>
      <c r="L37" s="13"/>
      <c r="M37" s="13"/>
      <c r="N37" s="13"/>
      <c r="O37" s="13"/>
      <c r="P37" s="5"/>
    </row>
    <row r="38" spans="1:16">
      <c r="A38" s="233"/>
      <c r="B38" s="63"/>
      <c r="C38" s="64"/>
      <c r="D38" s="72"/>
      <c r="E38" s="66"/>
      <c r="F38" s="69"/>
      <c r="G38" s="231"/>
      <c r="H38" s="9"/>
      <c r="I38" s="8"/>
      <c r="J38" s="13"/>
      <c r="K38" s="13"/>
      <c r="L38" s="13"/>
      <c r="M38" s="33"/>
      <c r="N38" s="33"/>
      <c r="O38" s="43"/>
      <c r="P38" s="5"/>
    </row>
    <row r="39" spans="1:16">
      <c r="A39" s="233"/>
      <c r="B39" s="65"/>
      <c r="C39" s="68"/>
      <c r="D39" s="65"/>
      <c r="E39" s="69"/>
      <c r="F39" s="69"/>
      <c r="G39" s="236"/>
      <c r="H39" s="9"/>
      <c r="I39" s="8"/>
      <c r="J39" s="13"/>
      <c r="K39" s="13"/>
      <c r="L39" s="13"/>
      <c r="M39" s="33"/>
      <c r="N39" s="33"/>
      <c r="O39" s="43"/>
      <c r="P39" s="5"/>
    </row>
    <row r="40" spans="1:16">
      <c r="A40" s="1352"/>
      <c r="B40" s="1353"/>
      <c r="C40" s="1353"/>
      <c r="D40" s="85" t="s">
        <v>34</v>
      </c>
      <c r="E40" s="50"/>
      <c r="F40" s="49"/>
      <c r="G40" s="230">
        <f>SUM(G35:G39)-1</f>
        <v>44441</v>
      </c>
      <c r="H40" s="9"/>
      <c r="I40" s="792">
        <f>G40*0.22</f>
        <v>9777.02</v>
      </c>
      <c r="J40" s="13"/>
      <c r="K40" s="8"/>
      <c r="L40" s="13"/>
      <c r="M40" s="14"/>
      <c r="N40" s="14"/>
      <c r="O40" s="15"/>
      <c r="P40" s="5"/>
    </row>
    <row r="41" spans="1:16">
      <c r="A41" s="237"/>
      <c r="B41" s="111"/>
      <c r="C41" s="111"/>
      <c r="D41" s="112"/>
      <c r="E41" s="5"/>
      <c r="F41" s="113"/>
      <c r="G41" s="238"/>
      <c r="H41" s="9"/>
      <c r="I41" s="8"/>
      <c r="J41" s="13"/>
      <c r="K41" s="8"/>
      <c r="L41" s="13"/>
      <c r="M41" s="14"/>
      <c r="N41" s="14"/>
      <c r="O41" s="15"/>
      <c r="P41" s="5"/>
    </row>
    <row r="42" spans="1:16">
      <c r="A42" s="226"/>
      <c r="B42" s="4"/>
      <c r="C42" s="6"/>
      <c r="D42" s="4"/>
      <c r="E42" s="4"/>
      <c r="F42" s="4"/>
      <c r="G42" s="227"/>
      <c r="H42" s="9"/>
      <c r="I42" s="8"/>
      <c r="J42" s="13"/>
      <c r="K42" s="13"/>
      <c r="L42" s="13"/>
      <c r="M42" s="14"/>
      <c r="N42" s="14"/>
      <c r="O42" s="19"/>
      <c r="P42" s="5"/>
    </row>
    <row r="43" spans="1:16" ht="14.25">
      <c r="A43" s="226"/>
      <c r="B43" s="4"/>
      <c r="C43" s="6"/>
      <c r="D43" s="1357" t="s">
        <v>35</v>
      </c>
      <c r="E43" s="1358"/>
      <c r="F43" s="1359"/>
      <c r="G43" s="239">
        <f>+G40+G30+G16</f>
        <v>461971</v>
      </c>
      <c r="H43" s="9"/>
      <c r="I43" s="48"/>
      <c r="J43" s="20"/>
      <c r="K43" s="8"/>
      <c r="L43" s="8"/>
      <c r="M43" s="8"/>
      <c r="N43" s="8"/>
      <c r="O43" s="8"/>
      <c r="P43" s="5"/>
    </row>
    <row r="44" spans="1:16">
      <c r="A44" s="240"/>
      <c r="B44" s="57"/>
      <c r="C44" s="58"/>
      <c r="D44" s="100"/>
      <c r="E44" s="100"/>
      <c r="F44" s="100"/>
      <c r="G44" s="227"/>
      <c r="H44" s="9"/>
      <c r="I44" s="8"/>
      <c r="J44" s="13"/>
      <c r="K44" s="13"/>
      <c r="L44" s="13"/>
      <c r="M44" s="17"/>
      <c r="N44" s="17"/>
      <c r="O44" s="37"/>
      <c r="P44" s="5"/>
    </row>
    <row r="45" spans="1:16">
      <c r="A45" s="374"/>
      <c r="B45" s="375"/>
      <c r="C45" s="375"/>
      <c r="D45" s="100"/>
      <c r="E45" s="100"/>
      <c r="F45" s="100"/>
      <c r="G45" s="227"/>
      <c r="H45" s="9"/>
      <c r="I45" s="8"/>
      <c r="J45" s="13"/>
      <c r="K45" s="13"/>
      <c r="L45" s="13"/>
      <c r="M45" s="17"/>
      <c r="N45" s="17"/>
      <c r="O45" s="37"/>
      <c r="P45" s="5"/>
    </row>
    <row r="46" spans="1:16">
      <c r="A46" s="373"/>
      <c r="B46" s="376"/>
      <c r="C46" s="376"/>
      <c r="D46" s="100"/>
      <c r="E46" s="100"/>
      <c r="F46" s="100"/>
      <c r="G46" s="227"/>
      <c r="H46" s="9"/>
      <c r="I46" s="8"/>
      <c r="J46" s="13"/>
      <c r="K46" s="13"/>
      <c r="L46" s="13"/>
      <c r="M46" s="17"/>
      <c r="N46" s="17"/>
      <c r="O46" s="37"/>
      <c r="P46" s="5"/>
    </row>
    <row r="47" spans="1:16">
      <c r="A47" s="373"/>
      <c r="B47" s="376"/>
      <c r="C47" s="376"/>
      <c r="D47" s="5"/>
      <c r="E47" s="5"/>
      <c r="F47" s="5"/>
      <c r="G47" s="241"/>
      <c r="H47" s="9"/>
      <c r="I47" s="13"/>
      <c r="J47" s="13"/>
      <c r="K47" s="8"/>
      <c r="L47" s="8"/>
      <c r="M47" s="8"/>
      <c r="N47" s="8"/>
      <c r="O47" s="8"/>
      <c r="P47" s="5"/>
    </row>
    <row r="48" spans="1:16" ht="15" thickBot="1">
      <c r="A48" s="242"/>
      <c r="B48" s="243"/>
      <c r="C48" s="244"/>
      <c r="D48" s="245"/>
      <c r="E48" s="246"/>
      <c r="F48" s="246"/>
      <c r="G48" s="247"/>
      <c r="H48" s="9"/>
      <c r="I48" s="8"/>
      <c r="J48" s="13"/>
      <c r="K48" s="8"/>
      <c r="L48" s="8"/>
      <c r="M48" s="8"/>
      <c r="N48" s="8"/>
      <c r="O48" s="8"/>
      <c r="P48" s="5"/>
    </row>
    <row r="49" spans="9:16">
      <c r="I49" s="5"/>
      <c r="J49" s="5"/>
      <c r="K49" s="5"/>
      <c r="L49" s="5"/>
      <c r="M49" s="5"/>
      <c r="N49" s="5"/>
      <c r="O49" s="5"/>
      <c r="P49" s="5"/>
    </row>
  </sheetData>
  <mergeCells count="27">
    <mergeCell ref="A40:C40"/>
    <mergeCell ref="D43:F43"/>
    <mergeCell ref="A25:C25"/>
    <mergeCell ref="A26:C26"/>
    <mergeCell ref="A27:C27"/>
    <mergeCell ref="A28:C28"/>
    <mergeCell ref="A29:C29"/>
    <mergeCell ref="A30:C30"/>
    <mergeCell ref="A20:C20"/>
    <mergeCell ref="A21:C21"/>
    <mergeCell ref="A22:C22"/>
    <mergeCell ref="A23:C23"/>
    <mergeCell ref="A32:G32"/>
    <mergeCell ref="A24:C24"/>
    <mergeCell ref="A10:C10"/>
    <mergeCell ref="A1:G1"/>
    <mergeCell ref="A2:G2"/>
    <mergeCell ref="A3:G4"/>
    <mergeCell ref="B6:F6"/>
    <mergeCell ref="A8:G8"/>
    <mergeCell ref="A16:C16"/>
    <mergeCell ref="A18:G18"/>
    <mergeCell ref="A11:C11"/>
    <mergeCell ref="A12:C12"/>
    <mergeCell ref="A13:C13"/>
    <mergeCell ref="A14:C14"/>
    <mergeCell ref="A15:C15"/>
  </mergeCells>
  <printOptions horizontalCentered="1" verticalCentered="1"/>
  <pageMargins left="0.74803149606299213" right="0.74803149606299213" top="0" bottom="0.98425196850393704" header="0" footer="0"/>
  <pageSetup scale="90" orientation="portrait" r:id="rId1"/>
  <headerFooter alignWithMargins="0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3"/>
  <dimension ref="A1:U49"/>
  <sheetViews>
    <sheetView view="pageBreakPreview" topLeftCell="A30" zoomScaleNormal="100" zoomScaleSheetLayoutView="100" workbookViewId="0">
      <selection activeCell="G35" sqref="G35:G36"/>
    </sheetView>
  </sheetViews>
  <sheetFormatPr baseColWidth="10" defaultColWidth="10.7109375" defaultRowHeight="12.75"/>
  <cols>
    <col min="1" max="1" width="15.85546875" style="3" customWidth="1"/>
    <col min="2" max="2" width="14.85546875" style="3" customWidth="1"/>
    <col min="3" max="3" width="13.28515625" style="3" customWidth="1"/>
    <col min="4" max="4" width="11.42578125" style="3"/>
    <col min="5" max="5" width="13.42578125" style="3" customWidth="1"/>
    <col min="6" max="6" width="12.7109375" style="3" customWidth="1"/>
    <col min="7" max="7" width="14" style="3" customWidth="1"/>
    <col min="8" max="8" width="12.7109375" style="3" customWidth="1"/>
    <col min="9" max="256" width="11.42578125" style="3"/>
    <col min="257" max="257" width="15.85546875" style="3" customWidth="1"/>
    <col min="258" max="258" width="14.85546875" style="3" customWidth="1"/>
    <col min="259" max="259" width="13.28515625" style="3" customWidth="1"/>
    <col min="260" max="260" width="11.42578125" style="3"/>
    <col min="261" max="261" width="13.42578125" style="3" customWidth="1"/>
    <col min="262" max="262" width="12.7109375" style="3" customWidth="1"/>
    <col min="263" max="263" width="14" style="3" customWidth="1"/>
    <col min="264" max="264" width="7.42578125" style="3" customWidth="1"/>
    <col min="265" max="512" width="11.42578125" style="3"/>
    <col min="513" max="513" width="15.85546875" style="3" customWidth="1"/>
    <col min="514" max="514" width="14.85546875" style="3" customWidth="1"/>
    <col min="515" max="515" width="13.28515625" style="3" customWidth="1"/>
    <col min="516" max="516" width="11.42578125" style="3"/>
    <col min="517" max="517" width="13.42578125" style="3" customWidth="1"/>
    <col min="518" max="518" width="12.7109375" style="3" customWidth="1"/>
    <col min="519" max="519" width="14" style="3" customWidth="1"/>
    <col min="520" max="520" width="7.42578125" style="3" customWidth="1"/>
    <col min="521" max="768" width="11.42578125" style="3"/>
    <col min="769" max="769" width="15.85546875" style="3" customWidth="1"/>
    <col min="770" max="770" width="14.85546875" style="3" customWidth="1"/>
    <col min="771" max="771" width="13.28515625" style="3" customWidth="1"/>
    <col min="772" max="772" width="11.42578125" style="3"/>
    <col min="773" max="773" width="13.42578125" style="3" customWidth="1"/>
    <col min="774" max="774" width="12.7109375" style="3" customWidth="1"/>
    <col min="775" max="775" width="14" style="3" customWidth="1"/>
    <col min="776" max="776" width="7.42578125" style="3" customWidth="1"/>
    <col min="777" max="1024" width="11.42578125" style="3"/>
    <col min="1025" max="1025" width="15.85546875" style="3" customWidth="1"/>
    <col min="1026" max="1026" width="14.85546875" style="3" customWidth="1"/>
    <col min="1027" max="1027" width="13.28515625" style="3" customWidth="1"/>
    <col min="1028" max="1028" width="11.42578125" style="3"/>
    <col min="1029" max="1029" width="13.42578125" style="3" customWidth="1"/>
    <col min="1030" max="1030" width="12.7109375" style="3" customWidth="1"/>
    <col min="1031" max="1031" width="14" style="3" customWidth="1"/>
    <col min="1032" max="1032" width="7.42578125" style="3" customWidth="1"/>
    <col min="1033" max="1280" width="11.42578125" style="3"/>
    <col min="1281" max="1281" width="15.85546875" style="3" customWidth="1"/>
    <col min="1282" max="1282" width="14.85546875" style="3" customWidth="1"/>
    <col min="1283" max="1283" width="13.28515625" style="3" customWidth="1"/>
    <col min="1284" max="1284" width="11.42578125" style="3"/>
    <col min="1285" max="1285" width="13.42578125" style="3" customWidth="1"/>
    <col min="1286" max="1286" width="12.7109375" style="3" customWidth="1"/>
    <col min="1287" max="1287" width="14" style="3" customWidth="1"/>
    <col min="1288" max="1288" width="7.42578125" style="3" customWidth="1"/>
    <col min="1289" max="1536" width="11.42578125" style="3"/>
    <col min="1537" max="1537" width="15.85546875" style="3" customWidth="1"/>
    <col min="1538" max="1538" width="14.85546875" style="3" customWidth="1"/>
    <col min="1539" max="1539" width="13.28515625" style="3" customWidth="1"/>
    <col min="1540" max="1540" width="11.42578125" style="3"/>
    <col min="1541" max="1541" width="13.42578125" style="3" customWidth="1"/>
    <col min="1542" max="1542" width="12.7109375" style="3" customWidth="1"/>
    <col min="1543" max="1543" width="14" style="3" customWidth="1"/>
    <col min="1544" max="1544" width="7.42578125" style="3" customWidth="1"/>
    <col min="1545" max="1792" width="11.42578125" style="3"/>
    <col min="1793" max="1793" width="15.85546875" style="3" customWidth="1"/>
    <col min="1794" max="1794" width="14.85546875" style="3" customWidth="1"/>
    <col min="1795" max="1795" width="13.28515625" style="3" customWidth="1"/>
    <col min="1796" max="1796" width="11.42578125" style="3"/>
    <col min="1797" max="1797" width="13.42578125" style="3" customWidth="1"/>
    <col min="1798" max="1798" width="12.7109375" style="3" customWidth="1"/>
    <col min="1799" max="1799" width="14" style="3" customWidth="1"/>
    <col min="1800" max="1800" width="7.42578125" style="3" customWidth="1"/>
    <col min="1801" max="2048" width="11.42578125" style="3"/>
    <col min="2049" max="2049" width="15.85546875" style="3" customWidth="1"/>
    <col min="2050" max="2050" width="14.85546875" style="3" customWidth="1"/>
    <col min="2051" max="2051" width="13.28515625" style="3" customWidth="1"/>
    <col min="2052" max="2052" width="11.42578125" style="3"/>
    <col min="2053" max="2053" width="13.42578125" style="3" customWidth="1"/>
    <col min="2054" max="2054" width="12.7109375" style="3" customWidth="1"/>
    <col min="2055" max="2055" width="14" style="3" customWidth="1"/>
    <col min="2056" max="2056" width="7.42578125" style="3" customWidth="1"/>
    <col min="2057" max="2304" width="11.42578125" style="3"/>
    <col min="2305" max="2305" width="15.85546875" style="3" customWidth="1"/>
    <col min="2306" max="2306" width="14.85546875" style="3" customWidth="1"/>
    <col min="2307" max="2307" width="13.28515625" style="3" customWidth="1"/>
    <col min="2308" max="2308" width="11.42578125" style="3"/>
    <col min="2309" max="2309" width="13.42578125" style="3" customWidth="1"/>
    <col min="2310" max="2310" width="12.7109375" style="3" customWidth="1"/>
    <col min="2311" max="2311" width="14" style="3" customWidth="1"/>
    <col min="2312" max="2312" width="7.42578125" style="3" customWidth="1"/>
    <col min="2313" max="2560" width="11.42578125" style="3"/>
    <col min="2561" max="2561" width="15.85546875" style="3" customWidth="1"/>
    <col min="2562" max="2562" width="14.85546875" style="3" customWidth="1"/>
    <col min="2563" max="2563" width="13.28515625" style="3" customWidth="1"/>
    <col min="2564" max="2564" width="11.42578125" style="3"/>
    <col min="2565" max="2565" width="13.42578125" style="3" customWidth="1"/>
    <col min="2566" max="2566" width="12.7109375" style="3" customWidth="1"/>
    <col min="2567" max="2567" width="14" style="3" customWidth="1"/>
    <col min="2568" max="2568" width="7.42578125" style="3" customWidth="1"/>
    <col min="2569" max="2816" width="11.42578125" style="3"/>
    <col min="2817" max="2817" width="15.85546875" style="3" customWidth="1"/>
    <col min="2818" max="2818" width="14.85546875" style="3" customWidth="1"/>
    <col min="2819" max="2819" width="13.28515625" style="3" customWidth="1"/>
    <col min="2820" max="2820" width="11.42578125" style="3"/>
    <col min="2821" max="2821" width="13.42578125" style="3" customWidth="1"/>
    <col min="2822" max="2822" width="12.7109375" style="3" customWidth="1"/>
    <col min="2823" max="2823" width="14" style="3" customWidth="1"/>
    <col min="2824" max="2824" width="7.42578125" style="3" customWidth="1"/>
    <col min="2825" max="3072" width="11.42578125" style="3"/>
    <col min="3073" max="3073" width="15.85546875" style="3" customWidth="1"/>
    <col min="3074" max="3074" width="14.85546875" style="3" customWidth="1"/>
    <col min="3075" max="3075" width="13.28515625" style="3" customWidth="1"/>
    <col min="3076" max="3076" width="11.42578125" style="3"/>
    <col min="3077" max="3077" width="13.42578125" style="3" customWidth="1"/>
    <col min="3078" max="3078" width="12.7109375" style="3" customWidth="1"/>
    <col min="3079" max="3079" width="14" style="3" customWidth="1"/>
    <col min="3080" max="3080" width="7.42578125" style="3" customWidth="1"/>
    <col min="3081" max="3328" width="11.42578125" style="3"/>
    <col min="3329" max="3329" width="15.85546875" style="3" customWidth="1"/>
    <col min="3330" max="3330" width="14.85546875" style="3" customWidth="1"/>
    <col min="3331" max="3331" width="13.28515625" style="3" customWidth="1"/>
    <col min="3332" max="3332" width="11.42578125" style="3"/>
    <col min="3333" max="3333" width="13.42578125" style="3" customWidth="1"/>
    <col min="3334" max="3334" width="12.7109375" style="3" customWidth="1"/>
    <col min="3335" max="3335" width="14" style="3" customWidth="1"/>
    <col min="3336" max="3336" width="7.42578125" style="3" customWidth="1"/>
    <col min="3337" max="3584" width="11.42578125" style="3"/>
    <col min="3585" max="3585" width="15.85546875" style="3" customWidth="1"/>
    <col min="3586" max="3586" width="14.85546875" style="3" customWidth="1"/>
    <col min="3587" max="3587" width="13.28515625" style="3" customWidth="1"/>
    <col min="3588" max="3588" width="11.42578125" style="3"/>
    <col min="3589" max="3589" width="13.42578125" style="3" customWidth="1"/>
    <col min="3590" max="3590" width="12.7109375" style="3" customWidth="1"/>
    <col min="3591" max="3591" width="14" style="3" customWidth="1"/>
    <col min="3592" max="3592" width="7.42578125" style="3" customWidth="1"/>
    <col min="3593" max="3840" width="11.42578125" style="3"/>
    <col min="3841" max="3841" width="15.85546875" style="3" customWidth="1"/>
    <col min="3842" max="3842" width="14.85546875" style="3" customWidth="1"/>
    <col min="3843" max="3843" width="13.28515625" style="3" customWidth="1"/>
    <col min="3844" max="3844" width="11.42578125" style="3"/>
    <col min="3845" max="3845" width="13.42578125" style="3" customWidth="1"/>
    <col min="3846" max="3846" width="12.7109375" style="3" customWidth="1"/>
    <col min="3847" max="3847" width="14" style="3" customWidth="1"/>
    <col min="3848" max="3848" width="7.42578125" style="3" customWidth="1"/>
    <col min="3849" max="4096" width="11.42578125" style="3"/>
    <col min="4097" max="4097" width="15.85546875" style="3" customWidth="1"/>
    <col min="4098" max="4098" width="14.85546875" style="3" customWidth="1"/>
    <col min="4099" max="4099" width="13.28515625" style="3" customWidth="1"/>
    <col min="4100" max="4100" width="11.42578125" style="3"/>
    <col min="4101" max="4101" width="13.42578125" style="3" customWidth="1"/>
    <col min="4102" max="4102" width="12.7109375" style="3" customWidth="1"/>
    <col min="4103" max="4103" width="14" style="3" customWidth="1"/>
    <col min="4104" max="4104" width="7.42578125" style="3" customWidth="1"/>
    <col min="4105" max="4352" width="11.42578125" style="3"/>
    <col min="4353" max="4353" width="15.85546875" style="3" customWidth="1"/>
    <col min="4354" max="4354" width="14.85546875" style="3" customWidth="1"/>
    <col min="4355" max="4355" width="13.28515625" style="3" customWidth="1"/>
    <col min="4356" max="4356" width="11.42578125" style="3"/>
    <col min="4357" max="4357" width="13.42578125" style="3" customWidth="1"/>
    <col min="4358" max="4358" width="12.7109375" style="3" customWidth="1"/>
    <col min="4359" max="4359" width="14" style="3" customWidth="1"/>
    <col min="4360" max="4360" width="7.42578125" style="3" customWidth="1"/>
    <col min="4361" max="4608" width="11.42578125" style="3"/>
    <col min="4609" max="4609" width="15.85546875" style="3" customWidth="1"/>
    <col min="4610" max="4610" width="14.85546875" style="3" customWidth="1"/>
    <col min="4611" max="4611" width="13.28515625" style="3" customWidth="1"/>
    <col min="4612" max="4612" width="11.42578125" style="3"/>
    <col min="4613" max="4613" width="13.42578125" style="3" customWidth="1"/>
    <col min="4614" max="4614" width="12.7109375" style="3" customWidth="1"/>
    <col min="4615" max="4615" width="14" style="3" customWidth="1"/>
    <col min="4616" max="4616" width="7.42578125" style="3" customWidth="1"/>
    <col min="4617" max="4864" width="11.42578125" style="3"/>
    <col min="4865" max="4865" width="15.85546875" style="3" customWidth="1"/>
    <col min="4866" max="4866" width="14.85546875" style="3" customWidth="1"/>
    <col min="4867" max="4867" width="13.28515625" style="3" customWidth="1"/>
    <col min="4868" max="4868" width="11.42578125" style="3"/>
    <col min="4869" max="4869" width="13.42578125" style="3" customWidth="1"/>
    <col min="4870" max="4870" width="12.7109375" style="3" customWidth="1"/>
    <col min="4871" max="4871" width="14" style="3" customWidth="1"/>
    <col min="4872" max="4872" width="7.42578125" style="3" customWidth="1"/>
    <col min="4873" max="5120" width="11.42578125" style="3"/>
    <col min="5121" max="5121" width="15.85546875" style="3" customWidth="1"/>
    <col min="5122" max="5122" width="14.85546875" style="3" customWidth="1"/>
    <col min="5123" max="5123" width="13.28515625" style="3" customWidth="1"/>
    <col min="5124" max="5124" width="11.42578125" style="3"/>
    <col min="5125" max="5125" width="13.42578125" style="3" customWidth="1"/>
    <col min="5126" max="5126" width="12.7109375" style="3" customWidth="1"/>
    <col min="5127" max="5127" width="14" style="3" customWidth="1"/>
    <col min="5128" max="5128" width="7.42578125" style="3" customWidth="1"/>
    <col min="5129" max="5376" width="11.42578125" style="3"/>
    <col min="5377" max="5377" width="15.85546875" style="3" customWidth="1"/>
    <col min="5378" max="5378" width="14.85546875" style="3" customWidth="1"/>
    <col min="5379" max="5379" width="13.28515625" style="3" customWidth="1"/>
    <col min="5380" max="5380" width="11.42578125" style="3"/>
    <col min="5381" max="5381" width="13.42578125" style="3" customWidth="1"/>
    <col min="5382" max="5382" width="12.7109375" style="3" customWidth="1"/>
    <col min="5383" max="5383" width="14" style="3" customWidth="1"/>
    <col min="5384" max="5384" width="7.42578125" style="3" customWidth="1"/>
    <col min="5385" max="5632" width="11.42578125" style="3"/>
    <col min="5633" max="5633" width="15.85546875" style="3" customWidth="1"/>
    <col min="5634" max="5634" width="14.85546875" style="3" customWidth="1"/>
    <col min="5635" max="5635" width="13.28515625" style="3" customWidth="1"/>
    <col min="5636" max="5636" width="11.42578125" style="3"/>
    <col min="5637" max="5637" width="13.42578125" style="3" customWidth="1"/>
    <col min="5638" max="5638" width="12.7109375" style="3" customWidth="1"/>
    <col min="5639" max="5639" width="14" style="3" customWidth="1"/>
    <col min="5640" max="5640" width="7.42578125" style="3" customWidth="1"/>
    <col min="5641" max="5888" width="11.42578125" style="3"/>
    <col min="5889" max="5889" width="15.85546875" style="3" customWidth="1"/>
    <col min="5890" max="5890" width="14.85546875" style="3" customWidth="1"/>
    <col min="5891" max="5891" width="13.28515625" style="3" customWidth="1"/>
    <col min="5892" max="5892" width="11.42578125" style="3"/>
    <col min="5893" max="5893" width="13.42578125" style="3" customWidth="1"/>
    <col min="5894" max="5894" width="12.7109375" style="3" customWidth="1"/>
    <col min="5895" max="5895" width="14" style="3" customWidth="1"/>
    <col min="5896" max="5896" width="7.42578125" style="3" customWidth="1"/>
    <col min="5897" max="6144" width="11.42578125" style="3"/>
    <col min="6145" max="6145" width="15.85546875" style="3" customWidth="1"/>
    <col min="6146" max="6146" width="14.85546875" style="3" customWidth="1"/>
    <col min="6147" max="6147" width="13.28515625" style="3" customWidth="1"/>
    <col min="6148" max="6148" width="11.42578125" style="3"/>
    <col min="6149" max="6149" width="13.42578125" style="3" customWidth="1"/>
    <col min="6150" max="6150" width="12.7109375" style="3" customWidth="1"/>
    <col min="6151" max="6151" width="14" style="3" customWidth="1"/>
    <col min="6152" max="6152" width="7.42578125" style="3" customWidth="1"/>
    <col min="6153" max="6400" width="11.42578125" style="3"/>
    <col min="6401" max="6401" width="15.85546875" style="3" customWidth="1"/>
    <col min="6402" max="6402" width="14.85546875" style="3" customWidth="1"/>
    <col min="6403" max="6403" width="13.28515625" style="3" customWidth="1"/>
    <col min="6404" max="6404" width="11.42578125" style="3"/>
    <col min="6405" max="6405" width="13.42578125" style="3" customWidth="1"/>
    <col min="6406" max="6406" width="12.7109375" style="3" customWidth="1"/>
    <col min="6407" max="6407" width="14" style="3" customWidth="1"/>
    <col min="6408" max="6408" width="7.42578125" style="3" customWidth="1"/>
    <col min="6409" max="6656" width="11.42578125" style="3"/>
    <col min="6657" max="6657" width="15.85546875" style="3" customWidth="1"/>
    <col min="6658" max="6658" width="14.85546875" style="3" customWidth="1"/>
    <col min="6659" max="6659" width="13.28515625" style="3" customWidth="1"/>
    <col min="6660" max="6660" width="11.42578125" style="3"/>
    <col min="6661" max="6661" width="13.42578125" style="3" customWidth="1"/>
    <col min="6662" max="6662" width="12.7109375" style="3" customWidth="1"/>
    <col min="6663" max="6663" width="14" style="3" customWidth="1"/>
    <col min="6664" max="6664" width="7.42578125" style="3" customWidth="1"/>
    <col min="6665" max="6912" width="11.42578125" style="3"/>
    <col min="6913" max="6913" width="15.85546875" style="3" customWidth="1"/>
    <col min="6914" max="6914" width="14.85546875" style="3" customWidth="1"/>
    <col min="6915" max="6915" width="13.28515625" style="3" customWidth="1"/>
    <col min="6916" max="6916" width="11.42578125" style="3"/>
    <col min="6917" max="6917" width="13.42578125" style="3" customWidth="1"/>
    <col min="6918" max="6918" width="12.7109375" style="3" customWidth="1"/>
    <col min="6919" max="6919" width="14" style="3" customWidth="1"/>
    <col min="6920" max="6920" width="7.42578125" style="3" customWidth="1"/>
    <col min="6921" max="7168" width="11.42578125" style="3"/>
    <col min="7169" max="7169" width="15.85546875" style="3" customWidth="1"/>
    <col min="7170" max="7170" width="14.85546875" style="3" customWidth="1"/>
    <col min="7171" max="7171" width="13.28515625" style="3" customWidth="1"/>
    <col min="7172" max="7172" width="11.42578125" style="3"/>
    <col min="7173" max="7173" width="13.42578125" style="3" customWidth="1"/>
    <col min="7174" max="7174" width="12.7109375" style="3" customWidth="1"/>
    <col min="7175" max="7175" width="14" style="3" customWidth="1"/>
    <col min="7176" max="7176" width="7.42578125" style="3" customWidth="1"/>
    <col min="7177" max="7424" width="11.42578125" style="3"/>
    <col min="7425" max="7425" width="15.85546875" style="3" customWidth="1"/>
    <col min="7426" max="7426" width="14.85546875" style="3" customWidth="1"/>
    <col min="7427" max="7427" width="13.28515625" style="3" customWidth="1"/>
    <col min="7428" max="7428" width="11.42578125" style="3"/>
    <col min="7429" max="7429" width="13.42578125" style="3" customWidth="1"/>
    <col min="7430" max="7430" width="12.7109375" style="3" customWidth="1"/>
    <col min="7431" max="7431" width="14" style="3" customWidth="1"/>
    <col min="7432" max="7432" width="7.42578125" style="3" customWidth="1"/>
    <col min="7433" max="7680" width="11.42578125" style="3"/>
    <col min="7681" max="7681" width="15.85546875" style="3" customWidth="1"/>
    <col min="7682" max="7682" width="14.85546875" style="3" customWidth="1"/>
    <col min="7683" max="7683" width="13.28515625" style="3" customWidth="1"/>
    <col min="7684" max="7684" width="11.42578125" style="3"/>
    <col min="7685" max="7685" width="13.42578125" style="3" customWidth="1"/>
    <col min="7686" max="7686" width="12.7109375" style="3" customWidth="1"/>
    <col min="7687" max="7687" width="14" style="3" customWidth="1"/>
    <col min="7688" max="7688" width="7.42578125" style="3" customWidth="1"/>
    <col min="7689" max="7936" width="11.42578125" style="3"/>
    <col min="7937" max="7937" width="15.85546875" style="3" customWidth="1"/>
    <col min="7938" max="7938" width="14.85546875" style="3" customWidth="1"/>
    <col min="7939" max="7939" width="13.28515625" style="3" customWidth="1"/>
    <col min="7940" max="7940" width="11.42578125" style="3"/>
    <col min="7941" max="7941" width="13.42578125" style="3" customWidth="1"/>
    <col min="7942" max="7942" width="12.7109375" style="3" customWidth="1"/>
    <col min="7943" max="7943" width="14" style="3" customWidth="1"/>
    <col min="7944" max="7944" width="7.42578125" style="3" customWidth="1"/>
    <col min="7945" max="8192" width="11.42578125" style="3"/>
    <col min="8193" max="8193" width="15.85546875" style="3" customWidth="1"/>
    <col min="8194" max="8194" width="14.85546875" style="3" customWidth="1"/>
    <col min="8195" max="8195" width="13.28515625" style="3" customWidth="1"/>
    <col min="8196" max="8196" width="11.42578125" style="3"/>
    <col min="8197" max="8197" width="13.42578125" style="3" customWidth="1"/>
    <col min="8198" max="8198" width="12.7109375" style="3" customWidth="1"/>
    <col min="8199" max="8199" width="14" style="3" customWidth="1"/>
    <col min="8200" max="8200" width="7.42578125" style="3" customWidth="1"/>
    <col min="8201" max="8448" width="11.42578125" style="3"/>
    <col min="8449" max="8449" width="15.85546875" style="3" customWidth="1"/>
    <col min="8450" max="8450" width="14.85546875" style="3" customWidth="1"/>
    <col min="8451" max="8451" width="13.28515625" style="3" customWidth="1"/>
    <col min="8452" max="8452" width="11.42578125" style="3"/>
    <col min="8453" max="8453" width="13.42578125" style="3" customWidth="1"/>
    <col min="8454" max="8454" width="12.7109375" style="3" customWidth="1"/>
    <col min="8455" max="8455" width="14" style="3" customWidth="1"/>
    <col min="8456" max="8456" width="7.42578125" style="3" customWidth="1"/>
    <col min="8457" max="8704" width="11.42578125" style="3"/>
    <col min="8705" max="8705" width="15.85546875" style="3" customWidth="1"/>
    <col min="8706" max="8706" width="14.85546875" style="3" customWidth="1"/>
    <col min="8707" max="8707" width="13.28515625" style="3" customWidth="1"/>
    <col min="8708" max="8708" width="11.42578125" style="3"/>
    <col min="8709" max="8709" width="13.42578125" style="3" customWidth="1"/>
    <col min="8710" max="8710" width="12.7109375" style="3" customWidth="1"/>
    <col min="8711" max="8711" width="14" style="3" customWidth="1"/>
    <col min="8712" max="8712" width="7.42578125" style="3" customWidth="1"/>
    <col min="8713" max="8960" width="11.42578125" style="3"/>
    <col min="8961" max="8961" width="15.85546875" style="3" customWidth="1"/>
    <col min="8962" max="8962" width="14.85546875" style="3" customWidth="1"/>
    <col min="8963" max="8963" width="13.28515625" style="3" customWidth="1"/>
    <col min="8964" max="8964" width="11.42578125" style="3"/>
    <col min="8965" max="8965" width="13.42578125" style="3" customWidth="1"/>
    <col min="8966" max="8966" width="12.7109375" style="3" customWidth="1"/>
    <col min="8967" max="8967" width="14" style="3" customWidth="1"/>
    <col min="8968" max="8968" width="7.42578125" style="3" customWidth="1"/>
    <col min="8969" max="9216" width="11.42578125" style="3"/>
    <col min="9217" max="9217" width="15.85546875" style="3" customWidth="1"/>
    <col min="9218" max="9218" width="14.85546875" style="3" customWidth="1"/>
    <col min="9219" max="9219" width="13.28515625" style="3" customWidth="1"/>
    <col min="9220" max="9220" width="11.42578125" style="3"/>
    <col min="9221" max="9221" width="13.42578125" style="3" customWidth="1"/>
    <col min="9222" max="9222" width="12.7109375" style="3" customWidth="1"/>
    <col min="9223" max="9223" width="14" style="3" customWidth="1"/>
    <col min="9224" max="9224" width="7.42578125" style="3" customWidth="1"/>
    <col min="9225" max="9472" width="11.42578125" style="3"/>
    <col min="9473" max="9473" width="15.85546875" style="3" customWidth="1"/>
    <col min="9474" max="9474" width="14.85546875" style="3" customWidth="1"/>
    <col min="9475" max="9475" width="13.28515625" style="3" customWidth="1"/>
    <col min="9476" max="9476" width="11.42578125" style="3"/>
    <col min="9477" max="9477" width="13.42578125" style="3" customWidth="1"/>
    <col min="9478" max="9478" width="12.7109375" style="3" customWidth="1"/>
    <col min="9479" max="9479" width="14" style="3" customWidth="1"/>
    <col min="9480" max="9480" width="7.42578125" style="3" customWidth="1"/>
    <col min="9481" max="9728" width="11.42578125" style="3"/>
    <col min="9729" max="9729" width="15.85546875" style="3" customWidth="1"/>
    <col min="9730" max="9730" width="14.85546875" style="3" customWidth="1"/>
    <col min="9731" max="9731" width="13.28515625" style="3" customWidth="1"/>
    <col min="9732" max="9732" width="11.42578125" style="3"/>
    <col min="9733" max="9733" width="13.42578125" style="3" customWidth="1"/>
    <col min="9734" max="9734" width="12.7109375" style="3" customWidth="1"/>
    <col min="9735" max="9735" width="14" style="3" customWidth="1"/>
    <col min="9736" max="9736" width="7.42578125" style="3" customWidth="1"/>
    <col min="9737" max="9984" width="11.42578125" style="3"/>
    <col min="9985" max="9985" width="15.85546875" style="3" customWidth="1"/>
    <col min="9986" max="9986" width="14.85546875" style="3" customWidth="1"/>
    <col min="9987" max="9987" width="13.28515625" style="3" customWidth="1"/>
    <col min="9988" max="9988" width="11.42578125" style="3"/>
    <col min="9989" max="9989" width="13.42578125" style="3" customWidth="1"/>
    <col min="9990" max="9990" width="12.7109375" style="3" customWidth="1"/>
    <col min="9991" max="9991" width="14" style="3" customWidth="1"/>
    <col min="9992" max="9992" width="7.42578125" style="3" customWidth="1"/>
    <col min="9993" max="10240" width="11.42578125" style="3"/>
    <col min="10241" max="10241" width="15.85546875" style="3" customWidth="1"/>
    <col min="10242" max="10242" width="14.85546875" style="3" customWidth="1"/>
    <col min="10243" max="10243" width="13.28515625" style="3" customWidth="1"/>
    <col min="10244" max="10244" width="11.42578125" style="3"/>
    <col min="10245" max="10245" width="13.42578125" style="3" customWidth="1"/>
    <col min="10246" max="10246" width="12.7109375" style="3" customWidth="1"/>
    <col min="10247" max="10247" width="14" style="3" customWidth="1"/>
    <col min="10248" max="10248" width="7.42578125" style="3" customWidth="1"/>
    <col min="10249" max="10496" width="11.42578125" style="3"/>
    <col min="10497" max="10497" width="15.85546875" style="3" customWidth="1"/>
    <col min="10498" max="10498" width="14.85546875" style="3" customWidth="1"/>
    <col min="10499" max="10499" width="13.28515625" style="3" customWidth="1"/>
    <col min="10500" max="10500" width="11.42578125" style="3"/>
    <col min="10501" max="10501" width="13.42578125" style="3" customWidth="1"/>
    <col min="10502" max="10502" width="12.7109375" style="3" customWidth="1"/>
    <col min="10503" max="10503" width="14" style="3" customWidth="1"/>
    <col min="10504" max="10504" width="7.42578125" style="3" customWidth="1"/>
    <col min="10505" max="10752" width="11.42578125" style="3"/>
    <col min="10753" max="10753" width="15.85546875" style="3" customWidth="1"/>
    <col min="10754" max="10754" width="14.85546875" style="3" customWidth="1"/>
    <col min="10755" max="10755" width="13.28515625" style="3" customWidth="1"/>
    <col min="10756" max="10756" width="11.42578125" style="3"/>
    <col min="10757" max="10757" width="13.42578125" style="3" customWidth="1"/>
    <col min="10758" max="10758" width="12.7109375" style="3" customWidth="1"/>
    <col min="10759" max="10759" width="14" style="3" customWidth="1"/>
    <col min="10760" max="10760" width="7.42578125" style="3" customWidth="1"/>
    <col min="10761" max="11008" width="11.42578125" style="3"/>
    <col min="11009" max="11009" width="15.85546875" style="3" customWidth="1"/>
    <col min="11010" max="11010" width="14.85546875" style="3" customWidth="1"/>
    <col min="11011" max="11011" width="13.28515625" style="3" customWidth="1"/>
    <col min="11012" max="11012" width="11.42578125" style="3"/>
    <col min="11013" max="11013" width="13.42578125" style="3" customWidth="1"/>
    <col min="11014" max="11014" width="12.7109375" style="3" customWidth="1"/>
    <col min="11015" max="11015" width="14" style="3" customWidth="1"/>
    <col min="11016" max="11016" width="7.42578125" style="3" customWidth="1"/>
    <col min="11017" max="11264" width="11.42578125" style="3"/>
    <col min="11265" max="11265" width="15.85546875" style="3" customWidth="1"/>
    <col min="11266" max="11266" width="14.85546875" style="3" customWidth="1"/>
    <col min="11267" max="11267" width="13.28515625" style="3" customWidth="1"/>
    <col min="11268" max="11268" width="11.42578125" style="3"/>
    <col min="11269" max="11269" width="13.42578125" style="3" customWidth="1"/>
    <col min="11270" max="11270" width="12.7109375" style="3" customWidth="1"/>
    <col min="11271" max="11271" width="14" style="3" customWidth="1"/>
    <col min="11272" max="11272" width="7.42578125" style="3" customWidth="1"/>
    <col min="11273" max="11520" width="11.42578125" style="3"/>
    <col min="11521" max="11521" width="15.85546875" style="3" customWidth="1"/>
    <col min="11522" max="11522" width="14.85546875" style="3" customWidth="1"/>
    <col min="11523" max="11523" width="13.28515625" style="3" customWidth="1"/>
    <col min="11524" max="11524" width="11.42578125" style="3"/>
    <col min="11525" max="11525" width="13.42578125" style="3" customWidth="1"/>
    <col min="11526" max="11526" width="12.7109375" style="3" customWidth="1"/>
    <col min="11527" max="11527" width="14" style="3" customWidth="1"/>
    <col min="11528" max="11528" width="7.42578125" style="3" customWidth="1"/>
    <col min="11529" max="11776" width="11.42578125" style="3"/>
    <col min="11777" max="11777" width="15.85546875" style="3" customWidth="1"/>
    <col min="11778" max="11778" width="14.85546875" style="3" customWidth="1"/>
    <col min="11779" max="11779" width="13.28515625" style="3" customWidth="1"/>
    <col min="11780" max="11780" width="11.42578125" style="3"/>
    <col min="11781" max="11781" width="13.42578125" style="3" customWidth="1"/>
    <col min="11782" max="11782" width="12.7109375" style="3" customWidth="1"/>
    <col min="11783" max="11783" width="14" style="3" customWidth="1"/>
    <col min="11784" max="11784" width="7.42578125" style="3" customWidth="1"/>
    <col min="11785" max="12032" width="11.42578125" style="3"/>
    <col min="12033" max="12033" width="15.85546875" style="3" customWidth="1"/>
    <col min="12034" max="12034" width="14.85546875" style="3" customWidth="1"/>
    <col min="12035" max="12035" width="13.28515625" style="3" customWidth="1"/>
    <col min="12036" max="12036" width="11.42578125" style="3"/>
    <col min="12037" max="12037" width="13.42578125" style="3" customWidth="1"/>
    <col min="12038" max="12038" width="12.7109375" style="3" customWidth="1"/>
    <col min="12039" max="12039" width="14" style="3" customWidth="1"/>
    <col min="12040" max="12040" width="7.42578125" style="3" customWidth="1"/>
    <col min="12041" max="12288" width="11.42578125" style="3"/>
    <col min="12289" max="12289" width="15.85546875" style="3" customWidth="1"/>
    <col min="12290" max="12290" width="14.85546875" style="3" customWidth="1"/>
    <col min="12291" max="12291" width="13.28515625" style="3" customWidth="1"/>
    <col min="12292" max="12292" width="11.42578125" style="3"/>
    <col min="12293" max="12293" width="13.42578125" style="3" customWidth="1"/>
    <col min="12294" max="12294" width="12.7109375" style="3" customWidth="1"/>
    <col min="12295" max="12295" width="14" style="3" customWidth="1"/>
    <col min="12296" max="12296" width="7.42578125" style="3" customWidth="1"/>
    <col min="12297" max="12544" width="11.42578125" style="3"/>
    <col min="12545" max="12545" width="15.85546875" style="3" customWidth="1"/>
    <col min="12546" max="12546" width="14.85546875" style="3" customWidth="1"/>
    <col min="12547" max="12547" width="13.28515625" style="3" customWidth="1"/>
    <col min="12548" max="12548" width="11.42578125" style="3"/>
    <col min="12549" max="12549" width="13.42578125" style="3" customWidth="1"/>
    <col min="12550" max="12550" width="12.7109375" style="3" customWidth="1"/>
    <col min="12551" max="12551" width="14" style="3" customWidth="1"/>
    <col min="12552" max="12552" width="7.42578125" style="3" customWidth="1"/>
    <col min="12553" max="12800" width="11.42578125" style="3"/>
    <col min="12801" max="12801" width="15.85546875" style="3" customWidth="1"/>
    <col min="12802" max="12802" width="14.85546875" style="3" customWidth="1"/>
    <col min="12803" max="12803" width="13.28515625" style="3" customWidth="1"/>
    <col min="12804" max="12804" width="11.42578125" style="3"/>
    <col min="12805" max="12805" width="13.42578125" style="3" customWidth="1"/>
    <col min="12806" max="12806" width="12.7109375" style="3" customWidth="1"/>
    <col min="12807" max="12807" width="14" style="3" customWidth="1"/>
    <col min="12808" max="12808" width="7.42578125" style="3" customWidth="1"/>
    <col min="12809" max="13056" width="11.42578125" style="3"/>
    <col min="13057" max="13057" width="15.85546875" style="3" customWidth="1"/>
    <col min="13058" max="13058" width="14.85546875" style="3" customWidth="1"/>
    <col min="13059" max="13059" width="13.28515625" style="3" customWidth="1"/>
    <col min="13060" max="13060" width="11.42578125" style="3"/>
    <col min="13061" max="13061" width="13.42578125" style="3" customWidth="1"/>
    <col min="13062" max="13062" width="12.7109375" style="3" customWidth="1"/>
    <col min="13063" max="13063" width="14" style="3" customWidth="1"/>
    <col min="13064" max="13064" width="7.42578125" style="3" customWidth="1"/>
    <col min="13065" max="13312" width="11.42578125" style="3"/>
    <col min="13313" max="13313" width="15.85546875" style="3" customWidth="1"/>
    <col min="13314" max="13314" width="14.85546875" style="3" customWidth="1"/>
    <col min="13315" max="13315" width="13.28515625" style="3" customWidth="1"/>
    <col min="13316" max="13316" width="11.42578125" style="3"/>
    <col min="13317" max="13317" width="13.42578125" style="3" customWidth="1"/>
    <col min="13318" max="13318" width="12.7109375" style="3" customWidth="1"/>
    <col min="13319" max="13319" width="14" style="3" customWidth="1"/>
    <col min="13320" max="13320" width="7.42578125" style="3" customWidth="1"/>
    <col min="13321" max="13568" width="11.42578125" style="3"/>
    <col min="13569" max="13569" width="15.85546875" style="3" customWidth="1"/>
    <col min="13570" max="13570" width="14.85546875" style="3" customWidth="1"/>
    <col min="13571" max="13571" width="13.28515625" style="3" customWidth="1"/>
    <col min="13572" max="13572" width="11.42578125" style="3"/>
    <col min="13573" max="13573" width="13.42578125" style="3" customWidth="1"/>
    <col min="13574" max="13574" width="12.7109375" style="3" customWidth="1"/>
    <col min="13575" max="13575" width="14" style="3" customWidth="1"/>
    <col min="13576" max="13576" width="7.42578125" style="3" customWidth="1"/>
    <col min="13577" max="13824" width="11.42578125" style="3"/>
    <col min="13825" max="13825" width="15.85546875" style="3" customWidth="1"/>
    <col min="13826" max="13826" width="14.85546875" style="3" customWidth="1"/>
    <col min="13827" max="13827" width="13.28515625" style="3" customWidth="1"/>
    <col min="13828" max="13828" width="11.42578125" style="3"/>
    <col min="13829" max="13829" width="13.42578125" style="3" customWidth="1"/>
    <col min="13830" max="13830" width="12.7109375" style="3" customWidth="1"/>
    <col min="13831" max="13831" width="14" style="3" customWidth="1"/>
    <col min="13832" max="13832" width="7.42578125" style="3" customWidth="1"/>
    <col min="13833" max="14080" width="11.42578125" style="3"/>
    <col min="14081" max="14081" width="15.85546875" style="3" customWidth="1"/>
    <col min="14082" max="14082" width="14.85546875" style="3" customWidth="1"/>
    <col min="14083" max="14083" width="13.28515625" style="3" customWidth="1"/>
    <col min="14084" max="14084" width="11.42578125" style="3"/>
    <col min="14085" max="14085" width="13.42578125" style="3" customWidth="1"/>
    <col min="14086" max="14086" width="12.7109375" style="3" customWidth="1"/>
    <col min="14087" max="14087" width="14" style="3" customWidth="1"/>
    <col min="14088" max="14088" width="7.42578125" style="3" customWidth="1"/>
    <col min="14089" max="14336" width="11.42578125" style="3"/>
    <col min="14337" max="14337" width="15.85546875" style="3" customWidth="1"/>
    <col min="14338" max="14338" width="14.85546875" style="3" customWidth="1"/>
    <col min="14339" max="14339" width="13.28515625" style="3" customWidth="1"/>
    <col min="14340" max="14340" width="11.42578125" style="3"/>
    <col min="14341" max="14341" width="13.42578125" style="3" customWidth="1"/>
    <col min="14342" max="14342" width="12.7109375" style="3" customWidth="1"/>
    <col min="14343" max="14343" width="14" style="3" customWidth="1"/>
    <col min="14344" max="14344" width="7.42578125" style="3" customWidth="1"/>
    <col min="14345" max="14592" width="11.42578125" style="3"/>
    <col min="14593" max="14593" width="15.85546875" style="3" customWidth="1"/>
    <col min="14594" max="14594" width="14.85546875" style="3" customWidth="1"/>
    <col min="14595" max="14595" width="13.28515625" style="3" customWidth="1"/>
    <col min="14596" max="14596" width="11.42578125" style="3"/>
    <col min="14597" max="14597" width="13.42578125" style="3" customWidth="1"/>
    <col min="14598" max="14598" width="12.7109375" style="3" customWidth="1"/>
    <col min="14599" max="14599" width="14" style="3" customWidth="1"/>
    <col min="14600" max="14600" width="7.42578125" style="3" customWidth="1"/>
    <col min="14601" max="14848" width="11.42578125" style="3"/>
    <col min="14849" max="14849" width="15.85546875" style="3" customWidth="1"/>
    <col min="14850" max="14850" width="14.85546875" style="3" customWidth="1"/>
    <col min="14851" max="14851" width="13.28515625" style="3" customWidth="1"/>
    <col min="14852" max="14852" width="11.42578125" style="3"/>
    <col min="14853" max="14853" width="13.42578125" style="3" customWidth="1"/>
    <col min="14854" max="14854" width="12.7109375" style="3" customWidth="1"/>
    <col min="14855" max="14855" width="14" style="3" customWidth="1"/>
    <col min="14856" max="14856" width="7.42578125" style="3" customWidth="1"/>
    <col min="14857" max="15104" width="11.42578125" style="3"/>
    <col min="15105" max="15105" width="15.85546875" style="3" customWidth="1"/>
    <col min="15106" max="15106" width="14.85546875" style="3" customWidth="1"/>
    <col min="15107" max="15107" width="13.28515625" style="3" customWidth="1"/>
    <col min="15108" max="15108" width="11.42578125" style="3"/>
    <col min="15109" max="15109" width="13.42578125" style="3" customWidth="1"/>
    <col min="15110" max="15110" width="12.7109375" style="3" customWidth="1"/>
    <col min="15111" max="15111" width="14" style="3" customWidth="1"/>
    <col min="15112" max="15112" width="7.42578125" style="3" customWidth="1"/>
    <col min="15113" max="15360" width="11.42578125" style="3"/>
    <col min="15361" max="15361" width="15.85546875" style="3" customWidth="1"/>
    <col min="15362" max="15362" width="14.85546875" style="3" customWidth="1"/>
    <col min="15363" max="15363" width="13.28515625" style="3" customWidth="1"/>
    <col min="15364" max="15364" width="11.42578125" style="3"/>
    <col min="15365" max="15365" width="13.42578125" style="3" customWidth="1"/>
    <col min="15366" max="15366" width="12.7109375" style="3" customWidth="1"/>
    <col min="15367" max="15367" width="14" style="3" customWidth="1"/>
    <col min="15368" max="15368" width="7.42578125" style="3" customWidth="1"/>
    <col min="15369" max="15616" width="11.42578125" style="3"/>
    <col min="15617" max="15617" width="15.85546875" style="3" customWidth="1"/>
    <col min="15618" max="15618" width="14.85546875" style="3" customWidth="1"/>
    <col min="15619" max="15619" width="13.28515625" style="3" customWidth="1"/>
    <col min="15620" max="15620" width="11.42578125" style="3"/>
    <col min="15621" max="15621" width="13.42578125" style="3" customWidth="1"/>
    <col min="15622" max="15622" width="12.7109375" style="3" customWidth="1"/>
    <col min="15623" max="15623" width="14" style="3" customWidth="1"/>
    <col min="15624" max="15624" width="7.42578125" style="3" customWidth="1"/>
    <col min="15625" max="15872" width="11.42578125" style="3"/>
    <col min="15873" max="15873" width="15.85546875" style="3" customWidth="1"/>
    <col min="15874" max="15874" width="14.85546875" style="3" customWidth="1"/>
    <col min="15875" max="15875" width="13.28515625" style="3" customWidth="1"/>
    <col min="15876" max="15876" width="11.42578125" style="3"/>
    <col min="15877" max="15877" width="13.42578125" style="3" customWidth="1"/>
    <col min="15878" max="15878" width="12.7109375" style="3" customWidth="1"/>
    <col min="15879" max="15879" width="14" style="3" customWidth="1"/>
    <col min="15880" max="15880" width="7.42578125" style="3" customWidth="1"/>
    <col min="15881" max="16128" width="11.42578125" style="3"/>
    <col min="16129" max="16129" width="15.85546875" style="3" customWidth="1"/>
    <col min="16130" max="16130" width="14.85546875" style="3" customWidth="1"/>
    <col min="16131" max="16131" width="13.28515625" style="3" customWidth="1"/>
    <col min="16132" max="16132" width="11.42578125" style="3"/>
    <col min="16133" max="16133" width="13.42578125" style="3" customWidth="1"/>
    <col min="16134" max="16134" width="12.7109375" style="3" customWidth="1"/>
    <col min="16135" max="16135" width="14" style="3" customWidth="1"/>
    <col min="16136" max="16136" width="7.42578125" style="3" customWidth="1"/>
    <col min="16137" max="16384" width="11.42578125" style="3"/>
  </cols>
  <sheetData>
    <row r="1" spans="1:21" ht="48" customHeight="1">
      <c r="A1" s="1445" t="str">
        <f>PPTO!D3</f>
        <v>PRESUPUESTO
MUNICIPIO EL BAGRE (ANTIOQUIA).</v>
      </c>
      <c r="B1" s="1446"/>
      <c r="C1" s="1446"/>
      <c r="D1" s="1446"/>
      <c r="E1" s="1446"/>
      <c r="F1" s="1446"/>
      <c r="G1" s="1447"/>
      <c r="H1" s="1"/>
      <c r="I1" s="2"/>
    </row>
    <row r="2" spans="1:21" ht="18" customHeight="1">
      <c r="A2" s="1448"/>
      <c r="B2" s="1449"/>
      <c r="C2" s="1449"/>
      <c r="D2" s="1449"/>
      <c r="E2" s="1449"/>
      <c r="F2" s="1449"/>
      <c r="G2" s="1450"/>
      <c r="H2" s="1"/>
      <c r="I2" s="2"/>
    </row>
    <row r="3" spans="1:21" ht="25.5" customHeight="1">
      <c r="A3" s="1367" t="str">
        <f>+PPTO!$D$5</f>
        <v>PROYECTO DE MEJORAMIENTO VIAL, ESPACIO PUBLICO Y OBRAS COMPLEMENTARIAS DE LA AVENIDA LA JUVENTUD Y TRAMOS ADYACENTES Y PRIORITARIOS DEL SECTOR URBANO EN EL MUNICIPIO EL BAGRE ANTIOQUIA.</v>
      </c>
      <c r="B3" s="1368"/>
      <c r="C3" s="1368"/>
      <c r="D3" s="1368"/>
      <c r="E3" s="1368"/>
      <c r="F3" s="1368"/>
      <c r="G3" s="1369"/>
      <c r="H3" s="1"/>
      <c r="I3" s="2"/>
    </row>
    <row r="4" spans="1:21" ht="30" customHeight="1">
      <c r="A4" s="1370"/>
      <c r="B4" s="1368"/>
      <c r="C4" s="1368"/>
      <c r="D4" s="1368"/>
      <c r="E4" s="1368"/>
      <c r="F4" s="1368"/>
      <c r="G4" s="1369"/>
      <c r="H4" s="1"/>
      <c r="I4" s="2"/>
    </row>
    <row r="5" spans="1:21" ht="6.75" customHeight="1">
      <c r="A5" s="222"/>
      <c r="B5" s="6"/>
      <c r="C5" s="24"/>
      <c r="D5" s="25"/>
      <c r="E5" s="6"/>
      <c r="F5" s="6"/>
      <c r="G5" s="223"/>
      <c r="H5" s="9"/>
    </row>
    <row r="6" spans="1:21">
      <c r="A6" s="224"/>
      <c r="B6" s="1451" t="s">
        <v>68</v>
      </c>
      <c r="C6" s="1451"/>
      <c r="D6" s="1451"/>
      <c r="E6" s="1451"/>
      <c r="F6" s="1451"/>
      <c r="G6" s="225" t="s">
        <v>40</v>
      </c>
      <c r="H6" s="9"/>
    </row>
    <row r="7" spans="1:21" ht="3.75" customHeight="1">
      <c r="A7" s="226"/>
      <c r="B7" s="4"/>
      <c r="C7" s="6"/>
      <c r="D7" s="4"/>
      <c r="E7" s="4"/>
      <c r="F7" s="4"/>
      <c r="G7" s="227"/>
      <c r="H7" s="9"/>
    </row>
    <row r="8" spans="1:21" ht="22.5" customHeight="1">
      <c r="A8" s="1354" t="s">
        <v>69</v>
      </c>
      <c r="B8" s="1355"/>
      <c r="C8" s="1355"/>
      <c r="D8" s="1355"/>
      <c r="E8" s="1355"/>
      <c r="F8" s="1355"/>
      <c r="G8" s="1356"/>
      <c r="H8" s="9"/>
    </row>
    <row r="9" spans="1:21" ht="4.5" customHeight="1">
      <c r="A9" s="226"/>
      <c r="B9" s="4"/>
      <c r="C9" s="6"/>
      <c r="D9" s="4"/>
      <c r="E9" s="4"/>
      <c r="F9" s="4"/>
      <c r="G9" s="227"/>
      <c r="H9" s="9"/>
      <c r="I9" s="5"/>
      <c r="J9" s="5"/>
      <c r="K9" s="5"/>
      <c r="L9" s="26"/>
      <c r="M9" s="5"/>
      <c r="N9" s="5"/>
      <c r="O9" s="5"/>
      <c r="P9" s="5"/>
    </row>
    <row r="10" spans="1:21">
      <c r="A10" s="1373" t="s">
        <v>17</v>
      </c>
      <c r="B10" s="1374"/>
      <c r="C10" s="1374"/>
      <c r="D10" s="346" t="s">
        <v>18</v>
      </c>
      <c r="E10" s="346" t="s">
        <v>19</v>
      </c>
      <c r="F10" s="346" t="s">
        <v>20</v>
      </c>
      <c r="G10" s="228" t="s">
        <v>21</v>
      </c>
      <c r="H10" s="27"/>
      <c r="I10" s="28"/>
      <c r="J10" s="29"/>
      <c r="K10" s="30"/>
      <c r="L10" s="30"/>
      <c r="M10" s="30"/>
      <c r="N10" s="30"/>
      <c r="O10" s="30"/>
      <c r="P10" s="5"/>
    </row>
    <row r="11" spans="1:21">
      <c r="A11" s="1352" t="s">
        <v>36</v>
      </c>
      <c r="B11" s="1353"/>
      <c r="C11" s="1353"/>
      <c r="D11" s="346"/>
      <c r="E11" s="83"/>
      <c r="F11" s="97"/>
      <c r="G11" s="229">
        <v>5408</v>
      </c>
      <c r="H11" s="9"/>
      <c r="I11" s="30"/>
      <c r="J11" s="31"/>
      <c r="K11" s="30"/>
      <c r="L11" s="30"/>
      <c r="M11" s="30"/>
      <c r="N11" s="30"/>
      <c r="O11" s="30"/>
      <c r="P11" s="5"/>
    </row>
    <row r="12" spans="1:21">
      <c r="A12" s="1371" t="s">
        <v>61</v>
      </c>
      <c r="B12" s="1372"/>
      <c r="C12" s="1372"/>
      <c r="D12" s="83" t="s">
        <v>43</v>
      </c>
      <c r="E12" s="83">
        <v>85000</v>
      </c>
      <c r="F12" s="93">
        <f>+F35</f>
        <v>39.6</v>
      </c>
      <c r="G12" s="229">
        <f>+E12/F12</f>
        <v>2146</v>
      </c>
      <c r="H12" s="9"/>
      <c r="I12" s="16"/>
      <c r="J12" s="13"/>
      <c r="K12" s="8"/>
      <c r="L12" s="8"/>
      <c r="M12" s="8"/>
      <c r="N12" s="8"/>
      <c r="O12" s="8"/>
      <c r="P12" s="5"/>
    </row>
    <row r="13" spans="1:21">
      <c r="A13" s="1371"/>
      <c r="B13" s="1372"/>
      <c r="C13" s="1372"/>
      <c r="D13" s="83"/>
      <c r="E13" s="83"/>
      <c r="F13" s="93"/>
      <c r="G13" s="229"/>
      <c r="H13" s="9"/>
      <c r="I13" s="13"/>
      <c r="J13" s="13"/>
      <c r="K13" s="13"/>
      <c r="L13" s="13"/>
      <c r="M13" s="13"/>
      <c r="N13" s="13"/>
      <c r="O13" s="13"/>
      <c r="P13" s="5"/>
    </row>
    <row r="14" spans="1:21">
      <c r="A14" s="1371"/>
      <c r="B14" s="1372"/>
      <c r="C14" s="1372"/>
      <c r="D14" s="83"/>
      <c r="E14" s="83"/>
      <c r="F14" s="93"/>
      <c r="G14" s="229"/>
      <c r="H14" s="9"/>
      <c r="I14" s="8"/>
      <c r="J14" s="14"/>
      <c r="K14" s="32"/>
      <c r="L14" s="14"/>
      <c r="M14" s="15"/>
      <c r="N14" s="15"/>
      <c r="O14" s="19"/>
      <c r="P14" s="5"/>
    </row>
    <row r="15" spans="1:21">
      <c r="A15" s="1371"/>
      <c r="B15" s="1372"/>
      <c r="C15" s="1372"/>
      <c r="D15" s="83"/>
      <c r="E15" s="83"/>
      <c r="F15" s="98"/>
      <c r="G15" s="229"/>
      <c r="H15" s="9"/>
      <c r="I15" s="8"/>
      <c r="J15" s="33"/>
      <c r="K15" s="32"/>
      <c r="L15" s="14"/>
      <c r="M15" s="15"/>
      <c r="N15" s="15"/>
      <c r="O15" s="19"/>
      <c r="P15" s="5"/>
      <c r="Q15" s="5"/>
      <c r="R15" s="5"/>
      <c r="S15" s="5"/>
      <c r="T15" s="5"/>
      <c r="U15" s="5"/>
    </row>
    <row r="16" spans="1:21">
      <c r="A16" s="1371"/>
      <c r="B16" s="1372"/>
      <c r="C16" s="1372"/>
      <c r="D16" s="85" t="s">
        <v>37</v>
      </c>
      <c r="E16" s="50"/>
      <c r="F16" s="49"/>
      <c r="G16" s="230">
        <f>SUM(G11:G15)</f>
        <v>7554</v>
      </c>
      <c r="H16" s="9"/>
      <c r="I16" s="34"/>
      <c r="J16" s="34"/>
      <c r="K16" s="35"/>
      <c r="L16" s="36"/>
      <c r="M16" s="7"/>
      <c r="N16" s="7"/>
      <c r="O16" s="19"/>
      <c r="P16" s="5"/>
      <c r="Q16" s="5"/>
      <c r="R16" s="5"/>
      <c r="S16" s="5"/>
      <c r="T16" s="5"/>
      <c r="U16" s="5"/>
    </row>
    <row r="17" spans="1:21" ht="4.5" customHeight="1">
      <c r="A17" s="226"/>
      <c r="B17" s="4"/>
      <c r="C17" s="6"/>
      <c r="D17" s="4"/>
      <c r="E17" s="4"/>
      <c r="F17" s="4"/>
      <c r="G17" s="227"/>
      <c r="H17" s="9"/>
      <c r="I17" s="34"/>
      <c r="J17" s="34"/>
      <c r="K17" s="35"/>
      <c r="L17" s="36"/>
      <c r="M17" s="7"/>
      <c r="N17" s="7"/>
      <c r="O17" s="19"/>
      <c r="P17" s="5"/>
      <c r="Q17" s="5"/>
      <c r="R17" s="5"/>
      <c r="S17" s="5"/>
      <c r="T17" s="5"/>
      <c r="U17" s="5"/>
    </row>
    <row r="18" spans="1:21" ht="22.5" customHeight="1">
      <c r="A18" s="1354" t="s">
        <v>70</v>
      </c>
      <c r="B18" s="1355"/>
      <c r="C18" s="1355"/>
      <c r="D18" s="1355"/>
      <c r="E18" s="1355"/>
      <c r="F18" s="1355"/>
      <c r="G18" s="1356"/>
      <c r="H18" s="9"/>
    </row>
    <row r="19" spans="1:21" ht="4.5" customHeight="1">
      <c r="A19" s="226"/>
      <c r="B19" s="4"/>
      <c r="C19" s="6"/>
      <c r="D19" s="4"/>
      <c r="E19" s="4"/>
      <c r="F19" s="38"/>
      <c r="G19" s="227"/>
      <c r="H19" s="9"/>
      <c r="I19" s="34"/>
      <c r="J19" s="34"/>
      <c r="K19" s="35"/>
      <c r="L19" s="39"/>
      <c r="M19" s="7"/>
      <c r="N19" s="7"/>
      <c r="O19" s="8"/>
      <c r="P19" s="5"/>
      <c r="Q19" s="5"/>
      <c r="R19" s="5"/>
      <c r="S19" s="5"/>
      <c r="T19" s="5"/>
      <c r="U19" s="5"/>
    </row>
    <row r="20" spans="1:21">
      <c r="A20" s="1373" t="s">
        <v>17</v>
      </c>
      <c r="B20" s="1374"/>
      <c r="C20" s="1374"/>
      <c r="D20" s="346" t="s">
        <v>3</v>
      </c>
      <c r="E20" s="346" t="s">
        <v>4</v>
      </c>
      <c r="F20" s="346" t="s">
        <v>25</v>
      </c>
      <c r="G20" s="228" t="s">
        <v>21</v>
      </c>
      <c r="H20" s="27"/>
      <c r="I20" s="34"/>
      <c r="J20" s="34"/>
      <c r="K20" s="35"/>
      <c r="L20" s="39"/>
      <c r="M20" s="7"/>
      <c r="N20" s="7"/>
      <c r="O20" s="8"/>
      <c r="P20" s="5"/>
      <c r="Q20" s="5"/>
      <c r="R20" s="5"/>
      <c r="S20" s="5"/>
      <c r="T20" s="5"/>
      <c r="U20" s="5"/>
    </row>
    <row r="21" spans="1:21">
      <c r="A21" s="1382" t="s">
        <v>45</v>
      </c>
      <c r="B21" s="1383"/>
      <c r="C21" s="1383"/>
      <c r="D21" s="79" t="s">
        <v>62</v>
      </c>
      <c r="E21" s="82">
        <v>232</v>
      </c>
      <c r="F21" s="87">
        <v>90</v>
      </c>
      <c r="G21" s="231">
        <f>ROUND(F21*E21,0)</f>
        <v>20880</v>
      </c>
      <c r="H21" s="9"/>
      <c r="I21" s="34"/>
      <c r="J21" s="34"/>
      <c r="K21" s="35"/>
      <c r="L21" s="39"/>
      <c r="M21" s="7"/>
      <c r="N21" s="7"/>
      <c r="O21" s="13"/>
      <c r="P21" s="5"/>
      <c r="Q21" s="5"/>
      <c r="R21" s="5"/>
      <c r="S21" s="5"/>
      <c r="T21" s="5"/>
      <c r="U21" s="5"/>
    </row>
    <row r="22" spans="1:21">
      <c r="A22" s="1382" t="s">
        <v>63</v>
      </c>
      <c r="B22" s="1383"/>
      <c r="C22" s="1383"/>
      <c r="D22" s="81" t="s">
        <v>44</v>
      </c>
      <c r="E22" s="88">
        <v>1.05</v>
      </c>
      <c r="F22" s="78">
        <v>50000</v>
      </c>
      <c r="G22" s="231">
        <f>+E22*F22</f>
        <v>52500</v>
      </c>
      <c r="H22" s="9"/>
      <c r="I22" s="10"/>
      <c r="J22" s="10"/>
      <c r="K22" s="12"/>
      <c r="L22" s="39"/>
      <c r="M22" s="7"/>
      <c r="N22" s="7"/>
      <c r="O22" s="15"/>
      <c r="P22" s="5"/>
      <c r="Q22" s="5"/>
      <c r="R22" s="5"/>
      <c r="S22" s="5"/>
      <c r="T22" s="5"/>
      <c r="U22" s="5"/>
    </row>
    <row r="23" spans="1:21">
      <c r="A23" s="1352" t="s">
        <v>64</v>
      </c>
      <c r="B23" s="1353"/>
      <c r="C23" s="1353"/>
      <c r="D23" s="79" t="s">
        <v>53</v>
      </c>
      <c r="E23" s="82">
        <v>350</v>
      </c>
      <c r="F23" s="78">
        <f>H23/50</f>
        <v>580</v>
      </c>
      <c r="G23" s="231">
        <f>+E23*F23</f>
        <v>203000</v>
      </c>
      <c r="H23" s="9">
        <f>'CONC 3000 PSI'!H23</f>
        <v>29000</v>
      </c>
      <c r="I23" s="10"/>
      <c r="J23" s="10"/>
      <c r="K23" s="12"/>
      <c r="L23" s="39"/>
      <c r="M23" s="7"/>
      <c r="N23" s="7"/>
      <c r="O23" s="15"/>
      <c r="P23" s="5"/>
      <c r="Q23" s="5"/>
      <c r="R23" s="5"/>
      <c r="S23" s="5"/>
      <c r="T23" s="5"/>
      <c r="U23" s="5"/>
    </row>
    <row r="24" spans="1:21">
      <c r="A24" s="1352"/>
      <c r="B24" s="1353"/>
      <c r="C24" s="1353"/>
      <c r="D24" s="81"/>
      <c r="E24" s="88"/>
      <c r="F24" s="78"/>
      <c r="G24" s="231"/>
      <c r="H24" s="9"/>
      <c r="I24" s="10"/>
      <c r="J24" s="40"/>
      <c r="K24" s="12"/>
      <c r="L24" s="13"/>
      <c r="M24" s="14"/>
      <c r="N24" s="14"/>
      <c r="O24" s="15"/>
      <c r="P24" s="5"/>
      <c r="Q24" s="5"/>
      <c r="R24" s="5"/>
      <c r="S24" s="5"/>
      <c r="T24" s="5"/>
      <c r="U24" s="5"/>
    </row>
    <row r="25" spans="1:21">
      <c r="A25" s="1352"/>
      <c r="B25" s="1353"/>
      <c r="C25" s="1353"/>
      <c r="D25" s="81"/>
      <c r="E25" s="82"/>
      <c r="F25" s="78"/>
      <c r="G25" s="231"/>
      <c r="H25" s="9"/>
      <c r="I25" s="10"/>
      <c r="J25" s="11"/>
      <c r="K25" s="12"/>
      <c r="L25" s="13"/>
      <c r="M25" s="14"/>
      <c r="N25" s="14"/>
      <c r="O25" s="15"/>
      <c r="P25" s="5"/>
      <c r="Q25" s="5"/>
      <c r="R25" s="5"/>
      <c r="S25" s="5"/>
      <c r="T25" s="5"/>
      <c r="U25" s="5"/>
    </row>
    <row r="26" spans="1:21">
      <c r="A26" s="1386" t="s">
        <v>131</v>
      </c>
      <c r="B26" s="1353"/>
      <c r="C26" s="1353"/>
      <c r="D26" s="79" t="s">
        <v>132</v>
      </c>
      <c r="E26" s="82">
        <v>18</v>
      </c>
      <c r="F26" s="83">
        <v>1100</v>
      </c>
      <c r="G26" s="67">
        <f>+F26*E26</f>
        <v>19800</v>
      </c>
      <c r="H26" s="9"/>
      <c r="I26" s="10"/>
      <c r="J26" s="11"/>
      <c r="K26" s="12"/>
      <c r="L26" s="13"/>
      <c r="M26" s="14"/>
      <c r="N26" s="14"/>
      <c r="O26" s="15"/>
      <c r="P26" s="5"/>
      <c r="Q26" s="5"/>
      <c r="R26" s="5"/>
      <c r="S26" s="5"/>
      <c r="T26" s="5"/>
      <c r="U26" s="5"/>
    </row>
    <row r="27" spans="1:21">
      <c r="A27" s="1352"/>
      <c r="B27" s="1353"/>
      <c r="C27" s="1353" t="s">
        <v>50</v>
      </c>
      <c r="D27" s="79"/>
      <c r="E27" s="82"/>
      <c r="F27" s="78"/>
      <c r="G27" s="231">
        <f>+(G21+G22+G23+G24)*5%</f>
        <v>13819</v>
      </c>
      <c r="H27" s="9"/>
      <c r="I27" s="10"/>
      <c r="J27" s="11"/>
      <c r="K27" s="12"/>
      <c r="L27" s="13"/>
      <c r="M27" s="14"/>
      <c r="N27" s="14"/>
      <c r="O27" s="15"/>
      <c r="P27" s="5"/>
      <c r="Q27" s="5"/>
      <c r="R27" s="5"/>
      <c r="S27" s="5"/>
      <c r="T27" s="5"/>
      <c r="U27" s="5"/>
    </row>
    <row r="28" spans="1:21">
      <c r="A28" s="1352"/>
      <c r="B28" s="1353"/>
      <c r="C28" s="1353"/>
      <c r="D28" s="79"/>
      <c r="E28" s="82"/>
      <c r="F28" s="83"/>
      <c r="G28" s="231"/>
      <c r="H28" s="9"/>
      <c r="I28" s="41"/>
      <c r="J28" s="41"/>
      <c r="K28" s="12"/>
      <c r="L28" s="13"/>
      <c r="M28" s="14"/>
      <c r="N28" s="14"/>
      <c r="O28" s="15"/>
      <c r="P28" s="5"/>
      <c r="Q28" s="5"/>
      <c r="R28" s="5"/>
      <c r="S28" s="5"/>
      <c r="T28" s="5"/>
      <c r="U28" s="5"/>
    </row>
    <row r="29" spans="1:21">
      <c r="A29" s="1352"/>
      <c r="B29" s="1353"/>
      <c r="C29" s="1353"/>
      <c r="D29" s="84"/>
      <c r="E29" s="84"/>
      <c r="F29" s="83"/>
      <c r="G29" s="231"/>
      <c r="H29" s="9"/>
      <c r="I29" s="42"/>
      <c r="J29" s="42"/>
      <c r="K29" s="42"/>
      <c r="L29" s="13"/>
      <c r="M29" s="14"/>
      <c r="N29" s="14"/>
      <c r="O29" s="15"/>
      <c r="P29" s="5"/>
      <c r="Q29" s="5"/>
      <c r="R29" s="5"/>
      <c r="S29" s="5"/>
      <c r="T29" s="5"/>
      <c r="U29" s="5"/>
    </row>
    <row r="30" spans="1:21">
      <c r="A30" s="1352"/>
      <c r="B30" s="1353"/>
      <c r="C30" s="1353"/>
      <c r="D30" s="85" t="s">
        <v>28</v>
      </c>
      <c r="E30" s="50"/>
      <c r="F30" s="49"/>
      <c r="G30" s="230">
        <f>SUM(G21:G29)</f>
        <v>309999</v>
      </c>
      <c r="H30" s="9"/>
      <c r="I30" s="8"/>
      <c r="J30" s="13"/>
      <c r="K30" s="8"/>
      <c r="L30" s="13"/>
      <c r="M30" s="14"/>
      <c r="N30" s="14"/>
      <c r="O30" s="15"/>
      <c r="P30" s="5"/>
    </row>
    <row r="31" spans="1:21" ht="3.75" customHeight="1">
      <c r="A31" s="226"/>
      <c r="B31" s="4"/>
      <c r="C31" s="6"/>
      <c r="D31" s="4"/>
      <c r="E31" s="4"/>
      <c r="F31" s="4"/>
      <c r="G31" s="227"/>
      <c r="H31" s="9"/>
      <c r="I31" s="8"/>
      <c r="J31" s="13"/>
      <c r="K31" s="18"/>
      <c r="L31" s="13"/>
      <c r="M31" s="33"/>
      <c r="N31" s="33"/>
      <c r="O31" s="15"/>
      <c r="P31" s="5"/>
    </row>
    <row r="32" spans="1:21" ht="22.5" customHeight="1">
      <c r="A32" s="1354" t="s">
        <v>71</v>
      </c>
      <c r="B32" s="1355"/>
      <c r="C32" s="1355"/>
      <c r="D32" s="1355"/>
      <c r="E32" s="1355"/>
      <c r="F32" s="1355"/>
      <c r="G32" s="1356"/>
      <c r="H32" s="9"/>
    </row>
    <row r="33" spans="1:16" ht="3.75" customHeight="1">
      <c r="A33" s="226"/>
      <c r="B33" s="4"/>
      <c r="C33" s="6"/>
      <c r="D33" s="4"/>
      <c r="E33" s="4"/>
      <c r="F33" s="4"/>
      <c r="G33" s="227"/>
      <c r="H33" s="9"/>
      <c r="I33" s="8"/>
      <c r="J33" s="13"/>
      <c r="K33" s="8"/>
      <c r="L33" s="8"/>
      <c r="M33" s="8"/>
      <c r="N33" s="8"/>
      <c r="O33" s="15"/>
      <c r="P33" s="5"/>
    </row>
    <row r="34" spans="1:16">
      <c r="A34" s="232" t="s">
        <v>5</v>
      </c>
      <c r="B34" s="60" t="s">
        <v>29</v>
      </c>
      <c r="C34" s="60" t="s">
        <v>30</v>
      </c>
      <c r="D34" s="60" t="s">
        <v>31</v>
      </c>
      <c r="E34" s="60" t="s">
        <v>32</v>
      </c>
      <c r="F34" s="60" t="s">
        <v>20</v>
      </c>
      <c r="G34" s="228" t="s">
        <v>33</v>
      </c>
      <c r="H34" s="27"/>
      <c r="I34" s="8"/>
      <c r="J34" s="13"/>
      <c r="K34" s="8"/>
      <c r="L34" s="8"/>
      <c r="M34" s="8"/>
      <c r="N34" s="8"/>
      <c r="O34" s="15"/>
      <c r="P34" s="5"/>
    </row>
    <row r="35" spans="1:16">
      <c r="A35" s="233" t="s">
        <v>41</v>
      </c>
      <c r="B35" s="63">
        <f>BOF</f>
        <v>51749</v>
      </c>
      <c r="C35" s="68">
        <f>ffpp</f>
        <v>0.64539999999999997</v>
      </c>
      <c r="D35" s="72">
        <v>1</v>
      </c>
      <c r="E35" s="66">
        <f>OF</f>
        <v>88696</v>
      </c>
      <c r="F35" s="65">
        <f>20*3*3*0.22</f>
        <v>39.6</v>
      </c>
      <c r="G35" s="231">
        <f>ROUND(+D35*E35/F35,0)</f>
        <v>2240</v>
      </c>
      <c r="H35" s="9"/>
      <c r="I35" s="16"/>
      <c r="J35" s="13"/>
      <c r="K35" s="8"/>
      <c r="L35" s="8"/>
      <c r="M35" s="8"/>
      <c r="N35" s="8"/>
      <c r="O35" s="15"/>
      <c r="P35" s="5"/>
    </row>
    <row r="36" spans="1:16">
      <c r="A36" s="233" t="s">
        <v>38</v>
      </c>
      <c r="B36" s="63">
        <f>BOB</f>
        <v>41749</v>
      </c>
      <c r="C36" s="68">
        <f>ffpp</f>
        <v>0.64539999999999997</v>
      </c>
      <c r="D36" s="72">
        <v>8</v>
      </c>
      <c r="E36" s="66">
        <f>OB</f>
        <v>72242</v>
      </c>
      <c r="F36" s="65">
        <f>+F35</f>
        <v>39.6</v>
      </c>
      <c r="G36" s="231">
        <f>ROUND(+D36*E36/F36,0)</f>
        <v>14594</v>
      </c>
      <c r="H36" s="9"/>
      <c r="I36" s="16"/>
      <c r="J36" s="13"/>
      <c r="K36" s="8"/>
      <c r="L36" s="8"/>
      <c r="M36" s="8"/>
      <c r="N36" s="8"/>
      <c r="O36" s="15"/>
      <c r="P36" s="5"/>
    </row>
    <row r="37" spans="1:16">
      <c r="A37" s="234"/>
      <c r="B37" s="50"/>
      <c r="C37" s="960"/>
      <c r="D37" s="50"/>
      <c r="E37" s="50"/>
      <c r="F37" s="50"/>
      <c r="G37" s="235"/>
      <c r="H37" s="9"/>
      <c r="I37" s="8"/>
      <c r="J37" s="8"/>
      <c r="K37" s="13"/>
      <c r="L37" s="13"/>
      <c r="M37" s="13"/>
      <c r="N37" s="13"/>
      <c r="O37" s="13"/>
      <c r="P37" s="5"/>
    </row>
    <row r="38" spans="1:16">
      <c r="A38" s="233"/>
      <c r="B38" s="63"/>
      <c r="C38" s="64"/>
      <c r="D38" s="72"/>
      <c r="E38" s="66"/>
      <c r="F38" s="69"/>
      <c r="G38" s="231"/>
      <c r="H38" s="9"/>
      <c r="I38" s="8"/>
      <c r="J38" s="13"/>
      <c r="K38" s="13"/>
      <c r="L38" s="13"/>
      <c r="M38" s="33"/>
      <c r="N38" s="33"/>
      <c r="O38" s="43"/>
      <c r="P38" s="5"/>
    </row>
    <row r="39" spans="1:16">
      <c r="A39" s="233"/>
      <c r="B39" s="65"/>
      <c r="C39" s="68"/>
      <c r="D39" s="65"/>
      <c r="E39" s="69"/>
      <c r="F39" s="69"/>
      <c r="G39" s="236"/>
      <c r="H39" s="9"/>
      <c r="I39" s="8"/>
      <c r="J39" s="13"/>
      <c r="K39" s="13"/>
      <c r="L39" s="13"/>
      <c r="M39" s="33"/>
      <c r="N39" s="33"/>
      <c r="O39" s="43"/>
      <c r="P39" s="5"/>
    </row>
    <row r="40" spans="1:16">
      <c r="A40" s="1352"/>
      <c r="B40" s="1353"/>
      <c r="C40" s="1353"/>
      <c r="D40" s="85" t="s">
        <v>34</v>
      </c>
      <c r="E40" s="50"/>
      <c r="F40" s="49"/>
      <c r="G40" s="230">
        <f>SUM(G35:G39)-1</f>
        <v>16833</v>
      </c>
      <c r="H40" s="9"/>
      <c r="I40" s="8"/>
      <c r="J40" s="13"/>
      <c r="K40" s="8"/>
      <c r="L40" s="13"/>
      <c r="M40" s="14"/>
      <c r="N40" s="14"/>
      <c r="O40" s="15"/>
      <c r="P40" s="5"/>
    </row>
    <row r="41" spans="1:16">
      <c r="A41" s="237"/>
      <c r="B41" s="111"/>
      <c r="C41" s="111"/>
      <c r="D41" s="112"/>
      <c r="E41" s="5"/>
      <c r="F41" s="113"/>
      <c r="G41" s="238"/>
      <c r="H41" s="9"/>
      <c r="I41" s="8"/>
      <c r="J41" s="13"/>
      <c r="K41" s="8"/>
      <c r="L41" s="13"/>
      <c r="M41" s="14"/>
      <c r="N41" s="14"/>
      <c r="O41" s="15"/>
      <c r="P41" s="5"/>
    </row>
    <row r="42" spans="1:16">
      <c r="A42" s="226"/>
      <c r="B42" s="4"/>
      <c r="C42" s="6"/>
      <c r="D42" s="4"/>
      <c r="E42" s="4"/>
      <c r="F42" s="4"/>
      <c r="G42" s="227"/>
      <c r="H42" s="9"/>
      <c r="I42" s="8"/>
      <c r="J42" s="13"/>
      <c r="K42" s="13"/>
      <c r="L42" s="13"/>
      <c r="M42" s="14"/>
      <c r="N42" s="14"/>
      <c r="O42" s="19"/>
      <c r="P42" s="5"/>
    </row>
    <row r="43" spans="1:16" ht="14.25">
      <c r="A43" s="226"/>
      <c r="B43" s="4"/>
      <c r="C43" s="6"/>
      <c r="D43" s="1357" t="s">
        <v>35</v>
      </c>
      <c r="E43" s="1358"/>
      <c r="F43" s="1359"/>
      <c r="G43" s="239">
        <f>+G40+G30+G16</f>
        <v>334386</v>
      </c>
      <c r="H43" s="9"/>
      <c r="I43" s="48"/>
      <c r="J43" s="20"/>
      <c r="K43" s="8"/>
      <c r="L43" s="8"/>
      <c r="M43" s="8"/>
      <c r="N43" s="8"/>
      <c r="O43" s="8"/>
      <c r="P43" s="5"/>
    </row>
    <row r="44" spans="1:16">
      <c r="A44" s="240"/>
      <c r="B44" s="57"/>
      <c r="C44" s="58"/>
      <c r="D44" s="100"/>
      <c r="E44" s="100"/>
      <c r="F44" s="100"/>
      <c r="G44" s="227"/>
      <c r="H44" s="9"/>
      <c r="I44" s="8"/>
      <c r="J44" s="13"/>
      <c r="K44" s="13"/>
      <c r="L44" s="13"/>
      <c r="M44" s="17"/>
      <c r="N44" s="17"/>
      <c r="O44" s="37"/>
      <c r="P44" s="5"/>
    </row>
    <row r="45" spans="1:16">
      <c r="A45" s="374"/>
      <c r="B45" s="375"/>
      <c r="C45" s="375"/>
      <c r="D45" s="100"/>
      <c r="E45" s="100"/>
      <c r="F45" s="100"/>
      <c r="G45" s="227"/>
      <c r="H45" s="9"/>
      <c r="I45" s="8"/>
      <c r="J45" s="13"/>
      <c r="K45" s="13"/>
      <c r="L45" s="13"/>
      <c r="M45" s="17"/>
      <c r="N45" s="17"/>
      <c r="O45" s="37"/>
      <c r="P45" s="5"/>
    </row>
    <row r="46" spans="1:16">
      <c r="A46" s="373"/>
      <c r="B46" s="376"/>
      <c r="C46" s="376"/>
      <c r="D46" s="100"/>
      <c r="E46" s="100"/>
      <c r="F46" s="100"/>
      <c r="G46" s="227"/>
      <c r="H46" s="9"/>
      <c r="I46" s="8"/>
      <c r="J46" s="13"/>
      <c r="K46" s="13"/>
      <c r="L46" s="13"/>
      <c r="M46" s="17"/>
      <c r="N46" s="17"/>
      <c r="O46" s="37"/>
      <c r="P46" s="5"/>
    </row>
    <row r="47" spans="1:16">
      <c r="A47" s="373"/>
      <c r="B47" s="376"/>
      <c r="C47" s="376"/>
      <c r="D47" s="5"/>
      <c r="E47" s="5"/>
      <c r="F47" s="5"/>
      <c r="G47" s="241"/>
      <c r="H47" s="9"/>
      <c r="I47" s="13"/>
      <c r="J47" s="13"/>
      <c r="K47" s="8"/>
      <c r="L47" s="8"/>
      <c r="M47" s="8"/>
      <c r="N47" s="8"/>
      <c r="O47" s="8"/>
      <c r="P47" s="5"/>
    </row>
    <row r="48" spans="1:16" ht="15" thickBot="1">
      <c r="A48" s="242"/>
      <c r="B48" s="243"/>
      <c r="C48" s="244"/>
      <c r="D48" s="245"/>
      <c r="E48" s="246"/>
      <c r="F48" s="246"/>
      <c r="G48" s="247"/>
      <c r="H48" s="9"/>
      <c r="I48" s="8"/>
      <c r="J48" s="13"/>
      <c r="K48" s="8"/>
      <c r="L48" s="8"/>
      <c r="M48" s="8"/>
      <c r="N48" s="8"/>
      <c r="O48" s="8"/>
      <c r="P48" s="5"/>
    </row>
    <row r="49" spans="9:16">
      <c r="I49" s="5"/>
      <c r="J49" s="5"/>
      <c r="K49" s="5"/>
      <c r="L49" s="5"/>
      <c r="M49" s="5"/>
      <c r="N49" s="5"/>
      <c r="O49" s="5"/>
      <c r="P49" s="5"/>
    </row>
  </sheetData>
  <mergeCells count="27">
    <mergeCell ref="A32:G32"/>
    <mergeCell ref="A40:C40"/>
    <mergeCell ref="D43:F43"/>
    <mergeCell ref="A25:C25"/>
    <mergeCell ref="A26:C26"/>
    <mergeCell ref="A27:C27"/>
    <mergeCell ref="A28:C28"/>
    <mergeCell ref="A29:C29"/>
    <mergeCell ref="A30:C30"/>
    <mergeCell ref="A24:C24"/>
    <mergeCell ref="A11:C11"/>
    <mergeCell ref="A12:C12"/>
    <mergeCell ref="A13:C13"/>
    <mergeCell ref="A14:C14"/>
    <mergeCell ref="A15:C15"/>
    <mergeCell ref="A16:C16"/>
    <mergeCell ref="A18:G18"/>
    <mergeCell ref="A20:C20"/>
    <mergeCell ref="A21:C21"/>
    <mergeCell ref="A22:C22"/>
    <mergeCell ref="A23:C23"/>
    <mergeCell ref="A10:C10"/>
    <mergeCell ref="A1:G1"/>
    <mergeCell ref="A2:G2"/>
    <mergeCell ref="A3:G4"/>
    <mergeCell ref="B6:F6"/>
    <mergeCell ref="A8:G8"/>
  </mergeCells>
  <printOptions horizontalCentered="1" verticalCentered="1"/>
  <pageMargins left="0.74803149606299213" right="0.74803149606299213" top="0" bottom="0.98425196850393704" header="0" footer="0"/>
  <pageSetup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116</vt:i4>
      </vt:variant>
      <vt:variant>
        <vt:lpstr>Rangos con nombre</vt:lpstr>
      </vt:variant>
      <vt:variant>
        <vt:i4>131</vt:i4>
      </vt:variant>
    </vt:vector>
  </HeadingPairs>
  <TitlesOfParts>
    <vt:vector size="247" baseType="lpstr">
      <vt:lpstr>M</vt:lpstr>
      <vt:lpstr>E</vt:lpstr>
      <vt:lpstr>COSTOS INDIRECTOS</vt:lpstr>
      <vt:lpstr>PPTO</vt:lpstr>
      <vt:lpstr>FLUJO</vt:lpstr>
      <vt:lpstr>PAGA</vt:lpstr>
      <vt:lpstr>PMT</vt:lpstr>
      <vt:lpstr>MC</vt:lpstr>
      <vt:lpstr>ACUDT</vt:lpstr>
      <vt:lpstr>POZOS</vt:lpstr>
      <vt:lpstr>CANT ALC</vt:lpstr>
      <vt:lpstr>INTERV</vt:lpstr>
      <vt:lpstr>FM</vt:lpstr>
      <vt:lpstr>FP</vt:lpstr>
      <vt:lpstr>BIO</vt:lpstr>
      <vt:lpstr>1.1</vt:lpstr>
      <vt:lpstr>1.2</vt:lpstr>
      <vt:lpstr>2.1</vt:lpstr>
      <vt:lpstr>2.2</vt:lpstr>
      <vt:lpstr>2.3</vt:lpstr>
      <vt:lpstr>2.4</vt:lpstr>
      <vt:lpstr>2.5</vt:lpstr>
      <vt:lpstr>2.6</vt:lpstr>
      <vt:lpstr>2.7</vt:lpstr>
      <vt:lpstr>3.1</vt:lpstr>
      <vt:lpstr>3.2</vt:lpstr>
      <vt:lpstr>3.3</vt:lpstr>
      <vt:lpstr>3.4</vt:lpstr>
      <vt:lpstr>3.5</vt:lpstr>
      <vt:lpstr>4.1</vt:lpstr>
      <vt:lpstr>4.2</vt:lpstr>
      <vt:lpstr>4.3</vt:lpstr>
      <vt:lpstr>4.4</vt:lpstr>
      <vt:lpstr>4.5</vt:lpstr>
      <vt:lpstr>4.6</vt:lpstr>
      <vt:lpstr>4.7</vt:lpstr>
      <vt:lpstr>4.8</vt:lpstr>
      <vt:lpstr>4.9</vt:lpstr>
      <vt:lpstr>4.10</vt:lpstr>
      <vt:lpstr>5.1</vt:lpstr>
      <vt:lpstr>5.2</vt:lpstr>
      <vt:lpstr>5.3</vt:lpstr>
      <vt:lpstr>5.4</vt:lpstr>
      <vt:lpstr>5.5</vt:lpstr>
      <vt:lpstr>5.6</vt:lpstr>
      <vt:lpstr>5.7</vt:lpstr>
      <vt:lpstr>5.8</vt:lpstr>
      <vt:lpstr>5.9</vt:lpstr>
      <vt:lpstr>5.10</vt:lpstr>
      <vt:lpstr>6.1</vt:lpstr>
      <vt:lpstr>6.2</vt:lpstr>
      <vt:lpstr>6.3</vt:lpstr>
      <vt:lpstr>6.4</vt:lpstr>
      <vt:lpstr>6.5</vt:lpstr>
      <vt:lpstr>6.6</vt:lpstr>
      <vt:lpstr>6.7</vt:lpstr>
      <vt:lpstr>6.8</vt:lpstr>
      <vt:lpstr>6.9</vt:lpstr>
      <vt:lpstr>6.10</vt:lpstr>
      <vt:lpstr>6.11</vt:lpstr>
      <vt:lpstr>6.12</vt:lpstr>
      <vt:lpstr>6.13</vt:lpstr>
      <vt:lpstr>6.14</vt:lpstr>
      <vt:lpstr>6.15</vt:lpstr>
      <vt:lpstr>6.16</vt:lpstr>
      <vt:lpstr>6.17</vt:lpstr>
      <vt:lpstr>6.18</vt:lpstr>
      <vt:lpstr>6.19</vt:lpstr>
      <vt:lpstr>6.20</vt:lpstr>
      <vt:lpstr>6.21</vt:lpstr>
      <vt:lpstr>6.22</vt:lpstr>
      <vt:lpstr>6.23</vt:lpstr>
      <vt:lpstr>6.24</vt:lpstr>
      <vt:lpstr>6.25</vt:lpstr>
      <vt:lpstr>6.26</vt:lpstr>
      <vt:lpstr>6.27</vt:lpstr>
      <vt:lpstr>6.28</vt:lpstr>
      <vt:lpstr>6.29</vt:lpstr>
      <vt:lpstr>6.30</vt:lpstr>
      <vt:lpstr>6.31</vt:lpstr>
      <vt:lpstr>6.32</vt:lpstr>
      <vt:lpstr>6.33</vt:lpstr>
      <vt:lpstr>6.34</vt:lpstr>
      <vt:lpstr>6.35</vt:lpstr>
      <vt:lpstr>6.36</vt:lpstr>
      <vt:lpstr>6.37</vt:lpstr>
      <vt:lpstr>6.38</vt:lpstr>
      <vt:lpstr>6.39</vt:lpstr>
      <vt:lpstr>6.40</vt:lpstr>
      <vt:lpstr>6.41</vt:lpstr>
      <vt:lpstr>6.42</vt:lpstr>
      <vt:lpstr>6.43</vt:lpstr>
      <vt:lpstr>6.44</vt:lpstr>
      <vt:lpstr>6.45</vt:lpstr>
      <vt:lpstr>6.46</vt:lpstr>
      <vt:lpstr>6.47</vt:lpstr>
      <vt:lpstr>6.48</vt:lpstr>
      <vt:lpstr>6.49</vt:lpstr>
      <vt:lpstr>6.50</vt:lpstr>
      <vt:lpstr>6.51</vt:lpstr>
      <vt:lpstr>6.52</vt:lpstr>
      <vt:lpstr>6.53</vt:lpstr>
      <vt:lpstr>6.54</vt:lpstr>
      <vt:lpstr>6.55</vt:lpstr>
      <vt:lpstr>6.56</vt:lpstr>
      <vt:lpstr>6.57</vt:lpstr>
      <vt:lpstr>6.58</vt:lpstr>
      <vt:lpstr>6.59</vt:lpstr>
      <vt:lpstr>6.60</vt:lpstr>
      <vt:lpstr>6.61</vt:lpstr>
      <vt:lpstr>7.1</vt:lpstr>
      <vt:lpstr>7.2</vt:lpstr>
      <vt:lpstr>CONC 3000 PSI</vt:lpstr>
      <vt:lpstr>Solado 2000 PSI</vt:lpstr>
      <vt:lpstr>CONC 4000 PSI </vt:lpstr>
      <vt:lpstr>MORTERO DE PEGA</vt:lpstr>
      <vt:lpstr>'1.1'!Área_de_impresión</vt:lpstr>
      <vt:lpstr>'1.2'!Área_de_impresión</vt:lpstr>
      <vt:lpstr>'2.1'!Área_de_impresión</vt:lpstr>
      <vt:lpstr>'2.2'!Área_de_impresión</vt:lpstr>
      <vt:lpstr>'2.3'!Área_de_impresión</vt:lpstr>
      <vt:lpstr>'2.4'!Área_de_impresión</vt:lpstr>
      <vt:lpstr>'2.5'!Área_de_impresión</vt:lpstr>
      <vt:lpstr>'2.6'!Área_de_impresión</vt:lpstr>
      <vt:lpstr>'2.7'!Área_de_impresión</vt:lpstr>
      <vt:lpstr>'3.1'!Área_de_impresión</vt:lpstr>
      <vt:lpstr>'3.2'!Área_de_impresión</vt:lpstr>
      <vt:lpstr>'3.3'!Área_de_impresión</vt:lpstr>
      <vt:lpstr>'3.4'!Área_de_impresión</vt:lpstr>
      <vt:lpstr>'3.5'!Área_de_impresión</vt:lpstr>
      <vt:lpstr>'4.1'!Área_de_impresión</vt:lpstr>
      <vt:lpstr>'4.10'!Área_de_impresión</vt:lpstr>
      <vt:lpstr>'4.2'!Área_de_impresión</vt:lpstr>
      <vt:lpstr>'4.3'!Área_de_impresión</vt:lpstr>
      <vt:lpstr>'4.4'!Área_de_impresión</vt:lpstr>
      <vt:lpstr>'4.5'!Área_de_impresión</vt:lpstr>
      <vt:lpstr>'4.6'!Área_de_impresión</vt:lpstr>
      <vt:lpstr>'4.7'!Área_de_impresión</vt:lpstr>
      <vt:lpstr>'4.8'!Área_de_impresión</vt:lpstr>
      <vt:lpstr>'4.9'!Área_de_impresión</vt:lpstr>
      <vt:lpstr>'5.1'!Área_de_impresión</vt:lpstr>
      <vt:lpstr>'5.10'!Área_de_impresión</vt:lpstr>
      <vt:lpstr>'5.2'!Área_de_impresión</vt:lpstr>
      <vt:lpstr>'5.3'!Área_de_impresión</vt:lpstr>
      <vt:lpstr>'5.4'!Área_de_impresión</vt:lpstr>
      <vt:lpstr>'5.5'!Área_de_impresión</vt:lpstr>
      <vt:lpstr>'5.6'!Área_de_impresión</vt:lpstr>
      <vt:lpstr>'5.7'!Área_de_impresión</vt:lpstr>
      <vt:lpstr>'5.8'!Área_de_impresión</vt:lpstr>
      <vt:lpstr>'5.9'!Área_de_impresión</vt:lpstr>
      <vt:lpstr>'6.1'!Área_de_impresión</vt:lpstr>
      <vt:lpstr>'6.10'!Área_de_impresión</vt:lpstr>
      <vt:lpstr>'6.11'!Área_de_impresión</vt:lpstr>
      <vt:lpstr>'6.12'!Área_de_impresión</vt:lpstr>
      <vt:lpstr>'6.13'!Área_de_impresión</vt:lpstr>
      <vt:lpstr>'6.14'!Área_de_impresión</vt:lpstr>
      <vt:lpstr>'6.15'!Área_de_impresión</vt:lpstr>
      <vt:lpstr>'6.16'!Área_de_impresión</vt:lpstr>
      <vt:lpstr>'6.17'!Área_de_impresión</vt:lpstr>
      <vt:lpstr>'6.18'!Área_de_impresión</vt:lpstr>
      <vt:lpstr>'6.19'!Área_de_impresión</vt:lpstr>
      <vt:lpstr>'6.2'!Área_de_impresión</vt:lpstr>
      <vt:lpstr>'6.20'!Área_de_impresión</vt:lpstr>
      <vt:lpstr>'6.21'!Área_de_impresión</vt:lpstr>
      <vt:lpstr>'6.22'!Área_de_impresión</vt:lpstr>
      <vt:lpstr>'6.23'!Área_de_impresión</vt:lpstr>
      <vt:lpstr>'6.24'!Área_de_impresión</vt:lpstr>
      <vt:lpstr>'6.25'!Área_de_impresión</vt:lpstr>
      <vt:lpstr>'6.26'!Área_de_impresión</vt:lpstr>
      <vt:lpstr>'6.27'!Área_de_impresión</vt:lpstr>
      <vt:lpstr>'6.28'!Área_de_impresión</vt:lpstr>
      <vt:lpstr>'6.29'!Área_de_impresión</vt:lpstr>
      <vt:lpstr>'6.3'!Área_de_impresión</vt:lpstr>
      <vt:lpstr>'6.30'!Área_de_impresión</vt:lpstr>
      <vt:lpstr>'6.31'!Área_de_impresión</vt:lpstr>
      <vt:lpstr>'6.32'!Área_de_impresión</vt:lpstr>
      <vt:lpstr>'6.33'!Área_de_impresión</vt:lpstr>
      <vt:lpstr>'6.34'!Área_de_impresión</vt:lpstr>
      <vt:lpstr>'6.35'!Área_de_impresión</vt:lpstr>
      <vt:lpstr>'6.36'!Área_de_impresión</vt:lpstr>
      <vt:lpstr>'6.37'!Área_de_impresión</vt:lpstr>
      <vt:lpstr>'6.38'!Área_de_impresión</vt:lpstr>
      <vt:lpstr>'6.39'!Área_de_impresión</vt:lpstr>
      <vt:lpstr>'6.4'!Área_de_impresión</vt:lpstr>
      <vt:lpstr>'6.40'!Área_de_impresión</vt:lpstr>
      <vt:lpstr>'6.41'!Área_de_impresión</vt:lpstr>
      <vt:lpstr>'6.42'!Área_de_impresión</vt:lpstr>
      <vt:lpstr>'6.43'!Área_de_impresión</vt:lpstr>
      <vt:lpstr>'6.44'!Área_de_impresión</vt:lpstr>
      <vt:lpstr>'6.45'!Área_de_impresión</vt:lpstr>
      <vt:lpstr>'6.46'!Área_de_impresión</vt:lpstr>
      <vt:lpstr>'6.47'!Área_de_impresión</vt:lpstr>
      <vt:lpstr>'6.48'!Área_de_impresión</vt:lpstr>
      <vt:lpstr>'6.49'!Área_de_impresión</vt:lpstr>
      <vt:lpstr>'6.5'!Área_de_impresión</vt:lpstr>
      <vt:lpstr>'6.50'!Área_de_impresión</vt:lpstr>
      <vt:lpstr>'6.51'!Área_de_impresión</vt:lpstr>
      <vt:lpstr>'6.52'!Área_de_impresión</vt:lpstr>
      <vt:lpstr>'6.53'!Área_de_impresión</vt:lpstr>
      <vt:lpstr>'6.54'!Área_de_impresión</vt:lpstr>
      <vt:lpstr>'6.55'!Área_de_impresión</vt:lpstr>
      <vt:lpstr>'6.56'!Área_de_impresión</vt:lpstr>
      <vt:lpstr>'6.57'!Área_de_impresión</vt:lpstr>
      <vt:lpstr>'6.58'!Área_de_impresión</vt:lpstr>
      <vt:lpstr>'6.59'!Área_de_impresión</vt:lpstr>
      <vt:lpstr>'6.6'!Área_de_impresión</vt:lpstr>
      <vt:lpstr>'6.60'!Área_de_impresión</vt:lpstr>
      <vt:lpstr>'6.61'!Área_de_impresión</vt:lpstr>
      <vt:lpstr>'6.7'!Área_de_impresión</vt:lpstr>
      <vt:lpstr>'6.8'!Área_de_impresión</vt:lpstr>
      <vt:lpstr>'6.9'!Área_de_impresión</vt:lpstr>
      <vt:lpstr>'7.1'!Área_de_impresión</vt:lpstr>
      <vt:lpstr>'7.2'!Área_de_impresión</vt:lpstr>
      <vt:lpstr>BIO!Área_de_impresión</vt:lpstr>
      <vt:lpstr>'CANT ALC'!Área_de_impresión</vt:lpstr>
      <vt:lpstr>'CONC 3000 PSI'!Área_de_impresión</vt:lpstr>
      <vt:lpstr>'CONC 4000 PSI '!Área_de_impresión</vt:lpstr>
      <vt:lpstr>'COSTOS INDIRECTOS'!Área_de_impresión</vt:lpstr>
      <vt:lpstr>E!Área_de_impresión</vt:lpstr>
      <vt:lpstr>FLUJO!Área_de_impresión</vt:lpstr>
      <vt:lpstr>FM!Área_de_impresión</vt:lpstr>
      <vt:lpstr>FP!Área_de_impresión</vt:lpstr>
      <vt:lpstr>INTERV!Área_de_impresión</vt:lpstr>
      <vt:lpstr>M!Área_de_impresión</vt:lpstr>
      <vt:lpstr>MC!Área_de_impresión</vt:lpstr>
      <vt:lpstr>'MORTERO DE PEGA'!Área_de_impresión</vt:lpstr>
      <vt:lpstr>PAGA!Área_de_impresión</vt:lpstr>
      <vt:lpstr>PMT!Área_de_impresión</vt:lpstr>
      <vt:lpstr>PPTO!Área_de_impresión</vt:lpstr>
      <vt:lpstr>'Solado 2000 PSI'!Área_de_impresión</vt:lpstr>
      <vt:lpstr>BOB</vt:lpstr>
      <vt:lpstr>BOF</vt:lpstr>
      <vt:lpstr>CAD</vt:lpstr>
      <vt:lpstr>'COSTOS INDIRECTOS'!CD</vt:lpstr>
      <vt:lpstr>'COSTOS INDIRECTOS'!CT</vt:lpstr>
      <vt:lpstr>ffpp</vt:lpstr>
      <vt:lpstr>'1.2'!IPC</vt:lpstr>
      <vt:lpstr>IPC</vt:lpstr>
      <vt:lpstr>OB</vt:lpstr>
      <vt:lpstr>OF</vt:lpstr>
      <vt:lpstr>FLUJO!Títulos_a_imprimir</vt:lpstr>
      <vt:lpstr>FM!Títulos_a_imprimir</vt:lpstr>
      <vt:lpstr>M!Títulos_a_imprimir</vt:lpstr>
      <vt:lpstr>MC!Títulos_a_imprimir</vt:lpstr>
      <vt:lpstr>POZOS!Títulos_a_imprimir</vt:lpstr>
      <vt:lpstr>PPTO!Títulos_a_imprimir</vt:lpstr>
      <vt:lpstr>TOP</vt:lpstr>
    </vt:vector>
  </TitlesOfParts>
  <Company>alcald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planeación</dc:creator>
  <cp:lastModifiedBy>Usuario de Windows</cp:lastModifiedBy>
  <cp:lastPrinted>2021-10-13T12:56:17Z</cp:lastPrinted>
  <dcterms:created xsi:type="dcterms:W3CDTF">1980-01-04T05:22:00Z</dcterms:created>
  <dcterms:modified xsi:type="dcterms:W3CDTF">2022-08-09T16:37:00Z</dcterms:modified>
</cp:coreProperties>
</file>